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972" yWindow="2808" windowWidth="14880" windowHeight="4812"/>
  </bookViews>
  <sheets>
    <sheet name="STOCK" sheetId="1" r:id="rId1"/>
    <sheet name="ALQUILERES" sheetId="3" r:id="rId2"/>
    <sheet name="Hoja1" sheetId="4" r:id="rId3"/>
  </sheets>
  <definedNames>
    <definedName name="_xlnm._FilterDatabase" localSheetId="0" hidden="1">STOCK!$C$2:$X$795</definedName>
  </definedNames>
  <calcPr calcId="152511"/>
</workbook>
</file>

<file path=xl/calcChain.xml><?xml version="1.0" encoding="utf-8"?>
<calcChain xmlns="http://schemas.openxmlformats.org/spreadsheetml/2006/main">
  <c r="H606" i="1" l="1"/>
  <c r="H180" i="1"/>
  <c r="H353" i="1"/>
  <c r="H103" i="1"/>
  <c r="H133" i="1"/>
  <c r="H323" i="1"/>
  <c r="H107" i="1"/>
  <c r="H643" i="1"/>
  <c r="H170" i="1"/>
  <c r="H191" i="1"/>
  <c r="H326" i="1"/>
  <c r="H290" i="1"/>
  <c r="H176" i="1"/>
  <c r="H175" i="1"/>
  <c r="H355" i="1"/>
  <c r="H562" i="1"/>
  <c r="H660" i="1"/>
  <c r="H588" i="1"/>
  <c r="H343" i="1" l="1"/>
  <c r="H342" i="1"/>
  <c r="H341" i="1"/>
  <c r="H77" i="1" l="1"/>
  <c r="O645" i="1"/>
  <c r="P645" i="1"/>
  <c r="Q645" i="1"/>
  <c r="R645" i="1"/>
  <c r="S645" i="1"/>
  <c r="T645" i="1"/>
  <c r="J645" i="1"/>
  <c r="H552" i="1"/>
  <c r="H310" i="1"/>
  <c r="H446" i="1"/>
  <c r="I446" i="1"/>
  <c r="H430" i="1"/>
  <c r="I430" i="1"/>
  <c r="I353" i="1"/>
  <c r="I328" i="1"/>
  <c r="J532" i="1"/>
  <c r="I290" i="1"/>
  <c r="I345" i="1"/>
  <c r="I75" i="1"/>
  <c r="I42" i="1"/>
  <c r="I402" i="1"/>
  <c r="I78" i="1"/>
  <c r="I477" i="1"/>
  <c r="I321" i="1"/>
  <c r="I77" i="1"/>
  <c r="I54" i="1"/>
  <c r="I62" i="1"/>
  <c r="I394" i="1"/>
  <c r="I398" i="1"/>
  <c r="I742" i="1"/>
  <c r="I44" i="1"/>
  <c r="I505" i="1"/>
  <c r="I139" i="1" l="1"/>
  <c r="H402" i="1" l="1"/>
  <c r="I356" i="1"/>
  <c r="I517" i="1"/>
  <c r="I49" i="1"/>
  <c r="H321" i="1"/>
  <c r="J321" i="1" s="1"/>
  <c r="I726" i="1"/>
  <c r="I35" i="1"/>
  <c r="I606" i="1"/>
  <c r="I133" i="1"/>
  <c r="I330" i="1" l="1"/>
  <c r="I671" i="1"/>
  <c r="I447" i="1"/>
  <c r="I468" i="1"/>
  <c r="I288" i="1"/>
  <c r="I355" i="1"/>
  <c r="I524" i="1"/>
  <c r="I295" i="1"/>
  <c r="I296" i="1"/>
  <c r="I180" i="1"/>
  <c r="I396" i="1"/>
  <c r="I202" i="1"/>
  <c r="I323" i="1"/>
  <c r="I322" i="1"/>
  <c r="I13" i="1"/>
  <c r="I28" i="1"/>
  <c r="I335" i="1"/>
  <c r="I109" i="1"/>
  <c r="I191" i="1" l="1"/>
  <c r="I582" i="1"/>
  <c r="I287" i="1"/>
  <c r="I365" i="1"/>
  <c r="I7" i="1"/>
  <c r="I157" i="1"/>
  <c r="I551" i="1"/>
  <c r="I603" i="1"/>
  <c r="I375" i="1"/>
  <c r="I659" i="1"/>
  <c r="H517" i="1"/>
  <c r="H105" i="1" l="1"/>
  <c r="I101" i="1"/>
  <c r="I561" i="1" l="1"/>
  <c r="I376" i="1"/>
  <c r="I33" i="1"/>
  <c r="I214" i="1"/>
  <c r="I472" i="1"/>
  <c r="I38" i="1"/>
  <c r="I173" i="1"/>
  <c r="I170" i="1"/>
  <c r="I388" i="1"/>
  <c r="I404" i="1"/>
  <c r="I41" i="1"/>
  <c r="I36" i="1"/>
  <c r="I378" i="1"/>
  <c r="I332" i="1"/>
  <c r="I480" i="1"/>
  <c r="H78" i="1"/>
  <c r="H471" i="1"/>
  <c r="H365" i="1"/>
  <c r="H183" i="1"/>
  <c r="H54" i="1"/>
  <c r="H404" i="1"/>
  <c r="H512" i="1"/>
  <c r="H181" i="1"/>
  <c r="H202" i="1"/>
  <c r="H378" i="1"/>
  <c r="H62" i="1"/>
  <c r="H60" i="1"/>
  <c r="H330" i="1"/>
  <c r="H582" i="1"/>
  <c r="H101" i="1"/>
  <c r="H293" i="1"/>
  <c r="H332" i="1"/>
  <c r="H287" i="1"/>
  <c r="H734" i="1"/>
  <c r="H7" i="1"/>
  <c r="H398" i="1"/>
  <c r="H394" i="1"/>
  <c r="H480" i="1"/>
  <c r="N141" i="1" l="1"/>
  <c r="U141" i="1" s="1"/>
  <c r="N110" i="1"/>
  <c r="U110" i="1" s="1"/>
  <c r="N107" i="1"/>
  <c r="W107" i="1" s="1"/>
  <c r="N79" i="1"/>
  <c r="U79" i="1" s="1"/>
  <c r="N66" i="1"/>
  <c r="U66" i="1" s="1"/>
  <c r="N45" i="1"/>
  <c r="U45" i="1" s="1"/>
  <c r="N18" i="1"/>
  <c r="U18" i="1" s="1"/>
  <c r="N17" i="1"/>
  <c r="U17" i="1" s="1"/>
  <c r="N14" i="1"/>
  <c r="V14" i="1" s="1"/>
  <c r="N460" i="1"/>
  <c r="V460" i="1" s="1"/>
  <c r="O460" i="1"/>
  <c r="P460" i="1"/>
  <c r="Q460" i="1"/>
  <c r="R460" i="1"/>
  <c r="S460" i="1"/>
  <c r="T460" i="1"/>
  <c r="H13" i="1"/>
  <c r="H328" i="1"/>
  <c r="I386" i="1"/>
  <c r="I79" i="1"/>
  <c r="I53" i="1"/>
  <c r="I96" i="1"/>
  <c r="I334" i="1"/>
  <c r="I602" i="1"/>
  <c r="I709" i="1"/>
  <c r="I707" i="1"/>
  <c r="I176" i="1"/>
  <c r="I175" i="1"/>
  <c r="I739" i="1"/>
  <c r="I293" i="1"/>
  <c r="I183" i="1"/>
  <c r="I669" i="1"/>
  <c r="H345" i="1"/>
  <c r="I294" i="1"/>
  <c r="V107" i="1" l="1"/>
  <c r="U107" i="1"/>
  <c r="X107" i="1"/>
  <c r="X79" i="1"/>
  <c r="X460" i="1"/>
  <c r="U460" i="1"/>
  <c r="X18" i="1"/>
  <c r="W460" i="1"/>
  <c r="X141" i="1"/>
  <c r="X45" i="1"/>
  <c r="X66" i="1"/>
  <c r="W79" i="1"/>
  <c r="V45" i="1"/>
  <c r="V79" i="1"/>
  <c r="W141" i="1"/>
  <c r="X110" i="1"/>
  <c r="V141" i="1"/>
  <c r="W110" i="1"/>
  <c r="V110" i="1"/>
  <c r="W66" i="1"/>
  <c r="V66" i="1"/>
  <c r="W18" i="1"/>
  <c r="V18" i="1"/>
  <c r="X17" i="1"/>
  <c r="W17" i="1"/>
  <c r="V17" i="1"/>
  <c r="W14" i="1"/>
  <c r="U14" i="1"/>
  <c r="X14" i="1"/>
  <c r="H110" i="1"/>
  <c r="J110" i="1" s="1"/>
  <c r="T110" i="1"/>
  <c r="I725" i="1" l="1"/>
  <c r="I605" i="1" l="1"/>
  <c r="I596" i="1"/>
  <c r="I379" i="1"/>
  <c r="I401" i="1"/>
  <c r="I727" i="1"/>
  <c r="I729" i="1"/>
  <c r="I658" i="1"/>
  <c r="I653" i="1"/>
  <c r="I652" i="1"/>
  <c r="I648" i="1"/>
  <c r="I647" i="1"/>
  <c r="I510" i="1"/>
  <c r="I715" i="1"/>
  <c r="I718" i="1"/>
  <c r="I719" i="1"/>
  <c r="I717" i="1"/>
  <c r="I581" i="1"/>
  <c r="I721" i="1"/>
  <c r="I682" i="1"/>
  <c r="I616" i="1"/>
  <c r="I590" i="1"/>
  <c r="H603" i="1" l="1"/>
  <c r="I352" i="1" l="1"/>
  <c r="I419" i="1" l="1"/>
  <c r="I274" i="1"/>
  <c r="I135" i="1" l="1"/>
  <c r="I371" i="1"/>
  <c r="I40" i="1"/>
  <c r="I76" i="1"/>
  <c r="I409" i="1"/>
  <c r="H674" i="1"/>
  <c r="I673" i="1"/>
  <c r="I339" i="1"/>
  <c r="I169" i="1"/>
  <c r="I171" i="1"/>
  <c r="I310" i="1"/>
  <c r="I297" i="1"/>
  <c r="I676" i="1"/>
  <c r="I415" i="1"/>
  <c r="I502" i="1"/>
  <c r="H502" i="1"/>
  <c r="I503" i="1"/>
  <c r="I643" i="1"/>
  <c r="I453" i="1"/>
  <c r="I71" i="1" l="1"/>
  <c r="I74" i="1" l="1"/>
  <c r="I479" i="1"/>
  <c r="I130" i="1"/>
  <c r="I4" i="1"/>
  <c r="I674" i="1"/>
  <c r="I701" i="1"/>
  <c r="I315" i="1"/>
  <c r="I471" i="1" l="1"/>
  <c r="H71" i="1"/>
  <c r="H676" i="1"/>
  <c r="H79" i="1"/>
  <c r="H503" i="1"/>
  <c r="H583" i="1"/>
  <c r="H581" i="1"/>
  <c r="H472" i="1"/>
  <c r="H371" i="1"/>
  <c r="H475" i="1"/>
  <c r="H339" i="1"/>
  <c r="H53" i="1"/>
  <c r="H33" i="1"/>
  <c r="H730" i="1"/>
  <c r="H477" i="1"/>
  <c r="H75" i="1"/>
  <c r="H74" i="1"/>
  <c r="T107" i="1"/>
  <c r="I107" i="1"/>
  <c r="H38" i="1"/>
  <c r="H616" i="1"/>
  <c r="H375" i="1"/>
  <c r="H130" i="1"/>
  <c r="H4" i="1"/>
  <c r="H742" i="1"/>
  <c r="J742" i="1" s="1"/>
  <c r="H41" i="1"/>
  <c r="H356" i="1"/>
  <c r="J107" i="1" l="1"/>
  <c r="H169" i="1"/>
  <c r="H171" i="1"/>
  <c r="I458" i="1"/>
  <c r="I344" i="1" l="1"/>
  <c r="I529" i="1"/>
  <c r="H685" i="1" l="1"/>
  <c r="N520" i="1" l="1"/>
  <c r="U520" i="1" s="1"/>
  <c r="O520" i="1"/>
  <c r="P520" i="1"/>
  <c r="Q520" i="1"/>
  <c r="R520" i="1"/>
  <c r="S520" i="1"/>
  <c r="T520" i="1"/>
  <c r="H520" i="1"/>
  <c r="J520" i="1" s="1"/>
  <c r="H469" i="1"/>
  <c r="H386" i="1"/>
  <c r="X520" i="1" l="1"/>
  <c r="V520" i="1"/>
  <c r="W520" i="1"/>
  <c r="H437" i="1"/>
  <c r="I437" i="1"/>
  <c r="I580" i="1" l="1"/>
  <c r="I583" i="1"/>
  <c r="I181" i="1"/>
  <c r="I98" i="1"/>
  <c r="I434" i="1"/>
  <c r="I184" i="1" l="1"/>
  <c r="I668" i="1" l="1"/>
  <c r="I83" i="1" l="1"/>
  <c r="I512" i="1"/>
  <c r="I317" i="1"/>
  <c r="H317" i="1"/>
  <c r="H668" i="1"/>
  <c r="I457" i="1" l="1"/>
  <c r="I303" i="1"/>
  <c r="I302" i="1"/>
  <c r="I475" i="1"/>
  <c r="H457" i="1"/>
  <c r="H580" i="1"/>
  <c r="H306" i="1"/>
  <c r="I280" i="1"/>
  <c r="I238" i="1" l="1"/>
  <c r="I132" i="1" l="1"/>
  <c r="I646" i="1"/>
  <c r="I66" i="1"/>
  <c r="I103" i="1"/>
  <c r="I642" i="1"/>
  <c r="I346" i="1"/>
  <c r="I400" i="1"/>
  <c r="I730" i="1"/>
  <c r="H729" i="1"/>
  <c r="O642" i="1"/>
  <c r="P642" i="1"/>
  <c r="Q642" i="1"/>
  <c r="R642" i="1"/>
  <c r="S642" i="1"/>
  <c r="T642" i="1"/>
  <c r="H642" i="1"/>
  <c r="H315" i="1"/>
  <c r="H719" i="1"/>
  <c r="H34" i="1"/>
  <c r="H479" i="1"/>
  <c r="H659" i="1"/>
  <c r="H648" i="1"/>
  <c r="H647" i="1"/>
  <c r="O66" i="1"/>
  <c r="P66" i="1"/>
  <c r="Q66" i="1"/>
  <c r="R66" i="1"/>
  <c r="S66" i="1"/>
  <c r="T66" i="1"/>
  <c r="H66" i="1"/>
  <c r="H346" i="1"/>
  <c r="H296" i="1"/>
  <c r="H294" i="1"/>
  <c r="J66" i="1" l="1"/>
  <c r="J642" i="1"/>
  <c r="I411" i="1"/>
  <c r="I374" i="1" l="1"/>
  <c r="H669" i="1" l="1"/>
  <c r="H579" i="1"/>
  <c r="I431" i="1" l="1"/>
  <c r="I660" i="1"/>
  <c r="I329" i="1" l="1"/>
  <c r="I604" i="1"/>
  <c r="I579" i="1"/>
  <c r="I615" i="1"/>
  <c r="I19" i="1" l="1"/>
  <c r="I241" i="1"/>
  <c r="I243" i="1"/>
  <c r="I366" i="1"/>
  <c r="I368" i="1"/>
  <c r="I362" i="1"/>
  <c r="I679" i="1" l="1"/>
  <c r="H322" i="1"/>
  <c r="I700" i="1"/>
  <c r="I563" i="1"/>
  <c r="I172" i="1"/>
  <c r="I174" i="1"/>
  <c r="H174" i="1" l="1"/>
  <c r="H563" i="1"/>
  <c r="H561" i="1"/>
  <c r="H717" i="1"/>
  <c r="H172" i="1"/>
  <c r="H19" i="1"/>
  <c r="H505" i="1"/>
  <c r="O45" i="1"/>
  <c r="P45" i="1"/>
  <c r="Q45" i="1"/>
  <c r="R45" i="1"/>
  <c r="S45" i="1"/>
  <c r="T45" i="1"/>
  <c r="H45" i="1"/>
  <c r="J45" i="1" s="1"/>
  <c r="H46" i="1"/>
  <c r="H700" i="1"/>
  <c r="H374" i="1"/>
  <c r="H373" i="1"/>
  <c r="H109" i="1"/>
  <c r="I389" i="1" l="1"/>
  <c r="I567" i="1"/>
  <c r="I326" i="1"/>
  <c r="I393" i="1" l="1"/>
  <c r="I94" i="1"/>
  <c r="I93" i="1"/>
  <c r="I91" i="1"/>
  <c r="I34" i="1" l="1"/>
  <c r="I131" i="1"/>
  <c r="I553" i="1"/>
  <c r="J141" i="1" l="1"/>
  <c r="I568" i="1"/>
  <c r="I319" i="1"/>
  <c r="I309" i="1"/>
  <c r="H740" i="1" l="1"/>
  <c r="I740" i="1" l="1"/>
  <c r="I696" i="1" l="1"/>
  <c r="I612" i="1"/>
  <c r="I311" i="1"/>
  <c r="I403" i="1"/>
  <c r="I97" i="1" l="1"/>
  <c r="I562" i="1"/>
  <c r="I373" i="1"/>
  <c r="I542" i="1"/>
  <c r="I178" i="1"/>
  <c r="I104" i="1"/>
  <c r="I662" i="1"/>
  <c r="I395" i="1"/>
  <c r="H98" i="1"/>
  <c r="H726" i="1"/>
  <c r="H568" i="1"/>
  <c r="H395" i="1"/>
  <c r="H173" i="1"/>
  <c r="H297" i="1"/>
  <c r="H662" i="1"/>
  <c r="N104" i="1"/>
  <c r="T104" i="1"/>
  <c r="H104" i="1"/>
  <c r="H335" i="1"/>
  <c r="H334" i="1"/>
  <c r="H333" i="1"/>
  <c r="J104" i="1" l="1"/>
  <c r="I484" i="1"/>
  <c r="H542" i="1"/>
  <c r="H605" i="1"/>
  <c r="H613" i="1"/>
  <c r="I325" i="1"/>
  <c r="I289" i="1"/>
  <c r="I405" i="1" l="1"/>
  <c r="H352" i="1"/>
  <c r="I14" i="1"/>
  <c r="I22" i="1" l="1"/>
  <c r="I613" i="1"/>
  <c r="I703" i="1" l="1"/>
  <c r="I509" i="1"/>
  <c r="I723" i="1"/>
  <c r="I448" i="1"/>
  <c r="I577" i="1"/>
  <c r="I691" i="1" l="1"/>
  <c r="I536" i="1"/>
  <c r="H476" i="1"/>
  <c r="H431" i="1"/>
  <c r="H311" i="1"/>
  <c r="O448" i="1"/>
  <c r="P448" i="1"/>
  <c r="Q448" i="1"/>
  <c r="R448" i="1"/>
  <c r="S448" i="1"/>
  <c r="T448" i="1"/>
  <c r="H448" i="1"/>
  <c r="J448" i="1" s="1"/>
  <c r="H607" i="1"/>
  <c r="H596" i="1"/>
  <c r="H344" i="1"/>
  <c r="H703" i="1"/>
  <c r="H411" i="1"/>
  <c r="H135" i="1"/>
  <c r="I728" i="1" l="1"/>
  <c r="I333" i="1"/>
  <c r="I185" i="1"/>
  <c r="I640" i="1"/>
  <c r="I312" i="1"/>
  <c r="I308" i="1"/>
  <c r="I307" i="1"/>
  <c r="I685" i="1"/>
  <c r="H549" i="1" l="1"/>
  <c r="H401" i="1" l="1"/>
  <c r="H400" i="1"/>
  <c r="H396" i="1"/>
  <c r="I39" i="1"/>
  <c r="H40" i="1"/>
  <c r="H481" i="1" l="1"/>
  <c r="H307" i="1"/>
  <c r="I702" i="1"/>
  <c r="I410" i="1"/>
  <c r="I607" i="1" l="1"/>
  <c r="I678" i="1"/>
  <c r="T121" i="1" l="1"/>
  <c r="T119" i="1"/>
  <c r="T112" i="1"/>
  <c r="T113" i="1"/>
  <c r="T114" i="1"/>
  <c r="T115" i="1"/>
  <c r="T116" i="1"/>
  <c r="T117" i="1"/>
  <c r="T108" i="1"/>
  <c r="T101" i="1"/>
  <c r="T102" i="1"/>
  <c r="T103" i="1"/>
  <c r="T105" i="1"/>
  <c r="T106" i="1"/>
  <c r="T100" i="1"/>
  <c r="H51" i="1"/>
  <c r="H50" i="1"/>
  <c r="H44" i="1"/>
  <c r="I12" i="1"/>
  <c r="I324" i="1" l="1"/>
  <c r="H678" i="1" l="1"/>
  <c r="H193" i="1"/>
  <c r="I142" i="1"/>
  <c r="H192" i="1"/>
  <c r="H474" i="1"/>
  <c r="H142" i="1"/>
  <c r="H725" i="1"/>
  <c r="O141" i="1" l="1"/>
  <c r="P141" i="1"/>
  <c r="Q141" i="1"/>
  <c r="R141" i="1"/>
  <c r="T141" i="1"/>
  <c r="I412" i="1"/>
  <c r="I498" i="1" l="1"/>
  <c r="I429" i="1"/>
  <c r="I689" i="1"/>
  <c r="I591" i="1" l="1"/>
  <c r="I193" i="1"/>
  <c r="I436" i="1"/>
  <c r="I105" i="1" l="1"/>
  <c r="I327" i="1"/>
  <c r="I534" i="1"/>
  <c r="H295" i="1" l="1"/>
  <c r="H728" i="1"/>
  <c r="H134" i="1"/>
  <c r="H327" i="1"/>
  <c r="H534" i="1"/>
  <c r="I481" i="1" l="1"/>
  <c r="I554" i="1"/>
  <c r="I601" i="1"/>
  <c r="I549" i="1"/>
  <c r="I469" i="1"/>
  <c r="I155" i="1"/>
  <c r="H436" i="1" l="1"/>
  <c r="I347" i="1" l="1"/>
  <c r="I526" i="1"/>
  <c r="O481" i="1" l="1"/>
  <c r="P481" i="1"/>
  <c r="Q481" i="1"/>
  <c r="R481" i="1"/>
  <c r="S481" i="1"/>
  <c r="T481" i="1"/>
  <c r="J481" i="1"/>
  <c r="H158" i="1" l="1"/>
  <c r="H718" i="1"/>
  <c r="H368" i="1"/>
  <c r="H362" i="1"/>
  <c r="H393" i="1"/>
  <c r="H412" i="1"/>
  <c r="H699" i="1"/>
  <c r="H453" i="1"/>
  <c r="I281" i="1" l="1"/>
  <c r="I64" i="1" l="1"/>
  <c r="I654" i="1"/>
  <c r="I491" i="1"/>
  <c r="I428" i="1"/>
  <c r="I680" i="1"/>
  <c r="I340" i="1" l="1"/>
  <c r="I60" i="1"/>
  <c r="I127" i="1"/>
  <c r="N309" i="1" l="1"/>
  <c r="U309" i="1" s="1"/>
  <c r="O309" i="1"/>
  <c r="P309" i="1"/>
  <c r="Q309" i="1"/>
  <c r="R309" i="1"/>
  <c r="S309" i="1"/>
  <c r="T309" i="1"/>
  <c r="H309" i="1"/>
  <c r="J309" i="1" s="1"/>
  <c r="V309" i="1" l="1"/>
  <c r="X309" i="1"/>
  <c r="W309" i="1"/>
  <c r="I705" i="1"/>
  <c r="I625" i="1"/>
  <c r="H329" i="1"/>
  <c r="H529" i="1"/>
  <c r="O653" i="1"/>
  <c r="P653" i="1"/>
  <c r="Q653" i="1"/>
  <c r="R653" i="1"/>
  <c r="S653" i="1"/>
  <c r="T653" i="1"/>
  <c r="H653" i="1"/>
  <c r="J653" i="1" s="1"/>
  <c r="H739" i="1" l="1"/>
  <c r="H601" i="1"/>
  <c r="N680" i="1"/>
  <c r="U680" i="1" s="1"/>
  <c r="O680" i="1"/>
  <c r="P680" i="1"/>
  <c r="Q680" i="1"/>
  <c r="R680" i="1"/>
  <c r="S680" i="1"/>
  <c r="T680" i="1"/>
  <c r="J680" i="1"/>
  <c r="X680" i="1" l="1"/>
  <c r="W680" i="1"/>
  <c r="V680" i="1"/>
  <c r="I18" i="1"/>
  <c r="I134" i="1"/>
  <c r="I588" i="1"/>
  <c r="H127" i="1" l="1"/>
  <c r="O670" i="1"/>
  <c r="P670" i="1"/>
  <c r="Q670" i="1"/>
  <c r="R670" i="1"/>
  <c r="S670" i="1"/>
  <c r="T670" i="1"/>
  <c r="H670" i="1"/>
  <c r="J670" i="1" s="1"/>
  <c r="H671" i="1"/>
  <c r="I291" i="1" l="1"/>
  <c r="I51" i="1"/>
  <c r="T14" i="1"/>
  <c r="H14" i="1"/>
  <c r="J14" i="1" s="1"/>
  <c r="N101" i="1" l="1"/>
  <c r="U101" i="1" s="1"/>
  <c r="N78" i="1"/>
  <c r="U78" i="1" s="1"/>
  <c r="X78" i="1" l="1"/>
  <c r="X101" i="1"/>
  <c r="W101" i="1"/>
  <c r="V101" i="1"/>
  <c r="W78" i="1"/>
  <c r="V78" i="1"/>
  <c r="I713" i="1"/>
  <c r="I732" i="1"/>
  <c r="I467" i="1"/>
  <c r="I443" i="1" l="1"/>
  <c r="I364" i="1"/>
  <c r="I145" i="1"/>
  <c r="I147" i="1"/>
  <c r="I144" i="1"/>
  <c r="I148" i="1"/>
  <c r="I146" i="1"/>
  <c r="I150" i="1"/>
  <c r="I286" i="1"/>
  <c r="I501" i="1"/>
  <c r="H673" i="1" l="1"/>
  <c r="I348" i="1"/>
  <c r="H376" i="1" l="1"/>
  <c r="H379" i="1"/>
  <c r="H389" i="1"/>
  <c r="H325" i="1"/>
  <c r="H409" i="1"/>
  <c r="N52" i="1"/>
  <c r="U52" i="1" s="1"/>
  <c r="H428" i="1"/>
  <c r="H615" i="1"/>
  <c r="I159" i="1"/>
  <c r="V52" i="1" l="1"/>
  <c r="X52" i="1"/>
  <c r="W52" i="1"/>
  <c r="O388" i="1"/>
  <c r="P388" i="1"/>
  <c r="Q388" i="1"/>
  <c r="R388" i="1"/>
  <c r="S388" i="1"/>
  <c r="T388" i="1"/>
  <c r="H388" i="1"/>
  <c r="J388" i="1" s="1"/>
  <c r="I61" i="1" l="1"/>
  <c r="I586" i="1" l="1"/>
  <c r="H12" i="1" l="1"/>
  <c r="H586" i="1" l="1"/>
  <c r="I336" i="1"/>
  <c r="H336" i="1"/>
  <c r="I734" i="1"/>
  <c r="I282" i="1"/>
  <c r="I190" i="1"/>
  <c r="H76" i="1" l="1"/>
  <c r="N524" i="1"/>
  <c r="U524" i="1" s="1"/>
  <c r="O524" i="1"/>
  <c r="P524" i="1"/>
  <c r="Q524" i="1"/>
  <c r="R524" i="1"/>
  <c r="S524" i="1"/>
  <c r="T524" i="1"/>
  <c r="H524" i="1"/>
  <c r="H523" i="1"/>
  <c r="H288" i="1"/>
  <c r="H410" i="1"/>
  <c r="J524" i="1" l="1"/>
  <c r="X524" i="1"/>
  <c r="W524" i="1"/>
  <c r="V524" i="1"/>
  <c r="I681" i="1"/>
  <c r="I497" i="1"/>
  <c r="I495" i="1"/>
  <c r="I494" i="1"/>
  <c r="I455" i="1"/>
  <c r="I621" i="1"/>
  <c r="O644" i="1" l="1"/>
  <c r="P644" i="1"/>
  <c r="Q644" i="1"/>
  <c r="R644" i="1"/>
  <c r="S644" i="1"/>
  <c r="T644" i="1"/>
  <c r="I644" i="1"/>
  <c r="H644" i="1"/>
  <c r="H291" i="1"/>
  <c r="H510" i="1"/>
  <c r="J644" i="1" l="1"/>
  <c r="I741" i="1"/>
  <c r="I597" i="1" l="1"/>
  <c r="I350" i="1" l="1"/>
  <c r="N308" i="1" l="1"/>
  <c r="V308" i="1" s="1"/>
  <c r="O308" i="1"/>
  <c r="P308" i="1"/>
  <c r="Q308" i="1"/>
  <c r="R308" i="1"/>
  <c r="S308" i="1"/>
  <c r="T308" i="1"/>
  <c r="H308" i="1"/>
  <c r="J308" i="1" s="1"/>
  <c r="H214" i="1"/>
  <c r="H741" i="1"/>
  <c r="H557" i="1"/>
  <c r="H289" i="1"/>
  <c r="X308" i="1" l="1"/>
  <c r="W308" i="1"/>
  <c r="U308" i="1"/>
  <c r="I17" i="1"/>
  <c r="I611" i="1"/>
  <c r="H509" i="1"/>
  <c r="H456" i="1" l="1"/>
  <c r="J460" i="1"/>
  <c r="I461" i="1"/>
  <c r="H458" i="1"/>
  <c r="I55" i="1" l="1"/>
  <c r="I414" i="1"/>
  <c r="H661" i="1"/>
  <c r="H732" i="1"/>
  <c r="H427" i="1"/>
  <c r="T18" i="1"/>
  <c r="H18" i="1"/>
  <c r="J18" i="1" s="1"/>
  <c r="T17" i="1"/>
  <c r="H17" i="1"/>
  <c r="J17" i="1" s="1"/>
  <c r="H16" i="1"/>
  <c r="H15" i="1"/>
  <c r="I15" i="1"/>
  <c r="H611" i="1"/>
  <c r="I585" i="1" l="1"/>
  <c r="H57" i="1"/>
  <c r="I56" i="1"/>
  <c r="O52" i="1"/>
  <c r="P52" i="1"/>
  <c r="Q52" i="1"/>
  <c r="R52" i="1"/>
  <c r="S52" i="1"/>
  <c r="T52" i="1"/>
  <c r="H52" i="1"/>
  <c r="J52" i="1" s="1"/>
  <c r="I276" i="1" l="1"/>
  <c r="I560" i="1" l="1"/>
  <c r="I559" i="1"/>
  <c r="I354" i="1"/>
  <c r="I16" i="1"/>
  <c r="I686" i="1"/>
  <c r="I338" i="1"/>
  <c r="I661" i="1"/>
  <c r="I665" i="1"/>
  <c r="I650" i="1"/>
  <c r="H650" i="1"/>
  <c r="O356" i="1"/>
  <c r="P356" i="1"/>
  <c r="Q356" i="1"/>
  <c r="R356" i="1"/>
  <c r="S356" i="1"/>
  <c r="T356" i="1"/>
  <c r="J356" i="1"/>
  <c r="H312" i="1"/>
  <c r="H354" i="1"/>
  <c r="H414" i="1"/>
  <c r="H551" i="1"/>
  <c r="O78" i="1"/>
  <c r="P78" i="1"/>
  <c r="Q78" i="1"/>
  <c r="R78" i="1"/>
  <c r="T78" i="1"/>
  <c r="J78" i="1"/>
  <c r="H281" i="1"/>
  <c r="H553" i="1" l="1"/>
  <c r="I552" i="1"/>
  <c r="H348" i="1"/>
  <c r="N105" i="1" l="1"/>
  <c r="U105" i="1" s="1"/>
  <c r="J105" i="1"/>
  <c r="X105" i="1" l="1"/>
  <c r="V105" i="1"/>
  <c r="W105" i="1"/>
  <c r="N621" i="1"/>
  <c r="U621" i="1" s="1"/>
  <c r="O621" i="1"/>
  <c r="P621" i="1"/>
  <c r="Q621" i="1"/>
  <c r="R621" i="1"/>
  <c r="S621" i="1"/>
  <c r="T621" i="1"/>
  <c r="H621" i="1"/>
  <c r="J621" i="1" s="1"/>
  <c r="W621" i="1" l="1"/>
  <c r="V621" i="1"/>
  <c r="X621" i="1"/>
  <c r="I595" i="1"/>
  <c r="I81" i="1"/>
  <c r="I351" i="1" l="1"/>
  <c r="I620" i="1"/>
  <c r="I663" i="1"/>
  <c r="I50" i="1"/>
  <c r="I206" i="1" l="1"/>
  <c r="I408" i="1"/>
  <c r="I406" i="1"/>
  <c r="N216" i="1" l="1"/>
  <c r="U216" i="1" s="1"/>
  <c r="O216" i="1"/>
  <c r="P216" i="1"/>
  <c r="Q216" i="1"/>
  <c r="R216" i="1"/>
  <c r="T216" i="1"/>
  <c r="J216" i="1"/>
  <c r="J217" i="1"/>
  <c r="X216" i="1" l="1"/>
  <c r="W216" i="1"/>
  <c r="V216" i="1"/>
  <c r="J203" i="1" l="1"/>
  <c r="N203" i="1"/>
  <c r="U203" i="1" s="1"/>
  <c r="O203" i="1"/>
  <c r="P203" i="1"/>
  <c r="Q203" i="1"/>
  <c r="R203" i="1"/>
  <c r="S203" i="1"/>
  <c r="T203" i="1"/>
  <c r="I99" i="1"/>
  <c r="H48" i="1"/>
  <c r="I478" i="1"/>
  <c r="X203" i="1" l="1"/>
  <c r="W203" i="1"/>
  <c r="V203" i="1"/>
  <c r="H408" i="1"/>
  <c r="I531" i="1"/>
  <c r="I527" i="1"/>
  <c r="N668" i="1" l="1"/>
  <c r="U668" i="1" s="1"/>
  <c r="O668" i="1"/>
  <c r="P668" i="1"/>
  <c r="Q668" i="1"/>
  <c r="R668" i="1"/>
  <c r="S668" i="1"/>
  <c r="T668" i="1"/>
  <c r="N313" i="1"/>
  <c r="U313" i="1" s="1"/>
  <c r="O313" i="1"/>
  <c r="P313" i="1"/>
  <c r="Q313" i="1"/>
  <c r="R313" i="1"/>
  <c r="S313" i="1"/>
  <c r="T313" i="1"/>
  <c r="H313" i="1"/>
  <c r="J313" i="1" s="1"/>
  <c r="N478" i="1"/>
  <c r="U478" i="1" s="1"/>
  <c r="O478" i="1"/>
  <c r="P478" i="1"/>
  <c r="Q478" i="1"/>
  <c r="R478" i="1"/>
  <c r="S478" i="1"/>
  <c r="T478" i="1"/>
  <c r="H478" i="1"/>
  <c r="J478" i="1" s="1"/>
  <c r="H567" i="1"/>
  <c r="H560" i="1"/>
  <c r="H280" i="1"/>
  <c r="H531" i="1"/>
  <c r="H314" i="1"/>
  <c r="H319" i="1"/>
  <c r="H459" i="1"/>
  <c r="X668" i="1" l="1"/>
  <c r="V668" i="1"/>
  <c r="W668" i="1"/>
  <c r="X313" i="1"/>
  <c r="J668" i="1"/>
  <c r="V313" i="1"/>
  <c r="W313" i="1"/>
  <c r="X478" i="1"/>
  <c r="V478" i="1"/>
  <c r="W478" i="1"/>
  <c r="I456" i="1" l="1"/>
  <c r="I23" i="1"/>
  <c r="I168" i="1"/>
  <c r="I140" i="1" l="1"/>
  <c r="I300" i="1"/>
  <c r="I43" i="1"/>
  <c r="I683" i="1"/>
  <c r="I63" i="1"/>
  <c r="I684" i="1"/>
  <c r="H49" i="1" l="1"/>
  <c r="H168" i="1" l="1"/>
  <c r="H42" i="1"/>
  <c r="H683" i="1"/>
  <c r="N686" i="1" l="1"/>
  <c r="V686" i="1" s="1"/>
  <c r="O686" i="1"/>
  <c r="P686" i="1"/>
  <c r="Q686" i="1"/>
  <c r="R686" i="1"/>
  <c r="S686" i="1"/>
  <c r="T686" i="1"/>
  <c r="J686" i="1"/>
  <c r="H63" i="1"/>
  <c r="U686" i="1" l="1"/>
  <c r="X686" i="1"/>
  <c r="W686" i="1"/>
  <c r="H522" i="1"/>
  <c r="N399" i="1"/>
  <c r="U399" i="1" s="1"/>
  <c r="O399" i="1"/>
  <c r="P399" i="1"/>
  <c r="Q399" i="1"/>
  <c r="R399" i="1"/>
  <c r="S399" i="1"/>
  <c r="T399" i="1"/>
  <c r="I331" i="1"/>
  <c r="N194" i="1"/>
  <c r="U194" i="1" s="1"/>
  <c r="O194" i="1"/>
  <c r="P194" i="1"/>
  <c r="Q194" i="1"/>
  <c r="R194" i="1"/>
  <c r="S194" i="1"/>
  <c r="T194" i="1"/>
  <c r="H136" i="1"/>
  <c r="I30" i="1"/>
  <c r="I423" i="1"/>
  <c r="I357" i="1"/>
  <c r="X399" i="1" l="1"/>
  <c r="V399" i="1"/>
  <c r="W399" i="1"/>
  <c r="X194" i="1"/>
  <c r="V194" i="1"/>
  <c r="W194" i="1"/>
  <c r="H689" i="1"/>
  <c r="N16" i="1"/>
  <c r="V16" i="1" s="1"/>
  <c r="N51" i="1"/>
  <c r="V51" i="1" s="1"/>
  <c r="N50" i="1"/>
  <c r="V50" i="1" s="1"/>
  <c r="N554" i="1"/>
  <c r="U554" i="1" s="1"/>
  <c r="N550" i="1"/>
  <c r="U550" i="1" s="1"/>
  <c r="N549" i="1"/>
  <c r="U549" i="1" s="1"/>
  <c r="N499" i="1"/>
  <c r="U499" i="1" s="1"/>
  <c r="N493" i="1"/>
  <c r="N431" i="1"/>
  <c r="U431" i="1" s="1"/>
  <c r="N412" i="1"/>
  <c r="U412" i="1" s="1"/>
  <c r="N351" i="1"/>
  <c r="U351" i="1" s="1"/>
  <c r="N347" i="1"/>
  <c r="V347" i="1" s="1"/>
  <c r="N312" i="1"/>
  <c r="U312" i="1" s="1"/>
  <c r="N326" i="1"/>
  <c r="U326" i="1" s="1"/>
  <c r="N322" i="1"/>
  <c r="U322" i="1" s="1"/>
  <c r="I530" i="1"/>
  <c r="I211" i="1"/>
  <c r="I212" i="1"/>
  <c r="I638" i="1"/>
  <c r="I565" i="1"/>
  <c r="I160" i="1"/>
  <c r="X347" i="1" l="1"/>
  <c r="U347" i="1"/>
  <c r="X322" i="1"/>
  <c r="X312" i="1"/>
  <c r="X412" i="1"/>
  <c r="X499" i="1"/>
  <c r="X549" i="1"/>
  <c r="X550" i="1"/>
  <c r="X50" i="1"/>
  <c r="X51" i="1"/>
  <c r="X16" i="1"/>
  <c r="X326" i="1"/>
  <c r="X351" i="1"/>
  <c r="X431" i="1"/>
  <c r="U50" i="1"/>
  <c r="U51" i="1"/>
  <c r="U16" i="1"/>
  <c r="W16" i="1"/>
  <c r="W51" i="1"/>
  <c r="W50" i="1"/>
  <c r="X554" i="1"/>
  <c r="W554" i="1"/>
  <c r="V554" i="1"/>
  <c r="W550" i="1"/>
  <c r="V550" i="1"/>
  <c r="W549" i="1"/>
  <c r="V549" i="1"/>
  <c r="W499" i="1"/>
  <c r="V499" i="1"/>
  <c r="W431" i="1"/>
  <c r="V431" i="1"/>
  <c r="W412" i="1"/>
  <c r="V412" i="1"/>
  <c r="W351" i="1"/>
  <c r="V351" i="1"/>
  <c r="W347" i="1"/>
  <c r="W312" i="1"/>
  <c r="V312" i="1"/>
  <c r="W326" i="1"/>
  <c r="V326" i="1"/>
  <c r="W322" i="1"/>
  <c r="V322" i="1"/>
  <c r="I548" i="1"/>
  <c r="I341" i="1"/>
  <c r="H316" i="1" l="1"/>
  <c r="H497" i="1"/>
  <c r="H638" i="1"/>
  <c r="O549" i="1"/>
  <c r="P549" i="1"/>
  <c r="Q549" i="1"/>
  <c r="R549" i="1"/>
  <c r="S549" i="1"/>
  <c r="T549" i="1"/>
  <c r="H159" i="1"/>
  <c r="H160" i="1" l="1"/>
  <c r="H565" i="1"/>
  <c r="I316" i="1" l="1"/>
  <c r="H340" i="1" l="1"/>
  <c r="I733" i="1"/>
  <c r="I476" i="1" l="1"/>
  <c r="N506" i="1" l="1"/>
  <c r="V506" i="1" s="1"/>
  <c r="O506" i="1"/>
  <c r="P506" i="1"/>
  <c r="Q506" i="1"/>
  <c r="R506" i="1"/>
  <c r="S506" i="1"/>
  <c r="T506" i="1"/>
  <c r="J292" i="1"/>
  <c r="H140" i="1"/>
  <c r="I462" i="1"/>
  <c r="H282" i="1"/>
  <c r="X506" i="1" l="1"/>
  <c r="U506" i="1"/>
  <c r="W506" i="1"/>
  <c r="H163" i="1"/>
  <c r="N579" i="1"/>
  <c r="U579" i="1" s="1"/>
  <c r="N587" i="1"/>
  <c r="U587" i="1" s="1"/>
  <c r="O587" i="1"/>
  <c r="P587" i="1"/>
  <c r="Q587" i="1"/>
  <c r="R587" i="1"/>
  <c r="S587" i="1"/>
  <c r="T587" i="1"/>
  <c r="J587" i="1"/>
  <c r="J549" i="1"/>
  <c r="J550" i="1"/>
  <c r="J656" i="1"/>
  <c r="J657" i="1"/>
  <c r="H651" i="1"/>
  <c r="I570" i="1"/>
  <c r="V587" i="1" l="1"/>
  <c r="X579" i="1"/>
  <c r="X587" i="1"/>
  <c r="V579" i="1"/>
  <c r="W579" i="1"/>
  <c r="W587" i="1"/>
  <c r="H590" i="1" l="1"/>
  <c r="I158" i="1" l="1"/>
  <c r="J290" i="1" l="1"/>
  <c r="J374" i="1" l="1"/>
  <c r="H357" i="1"/>
  <c r="I710" i="1"/>
  <c r="N140" i="1" l="1"/>
  <c r="V140" i="1" s="1"/>
  <c r="O140" i="1"/>
  <c r="P140" i="1"/>
  <c r="Q140" i="1"/>
  <c r="R140" i="1"/>
  <c r="T140" i="1"/>
  <c r="J140" i="1"/>
  <c r="X140" i="1" l="1"/>
  <c r="U140" i="1"/>
  <c r="W140" i="1"/>
  <c r="H577" i="1"/>
  <c r="J536" i="1"/>
  <c r="H43" i="1"/>
  <c r="H599" i="1"/>
  <c r="I598" i="1"/>
  <c r="I438" i="1" l="1"/>
  <c r="H443" i="1"/>
  <c r="I584" i="1"/>
  <c r="I372" i="1"/>
  <c r="N298" i="1"/>
  <c r="U298" i="1" s="1"/>
  <c r="H711" i="1"/>
  <c r="I589" i="1"/>
  <c r="H731" i="1"/>
  <c r="I80" i="1"/>
  <c r="H145" i="1"/>
  <c r="H207" i="1"/>
  <c r="H693" i="1"/>
  <c r="H628" i="1"/>
  <c r="H131" i="1"/>
  <c r="X298" i="1" l="1"/>
  <c r="J469" i="1"/>
  <c r="Z356" i="1" s="1"/>
  <c r="W298" i="1"/>
  <c r="V298" i="1"/>
  <c r="I506" i="1"/>
  <c r="I571" i="1"/>
  <c r="I576" i="1"/>
  <c r="J379" i="1"/>
  <c r="J674" i="1"/>
  <c r="O674" i="1"/>
  <c r="P674" i="1"/>
  <c r="Q674" i="1"/>
  <c r="R674" i="1"/>
  <c r="S674" i="1"/>
  <c r="T674" i="1"/>
  <c r="H99" i="1"/>
  <c r="H608" i="1"/>
  <c r="H372" i="1"/>
  <c r="H484" i="1"/>
  <c r="I84" i="1"/>
  <c r="I508" i="1" l="1"/>
  <c r="H498" i="1" l="1"/>
  <c r="O298" i="1"/>
  <c r="P298" i="1"/>
  <c r="Q298" i="1"/>
  <c r="R298" i="1"/>
  <c r="S298" i="1"/>
  <c r="T298" i="1"/>
  <c r="H298" i="1"/>
  <c r="J298" i="1" s="1"/>
  <c r="I699" i="1" l="1"/>
  <c r="I427" i="1" l="1"/>
  <c r="I666" i="1"/>
  <c r="H35" i="1" l="1"/>
  <c r="O326" i="1"/>
  <c r="P326" i="1"/>
  <c r="Q326" i="1"/>
  <c r="R326" i="1"/>
  <c r="S326" i="1"/>
  <c r="T326" i="1"/>
  <c r="J326" i="1"/>
  <c r="J296" i="1"/>
  <c r="H602" i="1" l="1"/>
  <c r="I349" i="1"/>
  <c r="O79" i="1" l="1"/>
  <c r="P79" i="1"/>
  <c r="Q79" i="1"/>
  <c r="R79" i="1"/>
  <c r="S79" i="1"/>
  <c r="T79" i="1"/>
  <c r="J79" i="1"/>
  <c r="I628" i="1"/>
  <c r="I204" i="1"/>
  <c r="H684" i="1"/>
  <c r="H506" i="1" l="1"/>
  <c r="J506" i="1" s="1"/>
  <c r="I698" i="1"/>
  <c r="I697" i="1"/>
  <c r="H646" i="1"/>
  <c r="O312" i="1" l="1"/>
  <c r="P312" i="1"/>
  <c r="Q312" i="1"/>
  <c r="R312" i="1"/>
  <c r="S312" i="1"/>
  <c r="T312" i="1"/>
  <c r="J312" i="1"/>
  <c r="I459" i="1" l="1"/>
  <c r="I523" i="1" l="1"/>
  <c r="J49" i="1" l="1"/>
  <c r="H455" i="1" l="1"/>
  <c r="O347" i="1" l="1"/>
  <c r="P347" i="1"/>
  <c r="Q347" i="1"/>
  <c r="R347" i="1"/>
  <c r="S347" i="1"/>
  <c r="T347" i="1"/>
  <c r="H347" i="1"/>
  <c r="J347" i="1" s="1"/>
  <c r="O351" i="1"/>
  <c r="P351" i="1"/>
  <c r="Q351" i="1"/>
  <c r="R351" i="1"/>
  <c r="S351" i="1"/>
  <c r="T351" i="1"/>
  <c r="H351" i="1"/>
  <c r="J351" i="1" s="1"/>
  <c r="H350" i="1"/>
  <c r="H96" i="1"/>
  <c r="I46" i="1" l="1"/>
  <c r="I249" i="1" l="1"/>
  <c r="I474" i="1"/>
  <c r="O50" i="1" l="1"/>
  <c r="P50" i="1"/>
  <c r="Q50" i="1"/>
  <c r="R50" i="1"/>
  <c r="S50" i="1"/>
  <c r="T50" i="1"/>
  <c r="J50" i="1"/>
  <c r="I275" i="1" l="1"/>
  <c r="I610" i="1" l="1"/>
  <c r="I499" i="1" l="1"/>
  <c r="O579" i="1"/>
  <c r="P579" i="1"/>
  <c r="Q579" i="1"/>
  <c r="R579" i="1"/>
  <c r="S579" i="1"/>
  <c r="T579" i="1"/>
  <c r="J579" i="1"/>
  <c r="Z644" i="1" s="1"/>
  <c r="H274" i="1"/>
  <c r="J669" i="1"/>
  <c r="H275" i="1" l="1"/>
  <c r="H682" i="1" l="1"/>
  <c r="H349" i="1" l="1"/>
  <c r="O51" i="1" l="1"/>
  <c r="P51" i="1"/>
  <c r="Q51" i="1"/>
  <c r="R51" i="1"/>
  <c r="S51" i="1"/>
  <c r="T51" i="1"/>
  <c r="J51" i="1"/>
  <c r="I10" i="1" l="1"/>
  <c r="N63" i="1" l="1"/>
  <c r="U63" i="1" s="1"/>
  <c r="O63" i="1"/>
  <c r="P63" i="1"/>
  <c r="Q63" i="1"/>
  <c r="R63" i="1"/>
  <c r="S63" i="1"/>
  <c r="T63" i="1"/>
  <c r="J63" i="1"/>
  <c r="H185" i="1"/>
  <c r="H696" i="1"/>
  <c r="H432" i="1"/>
  <c r="W63" i="1" l="1"/>
  <c r="V63" i="1"/>
  <c r="X63" i="1"/>
  <c r="I627" i="1" l="1"/>
  <c r="I360" i="1" l="1"/>
  <c r="I306" i="1"/>
  <c r="H300" i="1" l="1"/>
  <c r="O431" i="1"/>
  <c r="P431" i="1"/>
  <c r="Q431" i="1"/>
  <c r="R431" i="1"/>
  <c r="S431" i="1"/>
  <c r="T431" i="1"/>
  <c r="J431" i="1"/>
  <c r="I574" i="1"/>
  <c r="I342" i="1"/>
  <c r="H132" i="1" l="1"/>
  <c r="H625" i="1"/>
  <c r="H527" i="1"/>
  <c r="H212" i="1"/>
  <c r="H211" i="1"/>
  <c r="H157" i="1"/>
  <c r="H155" i="1"/>
  <c r="H554" i="1" l="1"/>
  <c r="J554" i="1" s="1"/>
  <c r="O554" i="1"/>
  <c r="P554" i="1"/>
  <c r="Q554" i="1"/>
  <c r="R554" i="1"/>
  <c r="S554" i="1"/>
  <c r="T554" i="1"/>
  <c r="I343" i="1" l="1"/>
  <c r="H164" i="1" l="1"/>
  <c r="I85" i="1" l="1"/>
  <c r="I711" i="1"/>
  <c r="I314" i="1"/>
  <c r="I164" i="1"/>
  <c r="I675" i="1"/>
  <c r="I11" i="1"/>
  <c r="H594" i="1" l="1"/>
  <c r="H721" i="1"/>
  <c r="I513" i="1" l="1"/>
  <c r="I695" i="1"/>
  <c r="I694" i="1"/>
  <c r="I693" i="1"/>
  <c r="I688" i="1" l="1"/>
  <c r="H363" i="1" l="1"/>
  <c r="I363" i="1" l="1"/>
  <c r="I20" i="1"/>
  <c r="H20" i="1" l="1"/>
  <c r="I599" i="1" l="1"/>
  <c r="I594" i="1"/>
  <c r="T16" i="1" l="1"/>
  <c r="J16" i="1"/>
  <c r="Z16" i="1" l="1"/>
  <c r="AA16" i="1"/>
  <c r="N374" i="1"/>
  <c r="U374" i="1" s="1"/>
  <c r="I518" i="1"/>
  <c r="I558" i="1"/>
  <c r="I557" i="1"/>
  <c r="X374" i="1" l="1"/>
  <c r="W374" i="1"/>
  <c r="V374" i="1"/>
  <c r="I619" i="1" l="1"/>
  <c r="H558" i="1" l="1"/>
  <c r="H518" i="1"/>
  <c r="H715" i="1"/>
  <c r="H713" i="1"/>
  <c r="I706" i="1" l="1"/>
  <c r="I704" i="1"/>
  <c r="H490" i="1" l="1"/>
  <c r="H488" i="1"/>
  <c r="H491" i="1"/>
  <c r="H486" i="1"/>
  <c r="H681" i="1"/>
  <c r="H508" i="1"/>
  <c r="H97" i="1" l="1"/>
  <c r="N99" i="1"/>
  <c r="X99" i="1" s="1"/>
  <c r="O99" i="1"/>
  <c r="P99" i="1"/>
  <c r="Q99" i="1"/>
  <c r="R99" i="1"/>
  <c r="S99" i="1"/>
  <c r="T99" i="1"/>
  <c r="W99" i="1" l="1"/>
  <c r="V99" i="1"/>
  <c r="J99" i="1"/>
  <c r="U99" i="1"/>
  <c r="I738" i="1" l="1"/>
  <c r="I555" i="1"/>
  <c r="H304" i="1" l="1"/>
  <c r="H302" i="1"/>
  <c r="H138" i="1"/>
  <c r="I629" i="1" l="1"/>
  <c r="I165" i="1"/>
  <c r="I367" i="1"/>
  <c r="N667" i="1" l="1"/>
  <c r="U667" i="1" s="1"/>
  <c r="O667" i="1"/>
  <c r="P667" i="1"/>
  <c r="Q667" i="1"/>
  <c r="R667" i="1"/>
  <c r="S667" i="1"/>
  <c r="T667" i="1"/>
  <c r="J667" i="1"/>
  <c r="H415" i="1"/>
  <c r="I637" i="1"/>
  <c r="X667" i="1" l="1"/>
  <c r="W667" i="1"/>
  <c r="V667" i="1"/>
  <c r="J295" i="1"/>
  <c r="J294" i="1"/>
  <c r="H399" i="1"/>
  <c r="J399" i="1" s="1"/>
  <c r="H397" i="1"/>
  <c r="I397" i="1"/>
  <c r="I82" i="1" l="1"/>
  <c r="H85" i="1"/>
  <c r="H249" i="1"/>
  <c r="I519" i="1" l="1"/>
  <c r="N469" i="1"/>
  <c r="U469" i="1" s="1"/>
  <c r="H187" i="1"/>
  <c r="V469" i="1" l="1"/>
  <c r="X469" i="1"/>
  <c r="W469" i="1"/>
  <c r="H81" i="1"/>
  <c r="O469" i="1"/>
  <c r="P469" i="1"/>
  <c r="Q469" i="1"/>
  <c r="R469" i="1"/>
  <c r="S469" i="1"/>
  <c r="T469" i="1"/>
  <c r="H82" i="1"/>
  <c r="H84" i="1"/>
  <c r="I207" i="1"/>
  <c r="H206" i="1"/>
  <c r="I213" i="1" l="1"/>
  <c r="I209" i="1"/>
  <c r="I416" i="1"/>
  <c r="J194" i="1"/>
  <c r="I195" i="1"/>
  <c r="H199" i="1"/>
  <c r="I435" i="1"/>
  <c r="H442" i="1"/>
  <c r="H438" i="1"/>
  <c r="I358" i="1"/>
  <c r="H727" i="1"/>
  <c r="I564" i="1"/>
  <c r="H559" i="1"/>
  <c r="I633" i="1" l="1"/>
  <c r="I608" i="1"/>
  <c r="I600" i="1"/>
  <c r="H604" i="1"/>
  <c r="I592" i="1"/>
  <c r="H593" i="1"/>
  <c r="I337" i="1"/>
  <c r="I304" i="1"/>
  <c r="H305" i="1"/>
  <c r="H303" i="1"/>
  <c r="J291" i="1"/>
  <c r="H533" i="1"/>
  <c r="J533" i="1" s="1"/>
  <c r="H591" i="1"/>
  <c r="H597" i="1"/>
  <c r="H467" i="1"/>
  <c r="H286" i="1" l="1"/>
  <c r="I361" i="1"/>
  <c r="I655" i="1"/>
  <c r="H695" i="1"/>
  <c r="I708" i="1"/>
  <c r="H150" i="1"/>
  <c r="H144" i="1"/>
  <c r="H102" i="1" l="1"/>
  <c r="H91" i="1"/>
  <c r="H89" i="1"/>
  <c r="H80" i="1"/>
  <c r="H69" i="1"/>
  <c r="I48" i="1"/>
  <c r="H27" i="1" l="1"/>
  <c r="I166" i="1"/>
  <c r="I593" i="1"/>
  <c r="I143" i="1"/>
  <c r="H5" i="1" l="1"/>
  <c r="H434" i="1"/>
  <c r="H64" i="1" l="1"/>
  <c r="H709" i="1"/>
  <c r="H589" i="1"/>
  <c r="H666" i="1"/>
  <c r="I27" i="1" l="1"/>
  <c r="H435" i="1" l="1"/>
  <c r="I578" i="1" l="1"/>
  <c r="H367" i="1" l="1"/>
  <c r="H736" i="1"/>
  <c r="I413" i="1"/>
  <c r="I73" i="1" l="1"/>
  <c r="H665" i="1" l="1"/>
  <c r="O322" i="1"/>
  <c r="P322" i="1"/>
  <c r="Q322" i="1"/>
  <c r="R322" i="1"/>
  <c r="S322" i="1"/>
  <c r="T322" i="1"/>
  <c r="J322" i="1"/>
  <c r="I205" i="1" l="1"/>
  <c r="J563" i="1" l="1"/>
  <c r="N196" i="1"/>
  <c r="U196" i="1" s="1"/>
  <c r="O196" i="1"/>
  <c r="P196" i="1"/>
  <c r="Q196" i="1"/>
  <c r="R196" i="1"/>
  <c r="S196" i="1"/>
  <c r="T196" i="1"/>
  <c r="J196" i="1"/>
  <c r="H733" i="1"/>
  <c r="H429" i="1"/>
  <c r="AA554" i="1" l="1"/>
  <c r="X196" i="1"/>
  <c r="W196" i="1"/>
  <c r="V196" i="1"/>
  <c r="J293" i="1" l="1"/>
  <c r="H463" i="1" l="1"/>
  <c r="H704" i="1" l="1"/>
  <c r="H413" i="1" l="1"/>
  <c r="I444" i="1" l="1"/>
  <c r="N327" i="1" l="1"/>
  <c r="W327" i="1" s="1"/>
  <c r="V327" i="1" l="1"/>
  <c r="X327" i="1"/>
  <c r="U327" i="1"/>
  <c r="I200" i="1" l="1"/>
  <c r="I305" i="1"/>
  <c r="I736" i="1"/>
  <c r="H195" i="1" l="1"/>
  <c r="I442" i="1" l="1"/>
  <c r="I690" i="1"/>
  <c r="H361" i="1" l="1"/>
  <c r="N533" i="1" l="1"/>
  <c r="V533" i="1" s="1"/>
  <c r="O533" i="1"/>
  <c r="P533" i="1"/>
  <c r="Q533" i="1"/>
  <c r="R533" i="1"/>
  <c r="S533" i="1"/>
  <c r="T533" i="1"/>
  <c r="X533" i="1" l="1"/>
  <c r="U533" i="1"/>
  <c r="W533" i="1"/>
  <c r="H652" i="1" l="1"/>
  <c r="H570" i="1" l="1"/>
  <c r="I622" i="1" l="1"/>
  <c r="I609" i="1"/>
  <c r="J54" i="1" l="1"/>
  <c r="N402" i="1" l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H276" i="1"/>
  <c r="H706" i="1" l="1"/>
  <c r="H702" i="1"/>
  <c r="I489" i="1" l="1"/>
  <c r="I507" i="1"/>
  <c r="I556" i="1"/>
  <c r="I68" i="1" l="1"/>
  <c r="I236" i="1"/>
  <c r="H735" i="1" l="1"/>
  <c r="H525" i="1"/>
  <c r="O412" i="1"/>
  <c r="P412" i="1"/>
  <c r="Q412" i="1"/>
  <c r="R412" i="1"/>
  <c r="S412" i="1"/>
  <c r="T412" i="1"/>
  <c r="J412" i="1" l="1"/>
  <c r="I70" i="1"/>
  <c r="AA99" i="1" l="1"/>
  <c r="Z99" i="1"/>
  <c r="I543" i="1"/>
  <c r="I731" i="1" l="1"/>
  <c r="I737" i="1" l="1"/>
  <c r="I387" i="1"/>
  <c r="I525" i="1"/>
  <c r="H444" i="1" l="1"/>
  <c r="H236" i="1"/>
  <c r="I128" i="1"/>
  <c r="I546" i="1" l="1"/>
  <c r="I432" i="1" l="1"/>
  <c r="I450" i="1"/>
  <c r="H433" i="1"/>
  <c r="H564" i="1" l="1"/>
  <c r="I21" i="1" l="1"/>
  <c r="H578" i="1" l="1"/>
  <c r="H407" i="1"/>
  <c r="H598" i="1" l="1"/>
  <c r="I182" i="1" l="1"/>
  <c r="I210" i="1"/>
  <c r="I382" i="1"/>
  <c r="I381" i="1"/>
  <c r="H501" i="1" l="1"/>
  <c r="I672" i="1" l="1"/>
  <c r="H36" i="1" l="1"/>
  <c r="I5" i="1"/>
  <c r="I421" i="1"/>
  <c r="H61" i="1" l="1"/>
  <c r="J314" i="1" l="1"/>
  <c r="J512" i="1" l="1"/>
  <c r="J328" i="1" l="1"/>
  <c r="I390" i="1"/>
  <c r="I47" i="1" l="1"/>
  <c r="I201" i="1"/>
  <c r="I199" i="1"/>
  <c r="I198" i="1"/>
  <c r="I488" i="1"/>
  <c r="O374" i="1" l="1"/>
  <c r="P374" i="1"/>
  <c r="Q374" i="1"/>
  <c r="R374" i="1"/>
  <c r="S374" i="1"/>
  <c r="T374" i="1"/>
  <c r="H405" i="1"/>
  <c r="H612" i="1" l="1"/>
  <c r="H637" i="1" l="1"/>
  <c r="J80" i="1" l="1"/>
  <c r="H738" i="1" l="1"/>
  <c r="H184" i="1" l="1"/>
  <c r="H324" i="1"/>
  <c r="I483" i="1" l="1"/>
  <c r="I149" i="1"/>
  <c r="H688" i="1" l="1"/>
  <c r="I636" i="1" l="1"/>
  <c r="H574" i="1"/>
  <c r="I716" i="1" l="1"/>
  <c r="H421" i="1" l="1"/>
  <c r="H419" i="1"/>
  <c r="N672" i="1" l="1"/>
  <c r="V672" i="1" s="1"/>
  <c r="O672" i="1"/>
  <c r="P672" i="1"/>
  <c r="Q672" i="1"/>
  <c r="R672" i="1"/>
  <c r="S672" i="1"/>
  <c r="T672" i="1"/>
  <c r="J672" i="1"/>
  <c r="X672" i="1" l="1"/>
  <c r="U672" i="1"/>
  <c r="W672" i="1"/>
  <c r="I544" i="1" l="1"/>
  <c r="I528" i="1"/>
  <c r="H654" i="1"/>
  <c r="H655" i="1"/>
  <c r="H546" i="1"/>
  <c r="J655" i="1" l="1"/>
  <c r="I301" i="1"/>
  <c r="N275" i="1"/>
  <c r="U275" i="1" s="1"/>
  <c r="O275" i="1"/>
  <c r="P275" i="1"/>
  <c r="Q275" i="1"/>
  <c r="R275" i="1"/>
  <c r="S275" i="1"/>
  <c r="T275" i="1"/>
  <c r="J275" i="1"/>
  <c r="X275" i="1" l="1"/>
  <c r="W275" i="1"/>
  <c r="V275" i="1"/>
  <c r="J397" i="1" l="1"/>
  <c r="N397" i="1"/>
  <c r="U397" i="1" s="1"/>
  <c r="O397" i="1"/>
  <c r="P397" i="1"/>
  <c r="Q397" i="1"/>
  <c r="R397" i="1"/>
  <c r="S397" i="1"/>
  <c r="T397" i="1"/>
  <c r="X397" i="1" l="1"/>
  <c r="W397" i="1"/>
  <c r="V397" i="1"/>
  <c r="H364" i="1" l="1"/>
  <c r="N688" i="1"/>
  <c r="X688" i="1" s="1"/>
  <c r="O688" i="1"/>
  <c r="P688" i="1"/>
  <c r="Q688" i="1"/>
  <c r="R688" i="1"/>
  <c r="S688" i="1"/>
  <c r="T688" i="1"/>
  <c r="J688" i="1"/>
  <c r="N192" i="1"/>
  <c r="U192" i="1" s="1"/>
  <c r="O192" i="1"/>
  <c r="P192" i="1"/>
  <c r="Q192" i="1"/>
  <c r="R192" i="1"/>
  <c r="S192" i="1"/>
  <c r="T192" i="1"/>
  <c r="J192" i="1"/>
  <c r="U688" i="1" l="1"/>
  <c r="W688" i="1"/>
  <c r="V688" i="1"/>
  <c r="X192" i="1"/>
  <c r="W192" i="1"/>
  <c r="V192" i="1"/>
  <c r="U403" i="1" l="1"/>
  <c r="P403" i="1"/>
  <c r="Q403" i="1"/>
  <c r="R403" i="1"/>
  <c r="S403" i="1"/>
  <c r="T403" i="1"/>
  <c r="J403" i="1"/>
  <c r="J725" i="1" l="1"/>
  <c r="X403" i="1"/>
  <c r="W403" i="1"/>
  <c r="V403" i="1"/>
  <c r="H449" i="1" l="1"/>
  <c r="I454" i="1"/>
  <c r="N290" i="1" l="1"/>
  <c r="U290" i="1" s="1"/>
  <c r="O290" i="1"/>
  <c r="P290" i="1"/>
  <c r="Q290" i="1"/>
  <c r="R290" i="1"/>
  <c r="S290" i="1"/>
  <c r="T290" i="1"/>
  <c r="Z290" i="1"/>
  <c r="X290" i="1" l="1"/>
  <c r="W290" i="1"/>
  <c r="V290" i="1"/>
  <c r="AA290" i="1"/>
  <c r="J588" i="1" l="1"/>
  <c r="I566" i="1" l="1"/>
  <c r="I65" i="1" l="1"/>
  <c r="I630" i="1"/>
  <c r="J43" i="1" l="1"/>
  <c r="H737" i="1" l="1"/>
  <c r="H543" i="1"/>
  <c r="I439" i="1" l="1"/>
  <c r="J38" i="1" l="1"/>
  <c r="I651" i="1"/>
  <c r="I407" i="1" l="1"/>
  <c r="J101" i="1" l="1"/>
  <c r="N346" i="1" l="1"/>
  <c r="W346" i="1" s="1"/>
  <c r="N345" i="1"/>
  <c r="W345" i="1" s="1"/>
  <c r="N344" i="1"/>
  <c r="W344" i="1" s="1"/>
  <c r="O346" i="1"/>
  <c r="P346" i="1"/>
  <c r="Q346" i="1"/>
  <c r="R346" i="1"/>
  <c r="S346" i="1"/>
  <c r="T346" i="1"/>
  <c r="O345" i="1"/>
  <c r="P345" i="1"/>
  <c r="Q345" i="1"/>
  <c r="R345" i="1"/>
  <c r="S345" i="1"/>
  <c r="T345" i="1"/>
  <c r="O344" i="1"/>
  <c r="P344" i="1"/>
  <c r="Q344" i="1"/>
  <c r="R344" i="1"/>
  <c r="S344" i="1"/>
  <c r="T344" i="1"/>
  <c r="J344" i="1"/>
  <c r="J345" i="1"/>
  <c r="J346" i="1"/>
  <c r="Z78" i="1" l="1"/>
  <c r="AA78" i="1"/>
  <c r="V346" i="1"/>
  <c r="V344" i="1"/>
  <c r="X344" i="1"/>
  <c r="U344" i="1"/>
  <c r="V345" i="1"/>
  <c r="X346" i="1"/>
  <c r="U346" i="1"/>
  <c r="X345" i="1"/>
  <c r="U345" i="1"/>
  <c r="H519" i="1"/>
  <c r="H658" i="1" l="1"/>
  <c r="I95" i="1" l="1"/>
  <c r="J184" i="1" l="1"/>
  <c r="H468" i="1"/>
  <c r="AA478" i="1" l="1"/>
  <c r="Z478" i="1"/>
  <c r="H556" i="1"/>
  <c r="N350" i="1"/>
  <c r="V350" i="1" s="1"/>
  <c r="O350" i="1"/>
  <c r="P350" i="1"/>
  <c r="Q350" i="1"/>
  <c r="R350" i="1"/>
  <c r="S350" i="1"/>
  <c r="T350" i="1"/>
  <c r="J350" i="1"/>
  <c r="U350" i="1" l="1"/>
  <c r="X350" i="1"/>
  <c r="W350" i="1"/>
  <c r="H358" i="1"/>
  <c r="I250" i="1" l="1"/>
  <c r="J343" i="1" l="1"/>
  <c r="J334" i="1" l="1"/>
  <c r="Z680" i="1" l="1"/>
  <c r="AA680" i="1"/>
  <c r="I452" i="1"/>
  <c r="H627" i="1"/>
  <c r="H283" i="1"/>
  <c r="I385" i="1" l="1"/>
  <c r="H387" i="1" l="1"/>
  <c r="H73" i="1"/>
  <c r="J341" i="1"/>
  <c r="H338" i="1"/>
  <c r="N655" i="1"/>
  <c r="O655" i="1"/>
  <c r="P655" i="1"/>
  <c r="Q655" i="1"/>
  <c r="R655" i="1"/>
  <c r="S655" i="1"/>
  <c r="T655" i="1"/>
  <c r="U655" i="1" l="1"/>
  <c r="X655" i="1"/>
  <c r="W655" i="1"/>
  <c r="V655" i="1"/>
  <c r="J518" i="1"/>
  <c r="H21" i="1"/>
  <c r="H22" i="1"/>
  <c r="H636" i="1"/>
  <c r="J636" i="1" s="1"/>
  <c r="H68" i="1" l="1"/>
  <c r="I426" i="1"/>
  <c r="J202" i="1" l="1"/>
  <c r="Z45" i="1" l="1"/>
  <c r="AA45" i="1"/>
  <c r="J734" i="1"/>
  <c r="I369" i="1" l="1"/>
  <c r="N289" i="1" l="1"/>
  <c r="U289" i="1" s="1"/>
  <c r="H369" i="1"/>
  <c r="V289" i="1" l="1"/>
  <c r="X289" i="1"/>
  <c r="W289" i="1"/>
  <c r="I618" i="1" l="1"/>
  <c r="J378" i="1" l="1"/>
  <c r="Z344" i="1" l="1"/>
  <c r="AA344" i="1"/>
  <c r="H694" i="1"/>
  <c r="I440" i="1"/>
  <c r="I377" i="1" l="1"/>
  <c r="H530" i="1" l="1"/>
  <c r="J471" i="1" l="1"/>
  <c r="N378" i="1" l="1"/>
  <c r="U378" i="1" s="1"/>
  <c r="O378" i="1"/>
  <c r="P378" i="1"/>
  <c r="Q378" i="1"/>
  <c r="R378" i="1"/>
  <c r="S378" i="1"/>
  <c r="T378" i="1"/>
  <c r="J349" i="1"/>
  <c r="J394" i="1"/>
  <c r="X378" i="1" l="1"/>
  <c r="V378" i="1"/>
  <c r="W378" i="1"/>
  <c r="I161" i="1"/>
  <c r="O487" i="1"/>
  <c r="P487" i="1"/>
  <c r="Q487" i="1"/>
  <c r="R487" i="1"/>
  <c r="S487" i="1"/>
  <c r="H55" i="1" l="1"/>
  <c r="H56" i="1"/>
  <c r="J36" i="1" l="1"/>
  <c r="H28" i="1"/>
  <c r="O471" i="1" l="1"/>
  <c r="P471" i="1"/>
  <c r="Q471" i="1"/>
  <c r="R471" i="1"/>
  <c r="S471" i="1"/>
  <c r="T471" i="1"/>
  <c r="N36" i="1"/>
  <c r="U36" i="1" s="1"/>
  <c r="O36" i="1"/>
  <c r="P36" i="1"/>
  <c r="Q36" i="1"/>
  <c r="R36" i="1"/>
  <c r="S36" i="1"/>
  <c r="T36" i="1"/>
  <c r="X36" i="1" l="1"/>
  <c r="W36" i="1"/>
  <c r="V36" i="1"/>
  <c r="N43" i="1" l="1"/>
  <c r="U43" i="1" s="1"/>
  <c r="O43" i="1"/>
  <c r="P43" i="1"/>
  <c r="Q43" i="1"/>
  <c r="R43" i="1"/>
  <c r="S43" i="1"/>
  <c r="T43" i="1"/>
  <c r="V43" i="1" l="1"/>
  <c r="X43" i="1"/>
  <c r="W43" i="1"/>
  <c r="H65" i="1" l="1"/>
  <c r="N518" i="1" l="1"/>
  <c r="O518" i="1"/>
  <c r="P518" i="1"/>
  <c r="Q518" i="1"/>
  <c r="R518" i="1"/>
  <c r="S518" i="1"/>
  <c r="T518" i="1"/>
  <c r="U518" i="1" l="1"/>
  <c r="V518" i="1"/>
  <c r="X518" i="1"/>
  <c r="W518" i="1"/>
  <c r="N491" i="1" l="1"/>
  <c r="T491" i="1"/>
  <c r="J491" i="1"/>
  <c r="I167" i="1" l="1"/>
  <c r="I318" i="1" l="1"/>
  <c r="N583" i="1" l="1"/>
  <c r="U583" i="1" s="1"/>
  <c r="O583" i="1"/>
  <c r="P583" i="1"/>
  <c r="Q583" i="1"/>
  <c r="R583" i="1"/>
  <c r="S583" i="1"/>
  <c r="T583" i="1"/>
  <c r="J583" i="1"/>
  <c r="H318" i="1"/>
  <c r="W583" i="1" l="1"/>
  <c r="V583" i="1"/>
  <c r="X583" i="1"/>
  <c r="N358" i="1" l="1"/>
  <c r="U358" i="1" s="1"/>
  <c r="O358" i="1"/>
  <c r="P358" i="1"/>
  <c r="Q358" i="1"/>
  <c r="R358" i="1"/>
  <c r="S358" i="1"/>
  <c r="T358" i="1"/>
  <c r="J358" i="1" l="1"/>
  <c r="W358" i="1"/>
  <c r="X358" i="1"/>
  <c r="V358" i="1"/>
  <c r="I649" i="1" l="1"/>
  <c r="H113" i="1" l="1"/>
  <c r="N207" i="1"/>
  <c r="W207" i="1" s="1"/>
  <c r="O207" i="1"/>
  <c r="P207" i="1"/>
  <c r="Q207" i="1"/>
  <c r="R207" i="1"/>
  <c r="T207" i="1"/>
  <c r="J207" i="1"/>
  <c r="N206" i="1"/>
  <c r="U206" i="1" s="1"/>
  <c r="O206" i="1"/>
  <c r="P206" i="1"/>
  <c r="Q206" i="1"/>
  <c r="R206" i="1"/>
  <c r="T206" i="1"/>
  <c r="J206" i="1"/>
  <c r="N426" i="1"/>
  <c r="U426" i="1" s="1"/>
  <c r="O426" i="1"/>
  <c r="P426" i="1"/>
  <c r="Q426" i="1"/>
  <c r="R426" i="1"/>
  <c r="S426" i="1"/>
  <c r="T426" i="1"/>
  <c r="J426" i="1"/>
  <c r="H416" i="1"/>
  <c r="X206" i="1" l="1"/>
  <c r="V206" i="1"/>
  <c r="X207" i="1"/>
  <c r="X426" i="1"/>
  <c r="V207" i="1"/>
  <c r="W426" i="1"/>
  <c r="U207" i="1"/>
  <c r="V426" i="1"/>
  <c r="W206" i="1"/>
  <c r="I712" i="1" l="1"/>
  <c r="J590" i="1" l="1"/>
  <c r="I493" i="1" l="1"/>
  <c r="J493" i="1" s="1"/>
  <c r="H584" i="1"/>
  <c r="H366" i="1"/>
  <c r="H331" i="1" l="1"/>
  <c r="J331" i="1" s="1"/>
  <c r="H600" i="1" l="1"/>
  <c r="I359" i="1" l="1"/>
  <c r="J681" i="1" l="1"/>
  <c r="N681" i="1"/>
  <c r="U681" i="1" s="1"/>
  <c r="O681" i="1"/>
  <c r="P681" i="1"/>
  <c r="Q681" i="1"/>
  <c r="R681" i="1"/>
  <c r="S681" i="1"/>
  <c r="T681" i="1"/>
  <c r="N495" i="1"/>
  <c r="O495" i="1"/>
  <c r="P495" i="1"/>
  <c r="Q495" i="1"/>
  <c r="R495" i="1"/>
  <c r="S495" i="1"/>
  <c r="T495" i="1"/>
  <c r="H495" i="1"/>
  <c r="N498" i="1"/>
  <c r="U498" i="1" s="1"/>
  <c r="O498" i="1"/>
  <c r="P498" i="1"/>
  <c r="Q498" i="1"/>
  <c r="R498" i="1"/>
  <c r="S498" i="1"/>
  <c r="T498" i="1"/>
  <c r="J498" i="1"/>
  <c r="X498" i="1" l="1"/>
  <c r="J495" i="1"/>
  <c r="V498" i="1"/>
  <c r="X681" i="1"/>
  <c r="V681" i="1"/>
  <c r="W681" i="1"/>
  <c r="W498" i="1"/>
  <c r="I163" i="1" l="1"/>
  <c r="J176" i="1" l="1"/>
  <c r="N586" i="1"/>
  <c r="U586" i="1" s="1"/>
  <c r="W586" i="1" l="1"/>
  <c r="X586" i="1"/>
  <c r="V586" i="1"/>
  <c r="I631" i="1" l="1"/>
  <c r="I639" i="1"/>
  <c r="H708" i="1"/>
  <c r="H67" i="1" l="1"/>
  <c r="N650" i="1"/>
  <c r="O650" i="1"/>
  <c r="P650" i="1"/>
  <c r="Q650" i="1"/>
  <c r="R650" i="1"/>
  <c r="S650" i="1"/>
  <c r="T650" i="1"/>
  <c r="J650" i="1"/>
  <c r="Z650" i="1" s="1"/>
  <c r="J599" i="1"/>
  <c r="N39" i="1"/>
  <c r="U39" i="1" s="1"/>
  <c r="O39" i="1"/>
  <c r="P39" i="1"/>
  <c r="Q39" i="1"/>
  <c r="R39" i="1"/>
  <c r="S39" i="1"/>
  <c r="T39" i="1"/>
  <c r="H39" i="1"/>
  <c r="J39" i="1" s="1"/>
  <c r="U650" i="1" l="1"/>
  <c r="AA650" i="1"/>
  <c r="X39" i="1"/>
  <c r="X650" i="1"/>
  <c r="V39" i="1"/>
  <c r="V650" i="1"/>
  <c r="W650" i="1"/>
  <c r="W39" i="1"/>
  <c r="I743" i="1" l="1"/>
  <c r="I420" i="1" l="1"/>
  <c r="I240" i="1"/>
  <c r="I106" i="1"/>
  <c r="H516" i="1" l="1"/>
  <c r="H691" i="1" l="1"/>
  <c r="N317" i="1"/>
  <c r="U317" i="1" s="1"/>
  <c r="O317" i="1"/>
  <c r="P317" i="1"/>
  <c r="Q317" i="1"/>
  <c r="R317" i="1"/>
  <c r="S317" i="1"/>
  <c r="T317" i="1"/>
  <c r="J317" i="1"/>
  <c r="N12" i="1"/>
  <c r="U12" i="1" s="1"/>
  <c r="X317" i="1" l="1"/>
  <c r="W317" i="1"/>
  <c r="V317" i="1"/>
  <c r="X12" i="1"/>
  <c r="V12" i="1"/>
  <c r="W12" i="1"/>
  <c r="H178" i="1" l="1"/>
  <c r="H485" i="1" l="1"/>
  <c r="J485" i="1" s="1"/>
  <c r="N485" i="1"/>
  <c r="U485" i="1" s="1"/>
  <c r="O485" i="1"/>
  <c r="P485" i="1"/>
  <c r="Q485" i="1"/>
  <c r="R485" i="1"/>
  <c r="S485" i="1"/>
  <c r="T485" i="1"/>
  <c r="X485" i="1" l="1"/>
  <c r="V485" i="1"/>
  <c r="W485" i="1"/>
  <c r="I482" i="1" l="1"/>
  <c r="H698" i="1"/>
  <c r="H585" i="1"/>
  <c r="N182" i="1"/>
  <c r="U182" i="1" s="1"/>
  <c r="O182" i="1"/>
  <c r="P182" i="1"/>
  <c r="Q182" i="1"/>
  <c r="R182" i="1"/>
  <c r="S182" i="1"/>
  <c r="T182" i="1"/>
  <c r="H182" i="1"/>
  <c r="J182" i="1" s="1"/>
  <c r="N54" i="1"/>
  <c r="U54" i="1" s="1"/>
  <c r="O54" i="1"/>
  <c r="P54" i="1"/>
  <c r="Q54" i="1"/>
  <c r="R54" i="1"/>
  <c r="S54" i="1"/>
  <c r="T54" i="1"/>
  <c r="AA550" i="1" l="1"/>
  <c r="X54" i="1"/>
  <c r="X182" i="1"/>
  <c r="V54" i="1"/>
  <c r="V182" i="1"/>
  <c r="W182" i="1"/>
  <c r="W54" i="1"/>
  <c r="I122" i="1" l="1"/>
  <c r="N95" i="1" l="1"/>
  <c r="U95" i="1" s="1"/>
  <c r="O95" i="1"/>
  <c r="P95" i="1"/>
  <c r="Q95" i="1"/>
  <c r="R95" i="1"/>
  <c r="T95" i="1"/>
  <c r="H95" i="1"/>
  <c r="J95" i="1" l="1"/>
  <c r="X95" i="1"/>
  <c r="V95" i="1"/>
  <c r="W95" i="1"/>
  <c r="Z655" i="1" l="1"/>
  <c r="AA655" i="1"/>
  <c r="J35" i="1" l="1"/>
  <c r="H630" i="1"/>
  <c r="I156" i="1" l="1"/>
  <c r="I575" i="1"/>
  <c r="O327" i="1" l="1"/>
  <c r="P327" i="1"/>
  <c r="Q327" i="1"/>
  <c r="R327" i="1"/>
  <c r="S327" i="1"/>
  <c r="T327" i="1"/>
  <c r="J327" i="1"/>
  <c r="O586" i="1"/>
  <c r="P586" i="1"/>
  <c r="Q586" i="1"/>
  <c r="R586" i="1"/>
  <c r="S586" i="1"/>
  <c r="T586" i="1"/>
  <c r="J586" i="1"/>
  <c r="T12" i="1"/>
  <c r="J12" i="1"/>
  <c r="H156" i="1"/>
  <c r="H576" i="1"/>
  <c r="J576" i="1" s="1"/>
  <c r="H575" i="1"/>
  <c r="J62" i="1" l="1"/>
  <c r="Z62" i="1" s="1"/>
  <c r="J325" i="1"/>
  <c r="I118" i="1"/>
  <c r="I123" i="1"/>
  <c r="N62" i="1"/>
  <c r="U62" i="1" s="1"/>
  <c r="O62" i="1"/>
  <c r="P62" i="1"/>
  <c r="Q62" i="1"/>
  <c r="R62" i="1"/>
  <c r="S62" i="1"/>
  <c r="T62" i="1"/>
  <c r="N325" i="1"/>
  <c r="U325" i="1" s="1"/>
  <c r="O325" i="1"/>
  <c r="P325" i="1"/>
  <c r="Q325" i="1"/>
  <c r="R325" i="1"/>
  <c r="S325" i="1"/>
  <c r="T325" i="1"/>
  <c r="X62" i="1" l="1"/>
  <c r="V62" i="1"/>
  <c r="X325" i="1"/>
  <c r="AA62" i="1"/>
  <c r="W62" i="1"/>
  <c r="V325" i="1"/>
  <c r="W325" i="1"/>
  <c r="I569" i="1" l="1"/>
  <c r="J266" i="1" l="1"/>
  <c r="N266" i="1"/>
  <c r="U266" i="1" s="1"/>
  <c r="O266" i="1"/>
  <c r="P266" i="1"/>
  <c r="Q266" i="1"/>
  <c r="R266" i="1"/>
  <c r="S266" i="1"/>
  <c r="T266" i="1"/>
  <c r="X266" i="1" l="1"/>
  <c r="V266" i="1"/>
  <c r="W266" i="1"/>
  <c r="I285" i="1" l="1"/>
  <c r="I634" i="1" l="1"/>
  <c r="N532" i="1"/>
  <c r="U532" i="1" s="1"/>
  <c r="O532" i="1"/>
  <c r="P532" i="1"/>
  <c r="Q532" i="1"/>
  <c r="R532" i="1"/>
  <c r="S532" i="1"/>
  <c r="T532" i="1"/>
  <c r="N33" i="1"/>
  <c r="U33" i="1" s="1"/>
  <c r="O33" i="1"/>
  <c r="P33" i="1"/>
  <c r="Q33" i="1"/>
  <c r="R33" i="1"/>
  <c r="S33" i="1"/>
  <c r="T33" i="1"/>
  <c r="J33" i="1"/>
  <c r="X33" i="1" l="1"/>
  <c r="V33" i="1"/>
  <c r="X532" i="1"/>
  <c r="V532" i="1"/>
  <c r="W532" i="1"/>
  <c r="W33" i="1"/>
  <c r="N285" i="1" l="1"/>
  <c r="U285" i="1" s="1"/>
  <c r="O285" i="1"/>
  <c r="P285" i="1"/>
  <c r="Q285" i="1"/>
  <c r="R285" i="1"/>
  <c r="S285" i="1"/>
  <c r="T285" i="1"/>
  <c r="J285" i="1"/>
  <c r="N280" i="1"/>
  <c r="U280" i="1" s="1"/>
  <c r="O280" i="1"/>
  <c r="P280" i="1"/>
  <c r="Q280" i="1"/>
  <c r="R280" i="1"/>
  <c r="T280" i="1"/>
  <c r="J280" i="1" l="1"/>
  <c r="W280" i="1"/>
  <c r="X280" i="1"/>
  <c r="V280" i="1"/>
  <c r="X285" i="1"/>
  <c r="V285" i="1"/>
  <c r="W285" i="1"/>
  <c r="I573" i="1" l="1"/>
  <c r="I449" i="1" l="1"/>
  <c r="I490" i="1" l="1"/>
  <c r="I486" i="1"/>
  <c r="H337" i="1" l="1"/>
  <c r="N311" i="1"/>
  <c r="U311" i="1" s="1"/>
  <c r="O311" i="1"/>
  <c r="P311" i="1"/>
  <c r="Q311" i="1"/>
  <c r="R311" i="1"/>
  <c r="S311" i="1"/>
  <c r="T311" i="1"/>
  <c r="J311" i="1"/>
  <c r="N508" i="1"/>
  <c r="U508" i="1" s="1"/>
  <c r="O508" i="1"/>
  <c r="P508" i="1"/>
  <c r="Q508" i="1"/>
  <c r="R508" i="1"/>
  <c r="S508" i="1"/>
  <c r="T508" i="1"/>
  <c r="J508" i="1"/>
  <c r="Z508" i="1" s="1"/>
  <c r="N490" i="1"/>
  <c r="T490" i="1"/>
  <c r="J490" i="1"/>
  <c r="N486" i="1"/>
  <c r="U486" i="1" s="1"/>
  <c r="O486" i="1"/>
  <c r="P486" i="1"/>
  <c r="Q486" i="1"/>
  <c r="R486" i="1"/>
  <c r="S486" i="1"/>
  <c r="T486" i="1"/>
  <c r="J486" i="1"/>
  <c r="H489" i="1"/>
  <c r="N679" i="1"/>
  <c r="U679" i="1" s="1"/>
  <c r="O679" i="1"/>
  <c r="P679" i="1"/>
  <c r="Q679" i="1"/>
  <c r="R679" i="1"/>
  <c r="S679" i="1"/>
  <c r="T679" i="1"/>
  <c r="H679" i="1"/>
  <c r="J679" i="1" s="1"/>
  <c r="H406" i="1"/>
  <c r="H492" i="1"/>
  <c r="Z298" i="1" l="1"/>
  <c r="AA298" i="1"/>
  <c r="W679" i="1"/>
  <c r="X679" i="1"/>
  <c r="V679" i="1"/>
  <c r="X508" i="1"/>
  <c r="X311" i="1"/>
  <c r="X486" i="1"/>
  <c r="V508" i="1"/>
  <c r="V311" i="1"/>
  <c r="W311" i="1"/>
  <c r="AA679" i="1"/>
  <c r="Z679" i="1"/>
  <c r="V486" i="1"/>
  <c r="AA508" i="1"/>
  <c r="W508" i="1"/>
  <c r="W486" i="1"/>
  <c r="I720" i="1" l="1"/>
  <c r="N245" i="1"/>
  <c r="U245" i="1" s="1"/>
  <c r="T245" i="1"/>
  <c r="J245" i="1"/>
  <c r="H243" i="1"/>
  <c r="N246" i="1"/>
  <c r="U246" i="1" s="1"/>
  <c r="T246" i="1"/>
  <c r="J246" i="1"/>
  <c r="H93" i="1"/>
  <c r="X246" i="1" l="1"/>
  <c r="X245" i="1"/>
  <c r="V246" i="1"/>
  <c r="V245" i="1"/>
  <c r="W245" i="1"/>
  <c r="W246" i="1"/>
  <c r="N391" i="1" l="1"/>
  <c r="U391" i="1" s="1"/>
  <c r="O391" i="1"/>
  <c r="P391" i="1"/>
  <c r="Q391" i="1"/>
  <c r="R391" i="1"/>
  <c r="S391" i="1"/>
  <c r="T391" i="1"/>
  <c r="J391" i="1"/>
  <c r="X391" i="1" l="1"/>
  <c r="V391" i="1"/>
  <c r="W391" i="1"/>
  <c r="U407" i="1" l="1"/>
  <c r="P407" i="1"/>
  <c r="Q407" i="1"/>
  <c r="R407" i="1"/>
  <c r="S407" i="1"/>
  <c r="T407" i="1"/>
  <c r="J407" i="1"/>
  <c r="Z407" i="1" s="1"/>
  <c r="X407" i="1" l="1"/>
  <c r="V407" i="1"/>
  <c r="AA407" i="1"/>
  <c r="W407" i="1"/>
  <c r="H624" i="1" l="1"/>
  <c r="H663" i="1"/>
  <c r="H526" i="1" l="1"/>
  <c r="I463" i="1" l="1"/>
  <c r="N503" i="1" l="1"/>
  <c r="U503" i="1" s="1"/>
  <c r="O503" i="1"/>
  <c r="P503" i="1"/>
  <c r="Q503" i="1"/>
  <c r="R503" i="1"/>
  <c r="S503" i="1"/>
  <c r="T503" i="1"/>
  <c r="J503" i="1"/>
  <c r="N624" i="1"/>
  <c r="U624" i="1" s="1"/>
  <c r="T624" i="1"/>
  <c r="J624" i="1"/>
  <c r="X503" i="1" l="1"/>
  <c r="V624" i="1"/>
  <c r="V503" i="1"/>
  <c r="W503" i="1"/>
  <c r="N548" i="1" l="1"/>
  <c r="U548" i="1" s="1"/>
  <c r="N534" i="1"/>
  <c r="U534" i="1" s="1"/>
  <c r="O534" i="1"/>
  <c r="P534" i="1"/>
  <c r="Q534" i="1"/>
  <c r="R534" i="1"/>
  <c r="S534" i="1"/>
  <c r="T534" i="1"/>
  <c r="N516" i="1"/>
  <c r="U516" i="1" s="1"/>
  <c r="O516" i="1"/>
  <c r="P516" i="1"/>
  <c r="Q516" i="1"/>
  <c r="R516" i="1"/>
  <c r="S516" i="1"/>
  <c r="T516" i="1"/>
  <c r="N277" i="1"/>
  <c r="U277" i="1" s="1"/>
  <c r="O277" i="1"/>
  <c r="P277" i="1"/>
  <c r="Q277" i="1"/>
  <c r="R277" i="1"/>
  <c r="T277" i="1"/>
  <c r="X534" i="1" l="1"/>
  <c r="X548" i="1"/>
  <c r="W277" i="1"/>
  <c r="X516" i="1"/>
  <c r="V534" i="1"/>
  <c r="V548" i="1"/>
  <c r="W548" i="1"/>
  <c r="W534" i="1"/>
  <c r="X277" i="1"/>
  <c r="V277" i="1"/>
  <c r="V516" i="1"/>
  <c r="W516" i="1"/>
  <c r="N648" i="1" l="1"/>
  <c r="U648" i="1" s="1"/>
  <c r="O648" i="1"/>
  <c r="P648" i="1"/>
  <c r="Q648" i="1"/>
  <c r="R648" i="1"/>
  <c r="S648" i="1"/>
  <c r="T648" i="1"/>
  <c r="J648" i="1"/>
  <c r="N103" i="1"/>
  <c r="U103" i="1" s="1"/>
  <c r="J103" i="1"/>
  <c r="X103" i="1" l="1"/>
  <c r="X648" i="1"/>
  <c r="V648" i="1"/>
  <c r="W648" i="1"/>
  <c r="V103" i="1"/>
  <c r="W103" i="1"/>
  <c r="N106" i="1" l="1"/>
  <c r="U106" i="1" s="1"/>
  <c r="H106" i="1"/>
  <c r="J106" i="1" s="1"/>
  <c r="W106" i="1" l="1"/>
  <c r="X106" i="1"/>
  <c r="V106" i="1"/>
  <c r="H209" i="1"/>
  <c r="H6" i="1"/>
  <c r="N649" i="1" l="1"/>
  <c r="J649" i="1"/>
  <c r="O649" i="1"/>
  <c r="P649" i="1"/>
  <c r="Q649" i="1"/>
  <c r="R649" i="1"/>
  <c r="S649" i="1"/>
  <c r="T649" i="1"/>
  <c r="U649" i="1" l="1"/>
  <c r="W649" i="1"/>
  <c r="X649" i="1"/>
  <c r="V649" i="1"/>
  <c r="H111" i="1" l="1"/>
  <c r="H115" i="1"/>
  <c r="T466" i="1" l="1"/>
  <c r="N466" i="1"/>
  <c r="X466" i="1" s="1"/>
  <c r="J466" i="1"/>
  <c r="N651" i="1"/>
  <c r="U651" i="1" s="1"/>
  <c r="O651" i="1"/>
  <c r="P651" i="1"/>
  <c r="Q651" i="1"/>
  <c r="R651" i="1"/>
  <c r="S651" i="1"/>
  <c r="T651" i="1"/>
  <c r="J651" i="1"/>
  <c r="N74" i="1"/>
  <c r="U74" i="1" s="1"/>
  <c r="O74" i="1"/>
  <c r="P74" i="1"/>
  <c r="Q74" i="1"/>
  <c r="R74" i="1"/>
  <c r="T74" i="1"/>
  <c r="J74" i="1"/>
  <c r="Z74" i="1" s="1"/>
  <c r="X74" i="1" l="1"/>
  <c r="V74" i="1"/>
  <c r="X651" i="1"/>
  <c r="V466" i="1"/>
  <c r="V651" i="1"/>
  <c r="U466" i="1"/>
  <c r="W466" i="1"/>
  <c r="W651" i="1"/>
  <c r="AA74" i="1"/>
  <c r="W74" i="1"/>
  <c r="N401" i="1" l="1"/>
  <c r="U401" i="1" s="1"/>
  <c r="O401" i="1"/>
  <c r="P401" i="1"/>
  <c r="Q401" i="1"/>
  <c r="R401" i="1"/>
  <c r="S401" i="1"/>
  <c r="T401" i="1"/>
  <c r="J401" i="1"/>
  <c r="N646" i="1"/>
  <c r="U646" i="1" s="1"/>
  <c r="O646" i="1"/>
  <c r="P646" i="1"/>
  <c r="Q646" i="1"/>
  <c r="R646" i="1"/>
  <c r="S646" i="1"/>
  <c r="T646" i="1"/>
  <c r="W646" i="1" l="1"/>
  <c r="X401" i="1"/>
  <c r="X646" i="1"/>
  <c r="V646" i="1"/>
  <c r="V401" i="1"/>
  <c r="W401" i="1"/>
  <c r="N241" i="1"/>
  <c r="U241" i="1" s="1"/>
  <c r="T241" i="1"/>
  <c r="H241" i="1"/>
  <c r="J241" i="1" l="1"/>
  <c r="X241" i="1"/>
  <c r="V241" i="1"/>
  <c r="W241" i="1"/>
  <c r="Z54" i="1" l="1"/>
  <c r="AA54" i="1"/>
  <c r="O548" i="1" l="1"/>
  <c r="P548" i="1"/>
  <c r="Q548" i="1"/>
  <c r="R548" i="1"/>
  <c r="S548" i="1"/>
  <c r="T548" i="1"/>
  <c r="H465" i="1"/>
  <c r="N669" i="1" l="1"/>
  <c r="U669" i="1" s="1"/>
  <c r="O669" i="1"/>
  <c r="P669" i="1"/>
  <c r="Q669" i="1"/>
  <c r="R669" i="1"/>
  <c r="S669" i="1"/>
  <c r="T669" i="1"/>
  <c r="H464" i="1"/>
  <c r="H148" i="1"/>
  <c r="H147" i="1"/>
  <c r="H146" i="1"/>
  <c r="J146" i="1" s="1"/>
  <c r="H149" i="1"/>
  <c r="H724" i="1"/>
  <c r="H384" i="1"/>
  <c r="H383" i="1"/>
  <c r="H381" i="1"/>
  <c r="I277" i="1"/>
  <c r="H277" i="1"/>
  <c r="AA669" i="1" l="1"/>
  <c r="Z669" i="1"/>
  <c r="X669" i="1"/>
  <c r="J534" i="1"/>
  <c r="V669" i="1"/>
  <c r="W669" i="1"/>
  <c r="J277" i="1"/>
  <c r="H548" i="1"/>
  <c r="N49" i="1"/>
  <c r="Z534" i="1" l="1"/>
  <c r="AA534" i="1"/>
  <c r="J548" i="1"/>
  <c r="AA141" i="1" s="1"/>
  <c r="I247" i="1"/>
  <c r="Z548" i="1" l="1"/>
  <c r="AA548" i="1"/>
  <c r="I641" i="1" l="1"/>
  <c r="J329" i="1" l="1"/>
  <c r="J505" i="1"/>
  <c r="I137" i="1" l="1"/>
  <c r="N523" i="1" l="1"/>
  <c r="U523" i="1" s="1"/>
  <c r="O523" i="1"/>
  <c r="P523" i="1"/>
  <c r="Q523" i="1"/>
  <c r="R523" i="1"/>
  <c r="S523" i="1"/>
  <c r="T523" i="1"/>
  <c r="J523" i="1"/>
  <c r="V523" i="1" l="1"/>
  <c r="X523" i="1"/>
  <c r="W523" i="1"/>
  <c r="T536" i="1" l="1"/>
  <c r="N536" i="1"/>
  <c r="W536" i="1" s="1"/>
  <c r="V536" i="1" l="1"/>
  <c r="X536" i="1"/>
  <c r="U536" i="1"/>
  <c r="I632" i="1" l="1"/>
  <c r="N675" i="1" l="1"/>
  <c r="U675" i="1" s="1"/>
  <c r="O675" i="1"/>
  <c r="P675" i="1"/>
  <c r="Q675" i="1"/>
  <c r="R675" i="1"/>
  <c r="S675" i="1"/>
  <c r="T675" i="1"/>
  <c r="J675" i="1"/>
  <c r="X675" i="1" l="1"/>
  <c r="V675" i="1"/>
  <c r="W675" i="1"/>
  <c r="N361" i="1" l="1"/>
  <c r="U361" i="1" s="1"/>
  <c r="O361" i="1"/>
  <c r="P361" i="1"/>
  <c r="Q361" i="1"/>
  <c r="R361" i="1"/>
  <c r="S361" i="1"/>
  <c r="T361" i="1"/>
  <c r="J361" i="1"/>
  <c r="X361" i="1" l="1"/>
  <c r="V361" i="1"/>
  <c r="W361" i="1"/>
  <c r="N282" i="1" l="1"/>
  <c r="U282" i="1" s="1"/>
  <c r="O282" i="1"/>
  <c r="P282" i="1"/>
  <c r="Q282" i="1"/>
  <c r="R282" i="1"/>
  <c r="S282" i="1"/>
  <c r="T282" i="1"/>
  <c r="J282" i="1"/>
  <c r="N394" i="1"/>
  <c r="U394" i="1" s="1"/>
  <c r="O394" i="1"/>
  <c r="P394" i="1"/>
  <c r="Q394" i="1"/>
  <c r="R394" i="1"/>
  <c r="S394" i="1"/>
  <c r="T394" i="1"/>
  <c r="H205" i="1"/>
  <c r="X394" i="1" l="1"/>
  <c r="X282" i="1"/>
  <c r="V394" i="1"/>
  <c r="V282" i="1"/>
  <c r="W282" i="1"/>
  <c r="W394" i="1"/>
  <c r="I112" i="1" l="1"/>
  <c r="O499" i="1" l="1"/>
  <c r="P499" i="1"/>
  <c r="Q499" i="1"/>
  <c r="R499" i="1"/>
  <c r="S499" i="1"/>
  <c r="T499" i="1"/>
  <c r="J499" i="1"/>
  <c r="N638" i="1"/>
  <c r="U638" i="1" s="1"/>
  <c r="O638" i="1"/>
  <c r="P638" i="1"/>
  <c r="Q638" i="1"/>
  <c r="R638" i="1"/>
  <c r="S638" i="1"/>
  <c r="T638" i="1"/>
  <c r="J638" i="1"/>
  <c r="N174" i="1"/>
  <c r="U174" i="1" s="1"/>
  <c r="O174" i="1"/>
  <c r="P174" i="1"/>
  <c r="Q174" i="1"/>
  <c r="R174" i="1"/>
  <c r="S174" i="1"/>
  <c r="T174" i="1"/>
  <c r="J174" i="1"/>
  <c r="Z39" i="1" l="1"/>
  <c r="AA39" i="1"/>
  <c r="AA174" i="1"/>
  <c r="X174" i="1"/>
  <c r="V174" i="1"/>
  <c r="W174" i="1"/>
  <c r="Z174" i="1"/>
  <c r="X638" i="1"/>
  <c r="V638" i="1"/>
  <c r="W638" i="1"/>
  <c r="I9" i="1" l="1"/>
  <c r="N652" i="1" l="1"/>
  <c r="U652" i="1" s="1"/>
  <c r="O652" i="1"/>
  <c r="P652" i="1"/>
  <c r="Q652" i="1"/>
  <c r="R652" i="1"/>
  <c r="S652" i="1"/>
  <c r="T652" i="1"/>
  <c r="J652" i="1"/>
  <c r="N574" i="1"/>
  <c r="U574" i="1" s="1"/>
  <c r="O574" i="1"/>
  <c r="P574" i="1"/>
  <c r="Q574" i="1"/>
  <c r="R574" i="1"/>
  <c r="S574" i="1"/>
  <c r="T574" i="1"/>
  <c r="J574" i="1"/>
  <c r="N570" i="1"/>
  <c r="U570" i="1" s="1"/>
  <c r="O570" i="1"/>
  <c r="P570" i="1"/>
  <c r="Q570" i="1"/>
  <c r="R570" i="1"/>
  <c r="S570" i="1"/>
  <c r="T570" i="1"/>
  <c r="J570" i="1"/>
  <c r="N205" i="1"/>
  <c r="U205" i="1" s="1"/>
  <c r="O205" i="1"/>
  <c r="P205" i="1"/>
  <c r="Q205" i="1"/>
  <c r="R205" i="1"/>
  <c r="S205" i="1"/>
  <c r="T205" i="1"/>
  <c r="J205" i="1"/>
  <c r="Z241" i="1" l="1"/>
  <c r="AA241" i="1"/>
  <c r="AA652" i="1"/>
  <c r="W570" i="1"/>
  <c r="V574" i="1"/>
  <c r="X652" i="1"/>
  <c r="Z652" i="1"/>
  <c r="V570" i="1"/>
  <c r="W652" i="1"/>
  <c r="V652" i="1"/>
  <c r="X570" i="1"/>
  <c r="X574" i="1"/>
  <c r="W574" i="1"/>
  <c r="W205" i="1"/>
  <c r="X205" i="1"/>
  <c r="V205" i="1"/>
  <c r="H88" i="1" l="1"/>
  <c r="J98" i="1" l="1"/>
  <c r="N654" i="1" l="1"/>
  <c r="U654" i="1" s="1"/>
  <c r="O654" i="1"/>
  <c r="P654" i="1"/>
  <c r="Q654" i="1"/>
  <c r="R654" i="1"/>
  <c r="S654" i="1"/>
  <c r="T654" i="1"/>
  <c r="J654" i="1"/>
  <c r="X654" i="1" l="1"/>
  <c r="V654" i="1"/>
  <c r="W654" i="1"/>
  <c r="H237" i="1"/>
  <c r="H137" i="1"/>
  <c r="I464" i="1" l="1"/>
  <c r="N724" i="1" l="1"/>
  <c r="U724" i="1" s="1"/>
  <c r="O724" i="1"/>
  <c r="P724" i="1"/>
  <c r="Q724" i="1"/>
  <c r="R724" i="1"/>
  <c r="S724" i="1"/>
  <c r="T724" i="1"/>
  <c r="J724" i="1"/>
  <c r="Z724" i="1" s="1"/>
  <c r="H204" i="1"/>
  <c r="J470" i="1"/>
  <c r="H320" i="1"/>
  <c r="N292" i="1"/>
  <c r="U292" i="1" s="1"/>
  <c r="O292" i="1"/>
  <c r="P292" i="1"/>
  <c r="Q292" i="1"/>
  <c r="R292" i="1"/>
  <c r="S292" i="1"/>
  <c r="T292" i="1"/>
  <c r="N121" i="1"/>
  <c r="U121" i="1" s="1"/>
  <c r="J121" i="1"/>
  <c r="N124" i="1"/>
  <c r="U124" i="1" s="1"/>
  <c r="O124" i="1"/>
  <c r="P124" i="1"/>
  <c r="Q124" i="1"/>
  <c r="R124" i="1"/>
  <c r="S124" i="1"/>
  <c r="T124" i="1"/>
  <c r="J124" i="1"/>
  <c r="Z124" i="1" s="1"/>
  <c r="W124" i="1" l="1"/>
  <c r="X292" i="1"/>
  <c r="X124" i="1"/>
  <c r="V124" i="1"/>
  <c r="AA292" i="1"/>
  <c r="V292" i="1"/>
  <c r="X121" i="1"/>
  <c r="X724" i="1"/>
  <c r="Z292" i="1"/>
  <c r="V121" i="1"/>
  <c r="W292" i="1"/>
  <c r="V724" i="1"/>
  <c r="AA124" i="1"/>
  <c r="AA724" i="1"/>
  <c r="W724" i="1"/>
  <c r="W121" i="1"/>
  <c r="H440" i="1" l="1"/>
  <c r="J553" i="1" l="1"/>
  <c r="Z448" i="1" s="1"/>
  <c r="N172" i="1" l="1"/>
  <c r="U172" i="1" s="1"/>
  <c r="O172" i="1"/>
  <c r="P172" i="1"/>
  <c r="Q172" i="1"/>
  <c r="R172" i="1"/>
  <c r="S172" i="1"/>
  <c r="T172" i="1"/>
  <c r="J172" i="1"/>
  <c r="X172" i="1" l="1"/>
  <c r="V172" i="1"/>
  <c r="W172" i="1"/>
  <c r="N143" i="1" l="1"/>
  <c r="U143" i="1" s="1"/>
  <c r="O143" i="1"/>
  <c r="P143" i="1"/>
  <c r="Q143" i="1"/>
  <c r="R143" i="1"/>
  <c r="T143" i="1"/>
  <c r="J143" i="1"/>
  <c r="X143" i="1" l="1"/>
  <c r="V143" i="1"/>
  <c r="W143" i="1"/>
  <c r="I299" i="1" l="1"/>
  <c r="N323" i="1" l="1"/>
  <c r="U323" i="1" s="1"/>
  <c r="W323" i="1" l="1"/>
  <c r="X323" i="1"/>
  <c r="V323" i="1"/>
  <c r="I664" i="1" l="1"/>
  <c r="I677" i="1"/>
  <c r="N57" i="1" l="1"/>
  <c r="U57" i="1" s="1"/>
  <c r="O57" i="1"/>
  <c r="P57" i="1"/>
  <c r="Q57" i="1"/>
  <c r="R57" i="1"/>
  <c r="S57" i="1"/>
  <c r="T57" i="1"/>
  <c r="J57" i="1"/>
  <c r="V57" i="1" l="1"/>
  <c r="X57" i="1"/>
  <c r="W57" i="1"/>
  <c r="N515" i="1"/>
  <c r="U515" i="1" s="1"/>
  <c r="O515" i="1"/>
  <c r="P515" i="1"/>
  <c r="Q515" i="1"/>
  <c r="R515" i="1"/>
  <c r="S515" i="1"/>
  <c r="T515" i="1"/>
  <c r="J515" i="1"/>
  <c r="J516" i="1"/>
  <c r="H390" i="1"/>
  <c r="V515" i="1" l="1"/>
  <c r="X515" i="1"/>
  <c r="W515" i="1"/>
  <c r="N434" i="1" l="1"/>
  <c r="U434" i="1" s="1"/>
  <c r="O434" i="1"/>
  <c r="P434" i="1"/>
  <c r="Q434" i="1"/>
  <c r="R434" i="1"/>
  <c r="S434" i="1"/>
  <c r="T434" i="1"/>
  <c r="J434" i="1"/>
  <c r="AA110" i="1" s="1"/>
  <c r="X434" i="1" l="1"/>
  <c r="W434" i="1"/>
  <c r="V434" i="1"/>
  <c r="N474" i="1" l="1"/>
  <c r="N59" i="1"/>
  <c r="U59" i="1" s="1"/>
  <c r="O59" i="1"/>
  <c r="P59" i="1"/>
  <c r="Q59" i="1"/>
  <c r="R59" i="1"/>
  <c r="S59" i="1"/>
  <c r="T59" i="1"/>
  <c r="J59" i="1"/>
  <c r="N58" i="1"/>
  <c r="U58" i="1" s="1"/>
  <c r="O58" i="1"/>
  <c r="P58" i="1"/>
  <c r="Q58" i="1"/>
  <c r="R58" i="1"/>
  <c r="S58" i="1"/>
  <c r="T58" i="1"/>
  <c r="J58" i="1"/>
  <c r="X59" i="1" l="1"/>
  <c r="X58" i="1"/>
  <c r="V58" i="1"/>
  <c r="V59" i="1"/>
  <c r="W59" i="1"/>
  <c r="W58" i="1"/>
  <c r="N379" i="1" l="1"/>
  <c r="U379" i="1" s="1"/>
  <c r="O379" i="1"/>
  <c r="P379" i="1"/>
  <c r="Q379" i="1"/>
  <c r="R379" i="1"/>
  <c r="S379" i="1"/>
  <c r="T379" i="1"/>
  <c r="Z379" i="1"/>
  <c r="N287" i="1"/>
  <c r="U287" i="1" s="1"/>
  <c r="O287" i="1"/>
  <c r="P287" i="1"/>
  <c r="Q287" i="1"/>
  <c r="R287" i="1"/>
  <c r="S287" i="1"/>
  <c r="T287" i="1"/>
  <c r="J287" i="1"/>
  <c r="I162" i="1"/>
  <c r="W379" i="1" l="1"/>
  <c r="X287" i="1"/>
  <c r="V287" i="1"/>
  <c r="X379" i="1"/>
  <c r="V379" i="1"/>
  <c r="AA379" i="1"/>
  <c r="W287" i="1"/>
  <c r="J502" i="1" l="1"/>
  <c r="N502" i="1"/>
  <c r="U502" i="1" s="1"/>
  <c r="O502" i="1"/>
  <c r="P502" i="1"/>
  <c r="Q502" i="1"/>
  <c r="R502" i="1"/>
  <c r="S502" i="1"/>
  <c r="T502" i="1"/>
  <c r="N528" i="1"/>
  <c r="U528" i="1" s="1"/>
  <c r="O528" i="1"/>
  <c r="P528" i="1"/>
  <c r="Q528" i="1"/>
  <c r="R528" i="1"/>
  <c r="S528" i="1"/>
  <c r="T528" i="1"/>
  <c r="J528" i="1"/>
  <c r="N307" i="1"/>
  <c r="U307" i="1" s="1"/>
  <c r="O307" i="1"/>
  <c r="P307" i="1"/>
  <c r="Q307" i="1"/>
  <c r="R307" i="1"/>
  <c r="S307" i="1"/>
  <c r="T307" i="1"/>
  <c r="J307" i="1"/>
  <c r="AA646" i="1" l="1"/>
  <c r="Z646" i="1"/>
  <c r="V307" i="1"/>
  <c r="X307" i="1"/>
  <c r="V528" i="1"/>
  <c r="X502" i="1"/>
  <c r="X528" i="1"/>
  <c r="V502" i="1"/>
  <c r="W502" i="1"/>
  <c r="W528" i="1"/>
  <c r="W307" i="1"/>
  <c r="J306" i="1"/>
  <c r="N306" i="1"/>
  <c r="U306" i="1" s="1"/>
  <c r="O306" i="1"/>
  <c r="P306" i="1"/>
  <c r="Q306" i="1"/>
  <c r="R306" i="1"/>
  <c r="S306" i="1"/>
  <c r="T306" i="1"/>
  <c r="X306" i="1" l="1"/>
  <c r="V306" i="1"/>
  <c r="W306" i="1"/>
  <c r="I425" i="1" l="1"/>
  <c r="N191" i="1" l="1"/>
  <c r="U191" i="1" s="1"/>
  <c r="O191" i="1"/>
  <c r="P191" i="1"/>
  <c r="Q191" i="1"/>
  <c r="R191" i="1"/>
  <c r="S191" i="1"/>
  <c r="T191" i="1"/>
  <c r="J191" i="1"/>
  <c r="X191" i="1" l="1"/>
  <c r="V191" i="1"/>
  <c r="W191" i="1"/>
  <c r="N673" i="1" l="1"/>
  <c r="U673" i="1" s="1"/>
  <c r="V673" i="1" l="1"/>
  <c r="X673" i="1"/>
  <c r="W673" i="1"/>
  <c r="I115" i="1" l="1"/>
  <c r="I113" i="1"/>
  <c r="I511" i="1" l="1"/>
  <c r="N383" i="1" l="1"/>
  <c r="U383" i="1" s="1"/>
  <c r="O383" i="1"/>
  <c r="P383" i="1"/>
  <c r="Q383" i="1"/>
  <c r="R383" i="1"/>
  <c r="S383" i="1"/>
  <c r="T383" i="1"/>
  <c r="J383" i="1"/>
  <c r="X383" i="1" l="1"/>
  <c r="V383" i="1"/>
  <c r="W383" i="1"/>
  <c r="I465" i="1" l="1"/>
  <c r="N235" i="1" l="1"/>
  <c r="U235" i="1" s="1"/>
  <c r="O235" i="1"/>
  <c r="P235" i="1"/>
  <c r="Q235" i="1"/>
  <c r="R235" i="1"/>
  <c r="S235" i="1"/>
  <c r="T235" i="1"/>
  <c r="J235" i="1"/>
  <c r="W235" i="1" l="1"/>
  <c r="X235" i="1"/>
  <c r="V235" i="1"/>
  <c r="N189" i="1" l="1"/>
  <c r="U189" i="1" s="1"/>
  <c r="J189" i="1"/>
  <c r="O189" i="1"/>
  <c r="P189" i="1"/>
  <c r="Q189" i="1"/>
  <c r="R189" i="1"/>
  <c r="S189" i="1"/>
  <c r="T189" i="1"/>
  <c r="X189" i="1" l="1"/>
  <c r="V189" i="1"/>
  <c r="W189" i="1"/>
  <c r="O474" i="1" l="1"/>
  <c r="P474" i="1"/>
  <c r="Q474" i="1"/>
  <c r="R474" i="1"/>
  <c r="S474" i="1"/>
  <c r="T474" i="1"/>
  <c r="J474" i="1"/>
  <c r="Z474" i="1" s="1"/>
  <c r="O323" i="1"/>
  <c r="P323" i="1"/>
  <c r="Q323" i="1"/>
  <c r="R323" i="1"/>
  <c r="S323" i="1"/>
  <c r="T323" i="1"/>
  <c r="J323" i="1"/>
  <c r="N456" i="1"/>
  <c r="U456" i="1" s="1"/>
  <c r="N454" i="1"/>
  <c r="U454" i="1" s="1"/>
  <c r="N453" i="1"/>
  <c r="U453" i="1" s="1"/>
  <c r="J456" i="1"/>
  <c r="O456" i="1"/>
  <c r="P456" i="1"/>
  <c r="Q456" i="1"/>
  <c r="R456" i="1"/>
  <c r="S456" i="1"/>
  <c r="T456" i="1"/>
  <c r="O454" i="1"/>
  <c r="P454" i="1"/>
  <c r="Q454" i="1"/>
  <c r="R454" i="1"/>
  <c r="S454" i="1"/>
  <c r="T454" i="1"/>
  <c r="O453" i="1"/>
  <c r="P453" i="1"/>
  <c r="Q453" i="1"/>
  <c r="R453" i="1"/>
  <c r="S453" i="1"/>
  <c r="T453" i="1"/>
  <c r="J453" i="1"/>
  <c r="J454" i="1"/>
  <c r="Z394" i="1" l="1"/>
  <c r="AA394" i="1"/>
  <c r="W453" i="1"/>
  <c r="X454" i="1"/>
  <c r="V454" i="1"/>
  <c r="X456" i="1"/>
  <c r="X453" i="1"/>
  <c r="V453" i="1"/>
  <c r="V456" i="1"/>
  <c r="AA456" i="1"/>
  <c r="W456" i="1"/>
  <c r="W454" i="1"/>
  <c r="N279" i="1" l="1"/>
  <c r="U279" i="1" s="1"/>
  <c r="O279" i="1"/>
  <c r="P279" i="1"/>
  <c r="Q279" i="1"/>
  <c r="R279" i="1"/>
  <c r="T279" i="1"/>
  <c r="J279" i="1"/>
  <c r="N480" i="1"/>
  <c r="U480" i="1" s="1"/>
  <c r="O480" i="1"/>
  <c r="P480" i="1"/>
  <c r="Q480" i="1"/>
  <c r="R480" i="1"/>
  <c r="S480" i="1"/>
  <c r="T480" i="1"/>
  <c r="J480" i="1"/>
  <c r="Z480" i="1" s="1"/>
  <c r="X480" i="1" l="1"/>
  <c r="V480" i="1"/>
  <c r="X279" i="1"/>
  <c r="V279" i="1"/>
  <c r="W279" i="1"/>
  <c r="AA480" i="1"/>
  <c r="W480" i="1"/>
  <c r="N138" i="1" l="1"/>
  <c r="U138" i="1" s="1"/>
  <c r="O138" i="1"/>
  <c r="P138" i="1"/>
  <c r="Q138" i="1"/>
  <c r="R138" i="1"/>
  <c r="T138" i="1"/>
  <c r="O673" i="1"/>
  <c r="P673" i="1"/>
  <c r="Q673" i="1"/>
  <c r="R673" i="1"/>
  <c r="S673" i="1"/>
  <c r="T673" i="1"/>
  <c r="J385" i="1"/>
  <c r="N385" i="1"/>
  <c r="U385" i="1" s="1"/>
  <c r="O385" i="1"/>
  <c r="P385" i="1"/>
  <c r="Q385" i="1"/>
  <c r="R385" i="1"/>
  <c r="S385" i="1"/>
  <c r="T385" i="1"/>
  <c r="N387" i="1"/>
  <c r="U387" i="1" s="1"/>
  <c r="O387" i="1"/>
  <c r="P387" i="1"/>
  <c r="Q387" i="1"/>
  <c r="R387" i="1"/>
  <c r="S387" i="1"/>
  <c r="T387" i="1"/>
  <c r="AA346" i="1" l="1"/>
  <c r="Z346" i="1"/>
  <c r="X385" i="1"/>
  <c r="V385" i="1"/>
  <c r="W385" i="1"/>
  <c r="X138" i="1"/>
  <c r="V138" i="1"/>
  <c r="W138" i="1"/>
  <c r="X387" i="1"/>
  <c r="V387" i="1"/>
  <c r="W387" i="1"/>
  <c r="J138" i="1" l="1"/>
  <c r="Z470" i="1" s="1"/>
  <c r="N386" i="1" l="1"/>
  <c r="U386" i="1" s="1"/>
  <c r="O386" i="1"/>
  <c r="P386" i="1"/>
  <c r="Q386" i="1"/>
  <c r="R386" i="1"/>
  <c r="S386" i="1"/>
  <c r="T386" i="1"/>
  <c r="J673" i="1"/>
  <c r="J386" i="1"/>
  <c r="J387" i="1"/>
  <c r="Z347" i="1" l="1"/>
  <c r="AA347" i="1"/>
  <c r="X386" i="1"/>
  <c r="V386" i="1"/>
  <c r="W386" i="1"/>
  <c r="U404" i="1"/>
  <c r="P404" i="1"/>
  <c r="Q404" i="1"/>
  <c r="R404" i="1"/>
  <c r="S404" i="1"/>
  <c r="T404" i="1"/>
  <c r="J404" i="1"/>
  <c r="AA404" i="1" l="1"/>
  <c r="W404" i="1"/>
  <c r="X404" i="1"/>
  <c r="V404" i="1"/>
  <c r="Z404" i="1"/>
  <c r="N422" i="1" l="1"/>
  <c r="U422" i="1" s="1"/>
  <c r="H423" i="1"/>
  <c r="O422" i="1"/>
  <c r="P422" i="1"/>
  <c r="Q422" i="1"/>
  <c r="R422" i="1"/>
  <c r="S422" i="1"/>
  <c r="T422" i="1"/>
  <c r="J422" i="1"/>
  <c r="AA107" i="1" l="1"/>
  <c r="Z107" i="1"/>
  <c r="X422" i="1"/>
  <c r="V422" i="1"/>
  <c r="W422" i="1"/>
  <c r="N6" i="1" l="1"/>
  <c r="U6" i="1" s="1"/>
  <c r="T6" i="1"/>
  <c r="J6" i="1"/>
  <c r="V6" i="1" l="1"/>
  <c r="H87" i="1" l="1"/>
  <c r="H86" i="1"/>
  <c r="H37" i="1" l="1"/>
  <c r="H29" i="1"/>
  <c r="H25" i="1"/>
  <c r="H23" i="1"/>
  <c r="H11" i="1"/>
  <c r="N334" i="1"/>
  <c r="U334" i="1" s="1"/>
  <c r="O334" i="1"/>
  <c r="P334" i="1"/>
  <c r="Q334" i="1"/>
  <c r="R334" i="1"/>
  <c r="S334" i="1"/>
  <c r="T334" i="1"/>
  <c r="H511" i="1"/>
  <c r="X334" i="1" l="1"/>
  <c r="V334" i="1"/>
  <c r="W334" i="1"/>
  <c r="I745" i="1" l="1"/>
  <c r="I744" i="1"/>
  <c r="I735" i="1"/>
  <c r="I692" i="1"/>
  <c r="I635" i="1"/>
  <c r="I617" i="1"/>
  <c r="I545" i="1"/>
  <c r="I541" i="1"/>
  <c r="I540" i="1"/>
  <c r="I539" i="1"/>
  <c r="I538" i="1"/>
  <c r="I537" i="1"/>
  <c r="I535" i="1"/>
  <c r="I514" i="1"/>
  <c r="I504" i="1"/>
  <c r="I487" i="1"/>
  <c r="I473" i="1"/>
  <c r="I445" i="1"/>
  <c r="I441" i="1"/>
  <c r="I424" i="1"/>
  <c r="I418" i="1"/>
  <c r="I417" i="1"/>
  <c r="I392" i="1"/>
  <c r="I384" i="1"/>
  <c r="I380" i="1"/>
  <c r="I370" i="1"/>
  <c r="I284" i="1"/>
  <c r="I273" i="1"/>
  <c r="I272" i="1"/>
  <c r="I271" i="1"/>
  <c r="I270" i="1"/>
  <c r="I269" i="1"/>
  <c r="I268" i="1"/>
  <c r="I267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34" i="1"/>
  <c r="I233" i="1"/>
  <c r="I232" i="1"/>
  <c r="I231" i="1"/>
  <c r="I230" i="1"/>
  <c r="I229" i="1"/>
  <c r="I228" i="1"/>
  <c r="I227" i="1"/>
  <c r="I226" i="1"/>
  <c r="I225" i="1"/>
  <c r="I188" i="1"/>
  <c r="I177" i="1"/>
  <c r="J142" i="1"/>
  <c r="J139" i="1"/>
  <c r="I126" i="1"/>
  <c r="I125" i="1"/>
  <c r="J125" i="1" s="1"/>
  <c r="I117" i="1"/>
  <c r="I116" i="1"/>
  <c r="I108" i="1"/>
  <c r="J108" i="1" s="1"/>
  <c r="I102" i="1"/>
  <c r="I92" i="1"/>
  <c r="I90" i="1"/>
  <c r="I89" i="1"/>
  <c r="I88" i="1"/>
  <c r="I87" i="1"/>
  <c r="I86" i="1"/>
  <c r="J83" i="1"/>
  <c r="I37" i="1"/>
  <c r="I25" i="1"/>
  <c r="I24" i="1"/>
  <c r="N360" i="1"/>
  <c r="U360" i="1" s="1"/>
  <c r="O360" i="1"/>
  <c r="P360" i="1"/>
  <c r="Q360" i="1"/>
  <c r="R360" i="1"/>
  <c r="S360" i="1"/>
  <c r="T360" i="1"/>
  <c r="H360" i="1"/>
  <c r="H9" i="1"/>
  <c r="H112" i="1"/>
  <c r="Z649" i="1" l="1"/>
  <c r="AA649" i="1"/>
  <c r="Z235" i="1"/>
  <c r="AA235" i="1"/>
  <c r="J360" i="1"/>
  <c r="X360" i="1"/>
  <c r="V360" i="1"/>
  <c r="W360" i="1"/>
  <c r="I451" i="1" l="1"/>
  <c r="J77" i="1" l="1"/>
  <c r="H208" i="1" l="1"/>
  <c r="N234" i="1" l="1"/>
  <c r="V234" i="1" s="1"/>
  <c r="O234" i="1"/>
  <c r="P234" i="1"/>
  <c r="Q234" i="1"/>
  <c r="R234" i="1"/>
  <c r="S234" i="1"/>
  <c r="T234" i="1"/>
  <c r="N233" i="1"/>
  <c r="V233" i="1" s="1"/>
  <c r="O233" i="1"/>
  <c r="P233" i="1"/>
  <c r="Q233" i="1"/>
  <c r="R233" i="1"/>
  <c r="S233" i="1"/>
  <c r="T233" i="1"/>
  <c r="J233" i="1"/>
  <c r="J234" i="1"/>
  <c r="N232" i="1"/>
  <c r="V232" i="1" s="1"/>
  <c r="O232" i="1"/>
  <c r="P232" i="1"/>
  <c r="Q232" i="1"/>
  <c r="R232" i="1"/>
  <c r="S232" i="1"/>
  <c r="T232" i="1"/>
  <c r="N231" i="1"/>
  <c r="U231" i="1" s="1"/>
  <c r="O231" i="1"/>
  <c r="P231" i="1"/>
  <c r="Q231" i="1"/>
  <c r="R231" i="1"/>
  <c r="S231" i="1"/>
  <c r="T231" i="1"/>
  <c r="J231" i="1"/>
  <c r="J232" i="1"/>
  <c r="N273" i="1"/>
  <c r="U273" i="1" s="1"/>
  <c r="N272" i="1"/>
  <c r="U272" i="1" s="1"/>
  <c r="O273" i="1"/>
  <c r="P273" i="1"/>
  <c r="Q273" i="1"/>
  <c r="R273" i="1"/>
  <c r="S273" i="1"/>
  <c r="T273" i="1"/>
  <c r="O272" i="1"/>
  <c r="P272" i="1"/>
  <c r="Q272" i="1"/>
  <c r="R272" i="1"/>
  <c r="S272" i="1"/>
  <c r="T272" i="1"/>
  <c r="J273" i="1"/>
  <c r="J272" i="1"/>
  <c r="N271" i="1"/>
  <c r="V271" i="1" s="1"/>
  <c r="N270" i="1"/>
  <c r="U270" i="1" s="1"/>
  <c r="J271" i="1"/>
  <c r="J270" i="1"/>
  <c r="O271" i="1"/>
  <c r="P271" i="1"/>
  <c r="Q271" i="1"/>
  <c r="R271" i="1"/>
  <c r="S271" i="1"/>
  <c r="T271" i="1"/>
  <c r="O270" i="1"/>
  <c r="P270" i="1"/>
  <c r="Q270" i="1"/>
  <c r="R270" i="1"/>
  <c r="S270" i="1"/>
  <c r="T270" i="1"/>
  <c r="Z275" i="1" l="1"/>
  <c r="AA275" i="1"/>
  <c r="Z273" i="1"/>
  <c r="X233" i="1"/>
  <c r="X270" i="1"/>
  <c r="U233" i="1"/>
  <c r="X234" i="1"/>
  <c r="X272" i="1"/>
  <c r="X273" i="1"/>
  <c r="X231" i="1"/>
  <c r="U232" i="1"/>
  <c r="U234" i="1"/>
  <c r="W234" i="1"/>
  <c r="W233" i="1"/>
  <c r="X232" i="1"/>
  <c r="W232" i="1"/>
  <c r="W231" i="1"/>
  <c r="V231" i="1"/>
  <c r="W273" i="1"/>
  <c r="V273" i="1"/>
  <c r="AA273" i="1"/>
  <c r="W272" i="1"/>
  <c r="V272" i="1"/>
  <c r="U271" i="1"/>
  <c r="X271" i="1"/>
  <c r="W271" i="1"/>
  <c r="W270" i="1"/>
  <c r="V270" i="1"/>
  <c r="N295" i="1" l="1"/>
  <c r="U295" i="1" s="1"/>
  <c r="O295" i="1"/>
  <c r="P295" i="1"/>
  <c r="Q295" i="1"/>
  <c r="R295" i="1"/>
  <c r="S295" i="1"/>
  <c r="T295" i="1"/>
  <c r="N296" i="1"/>
  <c r="U296" i="1" s="1"/>
  <c r="O296" i="1"/>
  <c r="P296" i="1"/>
  <c r="Q296" i="1"/>
  <c r="R296" i="1"/>
  <c r="S296" i="1"/>
  <c r="T296" i="1"/>
  <c r="Z296" i="1"/>
  <c r="N294" i="1"/>
  <c r="U294" i="1" s="1"/>
  <c r="O294" i="1"/>
  <c r="P294" i="1"/>
  <c r="Q294" i="1"/>
  <c r="R294" i="1"/>
  <c r="S294" i="1"/>
  <c r="T294" i="1"/>
  <c r="X295" i="1" l="1"/>
  <c r="W294" i="1"/>
  <c r="V295" i="1"/>
  <c r="V294" i="1"/>
  <c r="W295" i="1"/>
  <c r="V296" i="1"/>
  <c r="X294" i="1"/>
  <c r="X296" i="1"/>
  <c r="AA296" i="1"/>
  <c r="W296" i="1"/>
  <c r="O289" i="1" l="1"/>
  <c r="P289" i="1"/>
  <c r="Q289" i="1"/>
  <c r="R289" i="1"/>
  <c r="S289" i="1"/>
  <c r="T289" i="1"/>
  <c r="J289" i="1"/>
  <c r="N68" i="1" l="1"/>
  <c r="U68" i="1" s="1"/>
  <c r="O68" i="1"/>
  <c r="P68" i="1"/>
  <c r="Q68" i="1"/>
  <c r="R68" i="1"/>
  <c r="S68" i="1"/>
  <c r="T68" i="1"/>
  <c r="J68" i="1"/>
  <c r="V68" i="1" l="1"/>
  <c r="X68" i="1"/>
  <c r="W68" i="1"/>
  <c r="N678" i="1" l="1"/>
  <c r="U678" i="1" s="1"/>
  <c r="O678" i="1"/>
  <c r="P678" i="1"/>
  <c r="Q678" i="1"/>
  <c r="R678" i="1"/>
  <c r="S678" i="1"/>
  <c r="T678" i="1"/>
  <c r="J678" i="1"/>
  <c r="V678" i="1" l="1"/>
  <c r="X678" i="1"/>
  <c r="W678" i="1"/>
  <c r="N291" i="1" l="1"/>
  <c r="U291" i="1" s="1"/>
  <c r="O291" i="1"/>
  <c r="P291" i="1"/>
  <c r="Q291" i="1"/>
  <c r="R291" i="1"/>
  <c r="S291" i="1"/>
  <c r="T291" i="1"/>
  <c r="N82" i="1"/>
  <c r="X82" i="1" s="1"/>
  <c r="O82" i="1"/>
  <c r="P82" i="1"/>
  <c r="Q82" i="1"/>
  <c r="R82" i="1"/>
  <c r="S82" i="1"/>
  <c r="T82" i="1"/>
  <c r="J82" i="1"/>
  <c r="Z82" i="1" s="1"/>
  <c r="H547" i="1"/>
  <c r="N636" i="1"/>
  <c r="V636" i="1" s="1"/>
  <c r="O636" i="1"/>
  <c r="P636" i="1"/>
  <c r="Q636" i="1"/>
  <c r="R636" i="1"/>
  <c r="S636" i="1"/>
  <c r="T636" i="1"/>
  <c r="J288" i="1"/>
  <c r="AA636" i="1" l="1"/>
  <c r="X636" i="1"/>
  <c r="W82" i="1"/>
  <c r="U82" i="1"/>
  <c r="W636" i="1"/>
  <c r="U636" i="1"/>
  <c r="X291" i="1"/>
  <c r="Z636" i="1"/>
  <c r="V291" i="1"/>
  <c r="W291" i="1"/>
  <c r="AA82" i="1"/>
  <c r="V82" i="1"/>
  <c r="I154" i="1" l="1"/>
  <c r="N543" i="1"/>
  <c r="U543" i="1" s="1"/>
  <c r="O543" i="1"/>
  <c r="P543" i="1"/>
  <c r="Q543" i="1"/>
  <c r="R543" i="1"/>
  <c r="S543" i="1"/>
  <c r="T543" i="1"/>
  <c r="J543" i="1"/>
  <c r="Z140" i="1" l="1"/>
  <c r="AA140" i="1"/>
  <c r="X543" i="1"/>
  <c r="V543" i="1"/>
  <c r="W543" i="1"/>
  <c r="I120" i="1" l="1"/>
  <c r="N208" i="1" l="1"/>
  <c r="U208" i="1" s="1"/>
  <c r="O208" i="1"/>
  <c r="P208" i="1"/>
  <c r="Q208" i="1"/>
  <c r="R208" i="1"/>
  <c r="S208" i="1"/>
  <c r="T208" i="1"/>
  <c r="X208" i="1" l="1"/>
  <c r="W208" i="1"/>
  <c r="V208" i="1"/>
  <c r="J211" i="1" l="1"/>
  <c r="J212" i="1"/>
  <c r="J210" i="1"/>
  <c r="T487" i="1" l="1"/>
  <c r="T488" i="1"/>
  <c r="N487" i="1"/>
  <c r="N488" i="1"/>
  <c r="J487" i="1"/>
  <c r="J488" i="1"/>
  <c r="AA358" i="1" l="1"/>
  <c r="Z358" i="1"/>
  <c r="N359" i="1" l="1"/>
  <c r="U359" i="1" s="1"/>
  <c r="O359" i="1"/>
  <c r="P359" i="1"/>
  <c r="Q359" i="1"/>
  <c r="R359" i="1"/>
  <c r="S359" i="1"/>
  <c r="T359" i="1"/>
  <c r="J359" i="1"/>
  <c r="N176" i="1"/>
  <c r="U176" i="1" s="1"/>
  <c r="N175" i="1"/>
  <c r="U175" i="1" s="1"/>
  <c r="O176" i="1"/>
  <c r="P176" i="1"/>
  <c r="Q176" i="1"/>
  <c r="R176" i="1"/>
  <c r="S176" i="1"/>
  <c r="T176" i="1"/>
  <c r="O175" i="1"/>
  <c r="P175" i="1"/>
  <c r="Q175" i="1"/>
  <c r="R175" i="1"/>
  <c r="S175" i="1"/>
  <c r="T175" i="1"/>
  <c r="J175" i="1"/>
  <c r="H269" i="1"/>
  <c r="Z176" i="1" l="1"/>
  <c r="AA176" i="1"/>
  <c r="V175" i="1"/>
  <c r="X359" i="1"/>
  <c r="X176" i="1"/>
  <c r="V359" i="1"/>
  <c r="X175" i="1"/>
  <c r="V176" i="1"/>
  <c r="W359" i="1"/>
  <c r="W176" i="1"/>
  <c r="W175" i="1"/>
  <c r="N735" i="1" l="1"/>
  <c r="U735" i="1" s="1"/>
  <c r="O735" i="1"/>
  <c r="P735" i="1"/>
  <c r="Q735" i="1"/>
  <c r="R735" i="1"/>
  <c r="S735" i="1"/>
  <c r="T735" i="1"/>
  <c r="X735" i="1" l="1"/>
  <c r="V735" i="1"/>
  <c r="W735" i="1"/>
  <c r="J735" i="1" l="1"/>
  <c r="Z453" i="1" l="1"/>
  <c r="AA453" i="1"/>
  <c r="Z735" i="1"/>
  <c r="AA735" i="1"/>
  <c r="N630" i="1" l="1"/>
  <c r="U630" i="1" s="1"/>
  <c r="O630" i="1"/>
  <c r="P630" i="1"/>
  <c r="Q630" i="1"/>
  <c r="R630" i="1"/>
  <c r="S630" i="1"/>
  <c r="T630" i="1"/>
  <c r="J630" i="1"/>
  <c r="N606" i="1"/>
  <c r="U606" i="1" s="1"/>
  <c r="O606" i="1"/>
  <c r="P606" i="1"/>
  <c r="Q606" i="1"/>
  <c r="R606" i="1"/>
  <c r="S606" i="1"/>
  <c r="T606" i="1"/>
  <c r="J606" i="1"/>
  <c r="X630" i="1" l="1"/>
  <c r="V630" i="1"/>
  <c r="X606" i="1"/>
  <c r="AA606" i="1"/>
  <c r="W606" i="1"/>
  <c r="V606" i="1"/>
  <c r="Z606" i="1"/>
  <c r="W630" i="1"/>
  <c r="J425" i="1" l="1"/>
  <c r="J230" i="1"/>
  <c r="J229" i="1"/>
  <c r="J228" i="1"/>
  <c r="J227" i="1"/>
  <c r="J226" i="1"/>
  <c r="J225" i="1"/>
  <c r="J126" i="1"/>
  <c r="J89" i="1"/>
  <c r="J25" i="1"/>
  <c r="I186" i="1"/>
  <c r="J348" i="1"/>
  <c r="Z79" i="1" l="1"/>
  <c r="AA79" i="1"/>
  <c r="N117" i="1"/>
  <c r="U117" i="1" s="1"/>
  <c r="N116" i="1"/>
  <c r="U116" i="1" s="1"/>
  <c r="J117" i="1"/>
  <c r="J116" i="1"/>
  <c r="N115" i="1"/>
  <c r="U115" i="1" s="1"/>
  <c r="J115" i="1"/>
  <c r="J112" i="1"/>
  <c r="J113" i="1"/>
  <c r="J114" i="1"/>
  <c r="N114" i="1"/>
  <c r="U114" i="1" s="1"/>
  <c r="N113" i="1"/>
  <c r="U113" i="1" s="1"/>
  <c r="N112" i="1"/>
  <c r="U112" i="1" s="1"/>
  <c r="X115" i="1" l="1"/>
  <c r="X116" i="1"/>
  <c r="X113" i="1"/>
  <c r="V113" i="1"/>
  <c r="V116" i="1"/>
  <c r="X117" i="1"/>
  <c r="V117" i="1"/>
  <c r="V115" i="1"/>
  <c r="W117" i="1"/>
  <c r="W116" i="1"/>
  <c r="W115" i="1"/>
  <c r="X114" i="1"/>
  <c r="V114" i="1"/>
  <c r="W114" i="1"/>
  <c r="W113" i="1"/>
  <c r="X112" i="1"/>
  <c r="V112" i="1"/>
  <c r="W112" i="1"/>
  <c r="N353" i="1" l="1"/>
  <c r="N34" i="1" l="1"/>
  <c r="U34" i="1" s="1"/>
  <c r="O34" i="1"/>
  <c r="P34" i="1"/>
  <c r="Q34" i="1"/>
  <c r="R34" i="1"/>
  <c r="S34" i="1"/>
  <c r="T34" i="1"/>
  <c r="J34" i="1"/>
  <c r="W34" i="1" l="1"/>
  <c r="X34" i="1"/>
  <c r="V34" i="1"/>
  <c r="N28" i="1" l="1"/>
  <c r="U28" i="1" s="1"/>
  <c r="O28" i="1"/>
  <c r="P28" i="1"/>
  <c r="Q28" i="1"/>
  <c r="R28" i="1"/>
  <c r="S28" i="1"/>
  <c r="T28" i="1"/>
  <c r="J28" i="1"/>
  <c r="N11" i="1"/>
  <c r="U11" i="1" s="1"/>
  <c r="T11" i="1"/>
  <c r="J11" i="1"/>
  <c r="Z322" i="1" l="1"/>
  <c r="AA322" i="1"/>
  <c r="Z495" i="1"/>
  <c r="AA495" i="1"/>
  <c r="W11" i="1"/>
  <c r="V11" i="1"/>
  <c r="X11" i="1"/>
  <c r="X28" i="1"/>
  <c r="V28" i="1"/>
  <c r="W28" i="1"/>
  <c r="J647" i="1" l="1"/>
  <c r="J81" i="1"/>
  <c r="N647" i="1"/>
  <c r="U647" i="1" s="1"/>
  <c r="O647" i="1"/>
  <c r="P647" i="1"/>
  <c r="Q647" i="1"/>
  <c r="R647" i="1"/>
  <c r="S647" i="1"/>
  <c r="T647" i="1"/>
  <c r="Z18" i="1" l="1"/>
  <c r="AA18" i="1"/>
  <c r="AA175" i="1"/>
  <c r="Z175" i="1"/>
  <c r="X647" i="1"/>
  <c r="V647" i="1"/>
  <c r="W647" i="1"/>
  <c r="N547" i="1" l="1"/>
  <c r="U547" i="1" s="1"/>
  <c r="O547" i="1"/>
  <c r="P547" i="1"/>
  <c r="Q547" i="1"/>
  <c r="R547" i="1"/>
  <c r="S547" i="1"/>
  <c r="T547" i="1"/>
  <c r="J547" i="1"/>
  <c r="Z547" i="1" l="1"/>
  <c r="Z399" i="1"/>
  <c r="AA399" i="1"/>
  <c r="X547" i="1"/>
  <c r="V547" i="1"/>
  <c r="AA547" i="1"/>
  <c r="W547" i="1"/>
  <c r="J377" i="1" l="1"/>
  <c r="N568" i="1" l="1"/>
  <c r="U568" i="1" s="1"/>
  <c r="O568" i="1"/>
  <c r="P568" i="1"/>
  <c r="Q568" i="1"/>
  <c r="R568" i="1"/>
  <c r="S568" i="1"/>
  <c r="T568" i="1"/>
  <c r="J568" i="1"/>
  <c r="N398" i="1"/>
  <c r="U398" i="1" s="1"/>
  <c r="O398" i="1"/>
  <c r="P398" i="1"/>
  <c r="Q398" i="1"/>
  <c r="R398" i="1"/>
  <c r="S398" i="1"/>
  <c r="T398" i="1"/>
  <c r="J398" i="1"/>
  <c r="Z570" i="1" l="1"/>
  <c r="AA570" i="1"/>
  <c r="W398" i="1"/>
  <c r="X568" i="1"/>
  <c r="X398" i="1"/>
  <c r="V398" i="1"/>
  <c r="V568" i="1"/>
  <c r="W568" i="1"/>
  <c r="N691" i="1" l="1"/>
  <c r="U691" i="1" s="1"/>
  <c r="O691" i="1"/>
  <c r="P691" i="1"/>
  <c r="Q691" i="1"/>
  <c r="R691" i="1"/>
  <c r="S691" i="1"/>
  <c r="T691" i="1"/>
  <c r="J691" i="1"/>
  <c r="T362" i="1"/>
  <c r="W691" i="1" l="1"/>
  <c r="X691" i="1"/>
  <c r="V691" i="1"/>
  <c r="J557" i="1" l="1"/>
  <c r="J558" i="1"/>
  <c r="N707" i="1" l="1"/>
  <c r="V707" i="1" s="1"/>
  <c r="O707" i="1"/>
  <c r="P707" i="1"/>
  <c r="Q707" i="1"/>
  <c r="R707" i="1"/>
  <c r="S707" i="1"/>
  <c r="T707" i="1"/>
  <c r="J707" i="1"/>
  <c r="Z707" i="1" s="1"/>
  <c r="N324" i="1"/>
  <c r="U324" i="1" s="1"/>
  <c r="O324" i="1"/>
  <c r="P324" i="1"/>
  <c r="Q324" i="1"/>
  <c r="R324" i="1"/>
  <c r="S324" i="1"/>
  <c r="T324" i="1"/>
  <c r="J324" i="1"/>
  <c r="N557" i="1"/>
  <c r="U557" i="1" s="1"/>
  <c r="O557" i="1"/>
  <c r="P557" i="1"/>
  <c r="Q557" i="1"/>
  <c r="R557" i="1"/>
  <c r="S557" i="1"/>
  <c r="T557" i="1"/>
  <c r="X324" i="1" l="1"/>
  <c r="X707" i="1"/>
  <c r="X557" i="1"/>
  <c r="U707" i="1"/>
  <c r="V557" i="1"/>
  <c r="V324" i="1"/>
  <c r="W707" i="1"/>
  <c r="AA707" i="1"/>
  <c r="W324" i="1"/>
  <c r="W557" i="1"/>
  <c r="T8" i="1" l="1"/>
  <c r="T5" i="1"/>
  <c r="Z553" i="1"/>
  <c r="N553" i="1"/>
  <c r="U553" i="1" s="1"/>
  <c r="O553" i="1"/>
  <c r="P553" i="1"/>
  <c r="Q553" i="1"/>
  <c r="R553" i="1"/>
  <c r="S553" i="1"/>
  <c r="T553" i="1"/>
  <c r="AA553" i="1" l="1"/>
  <c r="X553" i="1"/>
  <c r="V553" i="1"/>
  <c r="W553" i="1"/>
  <c r="N357" i="1" l="1"/>
  <c r="U357" i="1" s="1"/>
  <c r="O357" i="1"/>
  <c r="P357" i="1"/>
  <c r="Q357" i="1"/>
  <c r="R357" i="1"/>
  <c r="S357" i="1"/>
  <c r="T357" i="1"/>
  <c r="J357" i="1"/>
  <c r="Z357" i="1" s="1"/>
  <c r="V357" i="1" l="1"/>
  <c r="X357" i="1"/>
  <c r="AA357" i="1"/>
  <c r="W357" i="1"/>
  <c r="Z125" i="1" l="1"/>
  <c r="Z126" i="1"/>
  <c r="N195" i="1"/>
  <c r="U195" i="1" s="1"/>
  <c r="O195" i="1"/>
  <c r="P195" i="1"/>
  <c r="Q195" i="1"/>
  <c r="R195" i="1"/>
  <c r="S195" i="1"/>
  <c r="T195" i="1"/>
  <c r="N86" i="1"/>
  <c r="U86" i="1" s="1"/>
  <c r="O86" i="1"/>
  <c r="P86" i="1"/>
  <c r="Q86" i="1"/>
  <c r="R86" i="1"/>
  <c r="S86" i="1"/>
  <c r="T86" i="1"/>
  <c r="J195" i="1"/>
  <c r="N126" i="1"/>
  <c r="U126" i="1" s="1"/>
  <c r="N125" i="1"/>
  <c r="U125" i="1" s="1"/>
  <c r="O126" i="1"/>
  <c r="P126" i="1"/>
  <c r="Q126" i="1"/>
  <c r="R126" i="1"/>
  <c r="S126" i="1"/>
  <c r="T126" i="1"/>
  <c r="O125" i="1"/>
  <c r="P125" i="1"/>
  <c r="Q125" i="1"/>
  <c r="R125" i="1"/>
  <c r="S125" i="1"/>
  <c r="T125" i="1"/>
  <c r="X126" i="1" l="1"/>
  <c r="AA126" i="1"/>
  <c r="AA125" i="1"/>
  <c r="X86" i="1"/>
  <c r="V86" i="1"/>
  <c r="X195" i="1"/>
  <c r="V195" i="1"/>
  <c r="W195" i="1"/>
  <c r="W86" i="1"/>
  <c r="V126" i="1"/>
  <c r="W126" i="1"/>
  <c r="X125" i="1"/>
  <c r="V125" i="1"/>
  <c r="W125" i="1"/>
  <c r="J384" i="1"/>
  <c r="Z345" i="1" l="1"/>
  <c r="AA345" i="1"/>
  <c r="N25" i="1"/>
  <c r="O25" i="1"/>
  <c r="P25" i="1"/>
  <c r="Q25" i="1"/>
  <c r="R25" i="1"/>
  <c r="S25" i="1"/>
  <c r="T25" i="1"/>
  <c r="N5" i="1"/>
  <c r="N8" i="1"/>
  <c r="N165" i="1"/>
  <c r="W5" i="1" l="1"/>
  <c r="U5" i="1"/>
  <c r="X5" i="1"/>
  <c r="V5" i="1"/>
  <c r="X8" i="1"/>
  <c r="V8" i="1"/>
  <c r="W8" i="1"/>
  <c r="U8" i="1"/>
  <c r="U25" i="1"/>
  <c r="X25" i="1"/>
  <c r="V25" i="1"/>
  <c r="W25" i="1"/>
  <c r="N88" i="1"/>
  <c r="U88" i="1" s="1"/>
  <c r="O88" i="1"/>
  <c r="P88" i="1"/>
  <c r="Q88" i="1"/>
  <c r="R88" i="1"/>
  <c r="S88" i="1"/>
  <c r="T88" i="1"/>
  <c r="J87" i="1"/>
  <c r="J88" i="1"/>
  <c r="X88" i="1" l="1"/>
  <c r="V88" i="1"/>
  <c r="W88" i="1"/>
  <c r="N590" i="1" l="1"/>
  <c r="U590" i="1" s="1"/>
  <c r="O590" i="1"/>
  <c r="P590" i="1"/>
  <c r="Q590" i="1"/>
  <c r="R590" i="1"/>
  <c r="S590" i="1"/>
  <c r="T590" i="1"/>
  <c r="Z590" i="1"/>
  <c r="N96" i="1"/>
  <c r="U96" i="1" s="1"/>
  <c r="O96" i="1"/>
  <c r="P96" i="1"/>
  <c r="Q96" i="1"/>
  <c r="R96" i="1"/>
  <c r="S96" i="1"/>
  <c r="T96" i="1"/>
  <c r="J96" i="1"/>
  <c r="AA499" i="1" l="1"/>
  <c r="Z499" i="1"/>
  <c r="X96" i="1"/>
  <c r="W96" i="1"/>
  <c r="X590" i="1"/>
  <c r="V96" i="1"/>
  <c r="V590" i="1"/>
  <c r="AA590" i="1"/>
  <c r="W590" i="1"/>
  <c r="J527" i="1" l="1"/>
  <c r="N437" i="1" l="1"/>
  <c r="U437" i="1" s="1"/>
  <c r="N436" i="1"/>
  <c r="U436" i="1" s="1"/>
  <c r="N435" i="1"/>
  <c r="U435" i="1" s="1"/>
  <c r="O437" i="1"/>
  <c r="P437" i="1"/>
  <c r="Q437" i="1"/>
  <c r="R437" i="1"/>
  <c r="S437" i="1"/>
  <c r="T437" i="1"/>
  <c r="O436" i="1"/>
  <c r="P436" i="1"/>
  <c r="Q436" i="1"/>
  <c r="R436" i="1"/>
  <c r="S436" i="1"/>
  <c r="T436" i="1"/>
  <c r="O435" i="1"/>
  <c r="P435" i="1"/>
  <c r="Q435" i="1"/>
  <c r="R435" i="1"/>
  <c r="S435" i="1"/>
  <c r="T435" i="1"/>
  <c r="J437" i="1"/>
  <c r="J436" i="1"/>
  <c r="J435" i="1"/>
  <c r="Z435" i="1" s="1"/>
  <c r="N455" i="1"/>
  <c r="U455" i="1" s="1"/>
  <c r="O455" i="1"/>
  <c r="P455" i="1"/>
  <c r="Q455" i="1"/>
  <c r="R455" i="1"/>
  <c r="S455" i="1"/>
  <c r="T455" i="1"/>
  <c r="J455" i="1"/>
  <c r="Z437" i="1" l="1"/>
  <c r="Z518" i="1"/>
  <c r="AA518" i="1"/>
  <c r="X437" i="1"/>
  <c r="W435" i="1"/>
  <c r="V437" i="1"/>
  <c r="AA435" i="1"/>
  <c r="X435" i="1"/>
  <c r="V435" i="1"/>
  <c r="X436" i="1"/>
  <c r="X455" i="1"/>
  <c r="V436" i="1"/>
  <c r="AA437" i="1"/>
  <c r="W437" i="1"/>
  <c r="W436" i="1"/>
  <c r="V455" i="1"/>
  <c r="W455" i="1"/>
  <c r="N626" i="1" l="1"/>
  <c r="U626" i="1" s="1"/>
  <c r="T626" i="1"/>
  <c r="H626" i="1"/>
  <c r="J626" i="1" s="1"/>
  <c r="N576" i="1"/>
  <c r="U576" i="1" s="1"/>
  <c r="O576" i="1"/>
  <c r="P576" i="1"/>
  <c r="Q576" i="1"/>
  <c r="R576" i="1"/>
  <c r="S576" i="1"/>
  <c r="T576" i="1"/>
  <c r="H123" i="1"/>
  <c r="AA647" i="1" l="1"/>
  <c r="Z647" i="1"/>
  <c r="Z626" i="1"/>
  <c r="X576" i="1"/>
  <c r="V626" i="1"/>
  <c r="V576" i="1"/>
  <c r="W576" i="1"/>
  <c r="N91" i="1"/>
  <c r="W91" i="1" s="1"/>
  <c r="N22" i="1"/>
  <c r="W22" i="1" s="1"/>
  <c r="AA493" i="1"/>
  <c r="Z493" i="1"/>
  <c r="Z425" i="1"/>
  <c r="Z384" i="1"/>
  <c r="Z348" i="1"/>
  <c r="Z225" i="1"/>
  <c r="Z227" i="1"/>
  <c r="Z228" i="1"/>
  <c r="Z229" i="1"/>
  <c r="Z230" i="1"/>
  <c r="Z108" i="1"/>
  <c r="N83" i="1"/>
  <c r="U83" i="1" s="1"/>
  <c r="N81" i="1"/>
  <c r="Z81" i="1"/>
  <c r="Z83" i="1"/>
  <c r="N658" i="1"/>
  <c r="T622" i="1"/>
  <c r="T623" i="1"/>
  <c r="T625" i="1"/>
  <c r="N622" i="1"/>
  <c r="V622" i="1" s="1"/>
  <c r="N623" i="1"/>
  <c r="U623" i="1" s="1"/>
  <c r="N625" i="1"/>
  <c r="V625" i="1" s="1"/>
  <c r="N177" i="1"/>
  <c r="U177" i="1" s="1"/>
  <c r="P177" i="1"/>
  <c r="Q177" i="1"/>
  <c r="R177" i="1"/>
  <c r="S177" i="1"/>
  <c r="H177" i="1"/>
  <c r="J177" i="1" s="1"/>
  <c r="AA626" i="1" l="1"/>
  <c r="X22" i="1"/>
  <c r="U622" i="1"/>
  <c r="V22" i="1"/>
  <c r="U625" i="1"/>
  <c r="V623" i="1"/>
  <c r="X83" i="1"/>
  <c r="U22" i="1"/>
  <c r="V91" i="1"/>
  <c r="U91" i="1"/>
  <c r="X91" i="1"/>
  <c r="U81" i="1"/>
  <c r="X81" i="1"/>
  <c r="AA81" i="1"/>
  <c r="AA83" i="1"/>
  <c r="W83" i="1"/>
  <c r="V83" i="1"/>
  <c r="W81" i="1"/>
  <c r="V81" i="1"/>
  <c r="X177" i="1"/>
  <c r="W177" i="1"/>
  <c r="V177" i="1"/>
  <c r="Z177" i="1"/>
  <c r="AA177" i="1"/>
  <c r="N527" i="1" l="1"/>
  <c r="X527" i="1" s="1"/>
  <c r="O527" i="1"/>
  <c r="P527" i="1"/>
  <c r="Q527" i="1"/>
  <c r="R527" i="1"/>
  <c r="S527" i="1"/>
  <c r="T527" i="1"/>
  <c r="O493" i="1"/>
  <c r="P493" i="1"/>
  <c r="Q493" i="1"/>
  <c r="R493" i="1"/>
  <c r="S493" i="1"/>
  <c r="T493" i="1"/>
  <c r="U527" i="1" l="1"/>
  <c r="V527" i="1"/>
  <c r="W527" i="1"/>
  <c r="J566" i="1" l="1"/>
  <c r="H513" i="1"/>
  <c r="N541" i="1" l="1"/>
  <c r="O541" i="1"/>
  <c r="P541" i="1"/>
  <c r="Q541" i="1"/>
  <c r="R541" i="1"/>
  <c r="S541" i="1"/>
  <c r="T541" i="1"/>
  <c r="U541" i="1" l="1"/>
  <c r="W541" i="1"/>
  <c r="X541" i="1"/>
  <c r="V541" i="1"/>
  <c r="N629" i="1" l="1"/>
  <c r="U629" i="1" s="1"/>
  <c r="O629" i="1"/>
  <c r="P629" i="1"/>
  <c r="Q629" i="1"/>
  <c r="R629" i="1"/>
  <c r="S629" i="1"/>
  <c r="T629" i="1"/>
  <c r="J629" i="1"/>
  <c r="Z629" i="1" l="1"/>
  <c r="AA648" i="1"/>
  <c r="Z648" i="1"/>
  <c r="W629" i="1"/>
  <c r="AA629" i="1"/>
  <c r="X629" i="1"/>
  <c r="V629" i="1"/>
  <c r="N384" i="1" l="1"/>
  <c r="O384" i="1"/>
  <c r="P384" i="1"/>
  <c r="Q384" i="1"/>
  <c r="R384" i="1"/>
  <c r="S384" i="1"/>
  <c r="T384" i="1"/>
  <c r="U384" i="1" l="1"/>
  <c r="AA384" i="1"/>
  <c r="W384" i="1"/>
  <c r="X384" i="1"/>
  <c r="V384" i="1"/>
  <c r="H535" i="1" l="1"/>
  <c r="H537" i="1"/>
  <c r="H538" i="1"/>
  <c r="H539" i="1"/>
  <c r="H540" i="1"/>
  <c r="N319" i="1" l="1"/>
  <c r="W319" i="1" s="1"/>
  <c r="O319" i="1"/>
  <c r="P319" i="1"/>
  <c r="Q319" i="1"/>
  <c r="R319" i="1"/>
  <c r="S319" i="1"/>
  <c r="T319" i="1"/>
  <c r="J319" i="1"/>
  <c r="Z319" i="1" s="1"/>
  <c r="N230" i="1"/>
  <c r="O230" i="1"/>
  <c r="P230" i="1"/>
  <c r="Q230" i="1"/>
  <c r="R230" i="1"/>
  <c r="S230" i="1"/>
  <c r="T230" i="1"/>
  <c r="N229" i="1"/>
  <c r="O229" i="1"/>
  <c r="P229" i="1"/>
  <c r="Q229" i="1"/>
  <c r="R229" i="1"/>
  <c r="S229" i="1"/>
  <c r="T229" i="1"/>
  <c r="N228" i="1"/>
  <c r="O228" i="1"/>
  <c r="P228" i="1"/>
  <c r="Q228" i="1"/>
  <c r="R228" i="1"/>
  <c r="S228" i="1"/>
  <c r="T228" i="1"/>
  <c r="U229" i="1" l="1"/>
  <c r="AA229" i="1"/>
  <c r="U230" i="1"/>
  <c r="AA230" i="1"/>
  <c r="U228" i="1"/>
  <c r="AA228" i="1"/>
  <c r="X319" i="1"/>
  <c r="V229" i="1"/>
  <c r="X230" i="1"/>
  <c r="V319" i="1"/>
  <c r="U319" i="1"/>
  <c r="V230" i="1"/>
  <c r="AA319" i="1"/>
  <c r="X228" i="1"/>
  <c r="V228" i="1"/>
  <c r="X229" i="1"/>
  <c r="W230" i="1"/>
  <c r="W229" i="1"/>
  <c r="W228" i="1"/>
  <c r="N269" i="1" l="1"/>
  <c r="U269" i="1" s="1"/>
  <c r="O269" i="1"/>
  <c r="P269" i="1"/>
  <c r="Q269" i="1"/>
  <c r="R269" i="1"/>
  <c r="S269" i="1"/>
  <c r="T269" i="1"/>
  <c r="J269" i="1"/>
  <c r="X269" i="1" l="1"/>
  <c r="V269" i="1"/>
  <c r="W269" i="1"/>
  <c r="J381" i="1" l="1"/>
  <c r="J382" i="1"/>
  <c r="Z382" i="1" l="1"/>
  <c r="N268" i="1"/>
  <c r="U268" i="1" s="1"/>
  <c r="O268" i="1"/>
  <c r="P268" i="1"/>
  <c r="Q268" i="1"/>
  <c r="R268" i="1"/>
  <c r="S268" i="1"/>
  <c r="T268" i="1"/>
  <c r="J268" i="1"/>
  <c r="Z272" i="1" l="1"/>
  <c r="AA272" i="1"/>
  <c r="X268" i="1"/>
  <c r="V268" i="1"/>
  <c r="W268" i="1"/>
  <c r="N341" i="1" l="1"/>
  <c r="U341" i="1" s="1"/>
  <c r="O341" i="1"/>
  <c r="P341" i="1"/>
  <c r="Q341" i="1"/>
  <c r="R341" i="1"/>
  <c r="S341" i="1"/>
  <c r="T341" i="1"/>
  <c r="Z341" i="1"/>
  <c r="W341" i="1" l="1"/>
  <c r="X341" i="1"/>
  <c r="V341" i="1"/>
  <c r="AA341" i="1"/>
  <c r="Z563" i="1" l="1"/>
  <c r="N227" i="1"/>
  <c r="N226" i="1"/>
  <c r="N225" i="1"/>
  <c r="O227" i="1"/>
  <c r="P227" i="1"/>
  <c r="Q227" i="1"/>
  <c r="R227" i="1"/>
  <c r="S227" i="1"/>
  <c r="T227" i="1"/>
  <c r="O226" i="1"/>
  <c r="P226" i="1"/>
  <c r="Q226" i="1"/>
  <c r="R226" i="1"/>
  <c r="S226" i="1"/>
  <c r="T226" i="1"/>
  <c r="O225" i="1"/>
  <c r="P225" i="1"/>
  <c r="Q225" i="1"/>
  <c r="R225" i="1"/>
  <c r="S225" i="1"/>
  <c r="T225" i="1"/>
  <c r="U227" i="1" l="1"/>
  <c r="AA227" i="1"/>
  <c r="U225" i="1"/>
  <c r="AA225" i="1"/>
  <c r="U226" i="1"/>
  <c r="X226" i="1"/>
  <c r="X225" i="1"/>
  <c r="V225" i="1"/>
  <c r="V226" i="1"/>
  <c r="X227" i="1"/>
  <c r="W225" i="1"/>
  <c r="V227" i="1"/>
  <c r="W227" i="1"/>
  <c r="W226" i="1"/>
  <c r="J472" i="1" l="1"/>
  <c r="Z294" i="1" l="1"/>
  <c r="AA294" i="1"/>
  <c r="J623" i="1" l="1"/>
  <c r="AA623" i="1" l="1"/>
  <c r="Z623" i="1"/>
  <c r="N511" i="1"/>
  <c r="U511" i="1" s="1"/>
  <c r="O511" i="1"/>
  <c r="P511" i="1"/>
  <c r="Q511" i="1"/>
  <c r="R511" i="1"/>
  <c r="S511" i="1"/>
  <c r="T511" i="1"/>
  <c r="J511" i="1"/>
  <c r="Z511" i="1" s="1"/>
  <c r="X511" i="1" l="1"/>
  <c r="V511" i="1"/>
  <c r="AA511" i="1"/>
  <c r="W511" i="1"/>
  <c r="N377" i="1"/>
  <c r="U377" i="1" s="1"/>
  <c r="O377" i="1"/>
  <c r="P377" i="1"/>
  <c r="Q377" i="1"/>
  <c r="R377" i="1"/>
  <c r="S377" i="1"/>
  <c r="T377" i="1"/>
  <c r="Z377" i="1"/>
  <c r="H614" i="1"/>
  <c r="X377" i="1" l="1"/>
  <c r="V377" i="1"/>
  <c r="AA377" i="1"/>
  <c r="W377" i="1"/>
  <c r="N677" i="1" l="1"/>
  <c r="U677" i="1" s="1"/>
  <c r="N569" i="1"/>
  <c r="U569" i="1" s="1"/>
  <c r="N563" i="1"/>
  <c r="N152" i="1"/>
  <c r="U152" i="1" s="1"/>
  <c r="N108" i="1"/>
  <c r="N97" i="1"/>
  <c r="U97" i="1" s="1"/>
  <c r="U563" i="1" l="1"/>
  <c r="AA563" i="1"/>
  <c r="U108" i="1"/>
  <c r="AA108" i="1"/>
  <c r="X563" i="1"/>
  <c r="V563" i="1"/>
  <c r="X97" i="1"/>
  <c r="V97" i="1"/>
  <c r="X108" i="1"/>
  <c r="X152" i="1"/>
  <c r="X677" i="1"/>
  <c r="V152" i="1"/>
  <c r="V108" i="1"/>
  <c r="W563" i="1"/>
  <c r="X569" i="1"/>
  <c r="V677" i="1"/>
  <c r="W108" i="1"/>
  <c r="W152" i="1"/>
  <c r="V569" i="1"/>
  <c r="W677" i="1"/>
  <c r="W569" i="1"/>
  <c r="W97" i="1"/>
  <c r="J154" i="1" l="1"/>
  <c r="J352" i="1" l="1"/>
  <c r="N558" i="1"/>
  <c r="O558" i="1"/>
  <c r="P558" i="1"/>
  <c r="Q558" i="1"/>
  <c r="R558" i="1"/>
  <c r="S558" i="1"/>
  <c r="T558" i="1"/>
  <c r="N340" i="1"/>
  <c r="U340" i="1" s="1"/>
  <c r="O340" i="1"/>
  <c r="P340" i="1"/>
  <c r="Q340" i="1"/>
  <c r="R340" i="1"/>
  <c r="S340" i="1"/>
  <c r="T340" i="1"/>
  <c r="J340" i="1"/>
  <c r="Z340" i="1" l="1"/>
  <c r="Z516" i="1"/>
  <c r="AA516" i="1"/>
  <c r="U558" i="1"/>
  <c r="Z352" i="1"/>
  <c r="X340" i="1"/>
  <c r="X558" i="1"/>
  <c r="V340" i="1"/>
  <c r="V558" i="1"/>
  <c r="W558" i="1"/>
  <c r="AA340" i="1"/>
  <c r="W340" i="1"/>
  <c r="N561" i="1" l="1"/>
  <c r="U561" i="1" s="1"/>
  <c r="O561" i="1"/>
  <c r="P561" i="1"/>
  <c r="Q561" i="1"/>
  <c r="R561" i="1"/>
  <c r="S561" i="1"/>
  <c r="T561" i="1"/>
  <c r="J561" i="1"/>
  <c r="N556" i="1"/>
  <c r="U556" i="1" s="1"/>
  <c r="O556" i="1"/>
  <c r="P556" i="1"/>
  <c r="Q556" i="1"/>
  <c r="R556" i="1"/>
  <c r="S556" i="1"/>
  <c r="T556" i="1"/>
  <c r="J556" i="1"/>
  <c r="N555" i="1"/>
  <c r="U555" i="1" s="1"/>
  <c r="O555" i="1"/>
  <c r="P555" i="1"/>
  <c r="Q555" i="1"/>
  <c r="R555" i="1"/>
  <c r="S555" i="1"/>
  <c r="T555" i="1"/>
  <c r="J555" i="1"/>
  <c r="AA524" i="1" l="1"/>
  <c r="Z524" i="1"/>
  <c r="Z472" i="1"/>
  <c r="X556" i="1"/>
  <c r="X555" i="1"/>
  <c r="V555" i="1"/>
  <c r="X561" i="1"/>
  <c r="V556" i="1"/>
  <c r="V561" i="1"/>
  <c r="W561" i="1"/>
  <c r="W556" i="1"/>
  <c r="W555" i="1"/>
  <c r="J145" i="1" l="1"/>
  <c r="N348" i="1" l="1"/>
  <c r="N352" i="1"/>
  <c r="U352" i="1" l="1"/>
  <c r="AA352" i="1"/>
  <c r="U348" i="1"/>
  <c r="AA348" i="1"/>
  <c r="X352" i="1"/>
  <c r="X348" i="1"/>
  <c r="V352" i="1"/>
  <c r="V348" i="1"/>
  <c r="W348" i="1"/>
  <c r="W352" i="1"/>
  <c r="N476" i="1"/>
  <c r="U476" i="1" s="1"/>
  <c r="O476" i="1"/>
  <c r="P476" i="1"/>
  <c r="Q476" i="1"/>
  <c r="R476" i="1"/>
  <c r="S476" i="1"/>
  <c r="T476" i="1"/>
  <c r="J476" i="1"/>
  <c r="Z121" i="1" l="1"/>
  <c r="AA121" i="1"/>
  <c r="W476" i="1"/>
  <c r="X476" i="1"/>
  <c r="V476" i="1"/>
  <c r="N119" i="1" l="1"/>
  <c r="U119" i="1" s="1"/>
  <c r="N122" i="1"/>
  <c r="U122" i="1" s="1"/>
  <c r="O122" i="1"/>
  <c r="P122" i="1"/>
  <c r="Q122" i="1"/>
  <c r="R122" i="1"/>
  <c r="S122" i="1"/>
  <c r="T122" i="1"/>
  <c r="X119" i="1" l="1"/>
  <c r="V119" i="1"/>
  <c r="X122" i="1"/>
  <c r="V122" i="1"/>
  <c r="W119" i="1"/>
  <c r="W122" i="1"/>
  <c r="J446" i="1" l="1"/>
  <c r="AA621" i="1" l="1"/>
  <c r="Z621" i="1"/>
  <c r="N446" i="1"/>
  <c r="U446" i="1" s="1"/>
  <c r="O446" i="1"/>
  <c r="P446" i="1"/>
  <c r="Q446" i="1"/>
  <c r="R446" i="1"/>
  <c r="S446" i="1"/>
  <c r="T446" i="1"/>
  <c r="W446" i="1" l="1"/>
  <c r="X446" i="1"/>
  <c r="V446" i="1"/>
  <c r="J569" i="1" l="1"/>
  <c r="N382" i="1" l="1"/>
  <c r="N381" i="1"/>
  <c r="O382" i="1"/>
  <c r="P382" i="1"/>
  <c r="Q382" i="1"/>
  <c r="R382" i="1"/>
  <c r="S382" i="1"/>
  <c r="T382" i="1"/>
  <c r="O381" i="1"/>
  <c r="P381" i="1"/>
  <c r="Q381" i="1"/>
  <c r="R381" i="1"/>
  <c r="S381" i="1"/>
  <c r="T381" i="1"/>
  <c r="U381" i="1" l="1"/>
  <c r="U382" i="1"/>
  <c r="AA382" i="1"/>
  <c r="X381" i="1"/>
  <c r="X382" i="1"/>
  <c r="V382" i="1"/>
  <c r="V381" i="1"/>
  <c r="W382" i="1"/>
  <c r="W381" i="1"/>
  <c r="N662" i="1" l="1"/>
  <c r="U662" i="1" s="1"/>
  <c r="O662" i="1"/>
  <c r="P662" i="1"/>
  <c r="Q662" i="1"/>
  <c r="R662" i="1"/>
  <c r="S662" i="1"/>
  <c r="T662" i="1"/>
  <c r="J662" i="1"/>
  <c r="N501" i="1"/>
  <c r="U501" i="1" s="1"/>
  <c r="X501" i="1" l="1"/>
  <c r="V501" i="1"/>
  <c r="X662" i="1"/>
  <c r="V662" i="1"/>
  <c r="W662" i="1"/>
  <c r="W501" i="1"/>
  <c r="O352" i="1" l="1"/>
  <c r="P352" i="1"/>
  <c r="Q352" i="1"/>
  <c r="R352" i="1"/>
  <c r="S352" i="1"/>
  <c r="T352" i="1"/>
  <c r="O677" i="1"/>
  <c r="P677" i="1"/>
  <c r="Q677" i="1"/>
  <c r="R677" i="1"/>
  <c r="S677" i="1"/>
  <c r="T677" i="1"/>
  <c r="J677" i="1"/>
  <c r="J5" i="1" l="1"/>
  <c r="O563" i="1" l="1"/>
  <c r="P563" i="1"/>
  <c r="Q563" i="1"/>
  <c r="R563" i="1"/>
  <c r="S563" i="1"/>
  <c r="T563" i="1"/>
  <c r="N472" i="1" l="1"/>
  <c r="O472" i="1"/>
  <c r="P472" i="1"/>
  <c r="Q472" i="1"/>
  <c r="R472" i="1"/>
  <c r="S472" i="1"/>
  <c r="T472" i="1"/>
  <c r="U472" i="1" l="1"/>
  <c r="AA472" i="1"/>
  <c r="W472" i="1"/>
  <c r="X472" i="1"/>
  <c r="V472" i="1"/>
  <c r="N588" i="1" l="1"/>
  <c r="U588" i="1" s="1"/>
  <c r="O588" i="1"/>
  <c r="P588" i="1"/>
  <c r="Q588" i="1"/>
  <c r="R588" i="1"/>
  <c r="S588" i="1"/>
  <c r="T588" i="1"/>
  <c r="X588" i="1" l="1"/>
  <c r="V588" i="1"/>
  <c r="W588" i="1"/>
  <c r="J559" i="1" l="1"/>
  <c r="Z143" i="1" l="1"/>
  <c r="AA143" i="1"/>
  <c r="J152" i="1"/>
  <c r="AA152" i="1" l="1"/>
  <c r="Z152" i="1"/>
  <c r="J22" i="1"/>
  <c r="AA22" i="1" l="1"/>
  <c r="Z22" i="1"/>
  <c r="O501" i="1" l="1"/>
  <c r="P501" i="1"/>
  <c r="Q501" i="1"/>
  <c r="R501" i="1"/>
  <c r="S501" i="1"/>
  <c r="T501" i="1"/>
  <c r="J501" i="1"/>
  <c r="J427" i="1"/>
  <c r="AA501" i="1" l="1"/>
  <c r="Z501" i="1"/>
  <c r="N425" i="1"/>
  <c r="O425" i="1"/>
  <c r="P425" i="1"/>
  <c r="Q425" i="1"/>
  <c r="R425" i="1"/>
  <c r="S425" i="1"/>
  <c r="T425" i="1"/>
  <c r="U425" i="1" l="1"/>
  <c r="AA425" i="1"/>
  <c r="X425" i="1"/>
  <c r="V425" i="1"/>
  <c r="W425" i="1"/>
  <c r="N396" i="1" l="1"/>
  <c r="U396" i="1" s="1"/>
  <c r="X396" i="1" l="1"/>
  <c r="V396" i="1"/>
  <c r="W396" i="1"/>
  <c r="N427" i="1" l="1"/>
  <c r="O427" i="1"/>
  <c r="P427" i="1"/>
  <c r="Q427" i="1"/>
  <c r="R427" i="1"/>
  <c r="S427" i="1"/>
  <c r="T427" i="1"/>
  <c r="U427" i="1" l="1"/>
  <c r="W427" i="1"/>
  <c r="X427" i="1"/>
  <c r="V427" i="1"/>
  <c r="N89" i="1" l="1"/>
  <c r="N87" i="1"/>
  <c r="O87" i="1"/>
  <c r="P87" i="1"/>
  <c r="Q87" i="1"/>
  <c r="R87" i="1"/>
  <c r="S87" i="1"/>
  <c r="T87" i="1"/>
  <c r="O89" i="1"/>
  <c r="P89" i="1"/>
  <c r="Q89" i="1"/>
  <c r="R89" i="1"/>
  <c r="S89" i="1"/>
  <c r="T89" i="1"/>
  <c r="U87" i="1" l="1"/>
  <c r="U89" i="1"/>
  <c r="W89" i="1"/>
  <c r="X89" i="1"/>
  <c r="V89" i="1"/>
  <c r="X87" i="1"/>
  <c r="V87" i="1"/>
  <c r="W87" i="1"/>
  <c r="O22" i="1" l="1"/>
  <c r="P22" i="1"/>
  <c r="Q22" i="1"/>
  <c r="R22" i="1"/>
  <c r="S22" i="1"/>
  <c r="T22" i="1"/>
  <c r="N424" i="1" l="1"/>
  <c r="U424" i="1" s="1"/>
  <c r="O424" i="1"/>
  <c r="P424" i="1"/>
  <c r="Q424" i="1"/>
  <c r="R424" i="1"/>
  <c r="S424" i="1"/>
  <c r="T424" i="1"/>
  <c r="J424" i="1"/>
  <c r="N423" i="1"/>
  <c r="U423" i="1" s="1"/>
  <c r="O423" i="1"/>
  <c r="P423" i="1"/>
  <c r="Q423" i="1"/>
  <c r="R423" i="1"/>
  <c r="S423" i="1"/>
  <c r="T423" i="1"/>
  <c r="J423" i="1"/>
  <c r="Z287" i="1" l="1"/>
  <c r="AA287" i="1"/>
  <c r="AA423" i="1"/>
  <c r="AA424" i="1"/>
  <c r="X424" i="1"/>
  <c r="X423" i="1"/>
  <c r="V424" i="1"/>
  <c r="Z424" i="1"/>
  <c r="Z423" i="1"/>
  <c r="V423" i="1"/>
  <c r="W423" i="1"/>
  <c r="W424" i="1"/>
  <c r="O348" i="1" l="1"/>
  <c r="P348" i="1"/>
  <c r="Q348" i="1"/>
  <c r="R348" i="1"/>
  <c r="S348" i="1"/>
  <c r="T348" i="1"/>
  <c r="O83" i="1" l="1"/>
  <c r="P83" i="1"/>
  <c r="Q83" i="1"/>
  <c r="R83" i="1"/>
  <c r="S83" i="1"/>
  <c r="T83" i="1"/>
  <c r="O81" i="1"/>
  <c r="P81" i="1"/>
  <c r="Q81" i="1"/>
  <c r="R81" i="1"/>
  <c r="S81" i="1"/>
  <c r="T81" i="1"/>
  <c r="O152" i="1" l="1"/>
  <c r="P152" i="1"/>
  <c r="Q152" i="1"/>
  <c r="R152" i="1"/>
  <c r="S152" i="1"/>
  <c r="T152" i="1"/>
  <c r="N505" i="1" l="1"/>
  <c r="N262" i="1" l="1"/>
  <c r="U262" i="1" s="1"/>
  <c r="O262" i="1"/>
  <c r="P262" i="1"/>
  <c r="Q262" i="1"/>
  <c r="R262" i="1"/>
  <c r="S262" i="1"/>
  <c r="T262" i="1"/>
  <c r="J262" i="1"/>
  <c r="W262" i="1" l="1"/>
  <c r="X262" i="1"/>
  <c r="V262" i="1"/>
  <c r="O569" i="1" l="1"/>
  <c r="P569" i="1"/>
  <c r="Q569" i="1"/>
  <c r="R569" i="1"/>
  <c r="S569" i="1"/>
  <c r="T569" i="1"/>
  <c r="N267" i="1" l="1"/>
  <c r="U267" i="1" s="1"/>
  <c r="N265" i="1"/>
  <c r="U265" i="1" s="1"/>
  <c r="N264" i="1"/>
  <c r="U264" i="1" s="1"/>
  <c r="O267" i="1"/>
  <c r="P267" i="1"/>
  <c r="Q267" i="1"/>
  <c r="R267" i="1"/>
  <c r="S267" i="1"/>
  <c r="T267" i="1"/>
  <c r="O265" i="1"/>
  <c r="P265" i="1"/>
  <c r="Q265" i="1"/>
  <c r="R265" i="1"/>
  <c r="S265" i="1"/>
  <c r="T265" i="1"/>
  <c r="O264" i="1"/>
  <c r="P264" i="1"/>
  <c r="Q264" i="1"/>
  <c r="R264" i="1"/>
  <c r="S264" i="1"/>
  <c r="T264" i="1"/>
  <c r="N263" i="1"/>
  <c r="U263" i="1" s="1"/>
  <c r="O263" i="1"/>
  <c r="P263" i="1"/>
  <c r="Q263" i="1"/>
  <c r="R263" i="1"/>
  <c r="S263" i="1"/>
  <c r="T263" i="1"/>
  <c r="J263" i="1"/>
  <c r="J264" i="1"/>
  <c r="J265" i="1"/>
  <c r="J267" i="1"/>
  <c r="Z267" i="1" l="1"/>
  <c r="AA271" i="1"/>
  <c r="Z271" i="1"/>
  <c r="Z270" i="1"/>
  <c r="AA270" i="1"/>
  <c r="Z269" i="1"/>
  <c r="AA269" i="1"/>
  <c r="Z268" i="1"/>
  <c r="AA268" i="1"/>
  <c r="X265" i="1"/>
  <c r="X263" i="1"/>
  <c r="V263" i="1"/>
  <c r="V265" i="1"/>
  <c r="X264" i="1"/>
  <c r="X267" i="1"/>
  <c r="V264" i="1"/>
  <c r="W265" i="1"/>
  <c r="V267" i="1"/>
  <c r="AA267" i="1"/>
  <c r="W267" i="1"/>
  <c r="W264" i="1"/>
  <c r="W263" i="1"/>
  <c r="N67" i="1" l="1"/>
  <c r="U67" i="1" s="1"/>
  <c r="O67" i="1"/>
  <c r="P67" i="1"/>
  <c r="Q67" i="1"/>
  <c r="R67" i="1"/>
  <c r="S67" i="1"/>
  <c r="T67" i="1"/>
  <c r="J67" i="1"/>
  <c r="Z67" i="1" l="1"/>
  <c r="Z549" i="1"/>
  <c r="AA549" i="1"/>
  <c r="X67" i="1"/>
  <c r="V67" i="1"/>
  <c r="AA67" i="1"/>
  <c r="W67" i="1"/>
  <c r="I614" i="1" l="1"/>
  <c r="I320" i="1"/>
  <c r="H151" i="1"/>
  <c r="H215" i="1"/>
  <c r="H218" i="1"/>
  <c r="H219" i="1"/>
  <c r="H220" i="1"/>
  <c r="H221" i="1"/>
  <c r="H222" i="1"/>
  <c r="H223" i="1"/>
  <c r="H224" i="1"/>
  <c r="H238" i="1"/>
  <c r="H240" i="1"/>
  <c r="H247" i="1"/>
  <c r="H248" i="1"/>
  <c r="H251" i="1"/>
  <c r="H252" i="1"/>
  <c r="H255" i="1"/>
  <c r="H256" i="1"/>
  <c r="H257" i="1"/>
  <c r="H258" i="1"/>
  <c r="H259" i="1"/>
  <c r="H260" i="1"/>
  <c r="H261" i="1"/>
  <c r="H284" i="1"/>
  <c r="H370" i="1"/>
  <c r="H380" i="1"/>
  <c r="H451" i="1"/>
  <c r="H452" i="1"/>
  <c r="H462" i="1"/>
  <c r="H496" i="1"/>
  <c r="H514" i="1"/>
  <c r="J732" i="1"/>
  <c r="H722" i="1"/>
  <c r="H690" i="1"/>
  <c r="J659" i="1"/>
  <c r="I248" i="1"/>
  <c r="I244" i="1"/>
  <c r="I242" i="1"/>
  <c r="I239" i="1"/>
  <c r="I237" i="1"/>
  <c r="I224" i="1"/>
  <c r="I223" i="1"/>
  <c r="I222" i="1"/>
  <c r="I220" i="1"/>
  <c r="I219" i="1"/>
  <c r="I218" i="1"/>
  <c r="I215" i="1"/>
  <c r="I151" i="1"/>
  <c r="I100" i="1"/>
  <c r="I72" i="1"/>
  <c r="I32" i="1"/>
  <c r="I31" i="1"/>
  <c r="I29" i="1"/>
  <c r="I26" i="1"/>
  <c r="T10" i="1"/>
  <c r="T9" i="1"/>
  <c r="N10" i="1"/>
  <c r="N9" i="1"/>
  <c r="U9" i="1" l="1"/>
  <c r="X9" i="1"/>
  <c r="V9" i="1"/>
  <c r="W9" i="1"/>
  <c r="W10" i="1"/>
  <c r="U10" i="1"/>
  <c r="X10" i="1"/>
  <c r="V10" i="1"/>
  <c r="J122" i="1"/>
  <c r="H119" i="1"/>
  <c r="J119" i="1" s="1"/>
  <c r="J97" i="1"/>
  <c r="J61" i="1"/>
  <c r="J10" i="1"/>
  <c r="J682" i="1"/>
  <c r="J658" i="1"/>
  <c r="J625" i="1"/>
  <c r="J544" i="1"/>
  <c r="J396" i="1"/>
  <c r="J337" i="1"/>
  <c r="J318" i="1"/>
  <c r="J305" i="1"/>
  <c r="J278" i="1"/>
  <c r="J237" i="1"/>
  <c r="J153" i="1"/>
  <c r="Z466" i="1" l="1"/>
  <c r="AA466" i="1"/>
  <c r="Z412" i="1"/>
  <c r="AA412" i="1"/>
  <c r="Z557" i="1"/>
  <c r="AA557" i="1"/>
  <c r="Z25" i="1"/>
  <c r="AA25" i="1"/>
  <c r="Z233" i="1"/>
  <c r="AA233" i="1"/>
  <c r="AA658" i="1"/>
  <c r="Z658" i="1"/>
  <c r="Z97" i="1"/>
  <c r="AA97" i="1"/>
  <c r="Z61" i="1"/>
  <c r="Z512" i="1"/>
  <c r="Z122" i="1"/>
  <c r="AA122" i="1"/>
  <c r="J91" i="1"/>
  <c r="AA91" i="1" l="1"/>
  <c r="Z91" i="1"/>
  <c r="O91" i="1"/>
  <c r="P91" i="1"/>
  <c r="Q91" i="1"/>
  <c r="R91" i="1"/>
  <c r="T91" i="1"/>
  <c r="J102" i="1" l="1"/>
  <c r="J86" i="1"/>
  <c r="J330" i="1"/>
  <c r="Z385" i="1" l="1"/>
  <c r="AA385" i="1"/>
  <c r="J185" i="1"/>
  <c r="T162" i="1"/>
  <c r="S162" i="1"/>
  <c r="R162" i="1"/>
  <c r="Q162" i="1"/>
  <c r="P162" i="1"/>
  <c r="O162" i="1"/>
  <c r="N162" i="1"/>
  <c r="W162" i="1" s="1"/>
  <c r="J162" i="1"/>
  <c r="J477" i="1"/>
  <c r="N477" i="1"/>
  <c r="U477" i="1" s="1"/>
  <c r="O477" i="1"/>
  <c r="P477" i="1"/>
  <c r="Q477" i="1"/>
  <c r="R477" i="1"/>
  <c r="S477" i="1"/>
  <c r="T477" i="1"/>
  <c r="J332" i="1"/>
  <c r="Z185" i="1" l="1"/>
  <c r="X477" i="1"/>
  <c r="V162" i="1"/>
  <c r="X162" i="1"/>
  <c r="U162" i="1"/>
  <c r="V477" i="1"/>
  <c r="W477" i="1"/>
  <c r="J440" i="1" l="1"/>
  <c r="Z349" i="1" l="1"/>
  <c r="J676" i="1" l="1"/>
  <c r="J519" i="1" l="1"/>
  <c r="Z361" i="1" l="1"/>
  <c r="AA361" i="1"/>
  <c r="N185" i="1"/>
  <c r="O185" i="1"/>
  <c r="P185" i="1"/>
  <c r="Q185" i="1"/>
  <c r="R185" i="1"/>
  <c r="S185" i="1"/>
  <c r="T185" i="1"/>
  <c r="J13" i="1"/>
  <c r="Z13" i="1" l="1"/>
  <c r="Z454" i="1"/>
  <c r="AA454" i="1"/>
  <c r="U185" i="1"/>
  <c r="AA185" i="1"/>
  <c r="X185" i="1"/>
  <c r="V185" i="1"/>
  <c r="W185" i="1"/>
  <c r="N676" i="1" l="1"/>
  <c r="O676" i="1"/>
  <c r="P676" i="1"/>
  <c r="Q676" i="1"/>
  <c r="R676" i="1"/>
  <c r="S676" i="1"/>
  <c r="T676" i="1"/>
  <c r="U676" i="1" l="1"/>
  <c r="X676" i="1"/>
  <c r="W676" i="1"/>
  <c r="V676" i="1"/>
  <c r="O396" i="1" l="1"/>
  <c r="P396" i="1"/>
  <c r="Q396" i="1"/>
  <c r="R396" i="1"/>
  <c r="S396" i="1"/>
  <c r="T396" i="1"/>
  <c r="N544" i="1" l="1"/>
  <c r="O544" i="1"/>
  <c r="P544" i="1"/>
  <c r="Q544" i="1"/>
  <c r="R544" i="1"/>
  <c r="S544" i="1"/>
  <c r="T544" i="1"/>
  <c r="U544" i="1" l="1"/>
  <c r="W544" i="1"/>
  <c r="X544" i="1"/>
  <c r="V544" i="1"/>
  <c r="J395" i="1"/>
  <c r="Z675" i="1" l="1"/>
  <c r="AA675" i="1"/>
  <c r="J719" i="1"/>
  <c r="Z624" i="1" l="1"/>
  <c r="AA624" i="1"/>
  <c r="N332" i="1"/>
  <c r="O332" i="1"/>
  <c r="P332" i="1"/>
  <c r="Q332" i="1"/>
  <c r="R332" i="1"/>
  <c r="S332" i="1"/>
  <c r="T332" i="1"/>
  <c r="J41" i="1"/>
  <c r="Z41" i="1" s="1"/>
  <c r="U332" i="1" l="1"/>
  <c r="X332" i="1"/>
  <c r="V332" i="1"/>
  <c r="W332" i="1"/>
  <c r="J20" i="1" l="1"/>
  <c r="N512" i="1"/>
  <c r="O512" i="1"/>
  <c r="P512" i="1"/>
  <c r="Q512" i="1"/>
  <c r="R512" i="1"/>
  <c r="S512" i="1"/>
  <c r="T512" i="1"/>
  <c r="N489" i="1"/>
  <c r="U489" i="1" s="1"/>
  <c r="O489" i="1"/>
  <c r="P489" i="1"/>
  <c r="Q489" i="1"/>
  <c r="R489" i="1"/>
  <c r="S489" i="1"/>
  <c r="T489" i="1"/>
  <c r="J489" i="1"/>
  <c r="O97" i="1"/>
  <c r="P97" i="1"/>
  <c r="Q97" i="1"/>
  <c r="R97" i="1"/>
  <c r="S97" i="1"/>
  <c r="T97" i="1"/>
  <c r="J304" i="1"/>
  <c r="Z498" i="1" l="1"/>
  <c r="AA498" i="1"/>
  <c r="U512" i="1"/>
  <c r="AA512" i="1"/>
  <c r="Z77" i="1"/>
  <c r="X512" i="1"/>
  <c r="X489" i="1"/>
  <c r="W489" i="1"/>
  <c r="V489" i="1"/>
  <c r="V512" i="1"/>
  <c r="W512" i="1"/>
  <c r="J622" i="1" l="1"/>
  <c r="N237" i="1" l="1"/>
  <c r="O237" i="1"/>
  <c r="P237" i="1"/>
  <c r="Q237" i="1"/>
  <c r="R237" i="1"/>
  <c r="S237" i="1"/>
  <c r="T237" i="1"/>
  <c r="U237" i="1" l="1"/>
  <c r="X237" i="1"/>
  <c r="V237" i="1"/>
  <c r="W237" i="1"/>
  <c r="J542" i="1" l="1"/>
  <c r="N77" i="1"/>
  <c r="O77" i="1"/>
  <c r="P77" i="1"/>
  <c r="Q77" i="1"/>
  <c r="R77" i="1"/>
  <c r="S77" i="1"/>
  <c r="T77" i="1"/>
  <c r="U77" i="1" l="1"/>
  <c r="AA77" i="1"/>
  <c r="W77" i="1"/>
  <c r="X77" i="1"/>
  <c r="V77" i="1"/>
  <c r="N609" i="1"/>
  <c r="J197" i="1" l="1"/>
  <c r="N278" i="1" l="1"/>
  <c r="U278" i="1" s="1"/>
  <c r="O278" i="1"/>
  <c r="P278" i="1"/>
  <c r="Q278" i="1"/>
  <c r="R278" i="1"/>
  <c r="T278" i="1"/>
  <c r="X278" i="1" l="1"/>
  <c r="W278" i="1"/>
  <c r="V278" i="1"/>
  <c r="N395" i="1" l="1"/>
  <c r="U395" i="1" s="1"/>
  <c r="O395" i="1"/>
  <c r="P395" i="1"/>
  <c r="Q395" i="1"/>
  <c r="R395" i="1"/>
  <c r="S395" i="1"/>
  <c r="T395" i="1"/>
  <c r="Z395" i="1"/>
  <c r="X395" i="1" l="1"/>
  <c r="V395" i="1"/>
  <c r="AA395" i="1"/>
  <c r="W395" i="1"/>
  <c r="N519" i="1" l="1"/>
  <c r="U519" i="1" s="1"/>
  <c r="O519" i="1"/>
  <c r="P519" i="1"/>
  <c r="Q519" i="1"/>
  <c r="R519" i="1"/>
  <c r="S519" i="1"/>
  <c r="T519" i="1"/>
  <c r="Z519" i="1"/>
  <c r="N330" i="1"/>
  <c r="O330" i="1"/>
  <c r="P330" i="1"/>
  <c r="Q330" i="1"/>
  <c r="R330" i="1"/>
  <c r="S330" i="1"/>
  <c r="T330" i="1"/>
  <c r="U330" i="1" l="1"/>
  <c r="X519" i="1"/>
  <c r="V519" i="1"/>
  <c r="AA519" i="1"/>
  <c r="W519" i="1"/>
  <c r="X330" i="1"/>
  <c r="V330" i="1"/>
  <c r="W330" i="1"/>
  <c r="N682" i="1" l="1"/>
  <c r="O682" i="1"/>
  <c r="P682" i="1"/>
  <c r="Q682" i="1"/>
  <c r="R682" i="1"/>
  <c r="S682" i="1"/>
  <c r="T682" i="1"/>
  <c r="U682" i="1" l="1"/>
  <c r="X682" i="1"/>
  <c r="V682" i="1"/>
  <c r="W682" i="1"/>
  <c r="N61" i="1" l="1"/>
  <c r="O61" i="1"/>
  <c r="P61" i="1"/>
  <c r="Q61" i="1"/>
  <c r="R61" i="1"/>
  <c r="S61" i="1"/>
  <c r="T61" i="1"/>
  <c r="N337" i="1"/>
  <c r="O337" i="1"/>
  <c r="P337" i="1"/>
  <c r="Q337" i="1"/>
  <c r="R337" i="1"/>
  <c r="S337" i="1"/>
  <c r="T337" i="1"/>
  <c r="N349" i="1"/>
  <c r="O349" i="1"/>
  <c r="P349" i="1"/>
  <c r="Q349" i="1"/>
  <c r="R349" i="1"/>
  <c r="S349" i="1"/>
  <c r="T349" i="1"/>
  <c r="U337" i="1" l="1"/>
  <c r="U349" i="1"/>
  <c r="AA349" i="1"/>
  <c r="U61" i="1"/>
  <c r="AA61" i="1"/>
  <c r="X337" i="1"/>
  <c r="W349" i="1"/>
  <c r="V337" i="1"/>
  <c r="X61" i="1"/>
  <c r="X349" i="1"/>
  <c r="V349" i="1"/>
  <c r="W337" i="1"/>
  <c r="V61" i="1"/>
  <c r="W61" i="1"/>
  <c r="N102" i="1" l="1"/>
  <c r="U102" i="1" s="1"/>
  <c r="W102" i="1" l="1"/>
  <c r="X102" i="1"/>
  <c r="V102" i="1"/>
  <c r="N409" i="1" l="1"/>
  <c r="U409" i="1" s="1"/>
  <c r="O409" i="1"/>
  <c r="P409" i="1"/>
  <c r="Q409" i="1"/>
  <c r="R409" i="1"/>
  <c r="S409" i="1"/>
  <c r="T409" i="1"/>
  <c r="J409" i="1"/>
  <c r="X409" i="1" l="1"/>
  <c r="V409" i="1"/>
  <c r="W409" i="1"/>
  <c r="J589" i="1"/>
  <c r="J591" i="1"/>
  <c r="J592" i="1"/>
  <c r="J593" i="1"/>
  <c r="J594" i="1"/>
  <c r="J595" i="1"/>
  <c r="J596" i="1"/>
  <c r="Z486" i="1" l="1"/>
  <c r="AA486" i="1"/>
  <c r="Z662" i="1"/>
  <c r="AA662" i="1"/>
  <c r="AA668" i="1"/>
  <c r="Z668" i="1"/>
  <c r="Z630" i="1"/>
  <c r="AA630" i="1"/>
  <c r="N318" i="1"/>
  <c r="U318" i="1" s="1"/>
  <c r="O318" i="1"/>
  <c r="P318" i="1"/>
  <c r="Q318" i="1"/>
  <c r="R318" i="1"/>
  <c r="S318" i="1"/>
  <c r="T318" i="1"/>
  <c r="N593" i="1"/>
  <c r="U593" i="1" s="1"/>
  <c r="O593" i="1"/>
  <c r="P593" i="1"/>
  <c r="Q593" i="1"/>
  <c r="R593" i="1"/>
  <c r="S593" i="1"/>
  <c r="T593" i="1"/>
  <c r="X318" i="1" l="1"/>
  <c r="W593" i="1"/>
  <c r="V318" i="1"/>
  <c r="W318" i="1"/>
  <c r="X593" i="1"/>
  <c r="V593" i="1"/>
  <c r="J529" i="1" l="1"/>
  <c r="Z398" i="1" l="1"/>
  <c r="AA398" i="1"/>
  <c r="J428" i="1"/>
  <c r="J353" i="1" l="1"/>
  <c r="J531" i="1"/>
  <c r="J100" i="1"/>
  <c r="H90" i="1"/>
  <c r="H47" i="1"/>
  <c r="H31" i="1"/>
  <c r="Z520" i="1" l="1"/>
  <c r="AA520" i="1"/>
  <c r="N84" i="1"/>
  <c r="U84" i="1" s="1"/>
  <c r="O84" i="1"/>
  <c r="P84" i="1"/>
  <c r="Q84" i="1"/>
  <c r="R84" i="1"/>
  <c r="S84" i="1"/>
  <c r="T84" i="1"/>
  <c r="J84" i="1"/>
  <c r="Z84" i="1" s="1"/>
  <c r="J109" i="1"/>
  <c r="X84" i="1" l="1"/>
  <c r="V84" i="1"/>
  <c r="AA84" i="1"/>
  <c r="W84" i="1"/>
  <c r="J44" i="1" l="1"/>
  <c r="J240" i="1" l="1"/>
  <c r="Z240" i="1" l="1"/>
  <c r="J30" i="1"/>
  <c r="N604" i="1" l="1"/>
  <c r="U604" i="1" s="1"/>
  <c r="O604" i="1"/>
  <c r="P604" i="1"/>
  <c r="Q604" i="1"/>
  <c r="R604" i="1"/>
  <c r="S604" i="1"/>
  <c r="T604" i="1"/>
  <c r="J604" i="1"/>
  <c r="N343" i="1"/>
  <c r="U343" i="1" s="1"/>
  <c r="O343" i="1"/>
  <c r="P343" i="1"/>
  <c r="Q343" i="1"/>
  <c r="R343" i="1"/>
  <c r="S343" i="1"/>
  <c r="T343" i="1"/>
  <c r="N342" i="1"/>
  <c r="U342" i="1" s="1"/>
  <c r="O342" i="1"/>
  <c r="P342" i="1"/>
  <c r="Q342" i="1"/>
  <c r="R342" i="1"/>
  <c r="S342" i="1"/>
  <c r="T342" i="1"/>
  <c r="J342" i="1"/>
  <c r="Z342" i="1" l="1"/>
  <c r="Z645" i="1"/>
  <c r="X343" i="1"/>
  <c r="X342" i="1"/>
  <c r="V342" i="1"/>
  <c r="V343" i="1"/>
  <c r="W604" i="1"/>
  <c r="W342" i="1"/>
  <c r="W343" i="1"/>
  <c r="X604" i="1"/>
  <c r="V604" i="1"/>
  <c r="AA342" i="1"/>
  <c r="N100" i="1" l="1"/>
  <c r="U100" i="1" s="1"/>
  <c r="W100" i="1" l="1"/>
  <c r="X100" i="1"/>
  <c r="V100" i="1"/>
  <c r="J132" i="1" l="1"/>
  <c r="N30" i="1" l="1"/>
  <c r="U30" i="1" s="1"/>
  <c r="O30" i="1"/>
  <c r="P30" i="1"/>
  <c r="Q30" i="1"/>
  <c r="R30" i="1"/>
  <c r="S30" i="1"/>
  <c r="T30" i="1"/>
  <c r="N542" i="1"/>
  <c r="U542" i="1" s="1"/>
  <c r="O542" i="1"/>
  <c r="P542" i="1"/>
  <c r="Q542" i="1"/>
  <c r="R542" i="1"/>
  <c r="S542" i="1"/>
  <c r="T542" i="1"/>
  <c r="X30" i="1" l="1"/>
  <c r="V30" i="1"/>
  <c r="X542" i="1"/>
  <c r="V542" i="1"/>
  <c r="W30" i="1"/>
  <c r="W542" i="1"/>
  <c r="N261" i="1" l="1"/>
  <c r="U261" i="1" s="1"/>
  <c r="N260" i="1"/>
  <c r="U260" i="1" s="1"/>
  <c r="N259" i="1"/>
  <c r="U259" i="1" s="1"/>
  <c r="O261" i="1"/>
  <c r="P261" i="1"/>
  <c r="Q261" i="1"/>
  <c r="R261" i="1"/>
  <c r="S261" i="1"/>
  <c r="T261" i="1"/>
  <c r="O260" i="1"/>
  <c r="P260" i="1"/>
  <c r="Q260" i="1"/>
  <c r="R260" i="1"/>
  <c r="S260" i="1"/>
  <c r="T260" i="1"/>
  <c r="O259" i="1"/>
  <c r="P259" i="1"/>
  <c r="Q259" i="1"/>
  <c r="R259" i="1"/>
  <c r="S259" i="1"/>
  <c r="T259" i="1"/>
  <c r="J261" i="1"/>
  <c r="J260" i="1"/>
  <c r="J259" i="1"/>
  <c r="Z265" i="1" l="1"/>
  <c r="AA265" i="1"/>
  <c r="Z266" i="1"/>
  <c r="AA266" i="1"/>
  <c r="X260" i="1"/>
  <c r="V260" i="1"/>
  <c r="X261" i="1"/>
  <c r="X259" i="1"/>
  <c r="V261" i="1"/>
  <c r="V259" i="1"/>
  <c r="W261" i="1"/>
  <c r="W260" i="1"/>
  <c r="W259" i="1"/>
  <c r="J496" i="1" l="1"/>
  <c r="T240" i="1"/>
  <c r="N240" i="1"/>
  <c r="V240" i="1" l="1"/>
  <c r="AA240" i="1"/>
  <c r="Z496" i="1"/>
  <c r="U240" i="1"/>
  <c r="W240" i="1"/>
  <c r="X240" i="1"/>
  <c r="N301" i="1" l="1"/>
  <c r="U301" i="1" s="1"/>
  <c r="O301" i="1"/>
  <c r="P301" i="1"/>
  <c r="Q301" i="1"/>
  <c r="R301" i="1"/>
  <c r="S301" i="1"/>
  <c r="T301" i="1"/>
  <c r="J301" i="1"/>
  <c r="X301" i="1" l="1"/>
  <c r="AA301" i="1"/>
  <c r="V301" i="1"/>
  <c r="Z301" i="1"/>
  <c r="W301" i="1"/>
  <c r="N496" i="1" l="1"/>
  <c r="O496" i="1"/>
  <c r="P496" i="1"/>
  <c r="Q496" i="1"/>
  <c r="R496" i="1"/>
  <c r="S496" i="1"/>
  <c r="T496" i="1"/>
  <c r="U496" i="1" l="1"/>
  <c r="AA496" i="1"/>
  <c r="X496" i="1"/>
  <c r="W496" i="1"/>
  <c r="V496" i="1"/>
  <c r="T522" i="1" l="1"/>
  <c r="S522" i="1"/>
  <c r="R522" i="1"/>
  <c r="Q522" i="1"/>
  <c r="P522" i="1"/>
  <c r="O522" i="1"/>
  <c r="N522" i="1"/>
  <c r="X522" i="1" s="1"/>
  <c r="J522" i="1"/>
  <c r="T521" i="1"/>
  <c r="S521" i="1"/>
  <c r="R521" i="1"/>
  <c r="Q521" i="1"/>
  <c r="P521" i="1"/>
  <c r="O521" i="1"/>
  <c r="N521" i="1"/>
  <c r="X521" i="1" s="1"/>
  <c r="J521" i="1"/>
  <c r="Z543" i="1" l="1"/>
  <c r="AA543" i="1"/>
  <c r="Z544" i="1"/>
  <c r="AA544" i="1"/>
  <c r="AA521" i="1"/>
  <c r="AA522" i="1"/>
  <c r="U521" i="1"/>
  <c r="W521" i="1"/>
  <c r="Z521" i="1"/>
  <c r="U522" i="1"/>
  <c r="W522" i="1"/>
  <c r="Z522" i="1"/>
  <c r="V521" i="1"/>
  <c r="V522" i="1"/>
  <c r="T80" i="1"/>
  <c r="S80" i="1"/>
  <c r="R80" i="1"/>
  <c r="Q80" i="1"/>
  <c r="P80" i="1"/>
  <c r="O80" i="1"/>
  <c r="N80" i="1"/>
  <c r="W80" i="1" s="1"/>
  <c r="Z80" i="1"/>
  <c r="V80" i="1" l="1"/>
  <c r="X80" i="1"/>
  <c r="AA80" i="1"/>
  <c r="U80" i="1"/>
  <c r="T281" i="1"/>
  <c r="S281" i="1"/>
  <c r="R281" i="1"/>
  <c r="Q281" i="1"/>
  <c r="P281" i="1"/>
  <c r="O281" i="1"/>
  <c r="N281" i="1"/>
  <c r="J281" i="1"/>
  <c r="AA281" i="1" l="1"/>
  <c r="Z281" i="1"/>
  <c r="Q643" i="1" l="1"/>
  <c r="R643" i="1"/>
  <c r="X771" i="1" l="1"/>
  <c r="X773" i="1" s="1"/>
  <c r="S161" i="1" l="1"/>
  <c r="J161" i="1"/>
  <c r="Z33" i="1" l="1"/>
  <c r="AA33" i="1"/>
  <c r="O161" i="1"/>
  <c r="Q161" i="1"/>
  <c r="T161" i="1"/>
  <c r="N161" i="1"/>
  <c r="P161" i="1"/>
  <c r="R161" i="1"/>
  <c r="X161" i="1" l="1"/>
  <c r="V161" i="1"/>
  <c r="W161" i="1"/>
  <c r="U161" i="1"/>
  <c r="T258" i="1" l="1"/>
  <c r="S258" i="1"/>
  <c r="R258" i="1"/>
  <c r="Q258" i="1"/>
  <c r="P258" i="1"/>
  <c r="O258" i="1"/>
  <c r="N258" i="1"/>
  <c r="J258" i="1"/>
  <c r="T257" i="1"/>
  <c r="S257" i="1"/>
  <c r="R257" i="1"/>
  <c r="Q257" i="1"/>
  <c r="P257" i="1"/>
  <c r="O257" i="1"/>
  <c r="N257" i="1"/>
  <c r="J257" i="1"/>
  <c r="Z257" i="1" l="1"/>
  <c r="Z263" i="1"/>
  <c r="AA263" i="1"/>
  <c r="Z258" i="1"/>
  <c r="AA264" i="1"/>
  <c r="Z264" i="1"/>
  <c r="V257" i="1"/>
  <c r="X257" i="1"/>
  <c r="V258" i="1"/>
  <c r="X258" i="1"/>
  <c r="W258" i="1"/>
  <c r="W257" i="1"/>
  <c r="U257" i="1"/>
  <c r="U258" i="1"/>
  <c r="AA258" i="1"/>
  <c r="AA257" i="1"/>
  <c r="T244" i="1" l="1"/>
  <c r="S244" i="1"/>
  <c r="R244" i="1"/>
  <c r="Q244" i="1"/>
  <c r="P244" i="1"/>
  <c r="O244" i="1"/>
  <c r="N244" i="1"/>
  <c r="J244" i="1"/>
  <c r="W244" i="1" l="1"/>
  <c r="X244" i="1"/>
  <c r="V244" i="1"/>
  <c r="U244" i="1"/>
  <c r="T27" i="1" l="1"/>
  <c r="S27" i="1"/>
  <c r="R27" i="1"/>
  <c r="Q27" i="1"/>
  <c r="P27" i="1"/>
  <c r="O27" i="1"/>
  <c r="N27" i="1"/>
  <c r="J27" i="1"/>
  <c r="T671" i="1"/>
  <c r="S671" i="1"/>
  <c r="R671" i="1"/>
  <c r="Q671" i="1"/>
  <c r="P671" i="1"/>
  <c r="O671" i="1"/>
  <c r="N671" i="1"/>
  <c r="J671" i="1"/>
  <c r="Z403" i="1" l="1"/>
  <c r="AA403" i="1"/>
  <c r="V671" i="1"/>
  <c r="X671" i="1"/>
  <c r="V27" i="1"/>
  <c r="X27" i="1"/>
  <c r="W27" i="1"/>
  <c r="U27" i="1"/>
  <c r="U671" i="1"/>
  <c r="W671" i="1"/>
  <c r="T380" i="1" l="1"/>
  <c r="S380" i="1"/>
  <c r="R380" i="1"/>
  <c r="Q380" i="1"/>
  <c r="P380" i="1"/>
  <c r="O380" i="1"/>
  <c r="N380" i="1"/>
  <c r="J380" i="1"/>
  <c r="Z282" i="1" l="1"/>
  <c r="AA282" i="1"/>
  <c r="V380" i="1"/>
  <c r="X380" i="1"/>
  <c r="W380" i="1"/>
  <c r="U380" i="1"/>
  <c r="J236" i="1" l="1"/>
  <c r="Z50" i="1" l="1"/>
  <c r="AA50" i="1"/>
  <c r="J736" i="1"/>
  <c r="J722" i="1"/>
  <c r="J714" i="1"/>
  <c r="J693" i="1"/>
  <c r="J692" i="1"/>
  <c r="J689" i="1"/>
  <c r="J664" i="1"/>
  <c r="J633" i="1"/>
  <c r="J632" i="1"/>
  <c r="J620" i="1"/>
  <c r="J619" i="1"/>
  <c r="J617" i="1"/>
  <c r="J613" i="1"/>
  <c r="J609" i="1"/>
  <c r="J597" i="1"/>
  <c r="J582" i="1"/>
  <c r="J580" i="1"/>
  <c r="J560" i="1"/>
  <c r="J546" i="1"/>
  <c r="J545" i="1"/>
  <c r="J539" i="1"/>
  <c r="J538" i="1"/>
  <c r="J537" i="1"/>
  <c r="J517" i="1"/>
  <c r="J514" i="1"/>
  <c r="J475" i="1"/>
  <c r="J473" i="1"/>
  <c r="J468" i="1"/>
  <c r="J458" i="1"/>
  <c r="J439" i="1"/>
  <c r="J432" i="1"/>
  <c r="J418" i="1"/>
  <c r="J416" i="1"/>
  <c r="AA101" i="1" s="1"/>
  <c r="J413" i="1"/>
  <c r="J402" i="1"/>
  <c r="J376" i="1"/>
  <c r="Z388" i="1" s="1"/>
  <c r="J370" i="1"/>
  <c r="J369" i="1"/>
  <c r="J365" i="1"/>
  <c r="J363" i="1"/>
  <c r="J335" i="1"/>
  <c r="J333" i="1"/>
  <c r="J320" i="1"/>
  <c r="J310" i="1"/>
  <c r="J284" i="1"/>
  <c r="J274" i="1"/>
  <c r="J256" i="1"/>
  <c r="J255" i="1"/>
  <c r="J253" i="1"/>
  <c r="J252" i="1"/>
  <c r="J251" i="1"/>
  <c r="J250" i="1"/>
  <c r="J248" i="1"/>
  <c r="J247" i="1"/>
  <c r="J243" i="1"/>
  <c r="J242" i="1"/>
  <c r="J239" i="1"/>
  <c r="J238" i="1"/>
  <c r="J224" i="1"/>
  <c r="J223" i="1"/>
  <c r="J222" i="1"/>
  <c r="J221" i="1"/>
  <c r="J220" i="1"/>
  <c r="J219" i="1"/>
  <c r="J218" i="1"/>
  <c r="J215" i="1"/>
  <c r="J213" i="1"/>
  <c r="J180" i="1"/>
  <c r="J166" i="1"/>
  <c r="J165" i="1"/>
  <c r="J155" i="1"/>
  <c r="J151" i="1"/>
  <c r="J137" i="1"/>
  <c r="J136" i="1"/>
  <c r="J134" i="1"/>
  <c r="J128" i="1"/>
  <c r="J127" i="1"/>
  <c r="J123" i="1"/>
  <c r="J111" i="1"/>
  <c r="J92" i="1"/>
  <c r="J90" i="1"/>
  <c r="J73" i="1"/>
  <c r="J72" i="1"/>
  <c r="J70" i="1"/>
  <c r="J69" i="1"/>
  <c r="J65" i="1"/>
  <c r="J48" i="1"/>
  <c r="J47" i="1"/>
  <c r="J46" i="1"/>
  <c r="J40" i="1"/>
  <c r="J31" i="1"/>
  <c r="J29" i="1"/>
  <c r="J23" i="1"/>
  <c r="J15" i="1"/>
  <c r="Z15" i="1" s="1"/>
  <c r="J7" i="1"/>
  <c r="J133" i="1"/>
  <c r="Z17" i="1" l="1"/>
  <c r="AA17" i="1"/>
  <c r="Z488" i="1"/>
  <c r="AA488" i="1"/>
  <c r="Z14" i="1"/>
  <c r="AA14" i="1"/>
  <c r="AA246" i="1"/>
  <c r="Z246" i="1"/>
  <c r="AA52" i="1"/>
  <c r="Z52" i="1"/>
  <c r="Z57" i="1"/>
  <c r="AA57" i="1"/>
  <c r="Z337" i="1"/>
  <c r="AA337" i="1"/>
  <c r="Z422" i="1"/>
  <c r="AA422" i="1"/>
  <c r="AA673" i="1"/>
  <c r="Z673" i="1"/>
  <c r="Z387" i="1"/>
  <c r="AA387" i="1"/>
  <c r="Z117" i="1"/>
  <c r="AA117" i="1"/>
  <c r="Z676" i="1"/>
  <c r="AA676" i="1"/>
  <c r="Z309" i="1"/>
  <c r="AA309" i="1"/>
  <c r="Z536" i="1"/>
  <c r="AA536" i="1"/>
  <c r="Z237" i="1"/>
  <c r="AA237" i="1"/>
  <c r="Z260" i="1"/>
  <c r="AA260" i="1"/>
  <c r="Z279" i="1"/>
  <c r="AA279" i="1"/>
  <c r="Z326" i="1"/>
  <c r="AA326" i="1"/>
  <c r="Z431" i="1"/>
  <c r="AA431" i="1"/>
  <c r="Z330" i="1"/>
  <c r="AA330" i="1"/>
  <c r="Z28" i="1"/>
  <c r="AA28" i="1"/>
  <c r="Z671" i="1"/>
  <c r="AA671" i="1"/>
  <c r="AA244" i="1"/>
  <c r="Z244" i="1"/>
  <c r="Z59" i="1"/>
  <c r="AA59" i="1"/>
  <c r="AA261" i="1"/>
  <c r="Z261" i="1"/>
  <c r="Z343" i="1"/>
  <c r="AA343" i="1"/>
  <c r="Z103" i="1"/>
  <c r="AA103" i="1"/>
  <c r="Z119" i="1"/>
  <c r="AA119" i="1"/>
  <c r="Z688" i="1"/>
  <c r="AA688" i="1"/>
  <c r="Z311" i="1"/>
  <c r="AA311" i="1"/>
  <c r="Z172" i="1"/>
  <c r="AA172" i="1"/>
  <c r="AA234" i="1"/>
  <c r="Z234" i="1"/>
  <c r="Z532" i="1"/>
  <c r="AA532" i="1"/>
  <c r="Z51" i="1"/>
  <c r="AA51" i="1"/>
  <c r="Z350" i="1"/>
  <c r="AA350" i="1"/>
  <c r="Z308" i="1"/>
  <c r="AA308" i="1"/>
  <c r="AA574" i="1"/>
  <c r="Z574" i="1"/>
  <c r="Z23" i="1"/>
  <c r="AA11" i="1"/>
  <c r="Z11" i="1"/>
  <c r="Z226" i="1"/>
  <c r="AA226" i="1"/>
  <c r="Z29" i="1"/>
  <c r="Z323" i="1"/>
  <c r="AA323" i="1"/>
  <c r="Z7" i="1"/>
  <c r="Z5" i="1"/>
  <c r="AA5" i="1"/>
  <c r="Z216" i="1"/>
  <c r="AA216" i="1"/>
  <c r="Z327" i="1"/>
  <c r="AA327" i="1"/>
  <c r="Z682" i="1"/>
  <c r="AA682" i="1"/>
  <c r="Z30" i="1"/>
  <c r="AA30" i="1"/>
  <c r="Z245" i="1"/>
  <c r="AA245" i="1"/>
  <c r="Z259" i="1"/>
  <c r="AA259" i="1"/>
  <c r="AA262" i="1"/>
  <c r="Z262" i="1"/>
  <c r="Z515" i="1"/>
  <c r="AA515" i="1"/>
  <c r="Z87" i="1"/>
  <c r="AA87" i="1"/>
  <c r="Z638" i="1"/>
  <c r="AA638" i="1"/>
  <c r="AA396" i="1"/>
  <c r="Z396" i="1"/>
  <c r="Z307" i="1"/>
  <c r="AA307" i="1"/>
  <c r="J364" i="1"/>
  <c r="AA86" i="1" l="1"/>
  <c r="Z86" i="1"/>
  <c r="J366" i="1"/>
  <c r="Z88" i="1" l="1"/>
  <c r="AA88" i="1"/>
  <c r="J299" i="1"/>
  <c r="T256" i="1" l="1"/>
  <c r="S256" i="1"/>
  <c r="R256" i="1"/>
  <c r="Q256" i="1"/>
  <c r="P256" i="1"/>
  <c r="O256" i="1"/>
  <c r="N256" i="1"/>
  <c r="Z256" i="1"/>
  <c r="J737" i="1"/>
  <c r="J414" i="1"/>
  <c r="J733" i="1"/>
  <c r="J419" i="1"/>
  <c r="Z104" i="1" s="1"/>
  <c r="J303" i="1"/>
  <c r="Z654" i="1" l="1"/>
  <c r="AA654" i="1"/>
  <c r="Z205" i="1"/>
  <c r="AA205" i="1"/>
  <c r="V256" i="1"/>
  <c r="X256" i="1"/>
  <c r="W256" i="1"/>
  <c r="U256" i="1"/>
  <c r="AA256" i="1"/>
  <c r="J181" i="1" l="1"/>
  <c r="J173" i="1" l="1"/>
  <c r="Z38" i="1" l="1"/>
  <c r="J170" i="1" l="1"/>
  <c r="J302" i="1"/>
  <c r="J442" i="1"/>
  <c r="Z381" i="1" l="1"/>
  <c r="AA381" i="1"/>
  <c r="J199" i="1"/>
  <c r="J200" i="1"/>
  <c r="J201" i="1"/>
  <c r="Z555" i="1" l="1"/>
  <c r="AA555" i="1"/>
  <c r="T255" i="1"/>
  <c r="S255" i="1"/>
  <c r="R255" i="1"/>
  <c r="Q255" i="1"/>
  <c r="P255" i="1"/>
  <c r="O255" i="1"/>
  <c r="N255" i="1"/>
  <c r="W255" i="1" l="1"/>
  <c r="X255" i="1"/>
  <c r="AA255" i="1"/>
  <c r="Z255" i="1"/>
  <c r="V255" i="1"/>
  <c r="U255" i="1"/>
  <c r="J513" i="1"/>
  <c r="J355" i="1"/>
  <c r="J643" i="1"/>
  <c r="J572" i="1"/>
  <c r="J389" i="1"/>
  <c r="Z541" i="1" l="1"/>
  <c r="AA541" i="1"/>
  <c r="J717" i="1"/>
  <c r="J76" i="1"/>
  <c r="J371" i="1"/>
  <c r="J739" i="1"/>
  <c r="J60" i="1"/>
  <c r="AA604" i="1" l="1"/>
  <c r="Z604" i="1"/>
  <c r="AA561" i="1"/>
  <c r="Z561" i="1"/>
  <c r="Z207" i="1"/>
  <c r="AA207" i="1"/>
  <c r="J4" i="1"/>
  <c r="J637" i="1"/>
  <c r="Z409" i="1" l="1"/>
  <c r="AA409" i="1"/>
  <c r="J706" i="1"/>
  <c r="Z196" i="1" l="1"/>
  <c r="AA196" i="1"/>
  <c r="T585" i="1"/>
  <c r="J585" i="1"/>
  <c r="T584" i="1"/>
  <c r="S584" i="1"/>
  <c r="R584" i="1"/>
  <c r="Q584" i="1"/>
  <c r="P584" i="1"/>
  <c r="O584" i="1"/>
  <c r="N584" i="1"/>
  <c r="T580" i="1"/>
  <c r="S580" i="1"/>
  <c r="R580" i="1"/>
  <c r="Q580" i="1"/>
  <c r="P580" i="1"/>
  <c r="O580" i="1"/>
  <c r="N580" i="1"/>
  <c r="T616" i="1"/>
  <c r="T615" i="1"/>
  <c r="S615" i="1"/>
  <c r="R615" i="1"/>
  <c r="Q615" i="1"/>
  <c r="P615" i="1"/>
  <c r="O615" i="1"/>
  <c r="N615" i="1"/>
  <c r="J615" i="1"/>
  <c r="J577" i="1"/>
  <c r="N577" i="1"/>
  <c r="X577" i="1" s="1"/>
  <c r="Z162" i="1" l="1"/>
  <c r="AA162" i="1"/>
  <c r="V580" i="1"/>
  <c r="X580" i="1"/>
  <c r="W615" i="1"/>
  <c r="X615" i="1"/>
  <c r="V584" i="1"/>
  <c r="X584" i="1"/>
  <c r="J584" i="1"/>
  <c r="J616" i="1"/>
  <c r="S577" i="1"/>
  <c r="Q577" i="1"/>
  <c r="Z585" i="1"/>
  <c r="U584" i="1"/>
  <c r="W584" i="1"/>
  <c r="N585" i="1"/>
  <c r="X585" i="1" s="1"/>
  <c r="P585" i="1"/>
  <c r="R585" i="1"/>
  <c r="S585" i="1"/>
  <c r="O585" i="1"/>
  <c r="Q585" i="1"/>
  <c r="T577" i="1"/>
  <c r="R577" i="1"/>
  <c r="O577" i="1"/>
  <c r="AA580" i="1"/>
  <c r="U580" i="1"/>
  <c r="W580" i="1"/>
  <c r="Z580" i="1"/>
  <c r="Z577" i="1"/>
  <c r="AA577" i="1"/>
  <c r="U577" i="1"/>
  <c r="V577" i="1"/>
  <c r="P577" i="1"/>
  <c r="Z615" i="1"/>
  <c r="AA615" i="1"/>
  <c r="V615" i="1"/>
  <c r="N616" i="1"/>
  <c r="X616" i="1" s="1"/>
  <c r="P616" i="1"/>
  <c r="R616" i="1"/>
  <c r="S616" i="1"/>
  <c r="U615" i="1"/>
  <c r="O616" i="1"/>
  <c r="Q616" i="1"/>
  <c r="W577" i="1"/>
  <c r="Z313" i="1" l="1"/>
  <c r="AA313" i="1"/>
  <c r="W585" i="1"/>
  <c r="U585" i="1"/>
  <c r="V585" i="1"/>
  <c r="AA585" i="1"/>
  <c r="W616" i="1"/>
  <c r="U616" i="1"/>
  <c r="V616" i="1"/>
  <c r="J740" i="1" l="1"/>
  <c r="J393" i="1" l="1"/>
  <c r="Z96" i="1" l="1"/>
  <c r="AA96" i="1"/>
  <c r="J716" i="1"/>
  <c r="J665" i="1"/>
  <c r="J131" i="1"/>
  <c r="J738" i="1"/>
  <c r="Z182" i="1" l="1"/>
  <c r="AA182" i="1"/>
  <c r="Z206" i="1"/>
  <c r="AA206" i="1"/>
  <c r="AA691" i="1"/>
  <c r="Z691" i="1"/>
  <c r="J390" i="1"/>
  <c r="J392" i="1"/>
  <c r="J723" i="1"/>
  <c r="J661" i="1"/>
  <c r="J598" i="1"/>
  <c r="J492" i="1"/>
  <c r="J602" i="1"/>
  <c r="J601" i="1"/>
  <c r="J581" i="1"/>
  <c r="J578" i="1"/>
  <c r="J552" i="1"/>
  <c r="J525" i="1"/>
  <c r="J362" i="1"/>
  <c r="J603" i="1"/>
  <c r="J178" i="1"/>
  <c r="Z277" i="1" l="1"/>
  <c r="AA277" i="1"/>
  <c r="AA677" i="1"/>
  <c r="Z677" i="1"/>
  <c r="Z490" i="1"/>
  <c r="AA490" i="1"/>
  <c r="Z95" i="1"/>
  <c r="AA95" i="1"/>
  <c r="AA477" i="1"/>
  <c r="Z477" i="1"/>
  <c r="Z523" i="1"/>
  <c r="AA523" i="1"/>
  <c r="J430" i="1"/>
  <c r="J315" i="1" l="1"/>
  <c r="Z556" i="1" l="1"/>
  <c r="AA556" i="1"/>
  <c r="J150" i="1"/>
  <c r="J703" i="1"/>
  <c r="T702" i="1"/>
  <c r="J702" i="1"/>
  <c r="O702" i="1"/>
  <c r="J410" i="1"/>
  <c r="J159" i="1"/>
  <c r="Z31" i="1" s="1"/>
  <c r="J158" i="1"/>
  <c r="AA194" i="1" l="1"/>
  <c r="Z194" i="1"/>
  <c r="Z528" i="1"/>
  <c r="AA528" i="1"/>
  <c r="Q702" i="1"/>
  <c r="N702" i="1"/>
  <c r="P702" i="1"/>
  <c r="S702" i="1"/>
  <c r="R702" i="1"/>
  <c r="Z702" i="1"/>
  <c r="V702" i="1" l="1"/>
  <c r="X702" i="1"/>
  <c r="W702" i="1"/>
  <c r="U702" i="1"/>
  <c r="AA702" i="1"/>
  <c r="J727" i="1" l="1"/>
  <c r="J726" i="1"/>
  <c r="J730" i="1"/>
  <c r="J729" i="1"/>
  <c r="J135" i="1"/>
  <c r="Z678" i="1" l="1"/>
  <c r="AA678" i="1"/>
  <c r="Z576" i="1"/>
  <c r="AA576" i="1"/>
  <c r="Z487" i="1"/>
  <c r="AA487" i="1"/>
  <c r="J666" i="1"/>
  <c r="J55" i="1" l="1"/>
  <c r="J462" i="1"/>
  <c r="J728" i="1"/>
  <c r="J415" i="1"/>
  <c r="J417" i="1"/>
  <c r="Z100" i="1" l="1"/>
  <c r="AA100" i="1"/>
  <c r="Z686" i="1"/>
  <c r="AA686" i="1"/>
  <c r="AA651" i="1"/>
  <c r="Z651" i="1"/>
  <c r="Z102" i="1"/>
  <c r="AA102" i="1"/>
  <c r="J179" i="1"/>
  <c r="Z40" i="1" s="1"/>
  <c r="J276" i="1"/>
  <c r="AA63" i="1" l="1"/>
  <c r="Z63" i="1"/>
  <c r="T23" i="1"/>
  <c r="S23" i="1"/>
  <c r="R23" i="1"/>
  <c r="Q23" i="1"/>
  <c r="P23" i="1"/>
  <c r="O23" i="1"/>
  <c r="N23" i="1"/>
  <c r="T31" i="1"/>
  <c r="S31" i="1"/>
  <c r="R31" i="1"/>
  <c r="Q31" i="1"/>
  <c r="P31" i="1"/>
  <c r="O31" i="1"/>
  <c r="N31" i="1"/>
  <c r="T32" i="1"/>
  <c r="S32" i="1"/>
  <c r="R32" i="1"/>
  <c r="Q32" i="1"/>
  <c r="P32" i="1"/>
  <c r="O32" i="1"/>
  <c r="N32" i="1"/>
  <c r="H32" i="1"/>
  <c r="J32" i="1" s="1"/>
  <c r="H24" i="1"/>
  <c r="J24" i="1" s="1"/>
  <c r="Z24" i="1" s="1"/>
  <c r="T24" i="1"/>
  <c r="S24" i="1"/>
  <c r="R24" i="1"/>
  <c r="Q24" i="1"/>
  <c r="P24" i="1"/>
  <c r="O24" i="1"/>
  <c r="N24" i="1"/>
  <c r="J186" i="1"/>
  <c r="T186" i="1"/>
  <c r="S186" i="1"/>
  <c r="R186" i="1"/>
  <c r="Q186" i="1"/>
  <c r="P186" i="1"/>
  <c r="O186" i="1"/>
  <c r="N186" i="1"/>
  <c r="Z324" i="1" l="1"/>
  <c r="AA324" i="1"/>
  <c r="AA334" i="1"/>
  <c r="Z334" i="1"/>
  <c r="V32" i="1"/>
  <c r="X32" i="1"/>
  <c r="V23" i="1"/>
  <c r="X23" i="1"/>
  <c r="W186" i="1"/>
  <c r="X186" i="1"/>
  <c r="W24" i="1"/>
  <c r="X24" i="1"/>
  <c r="W31" i="1"/>
  <c r="X31" i="1"/>
  <c r="AA23" i="1"/>
  <c r="U23" i="1"/>
  <c r="W32" i="1"/>
  <c r="U32" i="1"/>
  <c r="W23" i="1"/>
  <c r="AA31" i="1"/>
  <c r="V31" i="1"/>
  <c r="U31" i="1"/>
  <c r="AA24" i="1"/>
  <c r="V24" i="1"/>
  <c r="U24" i="1"/>
  <c r="Z186" i="1"/>
  <c r="V186" i="1"/>
  <c r="AA186" i="1"/>
  <c r="U186" i="1"/>
  <c r="J443" i="1" l="1"/>
  <c r="T439" i="1"/>
  <c r="S439" i="1"/>
  <c r="R439" i="1"/>
  <c r="Q439" i="1"/>
  <c r="P439" i="1"/>
  <c r="O439" i="1"/>
  <c r="N439" i="1"/>
  <c r="J444" i="1"/>
  <c r="T690" i="1"/>
  <c r="S690" i="1"/>
  <c r="R690" i="1"/>
  <c r="Q690" i="1"/>
  <c r="P690" i="1"/>
  <c r="O690" i="1"/>
  <c r="N690" i="1"/>
  <c r="J214" i="1"/>
  <c r="J75" i="1"/>
  <c r="J608" i="1"/>
  <c r="J607" i="1"/>
  <c r="J605" i="1"/>
  <c r="J628" i="1"/>
  <c r="J627" i="1"/>
  <c r="J631" i="1"/>
  <c r="J640" i="1"/>
  <c r="J641" i="1"/>
  <c r="J610" i="1"/>
  <c r="J600" i="1"/>
  <c r="J704" i="1"/>
  <c r="J713" i="1"/>
  <c r="J721" i="1"/>
  <c r="J718" i="1"/>
  <c r="J614" i="1"/>
  <c r="T722" i="1"/>
  <c r="S722" i="1"/>
  <c r="R722" i="1"/>
  <c r="Q722" i="1"/>
  <c r="P722" i="1"/>
  <c r="O722" i="1"/>
  <c r="N722" i="1"/>
  <c r="Z722" i="1"/>
  <c r="J198" i="1"/>
  <c r="H500" i="1"/>
  <c r="J500" i="1" s="1"/>
  <c r="T500" i="1"/>
  <c r="S500" i="1"/>
  <c r="R500" i="1"/>
  <c r="Q500" i="1"/>
  <c r="P500" i="1"/>
  <c r="O500" i="1"/>
  <c r="N500" i="1"/>
  <c r="J183" i="1"/>
  <c r="J163" i="1"/>
  <c r="J37" i="1"/>
  <c r="Z360" i="1" l="1"/>
  <c r="AA360" i="1"/>
  <c r="Z579" i="1"/>
  <c r="AA579" i="1"/>
  <c r="Z332" i="1"/>
  <c r="AA332" i="1"/>
  <c r="Z584" i="1"/>
  <c r="AA584" i="1"/>
  <c r="Z587" i="1"/>
  <c r="AA587" i="1"/>
  <c r="Z12" i="1"/>
  <c r="AA12" i="1"/>
  <c r="AA195" i="1"/>
  <c r="Z195" i="1"/>
  <c r="AA569" i="1"/>
  <c r="Z569" i="1"/>
  <c r="AA113" i="1"/>
  <c r="Z113" i="1"/>
  <c r="Z391" i="1"/>
  <c r="AA391" i="1"/>
  <c r="W722" i="1"/>
  <c r="X722" i="1"/>
  <c r="W690" i="1"/>
  <c r="X690" i="1"/>
  <c r="V500" i="1"/>
  <c r="X500" i="1"/>
  <c r="W439" i="1"/>
  <c r="X439" i="1"/>
  <c r="J690" i="1"/>
  <c r="Z439" i="1"/>
  <c r="AA439" i="1"/>
  <c r="V439" i="1"/>
  <c r="U439" i="1"/>
  <c r="V690" i="1"/>
  <c r="U690" i="1"/>
  <c r="V722" i="1"/>
  <c r="AA722" i="1"/>
  <c r="U722" i="1"/>
  <c r="U500" i="1"/>
  <c r="W500" i="1"/>
  <c r="AA500" i="1"/>
  <c r="Z500" i="1"/>
  <c r="J708" i="1"/>
  <c r="J699" i="1"/>
  <c r="J147" i="1"/>
  <c r="J148" i="1"/>
  <c r="J149" i="1"/>
  <c r="J697" i="1"/>
  <c r="J696" i="1"/>
  <c r="J698" i="1"/>
  <c r="J540" i="1"/>
  <c r="J21" i="1"/>
  <c r="Z568" i="1" l="1"/>
  <c r="AA568" i="1"/>
  <c r="Z27" i="1"/>
  <c r="AA27" i="1"/>
  <c r="Z690" i="1"/>
  <c r="AA189" i="1"/>
  <c r="Z191" i="1"/>
  <c r="AA191" i="1"/>
  <c r="Z21" i="1"/>
  <c r="Z10" i="1"/>
  <c r="AA10" i="1"/>
  <c r="Z192" i="1"/>
  <c r="AA192" i="1"/>
  <c r="Z586" i="1"/>
  <c r="AA586" i="1"/>
  <c r="AA690" i="1"/>
  <c r="J535" i="1"/>
  <c r="J451" i="1"/>
  <c r="J452" i="1"/>
  <c r="Z115" i="1" l="1"/>
  <c r="AA115" i="1"/>
  <c r="Z291" i="1"/>
  <c r="AA291" i="1"/>
  <c r="J338" i="1"/>
  <c r="Z386" i="1" l="1"/>
  <c r="AA386" i="1"/>
  <c r="J611" i="1"/>
  <c r="Z667" i="1" l="1"/>
  <c r="AA667" i="1"/>
  <c r="J494" i="1"/>
  <c r="Z359" i="1" l="1"/>
  <c r="AA359" i="1"/>
  <c r="J695" i="1"/>
  <c r="J685" i="1"/>
  <c r="T283" i="1"/>
  <c r="S283" i="1"/>
  <c r="R283" i="1"/>
  <c r="Q283" i="1"/>
  <c r="P283" i="1"/>
  <c r="O283" i="1"/>
  <c r="N283" i="1"/>
  <c r="J160" i="1"/>
  <c r="J156" i="1"/>
  <c r="Z32" i="1" l="1"/>
  <c r="AA32" i="1"/>
  <c r="AA436" i="1"/>
  <c r="Z436" i="1"/>
  <c r="W283" i="1"/>
  <c r="X283" i="1"/>
  <c r="J283" i="1"/>
  <c r="V283" i="1"/>
  <c r="U283" i="1"/>
  <c r="Z66" i="1" l="1"/>
  <c r="AA66" i="1"/>
  <c r="J497" i="1"/>
  <c r="J429" i="1" l="1"/>
  <c r="Z289" i="1" l="1"/>
  <c r="AA289" i="1"/>
  <c r="J459" i="1"/>
  <c r="J741" i="1"/>
  <c r="J300" i="1" l="1"/>
  <c r="Z625" i="1" s="1"/>
  <c r="P729" i="1" l="1"/>
  <c r="J612" i="1" l="1"/>
  <c r="Z161" i="1" l="1"/>
  <c r="AA161" i="1"/>
  <c r="J482" i="1"/>
  <c r="Z295" i="1" l="1"/>
  <c r="AA295" i="1"/>
  <c r="J411" i="1"/>
  <c r="J408" i="1"/>
  <c r="Z283" i="1" l="1"/>
  <c r="AA283" i="1"/>
  <c r="Z285" i="1"/>
  <c r="AA285" i="1"/>
  <c r="J571" i="1"/>
  <c r="U772" i="1" l="1"/>
  <c r="U771" i="1"/>
  <c r="U773" i="1" s="1"/>
  <c r="J663" i="1" l="1"/>
  <c r="H254" i="1" l="1"/>
  <c r="J254" i="1" s="1"/>
  <c r="Z489" i="1" l="1"/>
  <c r="AA489" i="1"/>
  <c r="J683" i="1"/>
  <c r="J700" i="1" l="1"/>
  <c r="J715" i="1"/>
  <c r="Z527" i="1" l="1"/>
  <c r="AA527" i="1"/>
  <c r="J710" i="1"/>
  <c r="J705" i="1"/>
  <c r="T600" i="1" l="1"/>
  <c r="S600" i="1"/>
  <c r="R600" i="1"/>
  <c r="Q600" i="1"/>
  <c r="P600" i="1"/>
  <c r="O600" i="1"/>
  <c r="N600" i="1"/>
  <c r="X600" i="1" s="1"/>
  <c r="J297" i="1"/>
  <c r="Z481" i="1" s="1"/>
  <c r="J567" i="1"/>
  <c r="J562" i="1"/>
  <c r="J157" i="1"/>
  <c r="V600" i="1" l="1"/>
  <c r="U600" i="1"/>
  <c r="AA600" i="1"/>
  <c r="Z600" i="1"/>
  <c r="W600" i="1"/>
  <c r="T55" i="1" l="1"/>
  <c r="S55" i="1"/>
  <c r="R55" i="1"/>
  <c r="Q55" i="1"/>
  <c r="P55" i="1"/>
  <c r="O55" i="1"/>
  <c r="N55" i="1"/>
  <c r="X55" i="1" s="1"/>
  <c r="J479" i="1"/>
  <c r="Z491" i="1" l="1"/>
  <c r="AA491" i="1"/>
  <c r="W55" i="1"/>
  <c r="U55" i="1"/>
  <c r="Z55" i="1"/>
  <c r="AA55" i="1"/>
  <c r="V55" i="1"/>
  <c r="J171" i="1" l="1"/>
  <c r="J731" i="1" l="1"/>
  <c r="J467" i="1"/>
  <c r="T492" i="1" l="1"/>
  <c r="S492" i="1"/>
  <c r="R492" i="1"/>
  <c r="Q492" i="1"/>
  <c r="P492" i="1"/>
  <c r="O492" i="1"/>
  <c r="N492" i="1"/>
  <c r="X492" i="1" s="1"/>
  <c r="J53" i="1"/>
  <c r="J316" i="1"/>
  <c r="J164" i="1"/>
  <c r="Z34" i="1" l="1"/>
  <c r="AA34" i="1"/>
  <c r="Z383" i="1"/>
  <c r="AA383" i="1"/>
  <c r="W492" i="1"/>
  <c r="U492" i="1"/>
  <c r="Z492" i="1"/>
  <c r="AA492" i="1"/>
  <c r="V492" i="1"/>
  <c r="J463" i="1" l="1"/>
  <c r="Z542" i="1" l="1"/>
  <c r="AA542" i="1"/>
  <c r="J42" i="1"/>
  <c r="J447" i="1" l="1"/>
  <c r="J684" i="1" l="1"/>
  <c r="J701" i="1"/>
  <c r="J457" i="1" l="1"/>
  <c r="Z116" i="1" l="1"/>
  <c r="AA116" i="1"/>
  <c r="J564" i="1"/>
  <c r="J85" i="1" l="1"/>
  <c r="O771" i="1" l="1"/>
  <c r="O773" i="1" s="1"/>
  <c r="J169" i="1" l="1"/>
  <c r="Z670" i="1" s="1"/>
  <c r="J687" i="1" l="1"/>
  <c r="Z317" i="1" l="1"/>
  <c r="AA317" i="1"/>
  <c r="J406" i="1"/>
  <c r="J167" i="1" l="1"/>
  <c r="Z37" i="1" s="1"/>
  <c r="J130" i="1" l="1"/>
  <c r="J56" i="1" l="1"/>
  <c r="AA434" i="1" l="1"/>
  <c r="Z434" i="1"/>
  <c r="J405" i="1"/>
  <c r="T525" i="1"/>
  <c r="S525" i="1"/>
  <c r="R525" i="1"/>
  <c r="Q525" i="1"/>
  <c r="P525" i="1"/>
  <c r="O525" i="1"/>
  <c r="N525" i="1"/>
  <c r="X525" i="1" s="1"/>
  <c r="J510" i="1"/>
  <c r="W525" i="1" l="1"/>
  <c r="U525" i="1"/>
  <c r="V525" i="1"/>
  <c r="R7" i="1" l="1"/>
  <c r="R13" i="1"/>
  <c r="R15" i="1"/>
  <c r="R19" i="1"/>
  <c r="R20" i="1"/>
  <c r="R21" i="1"/>
  <c r="R26" i="1"/>
  <c r="R29" i="1"/>
  <c r="R40" i="1"/>
  <c r="R44" i="1"/>
  <c r="R46" i="1"/>
  <c r="R47" i="1"/>
  <c r="R48" i="1"/>
  <c r="R49" i="1"/>
  <c r="R56" i="1"/>
  <c r="R60" i="1"/>
  <c r="R64" i="1"/>
  <c r="R69" i="1"/>
  <c r="R70" i="1"/>
  <c r="R71" i="1"/>
  <c r="R72" i="1"/>
  <c r="R73" i="1"/>
  <c r="R75" i="1"/>
  <c r="R76" i="1"/>
  <c r="R85" i="1"/>
  <c r="R90" i="1"/>
  <c r="R92" i="1"/>
  <c r="R93" i="1"/>
  <c r="R94" i="1"/>
  <c r="R98" i="1"/>
  <c r="R109" i="1"/>
  <c r="R111" i="1"/>
  <c r="R118" i="1"/>
  <c r="R120" i="1"/>
  <c r="R123" i="1"/>
  <c r="R127" i="1"/>
  <c r="R128" i="1"/>
  <c r="R129" i="1"/>
  <c r="R130" i="1"/>
  <c r="R131" i="1"/>
  <c r="R132" i="1"/>
  <c r="R133" i="1"/>
  <c r="R134" i="1"/>
  <c r="R135" i="1"/>
  <c r="R136" i="1"/>
  <c r="R137" i="1"/>
  <c r="R139" i="1"/>
  <c r="R142" i="1"/>
  <c r="R151" i="1"/>
  <c r="R153" i="1"/>
  <c r="R154" i="1"/>
  <c r="R155" i="1"/>
  <c r="R156" i="1"/>
  <c r="R157" i="1"/>
  <c r="R158" i="1"/>
  <c r="R159" i="1"/>
  <c r="R160" i="1"/>
  <c r="R163" i="1"/>
  <c r="R164" i="1"/>
  <c r="R165" i="1"/>
  <c r="R166" i="1"/>
  <c r="R168" i="1"/>
  <c r="R170" i="1"/>
  <c r="R171" i="1"/>
  <c r="R173" i="1"/>
  <c r="R178" i="1"/>
  <c r="R179" i="1"/>
  <c r="R180" i="1"/>
  <c r="R181" i="1"/>
  <c r="R183" i="1"/>
  <c r="R184" i="1"/>
  <c r="R187" i="1"/>
  <c r="R188" i="1"/>
  <c r="R193" i="1"/>
  <c r="R197" i="1"/>
  <c r="R198" i="1"/>
  <c r="R199" i="1"/>
  <c r="R200" i="1"/>
  <c r="R201" i="1"/>
  <c r="R202" i="1"/>
  <c r="R204" i="1"/>
  <c r="R209" i="1"/>
  <c r="R210" i="1"/>
  <c r="R211" i="1"/>
  <c r="R212" i="1"/>
  <c r="R213" i="1"/>
  <c r="R214" i="1"/>
  <c r="R215" i="1"/>
  <c r="R218" i="1"/>
  <c r="R219" i="1"/>
  <c r="R220" i="1"/>
  <c r="R221" i="1"/>
  <c r="R222" i="1"/>
  <c r="R223" i="1"/>
  <c r="R224" i="1"/>
  <c r="R236" i="1"/>
  <c r="R238" i="1"/>
  <c r="R239" i="1"/>
  <c r="R242" i="1"/>
  <c r="R243" i="1"/>
  <c r="R247" i="1"/>
  <c r="R248" i="1"/>
  <c r="R251" i="1"/>
  <c r="R252" i="1"/>
  <c r="R253" i="1"/>
  <c r="R254" i="1"/>
  <c r="R274" i="1"/>
  <c r="R276" i="1"/>
  <c r="R284" i="1"/>
  <c r="R286" i="1"/>
  <c r="R288" i="1"/>
  <c r="R293" i="1"/>
  <c r="R249" i="1"/>
  <c r="R250" i="1"/>
  <c r="R299" i="1"/>
  <c r="R300" i="1"/>
  <c r="R302" i="1"/>
  <c r="R303" i="1"/>
  <c r="R304" i="1"/>
  <c r="R305" i="1"/>
  <c r="R310" i="1"/>
  <c r="R314" i="1"/>
  <c r="R315" i="1"/>
  <c r="R316" i="1"/>
  <c r="R320" i="1"/>
  <c r="R321" i="1"/>
  <c r="R328" i="1"/>
  <c r="R329" i="1"/>
  <c r="R331" i="1"/>
  <c r="R333" i="1"/>
  <c r="R335" i="1"/>
  <c r="R336" i="1"/>
  <c r="R338" i="1"/>
  <c r="R339" i="1"/>
  <c r="R353" i="1"/>
  <c r="R354" i="1"/>
  <c r="R355" i="1"/>
  <c r="R362" i="1"/>
  <c r="R363" i="1"/>
  <c r="R364" i="1"/>
  <c r="R365" i="1"/>
  <c r="R366" i="1"/>
  <c r="R367" i="1"/>
  <c r="R368" i="1"/>
  <c r="R369" i="1"/>
  <c r="R370" i="1"/>
  <c r="R371" i="1"/>
  <c r="R372" i="1"/>
  <c r="R389" i="1"/>
  <c r="R390" i="1"/>
  <c r="R392" i="1"/>
  <c r="R393" i="1"/>
  <c r="R400" i="1"/>
  <c r="R402" i="1"/>
  <c r="R405" i="1"/>
  <c r="R406" i="1"/>
  <c r="R408" i="1"/>
  <c r="R410" i="1"/>
  <c r="R411" i="1"/>
  <c r="R413" i="1"/>
  <c r="R414" i="1"/>
  <c r="R415" i="1"/>
  <c r="R416" i="1"/>
  <c r="R417" i="1"/>
  <c r="R418" i="1"/>
  <c r="R419" i="1"/>
  <c r="R420" i="1"/>
  <c r="R421" i="1"/>
  <c r="R428" i="1"/>
  <c r="R429" i="1"/>
  <c r="R430" i="1"/>
  <c r="R432" i="1"/>
  <c r="R433" i="1"/>
  <c r="R438" i="1"/>
  <c r="R440" i="1"/>
  <c r="R441" i="1"/>
  <c r="R442" i="1"/>
  <c r="R443" i="1"/>
  <c r="R444" i="1"/>
  <c r="R445" i="1"/>
  <c r="R447" i="1"/>
  <c r="R449" i="1"/>
  <c r="R450" i="1"/>
  <c r="R452" i="1"/>
  <c r="R451" i="1"/>
  <c r="R457" i="1"/>
  <c r="R458" i="1"/>
  <c r="R459" i="1"/>
  <c r="R461" i="1"/>
  <c r="R463" i="1"/>
  <c r="R464" i="1"/>
  <c r="R465" i="1"/>
  <c r="R467" i="1"/>
  <c r="R468" i="1"/>
  <c r="R473" i="1"/>
  <c r="R475" i="1"/>
  <c r="R479" i="1"/>
  <c r="R483" i="1"/>
  <c r="R482" i="1"/>
  <c r="R484" i="1"/>
  <c r="R494" i="1"/>
  <c r="R497" i="1"/>
  <c r="R504" i="1"/>
  <c r="R505" i="1"/>
  <c r="R507" i="1"/>
  <c r="R509" i="1"/>
  <c r="R510" i="1"/>
  <c r="R513" i="1"/>
  <c r="R514" i="1"/>
  <c r="R517" i="1"/>
  <c r="R526" i="1"/>
  <c r="R529" i="1"/>
  <c r="R535" i="1"/>
  <c r="R537" i="1"/>
  <c r="R538" i="1"/>
  <c r="R539" i="1"/>
  <c r="R540" i="1"/>
  <c r="R545" i="1"/>
  <c r="R546" i="1"/>
  <c r="R551" i="1"/>
  <c r="R552" i="1"/>
  <c r="R559" i="1"/>
  <c r="R560" i="1"/>
  <c r="R562" i="1"/>
  <c r="R564" i="1"/>
  <c r="R565" i="1"/>
  <c r="R566" i="1"/>
  <c r="R567" i="1"/>
  <c r="R571" i="1"/>
  <c r="R572" i="1"/>
  <c r="R573" i="1"/>
  <c r="R575" i="1"/>
  <c r="R578" i="1"/>
  <c r="R581" i="1"/>
  <c r="R582" i="1"/>
  <c r="R589" i="1"/>
  <c r="R591" i="1"/>
  <c r="R592" i="1"/>
  <c r="R594" i="1"/>
  <c r="R595" i="1"/>
  <c r="R596" i="1"/>
  <c r="R597" i="1"/>
  <c r="R598" i="1"/>
  <c r="R599" i="1"/>
  <c r="R601" i="1"/>
  <c r="R602" i="1"/>
  <c r="R603" i="1"/>
  <c r="R605" i="1"/>
  <c r="R607" i="1"/>
  <c r="R608" i="1"/>
  <c r="R609" i="1"/>
  <c r="R610" i="1"/>
  <c r="R611" i="1"/>
  <c r="R612" i="1"/>
  <c r="R613" i="1"/>
  <c r="R614" i="1"/>
  <c r="R619" i="1"/>
  <c r="R620" i="1"/>
  <c r="R627" i="1"/>
  <c r="R628" i="1"/>
  <c r="R631" i="1"/>
  <c r="R632" i="1"/>
  <c r="R633" i="1"/>
  <c r="R634" i="1"/>
  <c r="R635" i="1"/>
  <c r="R637" i="1"/>
  <c r="R639" i="1"/>
  <c r="R640" i="1"/>
  <c r="R641" i="1"/>
  <c r="R659" i="1"/>
  <c r="R660" i="1"/>
  <c r="R661" i="1"/>
  <c r="R663" i="1"/>
  <c r="R664" i="1"/>
  <c r="R683" i="1"/>
  <c r="R684" i="1"/>
  <c r="R685" i="1"/>
  <c r="R687" i="1"/>
  <c r="R689" i="1"/>
  <c r="R692" i="1"/>
  <c r="R695" i="1"/>
  <c r="R696" i="1"/>
  <c r="R697" i="1"/>
  <c r="R698" i="1"/>
  <c r="R699" i="1"/>
  <c r="R700" i="1"/>
  <c r="R701" i="1"/>
  <c r="R703" i="1"/>
  <c r="R704" i="1"/>
  <c r="R705" i="1"/>
  <c r="R706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3" i="1"/>
  <c r="R725" i="1"/>
  <c r="R726" i="1"/>
  <c r="R727" i="1"/>
  <c r="R728" i="1"/>
  <c r="R729" i="1"/>
  <c r="R730" i="1"/>
  <c r="R731" i="1"/>
  <c r="R732" i="1"/>
  <c r="R733" i="1"/>
  <c r="R734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4" i="1"/>
  <c r="R771" i="1"/>
  <c r="R773" i="1" s="1"/>
  <c r="T628" i="1" l="1"/>
  <c r="S628" i="1"/>
  <c r="Q628" i="1"/>
  <c r="P628" i="1"/>
  <c r="O628" i="1"/>
  <c r="N628" i="1"/>
  <c r="X628" i="1" s="1"/>
  <c r="W628" i="1" l="1"/>
  <c r="U628" i="1"/>
  <c r="AA628" i="1"/>
  <c r="Z628" i="1"/>
  <c r="V628" i="1"/>
  <c r="J441" i="1" l="1"/>
  <c r="AA112" i="1" l="1"/>
  <c r="Z112" i="1"/>
  <c r="H188" i="1"/>
  <c r="J188" i="1" s="1"/>
  <c r="J400" i="1"/>
  <c r="T687" i="1"/>
  <c r="S687" i="1"/>
  <c r="Q687" i="1"/>
  <c r="P687" i="1"/>
  <c r="O687" i="1"/>
  <c r="N687" i="1"/>
  <c r="X687" i="1" s="1"/>
  <c r="Z687" i="1"/>
  <c r="J433" i="1"/>
  <c r="Z351" i="1" l="1"/>
  <c r="AA351" i="1"/>
  <c r="V687" i="1"/>
  <c r="U687" i="1"/>
  <c r="W687" i="1"/>
  <c r="AA687" i="1"/>
  <c r="T451" i="1" l="1"/>
  <c r="S451" i="1"/>
  <c r="Q451" i="1"/>
  <c r="P451" i="1"/>
  <c r="O451" i="1"/>
  <c r="N451" i="1"/>
  <c r="X451" i="1" s="1"/>
  <c r="Z451" i="1"/>
  <c r="V451" i="1" l="1"/>
  <c r="U451" i="1"/>
  <c r="W451" i="1"/>
  <c r="AA451" i="1"/>
  <c r="T452" i="1" l="1"/>
  <c r="S452" i="1"/>
  <c r="Q452" i="1"/>
  <c r="P452" i="1"/>
  <c r="O452" i="1"/>
  <c r="N452" i="1"/>
  <c r="X452" i="1" s="1"/>
  <c r="V452" i="1" l="1"/>
  <c r="U452" i="1"/>
  <c r="W452" i="1"/>
  <c r="R37" i="1" l="1"/>
  <c r="R375" i="1"/>
  <c r="R65" i="1"/>
  <c r="R42" i="1"/>
  <c r="R373" i="1"/>
  <c r="R376" i="1"/>
  <c r="J438" i="1" l="1"/>
  <c r="J720" i="1" l="1"/>
  <c r="Z318" i="1" l="1"/>
  <c r="AA318" i="1"/>
  <c r="J339" i="1"/>
  <c r="T770" i="1" l="1"/>
  <c r="S770" i="1"/>
  <c r="Q770" i="1"/>
  <c r="P770" i="1"/>
  <c r="O770" i="1"/>
  <c r="N770" i="1"/>
  <c r="Z770" i="1"/>
  <c r="T769" i="1"/>
  <c r="S769" i="1"/>
  <c r="Q769" i="1"/>
  <c r="P769" i="1"/>
  <c r="O769" i="1"/>
  <c r="N769" i="1"/>
  <c r="X769" i="1" s="1"/>
  <c r="Z769" i="1"/>
  <c r="T768" i="1"/>
  <c r="S768" i="1"/>
  <c r="Q768" i="1"/>
  <c r="P768" i="1"/>
  <c r="O768" i="1"/>
  <c r="N768" i="1"/>
  <c r="X768" i="1" s="1"/>
  <c r="Z768" i="1"/>
  <c r="T767" i="1"/>
  <c r="S767" i="1"/>
  <c r="Q767" i="1"/>
  <c r="P767" i="1"/>
  <c r="O767" i="1"/>
  <c r="N767" i="1"/>
  <c r="X767" i="1" s="1"/>
  <c r="Z767" i="1"/>
  <c r="T766" i="1"/>
  <c r="S766" i="1"/>
  <c r="Q766" i="1"/>
  <c r="P766" i="1"/>
  <c r="O766" i="1"/>
  <c r="N766" i="1"/>
  <c r="X766" i="1" s="1"/>
  <c r="Z766" i="1"/>
  <c r="T765" i="1"/>
  <c r="S765" i="1"/>
  <c r="Q765" i="1"/>
  <c r="P765" i="1"/>
  <c r="O765" i="1"/>
  <c r="N765" i="1"/>
  <c r="X765" i="1" s="1"/>
  <c r="Z765" i="1"/>
  <c r="T764" i="1"/>
  <c r="S764" i="1"/>
  <c r="Q764" i="1"/>
  <c r="P764" i="1"/>
  <c r="O764" i="1"/>
  <c r="N764" i="1"/>
  <c r="X764" i="1" s="1"/>
  <c r="Z764" i="1"/>
  <c r="T763" i="1"/>
  <c r="S763" i="1"/>
  <c r="Q763" i="1"/>
  <c r="P763" i="1"/>
  <c r="O763" i="1"/>
  <c r="N763" i="1"/>
  <c r="X763" i="1" s="1"/>
  <c r="Z763" i="1"/>
  <c r="T762" i="1"/>
  <c r="S762" i="1"/>
  <c r="Q762" i="1"/>
  <c r="P762" i="1"/>
  <c r="O762" i="1"/>
  <c r="N762" i="1"/>
  <c r="X762" i="1" s="1"/>
  <c r="Z762" i="1"/>
  <c r="T761" i="1"/>
  <c r="S761" i="1"/>
  <c r="Q761" i="1"/>
  <c r="P761" i="1"/>
  <c r="O761" i="1"/>
  <c r="N761" i="1"/>
  <c r="X761" i="1" s="1"/>
  <c r="Z761" i="1"/>
  <c r="T760" i="1"/>
  <c r="S760" i="1"/>
  <c r="Q760" i="1"/>
  <c r="P760" i="1"/>
  <c r="O760" i="1"/>
  <c r="N760" i="1"/>
  <c r="X760" i="1" s="1"/>
  <c r="Z760" i="1"/>
  <c r="T759" i="1"/>
  <c r="S759" i="1"/>
  <c r="Q759" i="1"/>
  <c r="P759" i="1"/>
  <c r="O759" i="1"/>
  <c r="N759" i="1"/>
  <c r="X759" i="1" s="1"/>
  <c r="Z759" i="1"/>
  <c r="T758" i="1"/>
  <c r="S758" i="1"/>
  <c r="Q758" i="1"/>
  <c r="P758" i="1"/>
  <c r="O758" i="1"/>
  <c r="N758" i="1"/>
  <c r="X758" i="1" s="1"/>
  <c r="Z758" i="1"/>
  <c r="T757" i="1"/>
  <c r="S757" i="1"/>
  <c r="Q757" i="1"/>
  <c r="P757" i="1"/>
  <c r="O757" i="1"/>
  <c r="N757" i="1"/>
  <c r="X757" i="1" s="1"/>
  <c r="Z757" i="1"/>
  <c r="T756" i="1"/>
  <c r="S756" i="1"/>
  <c r="Q756" i="1"/>
  <c r="P756" i="1"/>
  <c r="O756" i="1"/>
  <c r="N756" i="1"/>
  <c r="X756" i="1" s="1"/>
  <c r="Z756" i="1"/>
  <c r="T755" i="1"/>
  <c r="S755" i="1"/>
  <c r="Q755" i="1"/>
  <c r="P755" i="1"/>
  <c r="O755" i="1"/>
  <c r="N755" i="1"/>
  <c r="X755" i="1" s="1"/>
  <c r="Z755" i="1"/>
  <c r="T754" i="1"/>
  <c r="S754" i="1"/>
  <c r="Q754" i="1"/>
  <c r="P754" i="1"/>
  <c r="O754" i="1"/>
  <c r="N754" i="1"/>
  <c r="X754" i="1" s="1"/>
  <c r="Z754" i="1"/>
  <c r="T753" i="1"/>
  <c r="S753" i="1"/>
  <c r="Q753" i="1"/>
  <c r="P753" i="1"/>
  <c r="O753" i="1"/>
  <c r="N753" i="1"/>
  <c r="X753" i="1" s="1"/>
  <c r="Z753" i="1"/>
  <c r="T752" i="1"/>
  <c r="S752" i="1"/>
  <c r="Q752" i="1"/>
  <c r="P752" i="1"/>
  <c r="O752" i="1"/>
  <c r="N752" i="1"/>
  <c r="X752" i="1" s="1"/>
  <c r="Z752" i="1"/>
  <c r="T751" i="1"/>
  <c r="S751" i="1"/>
  <c r="Q751" i="1"/>
  <c r="P751" i="1"/>
  <c r="O751" i="1"/>
  <c r="N751" i="1"/>
  <c r="X751" i="1" s="1"/>
  <c r="Z751" i="1"/>
  <c r="T750" i="1"/>
  <c r="S750" i="1"/>
  <c r="Q750" i="1"/>
  <c r="P750" i="1"/>
  <c r="O750" i="1"/>
  <c r="N750" i="1"/>
  <c r="X750" i="1" s="1"/>
  <c r="Z750" i="1"/>
  <c r="T749" i="1"/>
  <c r="S749" i="1"/>
  <c r="Q749" i="1"/>
  <c r="P749" i="1"/>
  <c r="O749" i="1"/>
  <c r="N749" i="1"/>
  <c r="X749" i="1" s="1"/>
  <c r="Z749" i="1"/>
  <c r="T748" i="1"/>
  <c r="S748" i="1"/>
  <c r="Q748" i="1"/>
  <c r="P748" i="1"/>
  <c r="O748" i="1"/>
  <c r="N748" i="1"/>
  <c r="X748" i="1" s="1"/>
  <c r="Z748" i="1"/>
  <c r="T747" i="1"/>
  <c r="S747" i="1"/>
  <c r="Q747" i="1"/>
  <c r="P747" i="1"/>
  <c r="O747" i="1"/>
  <c r="N747" i="1"/>
  <c r="X747" i="1" s="1"/>
  <c r="Z747" i="1"/>
  <c r="T746" i="1"/>
  <c r="S746" i="1"/>
  <c r="Q746" i="1"/>
  <c r="P746" i="1"/>
  <c r="O746" i="1"/>
  <c r="N746" i="1"/>
  <c r="X746" i="1" s="1"/>
  <c r="Z746" i="1"/>
  <c r="T745" i="1"/>
  <c r="S745" i="1"/>
  <c r="Q745" i="1"/>
  <c r="P745" i="1"/>
  <c r="O745" i="1"/>
  <c r="N745" i="1"/>
  <c r="X745" i="1" s="1"/>
  <c r="Z745" i="1"/>
  <c r="T744" i="1"/>
  <c r="S744" i="1"/>
  <c r="Q744" i="1"/>
  <c r="P744" i="1"/>
  <c r="O744" i="1"/>
  <c r="N744" i="1"/>
  <c r="X744" i="1" s="1"/>
  <c r="Z744" i="1"/>
  <c r="T743" i="1"/>
  <c r="S743" i="1"/>
  <c r="Q743" i="1"/>
  <c r="P743" i="1"/>
  <c r="O743" i="1"/>
  <c r="N743" i="1"/>
  <c r="X743" i="1" s="1"/>
  <c r="Z743" i="1"/>
  <c r="T742" i="1"/>
  <c r="S742" i="1"/>
  <c r="Q742" i="1"/>
  <c r="P742" i="1"/>
  <c r="O742" i="1"/>
  <c r="N742" i="1"/>
  <c r="X742" i="1" s="1"/>
  <c r="Z742" i="1"/>
  <c r="T468" i="1"/>
  <c r="S468" i="1"/>
  <c r="Q468" i="1"/>
  <c r="P468" i="1"/>
  <c r="O468" i="1"/>
  <c r="N468" i="1"/>
  <c r="X468" i="1" s="1"/>
  <c r="T467" i="1"/>
  <c r="S467" i="1"/>
  <c r="Q467" i="1"/>
  <c r="P467" i="1"/>
  <c r="O467" i="1"/>
  <c r="N467" i="1"/>
  <c r="X467" i="1" s="1"/>
  <c r="T224" i="1"/>
  <c r="S224" i="1"/>
  <c r="Q224" i="1"/>
  <c r="P224" i="1"/>
  <c r="O224" i="1"/>
  <c r="N224" i="1"/>
  <c r="X224" i="1" s="1"/>
  <c r="T223" i="1"/>
  <c r="S223" i="1"/>
  <c r="Q223" i="1"/>
  <c r="P223" i="1"/>
  <c r="O223" i="1"/>
  <c r="N223" i="1"/>
  <c r="X223" i="1" s="1"/>
  <c r="T222" i="1"/>
  <c r="S222" i="1"/>
  <c r="Q222" i="1"/>
  <c r="P222" i="1"/>
  <c r="O222" i="1"/>
  <c r="N222" i="1"/>
  <c r="X222" i="1" s="1"/>
  <c r="T221" i="1"/>
  <c r="S221" i="1"/>
  <c r="Q221" i="1"/>
  <c r="P221" i="1"/>
  <c r="O221" i="1"/>
  <c r="N221" i="1"/>
  <c r="X221" i="1" s="1"/>
  <c r="T220" i="1"/>
  <c r="S220" i="1"/>
  <c r="Q220" i="1"/>
  <c r="P220" i="1"/>
  <c r="O220" i="1"/>
  <c r="N220" i="1"/>
  <c r="X220" i="1" s="1"/>
  <c r="T219" i="1"/>
  <c r="S219" i="1"/>
  <c r="Q219" i="1"/>
  <c r="P219" i="1"/>
  <c r="O219" i="1"/>
  <c r="N219" i="1"/>
  <c r="X219" i="1" s="1"/>
  <c r="T692" i="1"/>
  <c r="S692" i="1"/>
  <c r="Q692" i="1"/>
  <c r="P692" i="1"/>
  <c r="O692" i="1"/>
  <c r="N692" i="1"/>
  <c r="X692" i="1" s="1"/>
  <c r="T545" i="1"/>
  <c r="S545" i="1"/>
  <c r="Q545" i="1"/>
  <c r="P545" i="1"/>
  <c r="O545" i="1"/>
  <c r="N545" i="1"/>
  <c r="X545" i="1" s="1"/>
  <c r="T473" i="1"/>
  <c r="S473" i="1"/>
  <c r="Q473" i="1"/>
  <c r="P473" i="1"/>
  <c r="O473" i="1"/>
  <c r="N473" i="1"/>
  <c r="X473" i="1" s="1"/>
  <c r="T254" i="1"/>
  <c r="S254" i="1"/>
  <c r="Q254" i="1"/>
  <c r="P254" i="1"/>
  <c r="O254" i="1"/>
  <c r="N254" i="1"/>
  <c r="X254" i="1" s="1"/>
  <c r="T253" i="1"/>
  <c r="S253" i="1"/>
  <c r="Q253" i="1"/>
  <c r="P253" i="1"/>
  <c r="O253" i="1"/>
  <c r="N253" i="1"/>
  <c r="X253" i="1" s="1"/>
  <c r="T252" i="1"/>
  <c r="S252" i="1"/>
  <c r="Q252" i="1"/>
  <c r="P252" i="1"/>
  <c r="O252" i="1"/>
  <c r="N252" i="1"/>
  <c r="X252" i="1" s="1"/>
  <c r="T251" i="1"/>
  <c r="S251" i="1"/>
  <c r="Q251" i="1"/>
  <c r="P251" i="1"/>
  <c r="O251" i="1"/>
  <c r="N251" i="1"/>
  <c r="X251" i="1" s="1"/>
  <c r="T218" i="1"/>
  <c r="S218" i="1"/>
  <c r="Q218" i="1"/>
  <c r="P218" i="1"/>
  <c r="O218" i="1"/>
  <c r="N218" i="1"/>
  <c r="X218" i="1" s="1"/>
  <c r="T215" i="1"/>
  <c r="S215" i="1"/>
  <c r="Q215" i="1"/>
  <c r="P215" i="1"/>
  <c r="O215" i="1"/>
  <c r="N215" i="1"/>
  <c r="X215" i="1" s="1"/>
  <c r="T204" i="1"/>
  <c r="S204" i="1"/>
  <c r="Q204" i="1"/>
  <c r="P204" i="1"/>
  <c r="O204" i="1"/>
  <c r="N204" i="1"/>
  <c r="X204" i="1" s="1"/>
  <c r="T137" i="1"/>
  <c r="S137" i="1"/>
  <c r="Q137" i="1"/>
  <c r="P137" i="1"/>
  <c r="O137" i="1"/>
  <c r="N137" i="1"/>
  <c r="X137" i="1" s="1"/>
  <c r="T136" i="1"/>
  <c r="S136" i="1"/>
  <c r="Q136" i="1"/>
  <c r="P136" i="1"/>
  <c r="O136" i="1"/>
  <c r="N136" i="1"/>
  <c r="X136" i="1" s="1"/>
  <c r="T90" i="1"/>
  <c r="S90" i="1"/>
  <c r="Q90" i="1"/>
  <c r="P90" i="1"/>
  <c r="O90" i="1"/>
  <c r="N90" i="1"/>
  <c r="X90" i="1" s="1"/>
  <c r="T73" i="1"/>
  <c r="S73" i="1"/>
  <c r="Q73" i="1"/>
  <c r="P73" i="1"/>
  <c r="O73" i="1"/>
  <c r="N73" i="1"/>
  <c r="X73" i="1" s="1"/>
  <c r="T72" i="1"/>
  <c r="S72" i="1"/>
  <c r="Q72" i="1"/>
  <c r="P72" i="1"/>
  <c r="O72" i="1"/>
  <c r="N72" i="1"/>
  <c r="X72" i="1" s="1"/>
  <c r="X770" i="1" l="1"/>
  <c r="W770" i="1"/>
  <c r="J204" i="1"/>
  <c r="V72" i="1"/>
  <c r="U72" i="1"/>
  <c r="V73" i="1"/>
  <c r="U73" i="1"/>
  <c r="V136" i="1"/>
  <c r="U136" i="1"/>
  <c r="V137" i="1"/>
  <c r="U137" i="1"/>
  <c r="V204" i="1"/>
  <c r="U204" i="1"/>
  <c r="V215" i="1"/>
  <c r="U215" i="1"/>
  <c r="V218" i="1"/>
  <c r="U218" i="1"/>
  <c r="V251" i="1"/>
  <c r="U251" i="1"/>
  <c r="V252" i="1"/>
  <c r="U252" i="1"/>
  <c r="V253" i="1"/>
  <c r="U253" i="1"/>
  <c r="V254" i="1"/>
  <c r="U254" i="1"/>
  <c r="V473" i="1"/>
  <c r="U473" i="1"/>
  <c r="V545" i="1"/>
  <c r="U545" i="1"/>
  <c r="V692" i="1"/>
  <c r="U692" i="1"/>
  <c r="V219" i="1"/>
  <c r="U219" i="1"/>
  <c r="V220" i="1"/>
  <c r="U220" i="1"/>
  <c r="V221" i="1"/>
  <c r="U221" i="1"/>
  <c r="V222" i="1"/>
  <c r="U222" i="1"/>
  <c r="V223" i="1"/>
  <c r="U223" i="1"/>
  <c r="V224" i="1"/>
  <c r="U224" i="1"/>
  <c r="V742" i="1"/>
  <c r="U742" i="1"/>
  <c r="V743" i="1"/>
  <c r="U743" i="1"/>
  <c r="V745" i="1"/>
  <c r="U745" i="1"/>
  <c r="V747" i="1"/>
  <c r="U747" i="1"/>
  <c r="V749" i="1"/>
  <c r="U749" i="1"/>
  <c r="V751" i="1"/>
  <c r="U751" i="1"/>
  <c r="V753" i="1"/>
  <c r="U753" i="1"/>
  <c r="V755" i="1"/>
  <c r="U755" i="1"/>
  <c r="V757" i="1"/>
  <c r="U757" i="1"/>
  <c r="V759" i="1"/>
  <c r="U759" i="1"/>
  <c r="V761" i="1"/>
  <c r="U761" i="1"/>
  <c r="V763" i="1"/>
  <c r="U763" i="1"/>
  <c r="V765" i="1"/>
  <c r="U765" i="1"/>
  <c r="V767" i="1"/>
  <c r="U767" i="1"/>
  <c r="V769" i="1"/>
  <c r="U769" i="1"/>
  <c r="V467" i="1"/>
  <c r="U467" i="1"/>
  <c r="V468" i="1"/>
  <c r="U468" i="1"/>
  <c r="V744" i="1"/>
  <c r="U744" i="1"/>
  <c r="V746" i="1"/>
  <c r="U746" i="1"/>
  <c r="V748" i="1"/>
  <c r="U748" i="1"/>
  <c r="V750" i="1"/>
  <c r="U750" i="1"/>
  <c r="V752" i="1"/>
  <c r="U752" i="1"/>
  <c r="V754" i="1"/>
  <c r="U754" i="1"/>
  <c r="V756" i="1"/>
  <c r="U756" i="1"/>
  <c r="V758" i="1"/>
  <c r="U758" i="1"/>
  <c r="V760" i="1"/>
  <c r="U760" i="1"/>
  <c r="V762" i="1"/>
  <c r="U762" i="1"/>
  <c r="V764" i="1"/>
  <c r="U764" i="1"/>
  <c r="V766" i="1"/>
  <c r="U766" i="1"/>
  <c r="V768" i="1"/>
  <c r="U768" i="1"/>
  <c r="V770" i="1"/>
  <c r="U770" i="1"/>
  <c r="V90" i="1"/>
  <c r="U90" i="1"/>
  <c r="Z468" i="1"/>
  <c r="Z72" i="1"/>
  <c r="Z90" i="1"/>
  <c r="Z136" i="1"/>
  <c r="Z215" i="1"/>
  <c r="Z218" i="1"/>
  <c r="Z252" i="1"/>
  <c r="Z254" i="1"/>
  <c r="Z221" i="1"/>
  <c r="Z473" i="1"/>
  <c r="Z545" i="1"/>
  <c r="Z692" i="1"/>
  <c r="Z219" i="1"/>
  <c r="Z223" i="1"/>
  <c r="Z73" i="1"/>
  <c r="Z137" i="1"/>
  <c r="Z251" i="1"/>
  <c r="Z253" i="1"/>
  <c r="Z220" i="1"/>
  <c r="Z222" i="1"/>
  <c r="Z224" i="1"/>
  <c r="Z467" i="1"/>
  <c r="W73" i="1"/>
  <c r="W137" i="1"/>
  <c r="W204" i="1"/>
  <c r="W218" i="1"/>
  <c r="W251" i="1"/>
  <c r="W252" i="1"/>
  <c r="W253" i="1"/>
  <c r="W254" i="1"/>
  <c r="W473" i="1"/>
  <c r="W545" i="1"/>
  <c r="W692" i="1"/>
  <c r="W219" i="1"/>
  <c r="W220" i="1"/>
  <c r="W221" i="1"/>
  <c r="W222" i="1"/>
  <c r="W223" i="1"/>
  <c r="W224" i="1"/>
  <c r="W467" i="1"/>
  <c r="W468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2" i="1"/>
  <c r="W90" i="1"/>
  <c r="W136" i="1"/>
  <c r="W215" i="1"/>
  <c r="AA136" i="1"/>
  <c r="AA137" i="1"/>
  <c r="AA251" i="1"/>
  <c r="AA253" i="1"/>
  <c r="AA545" i="1"/>
  <c r="AA692" i="1"/>
  <c r="AA219" i="1"/>
  <c r="AA221" i="1"/>
  <c r="AA222" i="1"/>
  <c r="AA223" i="1"/>
  <c r="AA224" i="1"/>
  <c r="AA467" i="1"/>
  <c r="AA468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2" i="1"/>
  <c r="AA73" i="1"/>
  <c r="AA90" i="1"/>
  <c r="AA215" i="1"/>
  <c r="AA218" i="1"/>
  <c r="AA252" i="1"/>
  <c r="AA254" i="1"/>
  <c r="AA473" i="1"/>
  <c r="AA220" i="1"/>
  <c r="AA204" i="1" l="1"/>
  <c r="Z204" i="1"/>
  <c r="R53" i="1"/>
  <c r="S462" i="1" l="1"/>
  <c r="H190" i="1"/>
  <c r="J190" i="1" s="1"/>
  <c r="N462" i="1" l="1"/>
  <c r="P462" i="1"/>
  <c r="R462" i="1"/>
  <c r="S190" i="1"/>
  <c r="R190" i="1"/>
  <c r="O462" i="1"/>
  <c r="Q462" i="1"/>
  <c r="T462" i="1"/>
  <c r="Z190" i="1"/>
  <c r="O190" i="1"/>
  <c r="Q190" i="1"/>
  <c r="T190" i="1"/>
  <c r="N190" i="1"/>
  <c r="X190" i="1" s="1"/>
  <c r="P190" i="1"/>
  <c r="X462" i="1" l="1"/>
  <c r="AA190" i="1"/>
  <c r="U190" i="1"/>
  <c r="W462" i="1"/>
  <c r="U462" i="1"/>
  <c r="V462" i="1"/>
  <c r="V190" i="1"/>
  <c r="W190" i="1"/>
  <c r="J530" i="1" l="1"/>
  <c r="Z622" i="1" l="1"/>
  <c r="AA622" i="1"/>
  <c r="R617" i="1"/>
  <c r="R618" i="1"/>
  <c r="J421" i="1"/>
  <c r="T421" i="1"/>
  <c r="S421" i="1"/>
  <c r="Q421" i="1"/>
  <c r="P421" i="1"/>
  <c r="O421" i="1"/>
  <c r="N421" i="1"/>
  <c r="X421" i="1" s="1"/>
  <c r="J420" i="1"/>
  <c r="T420" i="1"/>
  <c r="S420" i="1"/>
  <c r="Q420" i="1"/>
  <c r="P420" i="1"/>
  <c r="O420" i="1"/>
  <c r="N420" i="1"/>
  <c r="X420" i="1" s="1"/>
  <c r="Z105" i="1" l="1"/>
  <c r="AA105" i="1"/>
  <c r="Z106" i="1"/>
  <c r="AA106" i="1"/>
  <c r="W420" i="1"/>
  <c r="U420" i="1"/>
  <c r="W421" i="1"/>
  <c r="U421" i="1"/>
  <c r="AA421" i="1"/>
  <c r="Z421" i="1"/>
  <c r="V421" i="1"/>
  <c r="AA420" i="1"/>
  <c r="Z420" i="1"/>
  <c r="V420" i="1"/>
  <c r="T299" i="1" l="1"/>
  <c r="S299" i="1"/>
  <c r="Q299" i="1"/>
  <c r="P299" i="1"/>
  <c r="O299" i="1"/>
  <c r="N299" i="1"/>
  <c r="Z299" i="1"/>
  <c r="U299" i="1" l="1"/>
  <c r="X299" i="1"/>
  <c r="AA299" i="1"/>
  <c r="V299" i="1"/>
  <c r="W299" i="1"/>
  <c r="T633" i="1" l="1"/>
  <c r="S633" i="1"/>
  <c r="Q633" i="1"/>
  <c r="P633" i="1"/>
  <c r="O633" i="1"/>
  <c r="N633" i="1"/>
  <c r="X633" i="1" s="1"/>
  <c r="Z633" i="1"/>
  <c r="T632" i="1"/>
  <c r="S632" i="1"/>
  <c r="Q632" i="1"/>
  <c r="P632" i="1"/>
  <c r="O632" i="1"/>
  <c r="N632" i="1"/>
  <c r="X632" i="1" s="1"/>
  <c r="Z632" i="1"/>
  <c r="V633" i="1" l="1"/>
  <c r="U633" i="1"/>
  <c r="V632" i="1"/>
  <c r="U632" i="1"/>
  <c r="W633" i="1"/>
  <c r="W632" i="1"/>
  <c r="AA633" i="1"/>
  <c r="AA632" i="1"/>
  <c r="S402" i="1"/>
  <c r="R530" i="1" l="1"/>
  <c r="R531" i="1"/>
  <c r="J94" i="1"/>
  <c r="Z20" i="1" s="1"/>
  <c r="J711" i="1" l="1"/>
  <c r="J709" i="1"/>
  <c r="J635" i="1"/>
  <c r="Z642" i="1" s="1"/>
  <c r="J461" i="1"/>
  <c r="J373" i="1"/>
  <c r="J209" i="1"/>
  <c r="J93" i="1"/>
  <c r="Z653" i="1" s="1"/>
  <c r="J71" i="1"/>
  <c r="Z455" i="1" l="1"/>
  <c r="AA455" i="1"/>
  <c r="AA460" i="1"/>
  <c r="Z460" i="1"/>
  <c r="AA280" i="1"/>
  <c r="Z280" i="1"/>
  <c r="Z616" i="1"/>
  <c r="AA616" i="1"/>
  <c r="T738" i="1"/>
  <c r="S738" i="1"/>
  <c r="Q738" i="1"/>
  <c r="P738" i="1"/>
  <c r="O738" i="1"/>
  <c r="N738" i="1"/>
  <c r="X738" i="1" s="1"/>
  <c r="V738" i="1" l="1"/>
  <c r="U738" i="1"/>
  <c r="W738" i="1"/>
  <c r="AA738" i="1"/>
  <c r="Z738" i="1"/>
  <c r="J118" i="1"/>
  <c r="Z231" i="1" l="1"/>
  <c r="AA231" i="1"/>
  <c r="Z35" i="1"/>
  <c r="J375" i="1"/>
  <c r="Z426" i="1" l="1"/>
  <c r="AA426" i="1"/>
  <c r="P131" i="1"/>
  <c r="J509" i="1" l="1"/>
  <c r="Z462" i="1" l="1"/>
  <c r="AA462" i="1"/>
  <c r="J639" i="1"/>
  <c r="Z593" i="1" l="1"/>
  <c r="AA593" i="1"/>
  <c r="T540" i="1"/>
  <c r="S540" i="1"/>
  <c r="Q540" i="1"/>
  <c r="P540" i="1"/>
  <c r="O540" i="1"/>
  <c r="N540" i="1"/>
  <c r="X540" i="1" s="1"/>
  <c r="Z540" i="1"/>
  <c r="W540" i="1" l="1"/>
  <c r="U540" i="1"/>
  <c r="AA540" i="1"/>
  <c r="V540" i="1"/>
  <c r="J354" i="1"/>
  <c r="Z558" i="1" l="1"/>
  <c r="AA558" i="1"/>
  <c r="J483" i="1"/>
  <c r="T142" i="1"/>
  <c r="S142" i="1"/>
  <c r="Q142" i="1"/>
  <c r="P142" i="1"/>
  <c r="O142" i="1"/>
  <c r="N142" i="1"/>
  <c r="X142" i="1" s="1"/>
  <c r="T641" i="1"/>
  <c r="S641" i="1"/>
  <c r="Q641" i="1"/>
  <c r="P641" i="1"/>
  <c r="O641" i="1"/>
  <c r="N641" i="1"/>
  <c r="X641" i="1" s="1"/>
  <c r="T640" i="1"/>
  <c r="S640" i="1"/>
  <c r="Q640" i="1"/>
  <c r="P640" i="1"/>
  <c r="O640" i="1"/>
  <c r="N640" i="1"/>
  <c r="X640" i="1" s="1"/>
  <c r="J367" i="1"/>
  <c r="Z446" i="1" l="1"/>
  <c r="AA446" i="1"/>
  <c r="AA278" i="1"/>
  <c r="Z278" i="1"/>
  <c r="W640" i="1"/>
  <c r="U640" i="1"/>
  <c r="V142" i="1"/>
  <c r="U142" i="1"/>
  <c r="V641" i="1"/>
  <c r="U641" i="1"/>
  <c r="AA641" i="1"/>
  <c r="W641" i="1"/>
  <c r="AA142" i="1"/>
  <c r="W142" i="1"/>
  <c r="Z142" i="1"/>
  <c r="Z641" i="1"/>
  <c r="Z640" i="1"/>
  <c r="AA640" i="1"/>
  <c r="V640" i="1"/>
  <c r="T660" i="1" l="1"/>
  <c r="T354" i="1" l="1"/>
  <c r="S354" i="1"/>
  <c r="Q354" i="1"/>
  <c r="P354" i="1"/>
  <c r="O354" i="1"/>
  <c r="N354" i="1"/>
  <c r="X354" i="1" s="1"/>
  <c r="V354" i="1" l="1"/>
  <c r="U354" i="1"/>
  <c r="W354" i="1"/>
  <c r="AA354" i="1" l="1"/>
  <c r="Z354" i="1"/>
  <c r="J193" i="1" l="1"/>
  <c r="AA672" i="1" l="1"/>
  <c r="Z672" i="1"/>
  <c r="J286" i="1"/>
  <c r="Z68" i="1" l="1"/>
  <c r="AA68" i="1"/>
  <c r="T507" i="1"/>
  <c r="S507" i="1"/>
  <c r="Q507" i="1"/>
  <c r="P507" i="1"/>
  <c r="O507" i="1"/>
  <c r="N507" i="1"/>
  <c r="X507" i="1" s="1"/>
  <c r="J507" i="1" l="1"/>
  <c r="V507" i="1"/>
  <c r="U507" i="1"/>
  <c r="W507" i="1"/>
  <c r="Z507" i="1" l="1"/>
  <c r="AA507" i="1"/>
  <c r="R145" i="1"/>
  <c r="R147" i="1"/>
  <c r="R149" i="1"/>
  <c r="R694" i="1"/>
  <c r="R144" i="1"/>
  <c r="R146" i="1"/>
  <c r="R148" i="1"/>
  <c r="R150" i="1"/>
  <c r="R693" i="1"/>
  <c r="T661" i="1"/>
  <c r="S661" i="1"/>
  <c r="Q661" i="1"/>
  <c r="P661" i="1"/>
  <c r="O661" i="1"/>
  <c r="N661" i="1"/>
  <c r="X661" i="1" s="1"/>
  <c r="V661" i="1" l="1"/>
  <c r="U661" i="1"/>
  <c r="W661" i="1"/>
  <c r="R41" i="1" l="1"/>
  <c r="R35" i="1"/>
  <c r="R38" i="1"/>
  <c r="J465" i="1" l="1"/>
  <c r="J464" i="1"/>
  <c r="Z427" i="1" l="1"/>
  <c r="AA427" i="1"/>
  <c r="J120" i="1"/>
  <c r="Z232" i="1" l="1"/>
  <c r="AA232" i="1"/>
  <c r="R167" i="1"/>
  <c r="T689" i="1" l="1"/>
  <c r="S689" i="1"/>
  <c r="Q689" i="1"/>
  <c r="P689" i="1"/>
  <c r="O689" i="1"/>
  <c r="N689" i="1"/>
  <c r="X689" i="1" s="1"/>
  <c r="V689" i="1" l="1"/>
  <c r="U689" i="1"/>
  <c r="Z689" i="1"/>
  <c r="W689" i="1"/>
  <c r="AA689" i="1" l="1"/>
  <c r="R665" i="1" l="1"/>
  <c r="R666" i="1"/>
  <c r="S335" i="1" l="1"/>
  <c r="J336" i="1"/>
  <c r="S333" i="1"/>
  <c r="Z335" i="1" l="1"/>
  <c r="O335" i="1"/>
  <c r="Q335" i="1"/>
  <c r="T335" i="1"/>
  <c r="N335" i="1"/>
  <c r="P335" i="1"/>
  <c r="Z333" i="1"/>
  <c r="O333" i="1"/>
  <c r="Q333" i="1"/>
  <c r="T333" i="1"/>
  <c r="N333" i="1"/>
  <c r="P333" i="1"/>
  <c r="U333" i="1" l="1"/>
  <c r="X333" i="1"/>
  <c r="U335" i="1"/>
  <c r="X335" i="1"/>
  <c r="V335" i="1"/>
  <c r="W335" i="1"/>
  <c r="AA335" i="1"/>
  <c r="V333" i="1"/>
  <c r="W333" i="1"/>
  <c r="AA333" i="1"/>
  <c r="S430" i="1" l="1"/>
  <c r="Z430" i="1" l="1"/>
  <c r="O430" i="1"/>
  <c r="Q430" i="1"/>
  <c r="T430" i="1"/>
  <c r="N430" i="1"/>
  <c r="P430" i="1"/>
  <c r="U430" i="1" l="1"/>
  <c r="X430" i="1"/>
  <c r="V430" i="1"/>
  <c r="W430" i="1"/>
  <c r="AA430" i="1"/>
  <c r="S329" i="1" l="1"/>
  <c r="R297" i="1" l="1"/>
  <c r="Z329" i="1"/>
  <c r="O329" i="1"/>
  <c r="Q329" i="1"/>
  <c r="T329" i="1"/>
  <c r="N329" i="1"/>
  <c r="P329" i="1"/>
  <c r="U329" i="1" l="1"/>
  <c r="X329" i="1"/>
  <c r="V329" i="1"/>
  <c r="W329" i="1"/>
  <c r="AA329" i="1"/>
  <c r="J249" i="1" l="1"/>
  <c r="Z58" i="1" l="1"/>
  <c r="AA58" i="1"/>
  <c r="J618" i="1"/>
  <c r="T44" i="1" l="1"/>
  <c r="S44" i="1"/>
  <c r="Q44" i="1"/>
  <c r="P44" i="1"/>
  <c r="O44" i="1"/>
  <c r="N44" i="1"/>
  <c r="X44" i="1" s="1"/>
  <c r="V44" i="1" l="1"/>
  <c r="U44" i="1"/>
  <c r="AA44" i="1"/>
  <c r="Z44" i="1"/>
  <c r="S180" i="1"/>
  <c r="T180" i="1" l="1"/>
  <c r="O180" i="1"/>
  <c r="Q180" i="1"/>
  <c r="N180" i="1"/>
  <c r="X180" i="1" s="1"/>
  <c r="P180" i="1"/>
  <c r="Z180" i="1"/>
  <c r="V180" i="1" l="1"/>
  <c r="U180" i="1"/>
  <c r="AA180" i="1"/>
  <c r="W180" i="1"/>
  <c r="J712" i="1"/>
  <c r="T328" i="1"/>
  <c r="S328" i="1"/>
  <c r="J445" i="1"/>
  <c r="AA114" i="1" l="1"/>
  <c r="Z114" i="1"/>
  <c r="Z452" i="1"/>
  <c r="AA452" i="1"/>
  <c r="O316" i="1"/>
  <c r="T458" i="1" l="1"/>
  <c r="S458" i="1"/>
  <c r="Q458" i="1"/>
  <c r="P458" i="1"/>
  <c r="O458" i="1"/>
  <c r="N458" i="1"/>
  <c r="X458" i="1" s="1"/>
  <c r="V458" i="1" l="1"/>
  <c r="U458" i="1"/>
  <c r="W458" i="1"/>
  <c r="AA458" i="1"/>
  <c r="Z458" i="1"/>
  <c r="J129" i="1" l="1"/>
  <c r="Z476" i="1" l="1"/>
  <c r="AA476" i="1"/>
  <c r="O166" i="1"/>
  <c r="O165" i="1"/>
  <c r="N42" i="1" l="1"/>
  <c r="X42" i="1" s="1"/>
  <c r="Z371" i="1"/>
  <c r="O573" i="1"/>
  <c r="J573" i="1"/>
  <c r="Z151" i="1" s="1"/>
  <c r="S573" i="1"/>
  <c r="J565" i="1"/>
  <c r="O575" i="1"/>
  <c r="J575" i="1"/>
  <c r="S575" i="1"/>
  <c r="N297" i="1"/>
  <c r="W297" i="1" s="1"/>
  <c r="Q573" i="1"/>
  <c r="N573" i="1"/>
  <c r="X573" i="1" s="1"/>
  <c r="N575" i="1"/>
  <c r="O314" i="1"/>
  <c r="S314" i="1"/>
  <c r="O76" i="1"/>
  <c r="P411" i="1"/>
  <c r="S173" i="1"/>
  <c r="N171" i="1"/>
  <c r="T663" i="1"/>
  <c r="S663" i="1"/>
  <c r="P663" i="1"/>
  <c r="N663" i="1"/>
  <c r="X663" i="1" s="1"/>
  <c r="P76" i="1"/>
  <c r="P202" i="1"/>
  <c r="P75" i="1"/>
  <c r="N741" i="1"/>
  <c r="N740" i="1"/>
  <c r="X740" i="1" s="1"/>
  <c r="N739" i="1"/>
  <c r="N737" i="1"/>
  <c r="N736" i="1"/>
  <c r="X736" i="1" s="1"/>
  <c r="N734" i="1"/>
  <c r="N733" i="1"/>
  <c r="N732" i="1"/>
  <c r="N731" i="1"/>
  <c r="X731" i="1" s="1"/>
  <c r="N730" i="1"/>
  <c r="N729" i="1"/>
  <c r="X729" i="1" s="1"/>
  <c r="N728" i="1"/>
  <c r="N727" i="1"/>
  <c r="N726" i="1"/>
  <c r="N725" i="1"/>
  <c r="N723" i="1"/>
  <c r="X723" i="1" s="1"/>
  <c r="N721" i="1"/>
  <c r="N720" i="1"/>
  <c r="X720" i="1" s="1"/>
  <c r="N719" i="1"/>
  <c r="X719" i="1" s="1"/>
  <c r="N718" i="1"/>
  <c r="N717" i="1"/>
  <c r="X717" i="1" s="1"/>
  <c r="N716" i="1"/>
  <c r="X716" i="1" s="1"/>
  <c r="N715" i="1"/>
  <c r="N714" i="1"/>
  <c r="X714" i="1" s="1"/>
  <c r="N713" i="1"/>
  <c r="X713" i="1" s="1"/>
  <c r="N712" i="1"/>
  <c r="N711" i="1"/>
  <c r="X711" i="1" s="1"/>
  <c r="N710" i="1"/>
  <c r="N709" i="1"/>
  <c r="N708" i="1"/>
  <c r="X708" i="1" s="1"/>
  <c r="N706" i="1"/>
  <c r="X706" i="1" s="1"/>
  <c r="N705" i="1"/>
  <c r="X705" i="1" s="1"/>
  <c r="N704" i="1"/>
  <c r="X704" i="1" s="1"/>
  <c r="N703" i="1"/>
  <c r="N701" i="1"/>
  <c r="N700" i="1"/>
  <c r="X700" i="1" s="1"/>
  <c r="N699" i="1"/>
  <c r="X699" i="1" s="1"/>
  <c r="N698" i="1"/>
  <c r="X698" i="1" s="1"/>
  <c r="N697" i="1"/>
  <c r="N696" i="1"/>
  <c r="N695" i="1"/>
  <c r="X695" i="1" s="1"/>
  <c r="N694" i="1"/>
  <c r="X694" i="1" s="1"/>
  <c r="N693" i="1"/>
  <c r="N685" i="1"/>
  <c r="N684" i="1"/>
  <c r="N683" i="1"/>
  <c r="N666" i="1"/>
  <c r="N664" i="1"/>
  <c r="X664" i="1" s="1"/>
  <c r="N665" i="1"/>
  <c r="N660" i="1"/>
  <c r="X660" i="1" s="1"/>
  <c r="N659" i="1"/>
  <c r="X659" i="1" s="1"/>
  <c r="N65" i="1"/>
  <c r="W65" i="1" s="1"/>
  <c r="N643" i="1"/>
  <c r="N639" i="1"/>
  <c r="N637" i="1"/>
  <c r="X637" i="1" s="1"/>
  <c r="N635" i="1"/>
  <c r="X635" i="1" s="1"/>
  <c r="N634" i="1"/>
  <c r="X634" i="1" s="1"/>
  <c r="N631" i="1"/>
  <c r="N627" i="1"/>
  <c r="N620" i="1"/>
  <c r="X620" i="1" s="1"/>
  <c r="N619" i="1"/>
  <c r="N618" i="1"/>
  <c r="X618" i="1" s="1"/>
  <c r="N617" i="1"/>
  <c r="X617" i="1" s="1"/>
  <c r="N614" i="1"/>
  <c r="X614" i="1" s="1"/>
  <c r="N613" i="1"/>
  <c r="X613" i="1" s="1"/>
  <c r="N612" i="1"/>
  <c r="X612" i="1" s="1"/>
  <c r="N611" i="1"/>
  <c r="X611" i="1" s="1"/>
  <c r="N610" i="1"/>
  <c r="X609" i="1"/>
  <c r="N608" i="1"/>
  <c r="AA608" i="1" s="1"/>
  <c r="N607" i="1"/>
  <c r="X607" i="1" s="1"/>
  <c r="N605" i="1"/>
  <c r="X605" i="1" s="1"/>
  <c r="N603" i="1"/>
  <c r="X603" i="1" s="1"/>
  <c r="N602" i="1"/>
  <c r="N601" i="1"/>
  <c r="N599" i="1"/>
  <c r="X599" i="1" s="1"/>
  <c r="N598" i="1"/>
  <c r="N597" i="1"/>
  <c r="N596" i="1"/>
  <c r="N595" i="1"/>
  <c r="X595" i="1" s="1"/>
  <c r="N594" i="1"/>
  <c r="N592" i="1"/>
  <c r="N591" i="1"/>
  <c r="N589" i="1"/>
  <c r="X589" i="1" s="1"/>
  <c r="N582" i="1"/>
  <c r="N581" i="1"/>
  <c r="N578" i="1"/>
  <c r="N572" i="1"/>
  <c r="N571" i="1"/>
  <c r="N567" i="1"/>
  <c r="X567" i="1" s="1"/>
  <c r="N566" i="1"/>
  <c r="N565" i="1"/>
  <c r="X565" i="1" s="1"/>
  <c r="N564" i="1"/>
  <c r="N562" i="1"/>
  <c r="N560" i="1"/>
  <c r="X560" i="1" s="1"/>
  <c r="N559" i="1"/>
  <c r="X559" i="1" s="1"/>
  <c r="N552" i="1"/>
  <c r="X552" i="1" s="1"/>
  <c r="N551" i="1"/>
  <c r="N546" i="1"/>
  <c r="N539" i="1"/>
  <c r="X539" i="1" s="1"/>
  <c r="N538" i="1"/>
  <c r="N537" i="1"/>
  <c r="N535" i="1"/>
  <c r="X535" i="1" s="1"/>
  <c r="N531" i="1"/>
  <c r="N529" i="1"/>
  <c r="N517" i="1"/>
  <c r="N514" i="1"/>
  <c r="N513" i="1"/>
  <c r="X513" i="1" s="1"/>
  <c r="N510" i="1"/>
  <c r="N509" i="1"/>
  <c r="X509" i="1" s="1"/>
  <c r="N504" i="1"/>
  <c r="N497" i="1"/>
  <c r="V497" i="1" s="1"/>
  <c r="N494" i="1"/>
  <c r="N484" i="1"/>
  <c r="N482" i="1"/>
  <c r="N483" i="1"/>
  <c r="X483" i="1" s="1"/>
  <c r="N479" i="1"/>
  <c r="X479" i="1" s="1"/>
  <c r="N475" i="1"/>
  <c r="X475" i="1" s="1"/>
  <c r="N465" i="1"/>
  <c r="N464" i="1"/>
  <c r="N463" i="1"/>
  <c r="N461" i="1"/>
  <c r="X461" i="1" s="1"/>
  <c r="N459" i="1"/>
  <c r="W459" i="1" s="1"/>
  <c r="N457" i="1"/>
  <c r="N450" i="1"/>
  <c r="X450" i="1" s="1"/>
  <c r="N449" i="1"/>
  <c r="X449" i="1" s="1"/>
  <c r="N447" i="1"/>
  <c r="N445" i="1"/>
  <c r="X445" i="1" s="1"/>
  <c r="N444" i="1"/>
  <c r="N443" i="1"/>
  <c r="N442" i="1"/>
  <c r="V442" i="1" s="1"/>
  <c r="N441" i="1"/>
  <c r="X441" i="1" s="1"/>
  <c r="N440" i="1"/>
  <c r="N438" i="1"/>
  <c r="W438" i="1" s="1"/>
  <c r="N433" i="1"/>
  <c r="N432" i="1"/>
  <c r="X432" i="1" s="1"/>
  <c r="N429" i="1"/>
  <c r="N428" i="1"/>
  <c r="X428" i="1" s="1"/>
  <c r="N419" i="1"/>
  <c r="X419" i="1" s="1"/>
  <c r="N418" i="1"/>
  <c r="N417" i="1"/>
  <c r="X417" i="1" s="1"/>
  <c r="N416" i="1"/>
  <c r="N415" i="1"/>
  <c r="X415" i="1" s="1"/>
  <c r="N414" i="1"/>
  <c r="N413" i="1"/>
  <c r="X413" i="1" s="1"/>
  <c r="N411" i="1"/>
  <c r="N410" i="1"/>
  <c r="X408" i="1"/>
  <c r="X406" i="1"/>
  <c r="X402" i="1"/>
  <c r="N400" i="1"/>
  <c r="X400" i="1" s="1"/>
  <c r="N393" i="1"/>
  <c r="X393" i="1" s="1"/>
  <c r="N392" i="1"/>
  <c r="X392" i="1" s="1"/>
  <c r="N390" i="1"/>
  <c r="N389" i="1"/>
  <c r="N376" i="1"/>
  <c r="W376" i="1" s="1"/>
  <c r="N375" i="1"/>
  <c r="W375" i="1" s="1"/>
  <c r="N373" i="1"/>
  <c r="W373" i="1" s="1"/>
  <c r="N372" i="1"/>
  <c r="X372" i="1" s="1"/>
  <c r="N371" i="1"/>
  <c r="X371" i="1" s="1"/>
  <c r="N370" i="1"/>
  <c r="X370" i="1" s="1"/>
  <c r="N369" i="1"/>
  <c r="W369" i="1" s="1"/>
  <c r="N368" i="1"/>
  <c r="N367" i="1"/>
  <c r="W367" i="1" s="1"/>
  <c r="N366" i="1"/>
  <c r="X366" i="1" s="1"/>
  <c r="N365" i="1"/>
  <c r="W365" i="1" s="1"/>
  <c r="N364" i="1"/>
  <c r="X364" i="1" s="1"/>
  <c r="N363" i="1"/>
  <c r="W363" i="1" s="1"/>
  <c r="N362" i="1"/>
  <c r="X362" i="1" s="1"/>
  <c r="N355" i="1"/>
  <c r="X353" i="1"/>
  <c r="N339" i="1"/>
  <c r="N338" i="1"/>
  <c r="W338" i="1" s="1"/>
  <c r="N336" i="1"/>
  <c r="X336" i="1" s="1"/>
  <c r="N331" i="1"/>
  <c r="N328" i="1"/>
  <c r="N321" i="1"/>
  <c r="N320" i="1"/>
  <c r="N316" i="1"/>
  <c r="X316" i="1" s="1"/>
  <c r="N315" i="1"/>
  <c r="N310" i="1"/>
  <c r="N305" i="1"/>
  <c r="X305" i="1" s="1"/>
  <c r="N304" i="1"/>
  <c r="V304" i="1" s="1"/>
  <c r="N303" i="1"/>
  <c r="X303" i="1" s="1"/>
  <c r="N302" i="1"/>
  <c r="N300" i="1"/>
  <c r="X300" i="1" s="1"/>
  <c r="N250" i="1"/>
  <c r="X250" i="1" s="1"/>
  <c r="N249" i="1"/>
  <c r="X249" i="1" s="1"/>
  <c r="N293" i="1"/>
  <c r="X293" i="1" s="1"/>
  <c r="N288" i="1"/>
  <c r="X288" i="1" s="1"/>
  <c r="N286" i="1"/>
  <c r="N284" i="1"/>
  <c r="N276" i="1"/>
  <c r="N274" i="1"/>
  <c r="N248" i="1"/>
  <c r="X248" i="1" s="1"/>
  <c r="N247" i="1"/>
  <c r="N243" i="1"/>
  <c r="X243" i="1" s="1"/>
  <c r="N242" i="1"/>
  <c r="V242" i="1" s="1"/>
  <c r="N239" i="1"/>
  <c r="N238" i="1"/>
  <c r="X238" i="1" s="1"/>
  <c r="N236" i="1"/>
  <c r="N214" i="1"/>
  <c r="X214" i="1" s="1"/>
  <c r="N213" i="1"/>
  <c r="N212" i="1"/>
  <c r="X212" i="1" s="1"/>
  <c r="N211" i="1"/>
  <c r="N210" i="1"/>
  <c r="X210" i="1" s="1"/>
  <c r="N209" i="1"/>
  <c r="N202" i="1"/>
  <c r="N201" i="1"/>
  <c r="W201" i="1" s="1"/>
  <c r="N200" i="1"/>
  <c r="X200" i="1" s="1"/>
  <c r="N199" i="1"/>
  <c r="W199" i="1" s="1"/>
  <c r="N198" i="1"/>
  <c r="N197" i="1"/>
  <c r="X197" i="1" s="1"/>
  <c r="N193" i="1"/>
  <c r="X193" i="1" s="1"/>
  <c r="N188" i="1"/>
  <c r="X188" i="1" s="1"/>
  <c r="N187" i="1"/>
  <c r="X187" i="1" s="1"/>
  <c r="N184" i="1"/>
  <c r="X184" i="1" s="1"/>
  <c r="N183" i="1"/>
  <c r="X183" i="1" s="1"/>
  <c r="N181" i="1"/>
  <c r="X181" i="1" s="1"/>
  <c r="N179" i="1"/>
  <c r="N178" i="1"/>
  <c r="X178" i="1" s="1"/>
  <c r="N166" i="1"/>
  <c r="X165" i="1"/>
  <c r="N170" i="1"/>
  <c r="N168" i="1"/>
  <c r="X168" i="1" s="1"/>
  <c r="N167" i="1"/>
  <c r="X167" i="1" s="1"/>
  <c r="N164" i="1"/>
  <c r="N163" i="1"/>
  <c r="X163" i="1" s="1"/>
  <c r="N160" i="1"/>
  <c r="V160" i="1" s="1"/>
  <c r="N159" i="1"/>
  <c r="N158" i="1"/>
  <c r="N157" i="1"/>
  <c r="N156" i="1"/>
  <c r="N155" i="1"/>
  <c r="N154" i="1"/>
  <c r="N153" i="1"/>
  <c r="N151" i="1"/>
  <c r="N150" i="1"/>
  <c r="N149" i="1"/>
  <c r="N148" i="1"/>
  <c r="N147" i="1"/>
  <c r="N146" i="1"/>
  <c r="N145" i="1"/>
  <c r="N144" i="1"/>
  <c r="N139" i="1"/>
  <c r="V139" i="1" s="1"/>
  <c r="N135" i="1"/>
  <c r="N134" i="1"/>
  <c r="N133" i="1"/>
  <c r="N132" i="1"/>
  <c r="X132" i="1" s="1"/>
  <c r="N131" i="1"/>
  <c r="X131" i="1" s="1"/>
  <c r="N130" i="1"/>
  <c r="X130" i="1" s="1"/>
  <c r="N129" i="1"/>
  <c r="N128" i="1"/>
  <c r="X128" i="1" s="1"/>
  <c r="N127" i="1"/>
  <c r="X127" i="1" s="1"/>
  <c r="N123" i="1"/>
  <c r="N120" i="1"/>
  <c r="X120" i="1" s="1"/>
  <c r="N118" i="1"/>
  <c r="X118" i="1" s="1"/>
  <c r="N111" i="1"/>
  <c r="X111" i="1" s="1"/>
  <c r="N109" i="1"/>
  <c r="X109" i="1" s="1"/>
  <c r="N98" i="1"/>
  <c r="X98" i="1" s="1"/>
  <c r="N94" i="1"/>
  <c r="N93" i="1"/>
  <c r="X93" i="1" s="1"/>
  <c r="N92" i="1"/>
  <c r="N85" i="1"/>
  <c r="N76" i="1"/>
  <c r="N75" i="1"/>
  <c r="N71" i="1"/>
  <c r="X71" i="1" s="1"/>
  <c r="N70" i="1"/>
  <c r="N69" i="1"/>
  <c r="X69" i="1" s="1"/>
  <c r="N64" i="1"/>
  <c r="N60" i="1"/>
  <c r="X60" i="1" s="1"/>
  <c r="N56" i="1"/>
  <c r="X56" i="1" s="1"/>
  <c r="N53" i="1"/>
  <c r="X53" i="1" s="1"/>
  <c r="X49" i="1"/>
  <c r="N48" i="1"/>
  <c r="N47" i="1"/>
  <c r="X47" i="1" s="1"/>
  <c r="N46" i="1"/>
  <c r="X46" i="1" s="1"/>
  <c r="N41" i="1"/>
  <c r="X41" i="1" s="1"/>
  <c r="N38" i="1"/>
  <c r="X38" i="1" s="1"/>
  <c r="N37" i="1"/>
  <c r="X37" i="1" s="1"/>
  <c r="N35" i="1"/>
  <c r="N40" i="1"/>
  <c r="N29" i="1"/>
  <c r="X29" i="1" s="1"/>
  <c r="N26" i="1"/>
  <c r="X26" i="1" s="1"/>
  <c r="N21" i="1"/>
  <c r="X21" i="1" s="1"/>
  <c r="N20" i="1"/>
  <c r="X20" i="1" s="1"/>
  <c r="N19" i="1"/>
  <c r="N15" i="1"/>
  <c r="N13" i="1"/>
  <c r="N7" i="1"/>
  <c r="N4" i="1"/>
  <c r="N526" i="1"/>
  <c r="N530" i="1"/>
  <c r="T411" i="1"/>
  <c r="S411" i="1"/>
  <c r="Q411" i="1"/>
  <c r="O411" i="1"/>
  <c r="J144" i="1"/>
  <c r="T389" i="1"/>
  <c r="S389" i="1"/>
  <c r="Q389" i="1"/>
  <c r="P389" i="1"/>
  <c r="O389" i="1"/>
  <c r="T331" i="1"/>
  <c r="S331" i="1"/>
  <c r="Q331" i="1"/>
  <c r="P331" i="1"/>
  <c r="O331" i="1"/>
  <c r="T293" i="1"/>
  <c r="S293" i="1"/>
  <c r="Q293" i="1"/>
  <c r="P293" i="1"/>
  <c r="T288" i="1"/>
  <c r="S288" i="1"/>
  <c r="Q288" i="1"/>
  <c r="P288" i="1"/>
  <c r="T286" i="1"/>
  <c r="S286" i="1"/>
  <c r="Q286" i="1"/>
  <c r="P286" i="1"/>
  <c r="T284" i="1"/>
  <c r="S284" i="1"/>
  <c r="Q284" i="1"/>
  <c r="P284" i="1"/>
  <c r="T741" i="1"/>
  <c r="T740" i="1"/>
  <c r="T739" i="1"/>
  <c r="T737" i="1"/>
  <c r="T736" i="1"/>
  <c r="T734" i="1"/>
  <c r="T733" i="1"/>
  <c r="T732" i="1"/>
  <c r="T730" i="1"/>
  <c r="T728" i="1"/>
  <c r="T727" i="1"/>
  <c r="T725" i="1"/>
  <c r="T723" i="1"/>
  <c r="T720" i="1"/>
  <c r="T718" i="1"/>
  <c r="T717" i="1"/>
  <c r="T714" i="1"/>
  <c r="T711" i="1"/>
  <c r="T710" i="1"/>
  <c r="T708" i="1"/>
  <c r="T704" i="1"/>
  <c r="T703" i="1"/>
  <c r="T700" i="1"/>
  <c r="T698" i="1"/>
  <c r="T696" i="1"/>
  <c r="T694" i="1"/>
  <c r="T685" i="1"/>
  <c r="T684" i="1"/>
  <c r="AB684" i="1" s="1"/>
  <c r="T683" i="1"/>
  <c r="T664" i="1"/>
  <c r="T659" i="1"/>
  <c r="T65" i="1"/>
  <c r="T643" i="1"/>
  <c r="T639" i="1"/>
  <c r="T637" i="1"/>
  <c r="T635" i="1"/>
  <c r="T634" i="1"/>
  <c r="T631" i="1"/>
  <c r="T627" i="1"/>
  <c r="T614" i="1"/>
  <c r="T613" i="1"/>
  <c r="T612" i="1"/>
  <c r="T611" i="1"/>
  <c r="T610" i="1"/>
  <c r="T609" i="1"/>
  <c r="T608" i="1"/>
  <c r="T607" i="1"/>
  <c r="T605" i="1"/>
  <c r="T603" i="1"/>
  <c r="T602" i="1"/>
  <c r="T601" i="1"/>
  <c r="T599" i="1"/>
  <c r="T598" i="1"/>
  <c r="T597" i="1"/>
  <c r="T596" i="1"/>
  <c r="T595" i="1"/>
  <c r="T594" i="1"/>
  <c r="T592" i="1"/>
  <c r="T591" i="1"/>
  <c r="T589" i="1"/>
  <c r="T582" i="1"/>
  <c r="T581" i="1"/>
  <c r="T578" i="1"/>
  <c r="T572" i="1"/>
  <c r="T571" i="1"/>
  <c r="T567" i="1"/>
  <c r="T566" i="1"/>
  <c r="T565" i="1"/>
  <c r="T564" i="1"/>
  <c r="T562" i="1"/>
  <c r="T560" i="1"/>
  <c r="T559" i="1"/>
  <c r="T552" i="1"/>
  <c r="T551" i="1"/>
  <c r="T546" i="1"/>
  <c r="T539" i="1"/>
  <c r="T538" i="1"/>
  <c r="T537" i="1"/>
  <c r="T535" i="1"/>
  <c r="T531" i="1"/>
  <c r="T529" i="1"/>
  <c r="T526" i="1"/>
  <c r="T517" i="1"/>
  <c r="T514" i="1"/>
  <c r="T513" i="1"/>
  <c r="T510" i="1"/>
  <c r="T509" i="1"/>
  <c r="T505" i="1"/>
  <c r="T504" i="1"/>
  <c r="T497" i="1"/>
  <c r="T494" i="1"/>
  <c r="T484" i="1"/>
  <c r="T482" i="1"/>
  <c r="T483" i="1"/>
  <c r="T479" i="1"/>
  <c r="T475" i="1"/>
  <c r="T465" i="1"/>
  <c r="T464" i="1"/>
  <c r="T463" i="1"/>
  <c r="T450" i="1"/>
  <c r="T449" i="1"/>
  <c r="T461" i="1"/>
  <c r="T459" i="1"/>
  <c r="T447" i="1"/>
  <c r="T445" i="1"/>
  <c r="T444" i="1"/>
  <c r="T443" i="1"/>
  <c r="T442" i="1"/>
  <c r="T441" i="1"/>
  <c r="T440" i="1"/>
  <c r="T438" i="1"/>
  <c r="T433" i="1"/>
  <c r="T432" i="1"/>
  <c r="T429" i="1"/>
  <c r="T428" i="1"/>
  <c r="T419" i="1"/>
  <c r="T418" i="1"/>
  <c r="T417" i="1"/>
  <c r="T416" i="1"/>
  <c r="T415" i="1"/>
  <c r="T414" i="1"/>
  <c r="T413" i="1"/>
  <c r="T410" i="1"/>
  <c r="T408" i="1"/>
  <c r="T406" i="1"/>
  <c r="T405" i="1"/>
  <c r="T402" i="1"/>
  <c r="T393" i="1"/>
  <c r="T392" i="1"/>
  <c r="T390" i="1"/>
  <c r="T376" i="1"/>
  <c r="T375" i="1"/>
  <c r="T373" i="1"/>
  <c r="T372" i="1"/>
  <c r="T371" i="1"/>
  <c r="T370" i="1"/>
  <c r="T369" i="1"/>
  <c r="T368" i="1"/>
  <c r="T367" i="1"/>
  <c r="T366" i="1"/>
  <c r="T365" i="1"/>
  <c r="T364" i="1"/>
  <c r="T363" i="1"/>
  <c r="T355" i="1"/>
  <c r="T353" i="1"/>
  <c r="T339" i="1"/>
  <c r="T338" i="1"/>
  <c r="T336" i="1"/>
  <c r="T321" i="1"/>
  <c r="S321" i="1"/>
  <c r="T320" i="1"/>
  <c r="S320" i="1"/>
  <c r="T316" i="1"/>
  <c r="S316" i="1"/>
  <c r="T315" i="1"/>
  <c r="S315" i="1"/>
  <c r="T310" i="1"/>
  <c r="S310" i="1"/>
  <c r="T305" i="1"/>
  <c r="S305" i="1"/>
  <c r="T304" i="1"/>
  <c r="S304" i="1"/>
  <c r="T303" i="1"/>
  <c r="S303" i="1"/>
  <c r="T302" i="1"/>
  <c r="S302" i="1"/>
  <c r="T300" i="1"/>
  <c r="S300" i="1"/>
  <c r="T250" i="1"/>
  <c r="S250" i="1"/>
  <c r="T249" i="1"/>
  <c r="S249" i="1"/>
  <c r="T276" i="1"/>
  <c r="S276" i="1"/>
  <c r="T274" i="1"/>
  <c r="S274" i="1"/>
  <c r="T248" i="1"/>
  <c r="S248" i="1"/>
  <c r="T247" i="1"/>
  <c r="S247" i="1"/>
  <c r="T243" i="1"/>
  <c r="S243" i="1"/>
  <c r="T242" i="1"/>
  <c r="S242" i="1"/>
  <c r="T239" i="1"/>
  <c r="S239" i="1"/>
  <c r="T238" i="1"/>
  <c r="S238" i="1"/>
  <c r="T236" i="1"/>
  <c r="S236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3" i="1"/>
  <c r="S193" i="1"/>
  <c r="T188" i="1"/>
  <c r="S188" i="1"/>
  <c r="T187" i="1"/>
  <c r="S187" i="1"/>
  <c r="T184" i="1"/>
  <c r="S184" i="1"/>
  <c r="T183" i="1"/>
  <c r="S183" i="1"/>
  <c r="T181" i="1"/>
  <c r="S181" i="1"/>
  <c r="T179" i="1"/>
  <c r="S179" i="1"/>
  <c r="T178" i="1"/>
  <c r="S178" i="1"/>
  <c r="T170" i="1"/>
  <c r="S170" i="1"/>
  <c r="S169" i="1"/>
  <c r="T168" i="1"/>
  <c r="S168" i="1"/>
  <c r="T167" i="1"/>
  <c r="S167" i="1"/>
  <c r="T164" i="1"/>
  <c r="S164" i="1"/>
  <c r="T160" i="1"/>
  <c r="S160" i="1"/>
  <c r="T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39" i="1"/>
  <c r="S139" i="1"/>
  <c r="T135" i="1"/>
  <c r="S135" i="1"/>
  <c r="T130" i="1"/>
  <c r="S130" i="1"/>
  <c r="T129" i="1"/>
  <c r="S129" i="1"/>
  <c r="T128" i="1"/>
  <c r="S128" i="1"/>
  <c r="T127" i="1"/>
  <c r="S127" i="1"/>
  <c r="T123" i="1"/>
  <c r="S123" i="1"/>
  <c r="T120" i="1"/>
  <c r="S120" i="1"/>
  <c r="T118" i="1"/>
  <c r="S118" i="1"/>
  <c r="T111" i="1"/>
  <c r="S111" i="1"/>
  <c r="T109" i="1"/>
  <c r="S109" i="1"/>
  <c r="T98" i="1"/>
  <c r="S98" i="1"/>
  <c r="T94" i="1"/>
  <c r="S94" i="1"/>
  <c r="T93" i="1"/>
  <c r="S93" i="1"/>
  <c r="T92" i="1"/>
  <c r="S92" i="1"/>
  <c r="T85" i="1"/>
  <c r="S85" i="1"/>
  <c r="T76" i="1"/>
  <c r="S76" i="1"/>
  <c r="T75" i="1"/>
  <c r="S75" i="1"/>
  <c r="T71" i="1"/>
  <c r="S71" i="1"/>
  <c r="T70" i="1"/>
  <c r="S70" i="1"/>
  <c r="T69" i="1"/>
  <c r="S69" i="1"/>
  <c r="T64" i="1"/>
  <c r="S64" i="1"/>
  <c r="T60" i="1"/>
  <c r="S60" i="1"/>
  <c r="T56" i="1"/>
  <c r="S56" i="1"/>
  <c r="T53" i="1"/>
  <c r="S53" i="1"/>
  <c r="T49" i="1"/>
  <c r="S49" i="1"/>
  <c r="T48" i="1"/>
  <c r="S48" i="1"/>
  <c r="T47" i="1"/>
  <c r="S47" i="1"/>
  <c r="T46" i="1"/>
  <c r="S46" i="1"/>
  <c r="T42" i="1"/>
  <c r="S42" i="1"/>
  <c r="T41" i="1"/>
  <c r="S41" i="1"/>
  <c r="T38" i="1"/>
  <c r="S38" i="1"/>
  <c r="T37" i="1"/>
  <c r="S37" i="1"/>
  <c r="T35" i="1"/>
  <c r="S35" i="1"/>
  <c r="T40" i="1"/>
  <c r="S40" i="1"/>
  <c r="T29" i="1"/>
  <c r="S29" i="1"/>
  <c r="T26" i="1"/>
  <c r="S26" i="1"/>
  <c r="T21" i="1"/>
  <c r="S21" i="1"/>
  <c r="T20" i="1"/>
  <c r="S20" i="1"/>
  <c r="T19" i="1"/>
  <c r="S19" i="1"/>
  <c r="T15" i="1"/>
  <c r="S15" i="1"/>
  <c r="T13" i="1"/>
  <c r="S13" i="1"/>
  <c r="T7" i="1"/>
  <c r="S7" i="1"/>
  <c r="P739" i="1"/>
  <c r="Q741" i="1"/>
  <c r="P741" i="1"/>
  <c r="Q740" i="1"/>
  <c r="P740" i="1"/>
  <c r="Q739" i="1"/>
  <c r="Q737" i="1"/>
  <c r="P737" i="1"/>
  <c r="Q736" i="1"/>
  <c r="P736" i="1"/>
  <c r="Q734" i="1"/>
  <c r="P734" i="1"/>
  <c r="Q733" i="1"/>
  <c r="P733" i="1"/>
  <c r="Q732" i="1"/>
  <c r="P732" i="1"/>
  <c r="Q731" i="1"/>
  <c r="P731" i="1"/>
  <c r="Q730" i="1"/>
  <c r="P730" i="1"/>
  <c r="Q729" i="1"/>
  <c r="Q728" i="1"/>
  <c r="P728" i="1"/>
  <c r="Q727" i="1"/>
  <c r="P727" i="1"/>
  <c r="Q726" i="1"/>
  <c r="P726" i="1"/>
  <c r="Q725" i="1"/>
  <c r="P725" i="1"/>
  <c r="Q723" i="1"/>
  <c r="P723" i="1"/>
  <c r="Q721" i="1"/>
  <c r="P721" i="1"/>
  <c r="Q720" i="1"/>
  <c r="P720" i="1"/>
  <c r="Q719" i="1"/>
  <c r="P719" i="1"/>
  <c r="Q718" i="1"/>
  <c r="P718" i="1"/>
  <c r="Q717" i="1"/>
  <c r="P717" i="1"/>
  <c r="Q716" i="1"/>
  <c r="P716" i="1"/>
  <c r="Q715" i="1"/>
  <c r="P715" i="1"/>
  <c r="Q714" i="1"/>
  <c r="P714" i="1"/>
  <c r="Q713" i="1"/>
  <c r="P713" i="1"/>
  <c r="Q712" i="1"/>
  <c r="P712" i="1"/>
  <c r="Q711" i="1"/>
  <c r="P711" i="1"/>
  <c r="Q710" i="1"/>
  <c r="P710" i="1"/>
  <c r="Q709" i="1"/>
  <c r="P709" i="1"/>
  <c r="Q708" i="1"/>
  <c r="P708" i="1"/>
  <c r="Q706" i="1"/>
  <c r="P706" i="1"/>
  <c r="Q705" i="1"/>
  <c r="P705" i="1"/>
  <c r="Q704" i="1"/>
  <c r="P704" i="1"/>
  <c r="Q703" i="1"/>
  <c r="P703" i="1"/>
  <c r="Q701" i="1"/>
  <c r="P701" i="1"/>
  <c r="Q700" i="1"/>
  <c r="P700" i="1"/>
  <c r="Q699" i="1"/>
  <c r="P699" i="1"/>
  <c r="Q698" i="1"/>
  <c r="P698" i="1"/>
  <c r="Q697" i="1"/>
  <c r="P697" i="1"/>
  <c r="Q696" i="1"/>
  <c r="P696" i="1"/>
  <c r="Q695" i="1"/>
  <c r="P695" i="1"/>
  <c r="Q694" i="1"/>
  <c r="P694" i="1"/>
  <c r="Q693" i="1"/>
  <c r="P693" i="1"/>
  <c r="Q685" i="1"/>
  <c r="P685" i="1"/>
  <c r="Q684" i="1"/>
  <c r="P684" i="1"/>
  <c r="Q683" i="1"/>
  <c r="P683" i="1"/>
  <c r="Q666" i="1"/>
  <c r="P666" i="1"/>
  <c r="Q664" i="1"/>
  <c r="P664" i="1"/>
  <c r="Q660" i="1"/>
  <c r="P660" i="1"/>
  <c r="Q659" i="1"/>
  <c r="P659" i="1"/>
  <c r="Q65" i="1"/>
  <c r="P65" i="1"/>
  <c r="P643" i="1"/>
  <c r="Q639" i="1"/>
  <c r="P639" i="1"/>
  <c r="Q637" i="1"/>
  <c r="P637" i="1"/>
  <c r="Q635" i="1"/>
  <c r="P635" i="1"/>
  <c r="Q634" i="1"/>
  <c r="P634" i="1"/>
  <c r="Q631" i="1"/>
  <c r="P631" i="1"/>
  <c r="Q627" i="1"/>
  <c r="P627" i="1"/>
  <c r="Q614" i="1"/>
  <c r="P614" i="1"/>
  <c r="Q613" i="1"/>
  <c r="P613" i="1"/>
  <c r="Q612" i="1"/>
  <c r="P612" i="1"/>
  <c r="Q611" i="1"/>
  <c r="P611" i="1"/>
  <c r="Q610" i="1"/>
  <c r="P610" i="1"/>
  <c r="Q609" i="1"/>
  <c r="P609" i="1"/>
  <c r="Q608" i="1"/>
  <c r="P608" i="1"/>
  <c r="Q607" i="1"/>
  <c r="P607" i="1"/>
  <c r="Q605" i="1"/>
  <c r="P605" i="1"/>
  <c r="Q603" i="1"/>
  <c r="P603" i="1"/>
  <c r="Q602" i="1"/>
  <c r="P602" i="1"/>
  <c r="Q601" i="1"/>
  <c r="P601" i="1"/>
  <c r="Q599" i="1"/>
  <c r="P599" i="1"/>
  <c r="Q598" i="1"/>
  <c r="P598" i="1"/>
  <c r="Q597" i="1"/>
  <c r="P597" i="1"/>
  <c r="Q596" i="1"/>
  <c r="P596" i="1"/>
  <c r="Q595" i="1"/>
  <c r="P595" i="1"/>
  <c r="Q594" i="1"/>
  <c r="P594" i="1"/>
  <c r="Q592" i="1"/>
  <c r="P592" i="1"/>
  <c r="Q591" i="1"/>
  <c r="P591" i="1"/>
  <c r="Q589" i="1"/>
  <c r="P589" i="1"/>
  <c r="Q582" i="1"/>
  <c r="P582" i="1"/>
  <c r="Q581" i="1"/>
  <c r="P581" i="1"/>
  <c r="Q578" i="1"/>
  <c r="P578" i="1"/>
  <c r="Q572" i="1"/>
  <c r="P572" i="1"/>
  <c r="Q571" i="1"/>
  <c r="P571" i="1"/>
  <c r="Q567" i="1"/>
  <c r="P567" i="1"/>
  <c r="Q566" i="1"/>
  <c r="P566" i="1"/>
  <c r="Q565" i="1"/>
  <c r="P565" i="1"/>
  <c r="Q564" i="1"/>
  <c r="P564" i="1"/>
  <c r="Q562" i="1"/>
  <c r="P562" i="1"/>
  <c r="Q560" i="1"/>
  <c r="P560" i="1"/>
  <c r="Q559" i="1"/>
  <c r="P559" i="1"/>
  <c r="Q552" i="1"/>
  <c r="P552" i="1"/>
  <c r="Q551" i="1"/>
  <c r="P551" i="1"/>
  <c r="Q546" i="1"/>
  <c r="P546" i="1"/>
  <c r="Q539" i="1"/>
  <c r="P539" i="1"/>
  <c r="Q538" i="1"/>
  <c r="P538" i="1"/>
  <c r="Q537" i="1"/>
  <c r="P537" i="1"/>
  <c r="Q535" i="1"/>
  <c r="P535" i="1"/>
  <c r="Q531" i="1"/>
  <c r="P531" i="1"/>
  <c r="Q530" i="1"/>
  <c r="Q529" i="1"/>
  <c r="P529" i="1"/>
  <c r="Q526" i="1"/>
  <c r="P526" i="1"/>
  <c r="Q517" i="1"/>
  <c r="P517" i="1"/>
  <c r="Q514" i="1"/>
  <c r="P514" i="1"/>
  <c r="Q513" i="1"/>
  <c r="P513" i="1"/>
  <c r="Q510" i="1"/>
  <c r="P510" i="1"/>
  <c r="Q509" i="1"/>
  <c r="P509" i="1"/>
  <c r="Q505" i="1"/>
  <c r="P505" i="1"/>
  <c r="Q504" i="1"/>
  <c r="P504" i="1"/>
  <c r="Q497" i="1"/>
  <c r="P497" i="1"/>
  <c r="Q494" i="1"/>
  <c r="P494" i="1"/>
  <c r="Q484" i="1"/>
  <c r="P484" i="1"/>
  <c r="Q482" i="1"/>
  <c r="P482" i="1"/>
  <c r="Q483" i="1"/>
  <c r="P483" i="1"/>
  <c r="Q479" i="1"/>
  <c r="P479" i="1"/>
  <c r="Q475" i="1"/>
  <c r="P475" i="1"/>
  <c r="Q465" i="1"/>
  <c r="P465" i="1"/>
  <c r="Q464" i="1"/>
  <c r="P464" i="1"/>
  <c r="Q463" i="1"/>
  <c r="P463" i="1"/>
  <c r="Q450" i="1"/>
  <c r="P450" i="1"/>
  <c r="Q449" i="1"/>
  <c r="P449" i="1"/>
  <c r="Q461" i="1"/>
  <c r="P461" i="1"/>
  <c r="Q459" i="1"/>
  <c r="P459" i="1"/>
  <c r="Q447" i="1"/>
  <c r="P447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8" i="1"/>
  <c r="P438" i="1"/>
  <c r="Q433" i="1"/>
  <c r="P433" i="1"/>
  <c r="Q432" i="1"/>
  <c r="P432" i="1"/>
  <c r="Q429" i="1"/>
  <c r="P429" i="1"/>
  <c r="Q428" i="1"/>
  <c r="P428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0" i="1"/>
  <c r="P410" i="1"/>
  <c r="Q408" i="1"/>
  <c r="P408" i="1"/>
  <c r="Q406" i="1"/>
  <c r="P406" i="1"/>
  <c r="Q405" i="1"/>
  <c r="P405" i="1"/>
  <c r="Q402" i="1"/>
  <c r="P402" i="1"/>
  <c r="Q393" i="1"/>
  <c r="P393" i="1"/>
  <c r="Q392" i="1"/>
  <c r="P392" i="1"/>
  <c r="Q390" i="1"/>
  <c r="P390" i="1"/>
  <c r="Q376" i="1"/>
  <c r="P376" i="1"/>
  <c r="Q375" i="1"/>
  <c r="P375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55" i="1"/>
  <c r="P355" i="1"/>
  <c r="Q353" i="1"/>
  <c r="P353" i="1"/>
  <c r="Q339" i="1"/>
  <c r="P339" i="1"/>
  <c r="Q338" i="1"/>
  <c r="P338" i="1"/>
  <c r="Q336" i="1"/>
  <c r="P336" i="1"/>
  <c r="Q328" i="1"/>
  <c r="P328" i="1"/>
  <c r="Q321" i="1"/>
  <c r="P321" i="1"/>
  <c r="Q320" i="1"/>
  <c r="P320" i="1"/>
  <c r="Q316" i="1"/>
  <c r="P316" i="1"/>
  <c r="Q315" i="1"/>
  <c r="P315" i="1"/>
  <c r="Q310" i="1"/>
  <c r="P310" i="1"/>
  <c r="Q305" i="1"/>
  <c r="P305" i="1"/>
  <c r="Q304" i="1"/>
  <c r="P304" i="1"/>
  <c r="Q303" i="1"/>
  <c r="P303" i="1"/>
  <c r="Q302" i="1"/>
  <c r="P302" i="1"/>
  <c r="Q300" i="1"/>
  <c r="P300" i="1"/>
  <c r="Q250" i="1"/>
  <c r="P250" i="1"/>
  <c r="Q249" i="1"/>
  <c r="P249" i="1"/>
  <c r="Q276" i="1"/>
  <c r="P276" i="1"/>
  <c r="Q274" i="1"/>
  <c r="P274" i="1"/>
  <c r="Q248" i="1"/>
  <c r="P248" i="1"/>
  <c r="Q247" i="1"/>
  <c r="P247" i="1"/>
  <c r="Q243" i="1"/>
  <c r="P243" i="1"/>
  <c r="Q242" i="1"/>
  <c r="P242" i="1"/>
  <c r="Q239" i="1"/>
  <c r="P239" i="1"/>
  <c r="Q238" i="1"/>
  <c r="P238" i="1"/>
  <c r="Q236" i="1"/>
  <c r="P236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2" i="1"/>
  <c r="Q201" i="1"/>
  <c r="P201" i="1"/>
  <c r="Q200" i="1"/>
  <c r="P200" i="1"/>
  <c r="Q199" i="1"/>
  <c r="P199" i="1"/>
  <c r="Q198" i="1"/>
  <c r="P198" i="1"/>
  <c r="Q197" i="1"/>
  <c r="P197" i="1"/>
  <c r="Q193" i="1"/>
  <c r="P193" i="1"/>
  <c r="Q188" i="1"/>
  <c r="P188" i="1"/>
  <c r="Q187" i="1"/>
  <c r="P187" i="1"/>
  <c r="Q184" i="1"/>
  <c r="P184" i="1"/>
  <c r="Q183" i="1"/>
  <c r="P183" i="1"/>
  <c r="Q181" i="1"/>
  <c r="P181" i="1"/>
  <c r="Q179" i="1"/>
  <c r="P179" i="1"/>
  <c r="Q178" i="1"/>
  <c r="P178" i="1"/>
  <c r="Q170" i="1"/>
  <c r="P170" i="1"/>
  <c r="Q169" i="1"/>
  <c r="Q168" i="1"/>
  <c r="P168" i="1"/>
  <c r="Q167" i="1"/>
  <c r="P167" i="1"/>
  <c r="Q164" i="1"/>
  <c r="P164" i="1"/>
  <c r="Q160" i="1"/>
  <c r="P160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39" i="1"/>
  <c r="P139" i="1"/>
  <c r="Q135" i="1"/>
  <c r="P135" i="1"/>
  <c r="Q130" i="1"/>
  <c r="P130" i="1"/>
  <c r="Q129" i="1"/>
  <c r="P129" i="1"/>
  <c r="Q128" i="1"/>
  <c r="P128" i="1"/>
  <c r="Q127" i="1"/>
  <c r="P127" i="1"/>
  <c r="Q123" i="1"/>
  <c r="P123" i="1"/>
  <c r="Q120" i="1"/>
  <c r="P120" i="1"/>
  <c r="Q118" i="1"/>
  <c r="P118" i="1"/>
  <c r="Q111" i="1"/>
  <c r="P111" i="1"/>
  <c r="Q109" i="1"/>
  <c r="P109" i="1"/>
  <c r="Q98" i="1"/>
  <c r="P98" i="1"/>
  <c r="Q94" i="1"/>
  <c r="P94" i="1"/>
  <c r="Q93" i="1"/>
  <c r="P93" i="1"/>
  <c r="Q92" i="1"/>
  <c r="P92" i="1"/>
  <c r="Q85" i="1"/>
  <c r="P85" i="1"/>
  <c r="Q76" i="1"/>
  <c r="Q75" i="1"/>
  <c r="Q71" i="1"/>
  <c r="P71" i="1"/>
  <c r="Q70" i="1"/>
  <c r="P70" i="1"/>
  <c r="Q69" i="1"/>
  <c r="P69" i="1"/>
  <c r="Q64" i="1"/>
  <c r="P64" i="1"/>
  <c r="Q60" i="1"/>
  <c r="P60" i="1"/>
  <c r="Q56" i="1"/>
  <c r="P56" i="1"/>
  <c r="Q53" i="1"/>
  <c r="P53" i="1"/>
  <c r="Q49" i="1"/>
  <c r="P49" i="1"/>
  <c r="Q48" i="1"/>
  <c r="P48" i="1"/>
  <c r="Q47" i="1"/>
  <c r="P47" i="1"/>
  <c r="Q46" i="1"/>
  <c r="P46" i="1"/>
  <c r="Q42" i="1"/>
  <c r="P42" i="1"/>
  <c r="Q41" i="1"/>
  <c r="P41" i="1"/>
  <c r="Q38" i="1"/>
  <c r="P38" i="1"/>
  <c r="Q37" i="1"/>
  <c r="P37" i="1"/>
  <c r="Q35" i="1"/>
  <c r="P35" i="1"/>
  <c r="Q40" i="1"/>
  <c r="P40" i="1"/>
  <c r="Q29" i="1"/>
  <c r="P29" i="1"/>
  <c r="Q26" i="1"/>
  <c r="P26" i="1"/>
  <c r="Q21" i="1"/>
  <c r="P21" i="1"/>
  <c r="Q20" i="1"/>
  <c r="P20" i="1"/>
  <c r="Q19" i="1"/>
  <c r="P19" i="1"/>
  <c r="Q15" i="1"/>
  <c r="P15" i="1"/>
  <c r="Q13" i="1"/>
  <c r="P13" i="1"/>
  <c r="Q7" i="1"/>
  <c r="P7" i="1"/>
  <c r="O741" i="1"/>
  <c r="O740" i="1"/>
  <c r="O739" i="1"/>
  <c r="O737" i="1"/>
  <c r="O736" i="1"/>
  <c r="O734" i="1"/>
  <c r="O733" i="1"/>
  <c r="O732" i="1"/>
  <c r="O731" i="1"/>
  <c r="O730" i="1"/>
  <c r="O729" i="1"/>
  <c r="O728" i="1"/>
  <c r="O727" i="1"/>
  <c r="O726" i="1"/>
  <c r="O725" i="1"/>
  <c r="O723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6" i="1"/>
  <c r="O705" i="1"/>
  <c r="O704" i="1"/>
  <c r="O703" i="1"/>
  <c r="O701" i="1"/>
  <c r="O700" i="1"/>
  <c r="O699" i="1"/>
  <c r="O698" i="1"/>
  <c r="O697" i="1"/>
  <c r="O696" i="1"/>
  <c r="O695" i="1"/>
  <c r="O694" i="1"/>
  <c r="O693" i="1"/>
  <c r="O685" i="1"/>
  <c r="O684" i="1"/>
  <c r="O683" i="1"/>
  <c r="O666" i="1"/>
  <c r="O664" i="1"/>
  <c r="O660" i="1"/>
  <c r="O659" i="1"/>
  <c r="O65" i="1"/>
  <c r="O643" i="1"/>
  <c r="O639" i="1"/>
  <c r="O637" i="1"/>
  <c r="O635" i="1"/>
  <c r="O634" i="1"/>
  <c r="O631" i="1"/>
  <c r="O627" i="1"/>
  <c r="O614" i="1"/>
  <c r="O613" i="1"/>
  <c r="O612" i="1"/>
  <c r="O611" i="1"/>
  <c r="O610" i="1"/>
  <c r="O609" i="1"/>
  <c r="O608" i="1"/>
  <c r="O607" i="1"/>
  <c r="O605" i="1"/>
  <c r="O603" i="1"/>
  <c r="O602" i="1"/>
  <c r="O601" i="1"/>
  <c r="O599" i="1"/>
  <c r="O598" i="1"/>
  <c r="O597" i="1"/>
  <c r="O596" i="1"/>
  <c r="O595" i="1"/>
  <c r="O594" i="1"/>
  <c r="O592" i="1"/>
  <c r="O591" i="1"/>
  <c r="O589" i="1"/>
  <c r="O582" i="1"/>
  <c r="O581" i="1"/>
  <c r="O578" i="1"/>
  <c r="O572" i="1"/>
  <c r="O571" i="1"/>
  <c r="O567" i="1"/>
  <c r="O566" i="1"/>
  <c r="O565" i="1"/>
  <c r="O564" i="1"/>
  <c r="O562" i="1"/>
  <c r="O560" i="1"/>
  <c r="O559" i="1"/>
  <c r="O552" i="1"/>
  <c r="O551" i="1"/>
  <c r="O546" i="1"/>
  <c r="O539" i="1"/>
  <c r="O538" i="1"/>
  <c r="O537" i="1"/>
  <c r="O535" i="1"/>
  <c r="O531" i="1"/>
  <c r="O529" i="1"/>
  <c r="O526" i="1"/>
  <c r="O517" i="1"/>
  <c r="O514" i="1"/>
  <c r="O513" i="1"/>
  <c r="O510" i="1"/>
  <c r="O509" i="1"/>
  <c r="O505" i="1"/>
  <c r="O504" i="1"/>
  <c r="O497" i="1"/>
  <c r="O494" i="1"/>
  <c r="O484" i="1"/>
  <c r="O482" i="1"/>
  <c r="O483" i="1"/>
  <c r="O479" i="1"/>
  <c r="O475" i="1"/>
  <c r="O465" i="1"/>
  <c r="O464" i="1"/>
  <c r="O463" i="1"/>
  <c r="O450" i="1"/>
  <c r="O449" i="1"/>
  <c r="O461" i="1"/>
  <c r="O459" i="1"/>
  <c r="O447" i="1"/>
  <c r="O445" i="1"/>
  <c r="O444" i="1"/>
  <c r="O443" i="1"/>
  <c r="O442" i="1"/>
  <c r="O441" i="1"/>
  <c r="O440" i="1"/>
  <c r="O438" i="1"/>
  <c r="O433" i="1"/>
  <c r="O432" i="1"/>
  <c r="O429" i="1"/>
  <c r="O428" i="1"/>
  <c r="O419" i="1"/>
  <c r="O418" i="1"/>
  <c r="O417" i="1"/>
  <c r="O416" i="1"/>
  <c r="O415" i="1"/>
  <c r="O414" i="1"/>
  <c r="O413" i="1"/>
  <c r="O410" i="1"/>
  <c r="O393" i="1"/>
  <c r="O392" i="1"/>
  <c r="O390" i="1"/>
  <c r="O376" i="1"/>
  <c r="O375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55" i="1"/>
  <c r="O353" i="1"/>
  <c r="O339" i="1"/>
  <c r="O338" i="1"/>
  <c r="O336" i="1"/>
  <c r="O328" i="1"/>
  <c r="O321" i="1"/>
  <c r="O320" i="1"/>
  <c r="O315" i="1"/>
  <c r="O310" i="1"/>
  <c r="O305" i="1"/>
  <c r="O304" i="1"/>
  <c r="O303" i="1"/>
  <c r="O302" i="1"/>
  <c r="O300" i="1"/>
  <c r="O250" i="1"/>
  <c r="O249" i="1"/>
  <c r="O293" i="1"/>
  <c r="O288" i="1"/>
  <c r="O286" i="1"/>
  <c r="O284" i="1"/>
  <c r="O276" i="1"/>
  <c r="O274" i="1"/>
  <c r="O248" i="1"/>
  <c r="O247" i="1"/>
  <c r="O243" i="1"/>
  <c r="O242" i="1"/>
  <c r="O239" i="1"/>
  <c r="O238" i="1"/>
  <c r="O236" i="1"/>
  <c r="O214" i="1"/>
  <c r="O213" i="1"/>
  <c r="O212" i="1"/>
  <c r="O211" i="1"/>
  <c r="O210" i="1"/>
  <c r="O209" i="1"/>
  <c r="O202" i="1"/>
  <c r="O201" i="1"/>
  <c r="O200" i="1"/>
  <c r="O199" i="1"/>
  <c r="O198" i="1"/>
  <c r="O197" i="1"/>
  <c r="O193" i="1"/>
  <c r="O188" i="1"/>
  <c r="O187" i="1"/>
  <c r="O184" i="1"/>
  <c r="O183" i="1"/>
  <c r="O181" i="1"/>
  <c r="O179" i="1"/>
  <c r="O178" i="1"/>
  <c r="O170" i="1"/>
  <c r="O169" i="1"/>
  <c r="O168" i="1"/>
  <c r="O167" i="1"/>
  <c r="O164" i="1"/>
  <c r="O160" i="1"/>
  <c r="O158" i="1"/>
  <c r="O157" i="1"/>
  <c r="O156" i="1"/>
  <c r="O155" i="1"/>
  <c r="O154" i="1"/>
  <c r="O153" i="1"/>
  <c r="O151" i="1"/>
  <c r="O150" i="1"/>
  <c r="O149" i="1"/>
  <c r="O148" i="1"/>
  <c r="O147" i="1"/>
  <c r="O146" i="1"/>
  <c r="O145" i="1"/>
  <c r="O144" i="1"/>
  <c r="O139" i="1"/>
  <c r="O135" i="1"/>
  <c r="O130" i="1"/>
  <c r="O129" i="1"/>
  <c r="O128" i="1"/>
  <c r="O127" i="1"/>
  <c r="O123" i="1"/>
  <c r="O120" i="1"/>
  <c r="O118" i="1"/>
  <c r="O111" i="1"/>
  <c r="O109" i="1"/>
  <c r="O98" i="1"/>
  <c r="O94" i="1"/>
  <c r="O93" i="1"/>
  <c r="O92" i="1"/>
  <c r="O85" i="1"/>
  <c r="O75" i="1"/>
  <c r="O71" i="1"/>
  <c r="O70" i="1"/>
  <c r="O69" i="1"/>
  <c r="O64" i="1"/>
  <c r="O60" i="1"/>
  <c r="O56" i="1"/>
  <c r="O53" i="1"/>
  <c r="O49" i="1"/>
  <c r="O48" i="1"/>
  <c r="O47" i="1"/>
  <c r="O46" i="1"/>
  <c r="O42" i="1"/>
  <c r="O41" i="1"/>
  <c r="O38" i="1"/>
  <c r="O37" i="1"/>
  <c r="O35" i="1"/>
  <c r="O40" i="1"/>
  <c r="O29" i="1"/>
  <c r="O26" i="1"/>
  <c r="O21" i="1"/>
  <c r="O20" i="1"/>
  <c r="O19" i="1"/>
  <c r="O15" i="1"/>
  <c r="O13" i="1"/>
  <c r="O7" i="1"/>
  <c r="T4" i="1"/>
  <c r="S4" i="1"/>
  <c r="Q4" i="1"/>
  <c r="P4" i="1"/>
  <c r="O4" i="1"/>
  <c r="S390" i="1"/>
  <c r="S392" i="1"/>
  <c r="S393" i="1"/>
  <c r="T457" i="1"/>
  <c r="Q457" i="1"/>
  <c r="O457" i="1"/>
  <c r="P457" i="1"/>
  <c r="O772" i="1"/>
  <c r="W2" i="1"/>
  <c r="Q2" i="1"/>
  <c r="P2" i="1"/>
  <c r="V772" i="1"/>
  <c r="S336" i="1"/>
  <c r="S338" i="1"/>
  <c r="S339" i="1"/>
  <c r="S353" i="1"/>
  <c r="S355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5" i="1"/>
  <c r="S376" i="1"/>
  <c r="S405" i="1"/>
  <c r="S406" i="1"/>
  <c r="S408" i="1"/>
  <c r="S410" i="1"/>
  <c r="S413" i="1"/>
  <c r="S414" i="1"/>
  <c r="S415" i="1"/>
  <c r="S416" i="1"/>
  <c r="S417" i="1"/>
  <c r="S418" i="1"/>
  <c r="S419" i="1"/>
  <c r="S428" i="1"/>
  <c r="S429" i="1"/>
  <c r="S432" i="1"/>
  <c r="S433" i="1"/>
  <c r="S457" i="1"/>
  <c r="S438" i="1"/>
  <c r="S440" i="1"/>
  <c r="S441" i="1"/>
  <c r="S442" i="1"/>
  <c r="S443" i="1"/>
  <c r="S444" i="1"/>
  <c r="S445" i="1"/>
  <c r="S447" i="1"/>
  <c r="S459" i="1"/>
  <c r="S461" i="1"/>
  <c r="S449" i="1"/>
  <c r="S450" i="1"/>
  <c r="S463" i="1"/>
  <c r="S464" i="1"/>
  <c r="S465" i="1"/>
  <c r="S475" i="1"/>
  <c r="S479" i="1"/>
  <c r="S483" i="1"/>
  <c r="S482" i="1"/>
  <c r="S484" i="1"/>
  <c r="S494" i="1"/>
  <c r="S497" i="1"/>
  <c r="S504" i="1"/>
  <c r="S505" i="1"/>
  <c r="S509" i="1"/>
  <c r="S510" i="1"/>
  <c r="S513" i="1"/>
  <c r="S514" i="1"/>
  <c r="S517" i="1"/>
  <c r="S526" i="1"/>
  <c r="S529" i="1"/>
  <c r="S530" i="1"/>
  <c r="S531" i="1"/>
  <c r="S535" i="1"/>
  <c r="S537" i="1"/>
  <c r="S538" i="1"/>
  <c r="S539" i="1"/>
  <c r="S546" i="1"/>
  <c r="S551" i="1"/>
  <c r="S552" i="1"/>
  <c r="S559" i="1"/>
  <c r="S560" i="1"/>
  <c r="S562" i="1"/>
  <c r="S564" i="1"/>
  <c r="S565" i="1"/>
  <c r="S566" i="1"/>
  <c r="S567" i="1"/>
  <c r="S571" i="1"/>
  <c r="S572" i="1"/>
  <c r="S578" i="1"/>
  <c r="S581" i="1"/>
  <c r="S582" i="1"/>
  <c r="S589" i="1"/>
  <c r="S591" i="1"/>
  <c r="S592" i="1"/>
  <c r="S594" i="1"/>
  <c r="S595" i="1"/>
  <c r="S596" i="1"/>
  <c r="S597" i="1"/>
  <c r="S598" i="1"/>
  <c r="S599" i="1"/>
  <c r="S601" i="1"/>
  <c r="S602" i="1"/>
  <c r="S603" i="1"/>
  <c r="S605" i="1"/>
  <c r="S607" i="1"/>
  <c r="S608" i="1"/>
  <c r="S609" i="1"/>
  <c r="S610" i="1"/>
  <c r="S611" i="1"/>
  <c r="S612" i="1"/>
  <c r="S613" i="1"/>
  <c r="S614" i="1"/>
  <c r="S627" i="1"/>
  <c r="S631" i="1"/>
  <c r="S634" i="1"/>
  <c r="S635" i="1"/>
  <c r="S637" i="1"/>
  <c r="S639" i="1"/>
  <c r="S643" i="1"/>
  <c r="S65" i="1"/>
  <c r="S659" i="1"/>
  <c r="S660" i="1"/>
  <c r="S664" i="1"/>
  <c r="S666" i="1"/>
  <c r="S683" i="1"/>
  <c r="S684" i="1"/>
  <c r="S685" i="1"/>
  <c r="S693" i="1"/>
  <c r="S694" i="1"/>
  <c r="S695" i="1"/>
  <c r="S696" i="1"/>
  <c r="S697" i="1"/>
  <c r="S698" i="1"/>
  <c r="S699" i="1"/>
  <c r="S700" i="1"/>
  <c r="S701" i="1"/>
  <c r="S703" i="1"/>
  <c r="S704" i="1"/>
  <c r="S705" i="1"/>
  <c r="S706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3" i="1"/>
  <c r="S725" i="1"/>
  <c r="S726" i="1"/>
  <c r="S727" i="1"/>
  <c r="S728" i="1"/>
  <c r="S729" i="1"/>
  <c r="S730" i="1"/>
  <c r="S731" i="1"/>
  <c r="S732" i="1"/>
  <c r="S733" i="1"/>
  <c r="S734" i="1"/>
  <c r="S736" i="1"/>
  <c r="S737" i="1"/>
  <c r="S739" i="1"/>
  <c r="S740" i="1"/>
  <c r="S741" i="1"/>
  <c r="W771" i="1"/>
  <c r="W773" i="1" s="1"/>
  <c r="S771" i="1"/>
  <c r="S773" i="1" s="1"/>
  <c r="V771" i="1"/>
  <c r="V773" i="1" s="1"/>
  <c r="Q771" i="1"/>
  <c r="Q773" i="1" s="1"/>
  <c r="T771" i="1"/>
  <c r="T773" i="1" s="1"/>
  <c r="P771" i="1"/>
  <c r="P773" i="1" s="1"/>
  <c r="T163" i="1"/>
  <c r="Q163" i="1"/>
  <c r="S163" i="1"/>
  <c r="P163" i="1"/>
  <c r="O163" i="1"/>
  <c r="T165" i="1"/>
  <c r="Q165" i="1"/>
  <c r="S165" i="1"/>
  <c r="P165" i="1"/>
  <c r="T617" i="1"/>
  <c r="Q617" i="1"/>
  <c r="O617" i="1"/>
  <c r="P617" i="1"/>
  <c r="T619" i="1"/>
  <c r="Q619" i="1"/>
  <c r="O619" i="1"/>
  <c r="P619" i="1"/>
  <c r="T166" i="1"/>
  <c r="Q166" i="1"/>
  <c r="S166" i="1"/>
  <c r="P166" i="1"/>
  <c r="Q618" i="1"/>
  <c r="T618" i="1"/>
  <c r="P618" i="1"/>
  <c r="O618" i="1"/>
  <c r="Q620" i="1"/>
  <c r="T620" i="1"/>
  <c r="P620" i="1"/>
  <c r="O620" i="1"/>
  <c r="S617" i="1"/>
  <c r="S619" i="1"/>
  <c r="S618" i="1"/>
  <c r="S620" i="1"/>
  <c r="J526" i="1"/>
  <c r="Q400" i="1"/>
  <c r="T400" i="1"/>
  <c r="P400" i="1"/>
  <c r="O400" i="1"/>
  <c r="S400" i="1"/>
  <c r="T171" i="1"/>
  <c r="Q171" i="1"/>
  <c r="O171" i="1"/>
  <c r="S171" i="1"/>
  <c r="P171" i="1"/>
  <c r="J484" i="1"/>
  <c r="H504" i="1"/>
  <c r="J504" i="1" s="1"/>
  <c r="T297" i="1"/>
  <c r="Q297" i="1"/>
  <c r="O297" i="1"/>
  <c r="S297" i="1"/>
  <c r="P297" i="1"/>
  <c r="T132" i="1"/>
  <c r="Q132" i="1"/>
  <c r="O132" i="1"/>
  <c r="S132" i="1"/>
  <c r="P132" i="1"/>
  <c r="T134" i="1"/>
  <c r="Q134" i="1"/>
  <c r="S134" i="1"/>
  <c r="P134" i="1"/>
  <c r="O134" i="1"/>
  <c r="T131" i="1"/>
  <c r="Q131" i="1"/>
  <c r="O131" i="1"/>
  <c r="S131" i="1"/>
  <c r="T133" i="1"/>
  <c r="Q133" i="1"/>
  <c r="S133" i="1"/>
  <c r="P133" i="1"/>
  <c r="O133" i="1"/>
  <c r="J551" i="1"/>
  <c r="J449" i="1"/>
  <c r="J450" i="1"/>
  <c r="Q665" i="1"/>
  <c r="T665" i="1"/>
  <c r="P665" i="1"/>
  <c r="O665" i="1"/>
  <c r="S665" i="1"/>
  <c r="Z320" i="1"/>
  <c r="Z111" i="1"/>
  <c r="J368" i="1"/>
  <c r="H26" i="1"/>
  <c r="J26" i="1" s="1"/>
  <c r="Z26" i="1" s="1"/>
  <c r="J372" i="1"/>
  <c r="J694" i="1"/>
  <c r="Z118" i="1"/>
  <c r="Z128" i="1"/>
  <c r="Z130" i="1"/>
  <c r="Z297" i="1"/>
  <c r="Z364" i="1"/>
  <c r="Z367" i="1"/>
  <c r="Z375" i="1"/>
  <c r="Z390" i="1"/>
  <c r="Z402" i="1"/>
  <c r="Z413" i="1"/>
  <c r="Z417" i="1"/>
  <c r="Z419" i="1"/>
  <c r="Z464" i="1"/>
  <c r="Z513" i="1"/>
  <c r="Z539" i="1"/>
  <c r="Z597" i="1"/>
  <c r="Z609" i="1"/>
  <c r="Z703" i="1"/>
  <c r="Z716" i="1"/>
  <c r="Z723" i="1"/>
  <c r="Z739" i="1"/>
  <c r="Z93" i="1"/>
  <c r="Z120" i="1"/>
  <c r="Z123" i="1"/>
  <c r="Z146" i="1"/>
  <c r="Z160" i="1"/>
  <c r="Z153" i="1"/>
  <c r="Z158" i="1"/>
  <c r="Z163" i="1"/>
  <c r="Z179" i="1"/>
  <c r="J187" i="1"/>
  <c r="Z199" i="1"/>
  <c r="Z184" i="1"/>
  <c r="Z582" i="1"/>
  <c r="J634" i="1"/>
  <c r="Z438" i="1"/>
  <c r="Z338" i="1"/>
  <c r="Z461" i="1"/>
  <c r="Z355" i="1"/>
  <c r="Z595" i="1"/>
  <c r="Z712" i="1"/>
  <c r="Z564" i="1"/>
  <c r="Z700" i="1"/>
  <c r="Z48" i="1"/>
  <c r="Z305" i="1"/>
  <c r="Z415" i="1"/>
  <c r="Z509" i="1"/>
  <c r="Z546" i="1"/>
  <c r="Z602" i="1"/>
  <c r="Z637" i="1"/>
  <c r="Z614" i="1"/>
  <c r="Z42" i="1"/>
  <c r="Z303" i="1"/>
  <c r="Z373" i="1"/>
  <c r="Z376" i="1"/>
  <c r="Z699" i="1"/>
  <c r="Z71" i="1"/>
  <c r="Z363" i="1"/>
  <c r="Z369" i="1"/>
  <c r="Z465" i="1"/>
  <c r="Z505" i="1"/>
  <c r="Z538" i="1"/>
  <c r="Z666" i="1"/>
  <c r="Z683" i="1"/>
  <c r="Z684" i="1"/>
  <c r="Z711" i="1"/>
  <c r="Z695" i="1"/>
  <c r="Z331" i="1"/>
  <c r="Z583" i="1" l="1"/>
  <c r="AA583" i="1"/>
  <c r="Z525" i="1"/>
  <c r="AA525" i="1"/>
  <c r="Z661" i="1"/>
  <c r="AA661" i="1"/>
  <c r="Z312" i="1"/>
  <c r="AA312" i="1"/>
  <c r="AA138" i="1"/>
  <c r="Z138" i="1"/>
  <c r="Z401" i="1"/>
  <c r="AA401" i="1"/>
  <c r="Z89" i="1"/>
  <c r="AA89" i="1"/>
  <c r="V367" i="1"/>
  <c r="X7" i="1"/>
  <c r="V7" i="1"/>
  <c r="W7" i="1"/>
  <c r="U7" i="1"/>
  <c r="W400" i="1"/>
  <c r="V450" i="1"/>
  <c r="V376" i="1"/>
  <c r="W539" i="1"/>
  <c r="W42" i="1"/>
  <c r="W589" i="1"/>
  <c r="W109" i="1"/>
  <c r="V338" i="1"/>
  <c r="AA376" i="1"/>
  <c r="W132" i="1"/>
  <c r="W183" i="1"/>
  <c r="V375" i="1"/>
  <c r="V618" i="1"/>
  <c r="V21" i="1"/>
  <c r="V552" i="1"/>
  <c r="W660" i="1"/>
  <c r="W197" i="1"/>
  <c r="V363" i="1"/>
  <c r="V373" i="1"/>
  <c r="AA369" i="1"/>
  <c r="V365" i="1"/>
  <c r="V369" i="1"/>
  <c r="W406" i="1"/>
  <c r="V613" i="1"/>
  <c r="V49" i="1"/>
  <c r="AA353" i="1"/>
  <c r="AA400" i="1"/>
  <c r="AA392" i="1"/>
  <c r="W37" i="1"/>
  <c r="V56" i="1"/>
  <c r="V392" i="1"/>
  <c r="W402" i="1"/>
  <c r="W408" i="1"/>
  <c r="V605" i="1"/>
  <c r="V664" i="1"/>
  <c r="W723" i="1"/>
  <c r="V293" i="1"/>
  <c r="AA288" i="1"/>
  <c r="AA664" i="1"/>
  <c r="V611" i="1"/>
  <c r="V417" i="1"/>
  <c r="V475" i="1"/>
  <c r="W705" i="1"/>
  <c r="V178" i="1"/>
  <c r="W118" i="1"/>
  <c r="W187" i="1"/>
  <c r="W238" i="1"/>
  <c r="W4" i="1"/>
  <c r="X4" i="1"/>
  <c r="U13" i="1"/>
  <c r="X13" i="1"/>
  <c r="V19" i="1"/>
  <c r="X19" i="1"/>
  <c r="W40" i="1"/>
  <c r="X40" i="1"/>
  <c r="U64" i="1"/>
  <c r="X64" i="1"/>
  <c r="V70" i="1"/>
  <c r="X70" i="1"/>
  <c r="W85" i="1"/>
  <c r="X85" i="1"/>
  <c r="V94" i="1"/>
  <c r="X94" i="1"/>
  <c r="W129" i="1"/>
  <c r="X129" i="1"/>
  <c r="W133" i="1"/>
  <c r="X133" i="1"/>
  <c r="W135" i="1"/>
  <c r="X135" i="1"/>
  <c r="U145" i="1"/>
  <c r="X145" i="1"/>
  <c r="U147" i="1"/>
  <c r="X147" i="1"/>
  <c r="U149" i="1"/>
  <c r="X149" i="1"/>
  <c r="U153" i="1"/>
  <c r="X153" i="1"/>
  <c r="U155" i="1"/>
  <c r="X155" i="1"/>
  <c r="U157" i="1"/>
  <c r="X157" i="1"/>
  <c r="U159" i="1"/>
  <c r="X159" i="1"/>
  <c r="U170" i="1"/>
  <c r="X170" i="1"/>
  <c r="U166" i="1"/>
  <c r="X166" i="1"/>
  <c r="W179" i="1"/>
  <c r="X179" i="1"/>
  <c r="W198" i="1"/>
  <c r="X198" i="1"/>
  <c r="U202" i="1"/>
  <c r="X202" i="1"/>
  <c r="U209" i="1"/>
  <c r="X209" i="1"/>
  <c r="U211" i="1"/>
  <c r="X211" i="1"/>
  <c r="U213" i="1"/>
  <c r="X213" i="1"/>
  <c r="U236" i="1"/>
  <c r="X236" i="1"/>
  <c r="U239" i="1"/>
  <c r="X239" i="1"/>
  <c r="U242" i="1"/>
  <c r="X242" i="1"/>
  <c r="U247" i="1"/>
  <c r="X247" i="1"/>
  <c r="U274" i="1"/>
  <c r="X274" i="1"/>
  <c r="V284" i="1"/>
  <c r="X284" i="1"/>
  <c r="U321" i="1"/>
  <c r="X321" i="1"/>
  <c r="AA339" i="1"/>
  <c r="X339" i="1"/>
  <c r="W368" i="1"/>
  <c r="X368" i="1"/>
  <c r="W390" i="1"/>
  <c r="X390" i="1"/>
  <c r="AA405" i="1"/>
  <c r="X405" i="1"/>
  <c r="V414" i="1"/>
  <c r="X414" i="1"/>
  <c r="V416" i="1"/>
  <c r="X416" i="1"/>
  <c r="V418" i="1"/>
  <c r="X418" i="1"/>
  <c r="V433" i="1"/>
  <c r="X433" i="1"/>
  <c r="W440" i="1"/>
  <c r="X440" i="1"/>
  <c r="W442" i="1"/>
  <c r="X442" i="1"/>
  <c r="U444" i="1"/>
  <c r="X444" i="1"/>
  <c r="U447" i="1"/>
  <c r="X447" i="1"/>
  <c r="V457" i="1"/>
  <c r="X457" i="1"/>
  <c r="W464" i="1"/>
  <c r="X464" i="1"/>
  <c r="U482" i="1"/>
  <c r="X482" i="1"/>
  <c r="V484" i="1"/>
  <c r="X484" i="1"/>
  <c r="V494" i="1"/>
  <c r="X494" i="1"/>
  <c r="V505" i="1"/>
  <c r="X505" i="1"/>
  <c r="V510" i="1"/>
  <c r="X510" i="1"/>
  <c r="V514" i="1"/>
  <c r="X514" i="1"/>
  <c r="V517" i="1"/>
  <c r="X517" i="1"/>
  <c r="W529" i="1"/>
  <c r="X529" i="1"/>
  <c r="W538" i="1"/>
  <c r="X538" i="1"/>
  <c r="V551" i="1"/>
  <c r="X551" i="1"/>
  <c r="V562" i="1"/>
  <c r="X562" i="1"/>
  <c r="V564" i="1"/>
  <c r="X564" i="1"/>
  <c r="W566" i="1"/>
  <c r="X566" i="1"/>
  <c r="V572" i="1"/>
  <c r="X572" i="1"/>
  <c r="V578" i="1"/>
  <c r="X578" i="1"/>
  <c r="U592" i="1"/>
  <c r="X592" i="1"/>
  <c r="W597" i="1"/>
  <c r="X597" i="1"/>
  <c r="V639" i="1"/>
  <c r="X639" i="1"/>
  <c r="AA665" i="1"/>
  <c r="X665" i="1"/>
  <c r="V666" i="1"/>
  <c r="X666" i="1"/>
  <c r="U683" i="1"/>
  <c r="X683" i="1"/>
  <c r="V703" i="1"/>
  <c r="X703" i="1"/>
  <c r="AA710" i="1"/>
  <c r="X710" i="1"/>
  <c r="U718" i="1"/>
  <c r="X718" i="1"/>
  <c r="V721" i="1"/>
  <c r="X721" i="1"/>
  <c r="V726" i="1"/>
  <c r="X726" i="1"/>
  <c r="U727" i="1"/>
  <c r="X727" i="1"/>
  <c r="W732" i="1"/>
  <c r="X732" i="1"/>
  <c r="AA734" i="1"/>
  <c r="X734" i="1"/>
  <c r="W737" i="1"/>
  <c r="X737" i="1"/>
  <c r="V739" i="1"/>
  <c r="X739" i="1"/>
  <c r="W741" i="1"/>
  <c r="X741" i="1"/>
  <c r="U171" i="1"/>
  <c r="X171" i="1"/>
  <c r="U575" i="1"/>
  <c r="X575" i="1"/>
  <c r="U297" i="1"/>
  <c r="X297" i="1"/>
  <c r="W772" i="1"/>
  <c r="X2" i="1"/>
  <c r="X772" i="1" s="1"/>
  <c r="U530" i="1"/>
  <c r="X530" i="1"/>
  <c r="V526" i="1"/>
  <c r="X526" i="1"/>
  <c r="W15" i="1"/>
  <c r="X15" i="1"/>
  <c r="V35" i="1"/>
  <c r="X35" i="1"/>
  <c r="W48" i="1"/>
  <c r="X48" i="1"/>
  <c r="W75" i="1"/>
  <c r="X75" i="1"/>
  <c r="V76" i="1"/>
  <c r="X76" i="1"/>
  <c r="U92" i="1"/>
  <c r="X92" i="1"/>
  <c r="W123" i="1"/>
  <c r="X123" i="1"/>
  <c r="U134" i="1"/>
  <c r="X134" i="1"/>
  <c r="U139" i="1"/>
  <c r="X139" i="1"/>
  <c r="U144" i="1"/>
  <c r="X144" i="1"/>
  <c r="U146" i="1"/>
  <c r="X146" i="1"/>
  <c r="U148" i="1"/>
  <c r="X148" i="1"/>
  <c r="U150" i="1"/>
  <c r="X150" i="1"/>
  <c r="U151" i="1"/>
  <c r="X151" i="1"/>
  <c r="U154" i="1"/>
  <c r="X154" i="1"/>
  <c r="U156" i="1"/>
  <c r="X156" i="1"/>
  <c r="V158" i="1"/>
  <c r="X158" i="1"/>
  <c r="U160" i="1"/>
  <c r="X160" i="1"/>
  <c r="U199" i="1"/>
  <c r="X199" i="1"/>
  <c r="U201" i="1"/>
  <c r="X201" i="1"/>
  <c r="W276" i="1"/>
  <c r="X276" i="1"/>
  <c r="U286" i="1"/>
  <c r="X286" i="1"/>
  <c r="U302" i="1"/>
  <c r="W304" i="1"/>
  <c r="X304" i="1"/>
  <c r="U310" i="1"/>
  <c r="X310" i="1"/>
  <c r="U315" i="1"/>
  <c r="X315" i="1"/>
  <c r="W320" i="1"/>
  <c r="X320" i="1"/>
  <c r="W328" i="1"/>
  <c r="X328" i="1"/>
  <c r="V331" i="1"/>
  <c r="X331" i="1"/>
  <c r="U338" i="1"/>
  <c r="X338" i="1"/>
  <c r="U355" i="1"/>
  <c r="X355" i="1"/>
  <c r="U363" i="1"/>
  <c r="X363" i="1"/>
  <c r="U365" i="1"/>
  <c r="X365" i="1"/>
  <c r="U367" i="1"/>
  <c r="X367" i="1"/>
  <c r="U369" i="1"/>
  <c r="X369" i="1"/>
  <c r="U373" i="1"/>
  <c r="X373" i="1"/>
  <c r="U375" i="1"/>
  <c r="X375" i="1"/>
  <c r="U376" i="1"/>
  <c r="X376" i="1"/>
  <c r="U389" i="1"/>
  <c r="X389" i="1"/>
  <c r="U411" i="1"/>
  <c r="X411" i="1"/>
  <c r="V429" i="1"/>
  <c r="X429" i="1"/>
  <c r="U438" i="1"/>
  <c r="X438" i="1"/>
  <c r="V443" i="1"/>
  <c r="X443" i="1"/>
  <c r="U459" i="1"/>
  <c r="X459" i="1"/>
  <c r="V463" i="1"/>
  <c r="X463" i="1"/>
  <c r="U465" i="1"/>
  <c r="X465" i="1"/>
  <c r="AA497" i="1"/>
  <c r="X497" i="1"/>
  <c r="V504" i="1"/>
  <c r="X504" i="1"/>
  <c r="W531" i="1"/>
  <c r="X531" i="1"/>
  <c r="W537" i="1"/>
  <c r="X537" i="1"/>
  <c r="V546" i="1"/>
  <c r="X546" i="1"/>
  <c r="AA571" i="1"/>
  <c r="X571" i="1"/>
  <c r="V581" i="1"/>
  <c r="X581" i="1"/>
  <c r="U582" i="1"/>
  <c r="X582" i="1"/>
  <c r="W591" i="1"/>
  <c r="X591" i="1"/>
  <c r="U594" i="1"/>
  <c r="X594" i="1"/>
  <c r="AA596" i="1"/>
  <c r="X596" i="1"/>
  <c r="W598" i="1"/>
  <c r="X598" i="1"/>
  <c r="W601" i="1"/>
  <c r="X601" i="1"/>
  <c r="W602" i="1"/>
  <c r="X602" i="1"/>
  <c r="W608" i="1"/>
  <c r="X608" i="1"/>
  <c r="U610" i="1"/>
  <c r="X610" i="1"/>
  <c r="U619" i="1"/>
  <c r="X619" i="1"/>
  <c r="W631" i="1"/>
  <c r="X631" i="1"/>
  <c r="W643" i="1"/>
  <c r="X643" i="1"/>
  <c r="U65" i="1"/>
  <c r="X65" i="1"/>
  <c r="W684" i="1"/>
  <c r="X684" i="1"/>
  <c r="W685" i="1"/>
  <c r="X685" i="1"/>
  <c r="W701" i="1"/>
  <c r="X701" i="1"/>
  <c r="W709" i="1"/>
  <c r="X709" i="1"/>
  <c r="W712" i="1"/>
  <c r="X712" i="1"/>
  <c r="V715" i="1"/>
  <c r="X715" i="1"/>
  <c r="AA725" i="1"/>
  <c r="X725" i="1"/>
  <c r="U728" i="1"/>
  <c r="X728" i="1"/>
  <c r="V730" i="1"/>
  <c r="X730" i="1"/>
  <c r="V733" i="1"/>
  <c r="X733" i="1"/>
  <c r="U697" i="1"/>
  <c r="X697" i="1"/>
  <c r="V696" i="1"/>
  <c r="X696" i="1"/>
  <c r="U693" i="1"/>
  <c r="X693" i="1"/>
  <c r="U627" i="1"/>
  <c r="X627" i="1"/>
  <c r="U410" i="1"/>
  <c r="X410" i="1"/>
  <c r="W164" i="1"/>
  <c r="X164" i="1"/>
  <c r="W139" i="1"/>
  <c r="W160" i="1"/>
  <c r="V199" i="1"/>
  <c r="V201" i="1"/>
  <c r="V447" i="1"/>
  <c r="W627" i="1"/>
  <c r="AA92" i="1"/>
  <c r="J64" i="1"/>
  <c r="AA705" i="1"/>
  <c r="AA537" i="1"/>
  <c r="AA293" i="1"/>
  <c r="V166" i="1"/>
  <c r="V211" i="1"/>
  <c r="V297" i="1"/>
  <c r="V438" i="1"/>
  <c r="V459" i="1"/>
  <c r="AA526" i="1"/>
  <c r="Z603" i="1"/>
  <c r="AA619" i="1"/>
  <c r="V202" i="1"/>
  <c r="V236" i="1"/>
  <c r="V274" i="1"/>
  <c r="V482" i="1"/>
  <c r="AA310" i="1"/>
  <c r="AA284" i="1"/>
  <c r="AA236" i="1"/>
  <c r="AA129" i="1"/>
  <c r="V170" i="1"/>
  <c r="V209" i="1"/>
  <c r="V213" i="1"/>
  <c r="V239" i="1"/>
  <c r="V247" i="1"/>
  <c r="V302" i="1"/>
  <c r="V310" i="1"/>
  <c r="V315" i="1"/>
  <c r="V444" i="1"/>
  <c r="W339" i="1"/>
  <c r="W170" i="1"/>
  <c r="W166" i="1"/>
  <c r="W202" i="1"/>
  <c r="W209" i="1"/>
  <c r="W211" i="1"/>
  <c r="W213" i="1"/>
  <c r="W236" i="1"/>
  <c r="W239" i="1"/>
  <c r="W242" i="1"/>
  <c r="W247" i="1"/>
  <c r="W274" i="1"/>
  <c r="W310" i="1"/>
  <c r="W315" i="1"/>
  <c r="W444" i="1"/>
  <c r="W447" i="1"/>
  <c r="V710" i="1"/>
  <c r="U4" i="1"/>
  <c r="W19" i="1"/>
  <c r="U19" i="1"/>
  <c r="W26" i="1"/>
  <c r="U26" i="1"/>
  <c r="W35" i="1"/>
  <c r="U35" i="1"/>
  <c r="V38" i="1"/>
  <c r="U38" i="1"/>
  <c r="V48" i="1"/>
  <c r="U48" i="1"/>
  <c r="W60" i="1"/>
  <c r="U60" i="1"/>
  <c r="V69" i="1"/>
  <c r="U69" i="1"/>
  <c r="V71" i="1"/>
  <c r="U71" i="1"/>
  <c r="V75" i="1"/>
  <c r="U75" i="1"/>
  <c r="V111" i="1"/>
  <c r="U111" i="1"/>
  <c r="V120" i="1"/>
  <c r="U120" i="1"/>
  <c r="V127" i="1"/>
  <c r="U127" i="1"/>
  <c r="V129" i="1"/>
  <c r="U129" i="1"/>
  <c r="V131" i="1"/>
  <c r="U131" i="1"/>
  <c r="V132" i="1"/>
  <c r="U132" i="1"/>
  <c r="V135" i="1"/>
  <c r="U135" i="1"/>
  <c r="V163" i="1"/>
  <c r="U163" i="1"/>
  <c r="V164" i="1"/>
  <c r="U164" i="1"/>
  <c r="V165" i="1"/>
  <c r="U165" i="1"/>
  <c r="V179" i="1"/>
  <c r="U179" i="1"/>
  <c r="V181" i="1"/>
  <c r="U181" i="1"/>
  <c r="V183" i="1"/>
  <c r="U183" i="1"/>
  <c r="V184" i="1"/>
  <c r="U184" i="1"/>
  <c r="V187" i="1"/>
  <c r="U187" i="1"/>
  <c r="V188" i="1"/>
  <c r="U188" i="1"/>
  <c r="V193" i="1"/>
  <c r="U193" i="1"/>
  <c r="V197" i="1"/>
  <c r="U197" i="1"/>
  <c r="V198" i="1"/>
  <c r="U198" i="1"/>
  <c r="V200" i="1"/>
  <c r="U200" i="1"/>
  <c r="W284" i="1"/>
  <c r="U284" i="1"/>
  <c r="W288" i="1"/>
  <c r="U288" i="1"/>
  <c r="W293" i="1"/>
  <c r="U293" i="1"/>
  <c r="W250" i="1"/>
  <c r="U250" i="1"/>
  <c r="W526" i="1"/>
  <c r="U526" i="1"/>
  <c r="V15" i="1"/>
  <c r="U15" i="1"/>
  <c r="W20" i="1"/>
  <c r="U20" i="1"/>
  <c r="W21" i="1"/>
  <c r="U21" i="1"/>
  <c r="V29" i="1"/>
  <c r="U29" i="1"/>
  <c r="V40" i="1"/>
  <c r="U40" i="1"/>
  <c r="AA37" i="1"/>
  <c r="U37" i="1"/>
  <c r="W41" i="1"/>
  <c r="U41" i="1"/>
  <c r="W46" i="1"/>
  <c r="U46" i="1"/>
  <c r="V47" i="1"/>
  <c r="U47" i="1"/>
  <c r="W49" i="1"/>
  <c r="U49" i="1"/>
  <c r="W53" i="1"/>
  <c r="U53" i="1"/>
  <c r="AA56" i="1"/>
  <c r="U56" i="1"/>
  <c r="W70" i="1"/>
  <c r="U70" i="1"/>
  <c r="AA304" i="1"/>
  <c r="U304" i="1"/>
  <c r="W353" i="1"/>
  <c r="U353" i="1"/>
  <c r="V371" i="1"/>
  <c r="U371" i="1"/>
  <c r="V390" i="1"/>
  <c r="U390" i="1"/>
  <c r="V393" i="1"/>
  <c r="U393" i="1"/>
  <c r="W405" i="1"/>
  <c r="U405" i="1"/>
  <c r="V413" i="1"/>
  <c r="U413" i="1"/>
  <c r="W414" i="1"/>
  <c r="U414" i="1"/>
  <c r="W416" i="1"/>
  <c r="U416" i="1"/>
  <c r="W418" i="1"/>
  <c r="U418" i="1"/>
  <c r="W429" i="1"/>
  <c r="U429" i="1"/>
  <c r="W433" i="1"/>
  <c r="U433" i="1"/>
  <c r="W441" i="1"/>
  <c r="U441" i="1"/>
  <c r="W443" i="1"/>
  <c r="U443" i="1"/>
  <c r="W445" i="1"/>
  <c r="U445" i="1"/>
  <c r="W450" i="1"/>
  <c r="U450" i="1"/>
  <c r="W461" i="1"/>
  <c r="U461" i="1"/>
  <c r="W463" i="1"/>
  <c r="U463" i="1"/>
  <c r="W479" i="1"/>
  <c r="U479" i="1"/>
  <c r="W483" i="1"/>
  <c r="U483" i="1"/>
  <c r="W494" i="1"/>
  <c r="U494" i="1"/>
  <c r="W509" i="1"/>
  <c r="U509" i="1"/>
  <c r="W513" i="1"/>
  <c r="U513" i="1"/>
  <c r="V531" i="1"/>
  <c r="U531" i="1"/>
  <c r="V535" i="1"/>
  <c r="U535" i="1"/>
  <c r="V537" i="1"/>
  <c r="U537" i="1"/>
  <c r="V539" i="1"/>
  <c r="U539" i="1"/>
  <c r="W546" i="1"/>
  <c r="U546" i="1"/>
  <c r="W552" i="1"/>
  <c r="U552" i="1"/>
  <c r="W559" i="1"/>
  <c r="U559" i="1"/>
  <c r="V565" i="1"/>
  <c r="U565" i="1"/>
  <c r="W567" i="1"/>
  <c r="U567" i="1"/>
  <c r="W571" i="1"/>
  <c r="U571" i="1"/>
  <c r="W578" i="1"/>
  <c r="U578" i="1"/>
  <c r="W581" i="1"/>
  <c r="U581" i="1"/>
  <c r="V589" i="1"/>
  <c r="U589" i="1"/>
  <c r="V595" i="1"/>
  <c r="U595" i="1"/>
  <c r="V599" i="1"/>
  <c r="U599" i="1"/>
  <c r="V603" i="1"/>
  <c r="U603" i="1"/>
  <c r="W605" i="1"/>
  <c r="U605" i="1"/>
  <c r="V612" i="1"/>
  <c r="U612" i="1"/>
  <c r="W613" i="1"/>
  <c r="U613" i="1"/>
  <c r="W614" i="1"/>
  <c r="U614" i="1"/>
  <c r="W617" i="1"/>
  <c r="U617" i="1"/>
  <c r="V631" i="1"/>
  <c r="U631" i="1"/>
  <c r="V634" i="1"/>
  <c r="U634" i="1"/>
  <c r="V643" i="1"/>
  <c r="U643" i="1"/>
  <c r="W665" i="1"/>
  <c r="U665" i="1"/>
  <c r="W666" i="1"/>
  <c r="U666" i="1"/>
  <c r="V695" i="1"/>
  <c r="U695" i="1"/>
  <c r="V699" i="1"/>
  <c r="U699" i="1"/>
  <c r="V701" i="1"/>
  <c r="U701" i="1"/>
  <c r="V705" i="1"/>
  <c r="U705" i="1"/>
  <c r="V706" i="1"/>
  <c r="U706" i="1"/>
  <c r="V709" i="1"/>
  <c r="U709" i="1"/>
  <c r="V712" i="1"/>
  <c r="U712" i="1"/>
  <c r="V713" i="1"/>
  <c r="U713" i="1"/>
  <c r="W715" i="1"/>
  <c r="U715" i="1"/>
  <c r="V719" i="1"/>
  <c r="U719" i="1"/>
  <c r="W721" i="1"/>
  <c r="U721" i="1"/>
  <c r="W725" i="1"/>
  <c r="U725" i="1"/>
  <c r="V729" i="1"/>
  <c r="U729" i="1"/>
  <c r="W730" i="1"/>
  <c r="U730" i="1"/>
  <c r="W731" i="1"/>
  <c r="U731" i="1"/>
  <c r="W733" i="1"/>
  <c r="U733" i="1"/>
  <c r="W736" i="1"/>
  <c r="U736" i="1"/>
  <c r="V740" i="1"/>
  <c r="U740" i="1"/>
  <c r="W93" i="1"/>
  <c r="U93" i="1"/>
  <c r="W94" i="1"/>
  <c r="U94" i="1"/>
  <c r="V109" i="1"/>
  <c r="U109" i="1"/>
  <c r="V118" i="1"/>
  <c r="U118" i="1"/>
  <c r="V123" i="1"/>
  <c r="U123" i="1"/>
  <c r="V128" i="1"/>
  <c r="U128" i="1"/>
  <c r="V130" i="1"/>
  <c r="U130" i="1"/>
  <c r="V133" i="1"/>
  <c r="U133" i="1"/>
  <c r="W158" i="1"/>
  <c r="U158" i="1"/>
  <c r="W178" i="1"/>
  <c r="U178" i="1"/>
  <c r="V210" i="1"/>
  <c r="U210" i="1"/>
  <c r="V212" i="1"/>
  <c r="U212" i="1"/>
  <c r="V214" i="1"/>
  <c r="U214" i="1"/>
  <c r="V238" i="1"/>
  <c r="U238" i="1"/>
  <c r="V243" i="1"/>
  <c r="U243" i="1"/>
  <c r="V248" i="1"/>
  <c r="U248" i="1"/>
  <c r="V276" i="1"/>
  <c r="U276" i="1"/>
  <c r="V249" i="1"/>
  <c r="U249" i="1"/>
  <c r="V300" i="1"/>
  <c r="U300" i="1"/>
  <c r="V305" i="1"/>
  <c r="U305" i="1"/>
  <c r="V316" i="1"/>
  <c r="U316" i="1"/>
  <c r="V320" i="1"/>
  <c r="U320" i="1"/>
  <c r="V328" i="1"/>
  <c r="U328" i="1"/>
  <c r="W331" i="1"/>
  <c r="U331" i="1"/>
  <c r="V336" i="1"/>
  <c r="U336" i="1"/>
  <c r="V339" i="1"/>
  <c r="U339" i="1"/>
  <c r="V362" i="1"/>
  <c r="U362" i="1"/>
  <c r="V364" i="1"/>
  <c r="U364" i="1"/>
  <c r="V366" i="1"/>
  <c r="U366" i="1"/>
  <c r="V368" i="1"/>
  <c r="U368" i="1"/>
  <c r="V370" i="1"/>
  <c r="U370" i="1"/>
  <c r="V372" i="1"/>
  <c r="U372" i="1"/>
  <c r="W392" i="1"/>
  <c r="U392" i="1"/>
  <c r="V400" i="1"/>
  <c r="U400" i="1"/>
  <c r="V402" i="1"/>
  <c r="U402" i="1"/>
  <c r="AA406" i="1"/>
  <c r="U406" i="1"/>
  <c r="AA408" i="1"/>
  <c r="U408" i="1"/>
  <c r="W415" i="1"/>
  <c r="U415" i="1"/>
  <c r="W417" i="1"/>
  <c r="U417" i="1"/>
  <c r="W419" i="1"/>
  <c r="U419" i="1"/>
  <c r="W428" i="1"/>
  <c r="U428" i="1"/>
  <c r="W432" i="1"/>
  <c r="U432" i="1"/>
  <c r="V440" i="1"/>
  <c r="U440" i="1"/>
  <c r="AA442" i="1"/>
  <c r="U442" i="1"/>
  <c r="V449" i="1"/>
  <c r="U449" i="1"/>
  <c r="W457" i="1"/>
  <c r="U457" i="1"/>
  <c r="V464" i="1"/>
  <c r="U464" i="1"/>
  <c r="W475" i="1"/>
  <c r="U475" i="1"/>
  <c r="W484" i="1"/>
  <c r="U484" i="1"/>
  <c r="W497" i="1"/>
  <c r="U497" i="1"/>
  <c r="W504" i="1"/>
  <c r="U504" i="1"/>
  <c r="W505" i="1"/>
  <c r="U505" i="1"/>
  <c r="W510" i="1"/>
  <c r="U510" i="1"/>
  <c r="W514" i="1"/>
  <c r="U514" i="1"/>
  <c r="V529" i="1"/>
  <c r="U529" i="1"/>
  <c r="V538" i="1"/>
  <c r="U538" i="1"/>
  <c r="V560" i="1"/>
  <c r="U560" i="1"/>
  <c r="W562" i="1"/>
  <c r="U562" i="1"/>
  <c r="W564" i="1"/>
  <c r="U564" i="1"/>
  <c r="V566" i="1"/>
  <c r="U566" i="1"/>
  <c r="W572" i="1"/>
  <c r="U572" i="1"/>
  <c r="V591" i="1"/>
  <c r="U591" i="1"/>
  <c r="V596" i="1"/>
  <c r="U596" i="1"/>
  <c r="V598" i="1"/>
  <c r="U598" i="1"/>
  <c r="V601" i="1"/>
  <c r="U601" i="1"/>
  <c r="V608" i="1"/>
  <c r="U608" i="1"/>
  <c r="V609" i="1"/>
  <c r="U609" i="1"/>
  <c r="W611" i="1"/>
  <c r="U611" i="1"/>
  <c r="W618" i="1"/>
  <c r="U618" i="1"/>
  <c r="V620" i="1"/>
  <c r="U620" i="1"/>
  <c r="V635" i="1"/>
  <c r="U635" i="1"/>
  <c r="W637" i="1"/>
  <c r="U637" i="1"/>
  <c r="W639" i="1"/>
  <c r="U639" i="1"/>
  <c r="V660" i="1"/>
  <c r="U660" i="1"/>
  <c r="W664" i="1"/>
  <c r="U664" i="1"/>
  <c r="V684" i="1"/>
  <c r="U684" i="1"/>
  <c r="V685" i="1"/>
  <c r="U685" i="1"/>
  <c r="W694" i="1"/>
  <c r="U694" i="1"/>
  <c r="W696" i="1"/>
  <c r="U696" i="1"/>
  <c r="W698" i="1"/>
  <c r="U698" i="1"/>
  <c r="W700" i="1"/>
  <c r="U700" i="1"/>
  <c r="W703" i="1"/>
  <c r="U703" i="1"/>
  <c r="V704" i="1"/>
  <c r="U704" i="1"/>
  <c r="W708" i="1"/>
  <c r="U708" i="1"/>
  <c r="W710" i="1"/>
  <c r="U710" i="1"/>
  <c r="W711" i="1"/>
  <c r="U711" i="1"/>
  <c r="W714" i="1"/>
  <c r="U714" i="1"/>
  <c r="V716" i="1"/>
  <c r="U716" i="1"/>
  <c r="V717" i="1"/>
  <c r="U717" i="1"/>
  <c r="V720" i="1"/>
  <c r="U720" i="1"/>
  <c r="V723" i="1"/>
  <c r="U723" i="1"/>
  <c r="W726" i="1"/>
  <c r="U726" i="1"/>
  <c r="V732" i="1"/>
  <c r="U732" i="1"/>
  <c r="V734" i="1"/>
  <c r="U734" i="1"/>
  <c r="W739" i="1"/>
  <c r="U739" i="1"/>
  <c r="V741" i="1"/>
  <c r="U741" i="1"/>
  <c r="W663" i="1"/>
  <c r="U663" i="1"/>
  <c r="V573" i="1"/>
  <c r="U573" i="1"/>
  <c r="V42" i="1"/>
  <c r="U42" i="1"/>
  <c r="V168" i="1"/>
  <c r="U168" i="1"/>
  <c r="W167" i="1"/>
  <c r="U167" i="1"/>
  <c r="W551" i="1"/>
  <c r="U551" i="1"/>
  <c r="V602" i="1"/>
  <c r="U602" i="1"/>
  <c r="V737" i="1"/>
  <c r="U737" i="1"/>
  <c r="V607" i="1"/>
  <c r="U607" i="1"/>
  <c r="V597" i="1"/>
  <c r="U597" i="1"/>
  <c r="V303" i="1"/>
  <c r="U303" i="1"/>
  <c r="W76" i="1"/>
  <c r="U76" i="1"/>
  <c r="V85" i="1"/>
  <c r="U85" i="1"/>
  <c r="W517" i="1"/>
  <c r="U517" i="1"/>
  <c r="W98" i="1"/>
  <c r="U98" i="1"/>
  <c r="W659" i="1"/>
  <c r="U659" i="1"/>
  <c r="V41" i="1"/>
  <c r="AA737" i="1"/>
  <c r="AA552" i="1"/>
  <c r="AA416" i="1"/>
  <c r="AA300" i="1"/>
  <c r="AA60" i="1"/>
  <c r="AA366" i="1"/>
  <c r="AA463" i="1"/>
  <c r="AA433" i="1"/>
  <c r="AA238" i="1"/>
  <c r="W71" i="1"/>
  <c r="W127" i="1"/>
  <c r="W131" i="1"/>
  <c r="W163" i="1"/>
  <c r="W181" i="1"/>
  <c r="W184" i="1"/>
  <c r="W193" i="1"/>
  <c r="V441" i="1"/>
  <c r="V479" i="1"/>
  <c r="V509" i="1"/>
  <c r="V513" i="1"/>
  <c r="V559" i="1"/>
  <c r="W565" i="1"/>
  <c r="W595" i="1"/>
  <c r="W599" i="1"/>
  <c r="V614" i="1"/>
  <c r="W168" i="1"/>
  <c r="W212" i="1"/>
  <c r="W243" i="1"/>
  <c r="W300" i="1"/>
  <c r="W303" i="1"/>
  <c r="W316" i="1"/>
  <c r="W364" i="1"/>
  <c r="W372" i="1"/>
  <c r="V405" i="1"/>
  <c r="W413" i="1"/>
  <c r="V461" i="1"/>
  <c r="W535" i="1"/>
  <c r="V567" i="1"/>
  <c r="V571" i="1"/>
  <c r="W603" i="1"/>
  <c r="V617" i="1"/>
  <c r="W634" i="1"/>
  <c r="W717" i="1"/>
  <c r="W720" i="1"/>
  <c r="W734" i="1"/>
  <c r="V665" i="1"/>
  <c r="V694" i="1"/>
  <c r="V698" i="1"/>
  <c r="V700" i="1"/>
  <c r="V708" i="1"/>
  <c r="V711" i="1"/>
  <c r="V714" i="1"/>
  <c r="V4" i="1"/>
  <c r="AA617" i="1"/>
  <c r="W612" i="1"/>
  <c r="W38" i="1"/>
  <c r="AA316" i="1"/>
  <c r="AA94" i="1"/>
  <c r="W56" i="1"/>
  <c r="W130" i="1"/>
  <c r="N169" i="1"/>
  <c r="X169" i="1" s="1"/>
  <c r="R169" i="1"/>
  <c r="P772" i="1"/>
  <c r="R2" i="1"/>
  <c r="AA46" i="1"/>
  <c r="V46" i="1"/>
  <c r="W716" i="1"/>
  <c r="W465" i="1"/>
  <c r="V465" i="1"/>
  <c r="V93" i="1"/>
  <c r="W128" i="1"/>
  <c r="V167" i="1"/>
  <c r="V353" i="1"/>
  <c r="V288" i="1"/>
  <c r="W371" i="1"/>
  <c r="V26" i="1"/>
  <c r="V250" i="1"/>
  <c r="W449" i="1"/>
  <c r="W410" i="1"/>
  <c r="V410" i="1"/>
  <c r="AA482" i="1"/>
  <c r="W482" i="1"/>
  <c r="W619" i="1"/>
  <c r="V619" i="1"/>
  <c r="AA704" i="1"/>
  <c r="W704" i="1"/>
  <c r="AA444" i="1"/>
  <c r="AA166" i="1"/>
  <c r="AA708" i="1"/>
  <c r="AA605" i="1"/>
  <c r="AA709" i="1"/>
  <c r="AA249" i="1"/>
  <c r="AA71" i="1"/>
  <c r="AA21" i="1"/>
  <c r="AA370" i="1"/>
  <c r="AA475" i="1"/>
  <c r="AA441" i="1"/>
  <c r="AA535" i="1"/>
  <c r="AA212" i="1"/>
  <c r="AA243" i="1"/>
  <c r="AA193" i="1"/>
  <c r="AA132" i="1"/>
  <c r="AA127" i="1"/>
  <c r="V37" i="1"/>
  <c r="V406" i="1"/>
  <c r="V408" i="1"/>
  <c r="W620" i="1"/>
  <c r="W635" i="1"/>
  <c r="V20" i="1"/>
  <c r="V53" i="1"/>
  <c r="V60" i="1"/>
  <c r="V98" i="1"/>
  <c r="W120" i="1"/>
  <c r="W165" i="1"/>
  <c r="W188" i="1"/>
  <c r="W200" i="1"/>
  <c r="W210" i="1"/>
  <c r="W214" i="1"/>
  <c r="W248" i="1"/>
  <c r="W249" i="1"/>
  <c r="W305" i="1"/>
  <c r="W336" i="1"/>
  <c r="W362" i="1"/>
  <c r="W366" i="1"/>
  <c r="W370" i="1"/>
  <c r="W393" i="1"/>
  <c r="V415" i="1"/>
  <c r="V419" i="1"/>
  <c r="V428" i="1"/>
  <c r="V432" i="1"/>
  <c r="V445" i="1"/>
  <c r="V483" i="1"/>
  <c r="W560" i="1"/>
  <c r="W596" i="1"/>
  <c r="W607" i="1"/>
  <c r="W609" i="1"/>
  <c r="V637" i="1"/>
  <c r="V659" i="1"/>
  <c r="W695" i="1"/>
  <c r="W699" i="1"/>
  <c r="W706" i="1"/>
  <c r="W713" i="1"/>
  <c r="W729" i="1"/>
  <c r="W719" i="1"/>
  <c r="V725" i="1"/>
  <c r="V731" i="1"/>
  <c r="V736" i="1"/>
  <c r="W740" i="1"/>
  <c r="AA7" i="1"/>
  <c r="AA736" i="1"/>
  <c r="AA731" i="1"/>
  <c r="AA393" i="1"/>
  <c r="W29" i="1"/>
  <c r="W111" i="1"/>
  <c r="AA47" i="1"/>
  <c r="W47" i="1"/>
  <c r="AA69" i="1"/>
  <c r="W69" i="1"/>
  <c r="W92" i="1"/>
  <c r="V92" i="1"/>
  <c r="V411" i="1"/>
  <c r="W411" i="1"/>
  <c r="AA627" i="1"/>
  <c r="V627" i="1"/>
  <c r="AA65" i="1"/>
  <c r="V65" i="1"/>
  <c r="V693" i="1"/>
  <c r="W693" i="1"/>
  <c r="V697" i="1"/>
  <c r="W697" i="1"/>
  <c r="AA694" i="1"/>
  <c r="Z429" i="1"/>
  <c r="Z701" i="1"/>
  <c r="AA197" i="1"/>
  <c r="Z362" i="1"/>
  <c r="AA181" i="1"/>
  <c r="Z483" i="1"/>
  <c r="Z551" i="1"/>
  <c r="AA591" i="1"/>
  <c r="AA418" i="1"/>
  <c r="AA414" i="1"/>
  <c r="Z698" i="1"/>
  <c r="Z445" i="1"/>
  <c r="AA598" i="1"/>
  <c r="AA562" i="1"/>
  <c r="AA565" i="1"/>
  <c r="AA514" i="1"/>
  <c r="Z611" i="1"/>
  <c r="W171" i="1"/>
  <c r="V171" i="1"/>
  <c r="Z737" i="1"/>
  <c r="Z734" i="1"/>
  <c r="AA740" i="1"/>
  <c r="Z719" i="1"/>
  <c r="Z717" i="1"/>
  <c r="AA639" i="1"/>
  <c r="AA559" i="1"/>
  <c r="Z60" i="1"/>
  <c r="AA741" i="1"/>
  <c r="Z659" i="1"/>
  <c r="Z440" i="1"/>
  <c r="AA618" i="1"/>
  <c r="Z510" i="1"/>
  <c r="AA432" i="1"/>
  <c r="Z443" i="1"/>
  <c r="AA276" i="1"/>
  <c r="Z531" i="1"/>
  <c r="Z610" i="1"/>
  <c r="AA620" i="1"/>
  <c r="Z664" i="1"/>
  <c r="AA214" i="1"/>
  <c r="AA248" i="1"/>
  <c r="Z188" i="1"/>
  <c r="Z201" i="1"/>
  <c r="AA171" i="1"/>
  <c r="Z132" i="1"/>
  <c r="Z129" i="1"/>
  <c r="Z127" i="1"/>
  <c r="AA120" i="1"/>
  <c r="Z94" i="1"/>
  <c r="AA93" i="1"/>
  <c r="AA98" i="1"/>
  <c r="O530" i="1"/>
  <c r="P169" i="1"/>
  <c r="T169" i="1"/>
  <c r="Z457" i="1"/>
  <c r="AA457" i="1"/>
  <c r="Z605" i="1"/>
  <c r="Z725" i="1"/>
  <c r="AA695" i="1"/>
  <c r="AA719" i="1"/>
  <c r="AA711" i="1"/>
  <c r="AA717" i="1"/>
  <c r="AA666" i="1"/>
  <c r="Z613" i="1"/>
  <c r="Z639" i="1"/>
  <c r="Z591" i="1"/>
  <c r="Z596" i="1"/>
  <c r="Z559" i="1"/>
  <c r="AA538" i="1"/>
  <c r="AA505" i="1"/>
  <c r="Z418" i="1"/>
  <c r="Z416" i="1"/>
  <c r="Z414" i="1"/>
  <c r="AA363" i="1"/>
  <c r="Z300" i="1"/>
  <c r="Z249" i="1"/>
  <c r="Z288" i="1"/>
  <c r="Z718" i="1"/>
  <c r="Z370" i="1"/>
  <c r="Z366" i="1"/>
  <c r="AA303" i="1"/>
  <c r="AA602" i="1"/>
  <c r="AA510" i="1"/>
  <c r="AA305" i="1"/>
  <c r="Z293" i="1"/>
  <c r="AA338" i="1"/>
  <c r="Z740" i="1"/>
  <c r="AA564" i="1"/>
  <c r="Z392" i="1"/>
  <c r="Z643" i="1"/>
  <c r="Z284" i="1"/>
  <c r="Z410" i="1"/>
  <c r="Z514" i="1"/>
  <c r="AA200" i="1"/>
  <c r="AA211" i="1"/>
  <c r="AA242" i="1"/>
  <c r="AA163" i="1"/>
  <c r="AA179" i="1"/>
  <c r="Z166" i="1"/>
  <c r="Z171" i="1"/>
  <c r="Z157" i="1"/>
  <c r="Z149" i="1"/>
  <c r="AA368" i="1"/>
  <c r="Z368" i="1"/>
  <c r="T173" i="1"/>
  <c r="AA696" i="1"/>
  <c r="AA410" i="1"/>
  <c r="Z98" i="1"/>
  <c r="AA331" i="1"/>
  <c r="Z709" i="1"/>
  <c r="Z705" i="1"/>
  <c r="AA684" i="1"/>
  <c r="AA613" i="1"/>
  <c r="AA611" i="1"/>
  <c r="AA603" i="1"/>
  <c r="Z552" i="1"/>
  <c r="AA465" i="1"/>
  <c r="Z339" i="1"/>
  <c r="AA40" i="1"/>
  <c r="Z696" i="1"/>
  <c r="Z706" i="1"/>
  <c r="AA699" i="1"/>
  <c r="AA659" i="1"/>
  <c r="AA445" i="1"/>
  <c r="AA440" i="1"/>
  <c r="AA42" i="1"/>
  <c r="AA35" i="1"/>
  <c r="Z537" i="1"/>
  <c r="Z497" i="1"/>
  <c r="Z463" i="1"/>
  <c r="Z432" i="1"/>
  <c r="AA443" i="1"/>
  <c r="Z321" i="1"/>
  <c r="Z276" i="1"/>
  <c r="Z589" i="1"/>
  <c r="AA48" i="1"/>
  <c r="AA714" i="1"/>
  <c r="AA531" i="1"/>
  <c r="AA720" i="1"/>
  <c r="Z4" i="1"/>
  <c r="AA461" i="1"/>
  <c r="Z562" i="1"/>
  <c r="Z405" i="1"/>
  <c r="Z535" i="1"/>
  <c r="Z565" i="1"/>
  <c r="Z212" i="1"/>
  <c r="Z214" i="1"/>
  <c r="Z238" i="1"/>
  <c r="Z243" i="1"/>
  <c r="Z248" i="1"/>
  <c r="AA188" i="1"/>
  <c r="AA199" i="1"/>
  <c r="AA201" i="1"/>
  <c r="Z169" i="1"/>
  <c r="AA158" i="1"/>
  <c r="Z154" i="1"/>
  <c r="Z159" i="1"/>
  <c r="Z155" i="1"/>
  <c r="Z150" i="1"/>
  <c r="Z147" i="1"/>
  <c r="Z145" i="1"/>
  <c r="Z76" i="1"/>
  <c r="AA575" i="1"/>
  <c r="Z328" i="1"/>
  <c r="Z389" i="1"/>
  <c r="AA697" i="1"/>
  <c r="Z697" i="1"/>
  <c r="Z428" i="1"/>
  <c r="AA428" i="1"/>
  <c r="Z475" i="1"/>
  <c r="AA723" i="1"/>
  <c r="AA716" i="1"/>
  <c r="Z710" i="1"/>
  <c r="Z708" i="1"/>
  <c r="Z704" i="1"/>
  <c r="AA703" i="1"/>
  <c r="AA517" i="1"/>
  <c r="AA513" i="1"/>
  <c r="AA509" i="1"/>
  <c r="Z482" i="1"/>
  <c r="Z406" i="1"/>
  <c r="AA402" i="1"/>
  <c r="Z353" i="1"/>
  <c r="AA274" i="1"/>
  <c r="AA247" i="1"/>
  <c r="AA239" i="1"/>
  <c r="AA213" i="1"/>
  <c r="AA209" i="1"/>
  <c r="AA198" i="1"/>
  <c r="Z47" i="1"/>
  <c r="Z46" i="1"/>
  <c r="AA41" i="1"/>
  <c r="Z148" i="1"/>
  <c r="Z144" i="1"/>
  <c r="Z193" i="1"/>
  <c r="Z526" i="1"/>
  <c r="AA15" i="1"/>
  <c r="AA739" i="1"/>
  <c r="Z736" i="1"/>
  <c r="Z731" i="1"/>
  <c r="AA700" i="1"/>
  <c r="Z65" i="1"/>
  <c r="Z627" i="1"/>
  <c r="Z619" i="1"/>
  <c r="Z617" i="1"/>
  <c r="AA614" i="1"/>
  <c r="AA609" i="1"/>
  <c r="Z608" i="1"/>
  <c r="AA597" i="1"/>
  <c r="AA595" i="1"/>
  <c r="Z571" i="1"/>
  <c r="AA567" i="1"/>
  <c r="AA546" i="1"/>
  <c r="AA539" i="1"/>
  <c r="AA529" i="1"/>
  <c r="AA494" i="1"/>
  <c r="AA464" i="1"/>
  <c r="Z444" i="1"/>
  <c r="Z442" i="1"/>
  <c r="Z441" i="1"/>
  <c r="AA438" i="1"/>
  <c r="Z433" i="1"/>
  <c r="AA419" i="1"/>
  <c r="AA417" i="1"/>
  <c r="AA415" i="1"/>
  <c r="AA413" i="1"/>
  <c r="Z408" i="1"/>
  <c r="Z393" i="1"/>
  <c r="AA390" i="1"/>
  <c r="AA375" i="1"/>
  <c r="AA373" i="1"/>
  <c r="Z372" i="1"/>
  <c r="AA372" i="1"/>
  <c r="AA371" i="1"/>
  <c r="AA367" i="1"/>
  <c r="AA364" i="1"/>
  <c r="Z316" i="1"/>
  <c r="Z310" i="1"/>
  <c r="Z304" i="1"/>
  <c r="Z302" i="1"/>
  <c r="AA297" i="1"/>
  <c r="Z286" i="1"/>
  <c r="AA178" i="1"/>
  <c r="Z165" i="1"/>
  <c r="Z167" i="1"/>
  <c r="AA130" i="1"/>
  <c r="AA128" i="1"/>
  <c r="AA123" i="1"/>
  <c r="AA118" i="1"/>
  <c r="Z92" i="1"/>
  <c r="Z69" i="1"/>
  <c r="Z56" i="1"/>
  <c r="N314" i="1"/>
  <c r="X314" i="1" s="1"/>
  <c r="P573" i="1"/>
  <c r="T573" i="1"/>
  <c r="V582" i="1"/>
  <c r="W582" i="1"/>
  <c r="AA582" i="1"/>
  <c r="AA336" i="1"/>
  <c r="Z336" i="1"/>
  <c r="V145" i="1"/>
  <c r="W145" i="1"/>
  <c r="V147" i="1"/>
  <c r="W147" i="1"/>
  <c r="V149" i="1"/>
  <c r="W149" i="1"/>
  <c r="W153" i="1"/>
  <c r="V153" i="1"/>
  <c r="AA153" i="1"/>
  <c r="W155" i="1"/>
  <c r="AA155" i="1"/>
  <c r="V155" i="1"/>
  <c r="V321" i="1"/>
  <c r="AA321" i="1"/>
  <c r="W321" i="1"/>
  <c r="W727" i="1"/>
  <c r="V727" i="1"/>
  <c r="V64" i="1"/>
  <c r="W64" i="1"/>
  <c r="V144" i="1"/>
  <c r="AA144" i="1"/>
  <c r="W144" i="1"/>
  <c r="V146" i="1"/>
  <c r="W146" i="1"/>
  <c r="AA146" i="1"/>
  <c r="V148" i="1"/>
  <c r="AA148" i="1"/>
  <c r="W148" i="1"/>
  <c r="V150" i="1"/>
  <c r="W150" i="1"/>
  <c r="AA150" i="1"/>
  <c r="W151" i="1"/>
  <c r="V151" i="1"/>
  <c r="W154" i="1"/>
  <c r="V154" i="1"/>
  <c r="AA154" i="1"/>
  <c r="W286" i="1"/>
  <c r="AA286" i="1"/>
  <c r="V286" i="1"/>
  <c r="V355" i="1"/>
  <c r="AA355" i="1"/>
  <c r="W355" i="1"/>
  <c r="V610" i="1"/>
  <c r="W610" i="1"/>
  <c r="W728" i="1"/>
  <c r="V728" i="1"/>
  <c r="P173" i="1"/>
  <c r="O173" i="1"/>
  <c r="W157" i="1"/>
  <c r="V157" i="1"/>
  <c r="V718" i="1"/>
  <c r="W718" i="1"/>
  <c r="AA718" i="1"/>
  <c r="Z581" i="1"/>
  <c r="W156" i="1"/>
  <c r="V156" i="1"/>
  <c r="AA156" i="1"/>
  <c r="V683" i="1"/>
  <c r="W683" i="1"/>
  <c r="AA683" i="1"/>
  <c r="W159" i="1"/>
  <c r="AA159" i="1"/>
  <c r="V159" i="1"/>
  <c r="AA693" i="1"/>
  <c r="AA151" i="1"/>
  <c r="O159" i="1"/>
  <c r="Q159" i="1"/>
  <c r="S159" i="1"/>
  <c r="AA637" i="1"/>
  <c r="AA732" i="1"/>
  <c r="Z728" i="1"/>
  <c r="AA365" i="1"/>
  <c r="Z741" i="1"/>
  <c r="AA729" i="1"/>
  <c r="AA698" i="1"/>
  <c r="AA706" i="1"/>
  <c r="Z618" i="1"/>
  <c r="AA589" i="1"/>
  <c r="AA581" i="1"/>
  <c r="AA685" i="1"/>
  <c r="Z720" i="1"/>
  <c r="AA4" i="1"/>
  <c r="AA712" i="1"/>
  <c r="AA610" i="1"/>
  <c r="Z620" i="1"/>
  <c r="Z567" i="1"/>
  <c r="Z685" i="1"/>
  <c r="Z598" i="1"/>
  <c r="Z665" i="1"/>
  <c r="Z529" i="1"/>
  <c r="Z517" i="1"/>
  <c r="Z494" i="1"/>
  <c r="AA643" i="1"/>
  <c r="AA560" i="1"/>
  <c r="Z560" i="1"/>
  <c r="Z198" i="1"/>
  <c r="Z200" i="1"/>
  <c r="Z209" i="1"/>
  <c r="Z211" i="1"/>
  <c r="Z213" i="1"/>
  <c r="Z236" i="1"/>
  <c r="Z239" i="1"/>
  <c r="Z242" i="1"/>
  <c r="Z247" i="1"/>
  <c r="Z178" i="1"/>
  <c r="AA167" i="1"/>
  <c r="Z156" i="1"/>
  <c r="AA160" i="1"/>
  <c r="AA157" i="1"/>
  <c r="AA149" i="1"/>
  <c r="AA147" i="1"/>
  <c r="AA145" i="1"/>
  <c r="AA76" i="1"/>
  <c r="Z714" i="1"/>
  <c r="P530" i="1"/>
  <c r="T530" i="1"/>
  <c r="AA447" i="1"/>
  <c r="Z49" i="1"/>
  <c r="AA733" i="1"/>
  <c r="Z713" i="1"/>
  <c r="Z447" i="1"/>
  <c r="AA49" i="1"/>
  <c r="Z733" i="1"/>
  <c r="Z365" i="1"/>
  <c r="Z729" i="1"/>
  <c r="Z315" i="1"/>
  <c r="Z601" i="1"/>
  <c r="AA133" i="1"/>
  <c r="Z274" i="1"/>
  <c r="AA328" i="1"/>
  <c r="AA165" i="1"/>
  <c r="Z133" i="1"/>
  <c r="Z411" i="1"/>
  <c r="AA578" i="1"/>
  <c r="AA202" i="1"/>
  <c r="V389" i="1"/>
  <c r="W389" i="1"/>
  <c r="AA389" i="1"/>
  <c r="AA634" i="1"/>
  <c r="V13" i="1"/>
  <c r="W13" i="1"/>
  <c r="Z530" i="1"/>
  <c r="Z131" i="1"/>
  <c r="N173" i="1"/>
  <c r="X173" i="1" s="1"/>
  <c r="Q173" i="1"/>
  <c r="Z173" i="1"/>
  <c r="O663" i="1"/>
  <c r="Q663" i="1"/>
  <c r="Z732" i="1"/>
  <c r="Z693" i="1"/>
  <c r="Z721" i="1"/>
  <c r="Z634" i="1"/>
  <c r="AA75" i="1"/>
  <c r="Z575" i="1"/>
  <c r="AA38" i="1"/>
  <c r="W530" i="1"/>
  <c r="V530" i="1"/>
  <c r="Z170" i="1"/>
  <c r="AA13" i="1"/>
  <c r="AA713" i="1"/>
  <c r="Z53" i="1"/>
  <c r="AA726" i="1"/>
  <c r="AA727" i="1"/>
  <c r="Z75" i="1"/>
  <c r="Z202" i="1"/>
  <c r="Z250" i="1"/>
  <c r="Z479" i="1"/>
  <c r="AA479" i="1"/>
  <c r="AA730" i="1"/>
  <c r="AA85" i="1"/>
  <c r="Z85" i="1"/>
  <c r="AA607" i="1"/>
  <c r="Z607" i="1"/>
  <c r="W592" i="1"/>
  <c r="V592" i="1"/>
  <c r="AA170" i="1"/>
  <c r="Z578" i="1"/>
  <c r="W134" i="1"/>
  <c r="V134" i="1"/>
  <c r="W594" i="1"/>
  <c r="V594" i="1"/>
  <c r="Z715" i="1"/>
  <c r="AA70" i="1"/>
  <c r="Z70" i="1"/>
  <c r="AA320" i="1"/>
  <c r="Q314" i="1"/>
  <c r="P575" i="1"/>
  <c r="Q575" i="1"/>
  <c r="Z164" i="1"/>
  <c r="Z400" i="1"/>
  <c r="AA728" i="1"/>
  <c r="AA721" i="1"/>
  <c r="AA601" i="1"/>
  <c r="AA315" i="1"/>
  <c r="AA53" i="1"/>
  <c r="Z139" i="1"/>
  <c r="AA184" i="1"/>
  <c r="AA131" i="1"/>
  <c r="AA135" i="1"/>
  <c r="AA164" i="1"/>
  <c r="Z135" i="1"/>
  <c r="AA139" i="1"/>
  <c r="Z109" i="1"/>
  <c r="AA111" i="1"/>
  <c r="V663" i="1"/>
  <c r="AA573" i="1"/>
  <c r="Z573" i="1"/>
  <c r="AA187" i="1"/>
  <c r="Z187" i="1"/>
  <c r="Z730" i="1"/>
  <c r="Z727" i="1"/>
  <c r="AA530" i="1"/>
  <c r="AA599" i="1"/>
  <c r="Z599" i="1"/>
  <c r="Z726" i="1"/>
  <c r="AA109" i="1"/>
  <c r="AA592" i="1"/>
  <c r="Z592" i="1"/>
  <c r="AA450" i="1"/>
  <c r="Z450" i="1"/>
  <c r="Z134" i="1"/>
  <c r="AA134" i="1"/>
  <c r="AA612" i="1"/>
  <c r="Z612" i="1"/>
  <c r="AA29" i="1"/>
  <c r="AA449" i="1"/>
  <c r="Z449" i="1"/>
  <c r="AA484" i="1"/>
  <c r="Z484" i="1"/>
  <c r="T2" i="1"/>
  <c r="T772" i="1" s="1"/>
  <c r="S2" i="1"/>
  <c r="S772" i="1" s="1"/>
  <c r="AA663" i="1"/>
  <c r="Z663" i="1"/>
  <c r="AA715" i="1"/>
  <c r="AA250" i="1"/>
  <c r="Q772" i="1"/>
  <c r="T666" i="1"/>
  <c r="T693" i="1"/>
  <c r="T695" i="1"/>
  <c r="T697" i="1"/>
  <c r="T699" i="1"/>
  <c r="T701" i="1"/>
  <c r="T705" i="1"/>
  <c r="T706" i="1"/>
  <c r="T709" i="1"/>
  <c r="T712" i="1"/>
  <c r="T715" i="1"/>
  <c r="T726" i="1"/>
  <c r="T729" i="1"/>
  <c r="T731" i="1"/>
  <c r="AA411" i="1"/>
  <c r="P314" i="1"/>
  <c r="T314" i="1"/>
  <c r="W575" i="1"/>
  <c r="V575" i="1"/>
  <c r="W573" i="1"/>
  <c r="T575" i="1"/>
  <c r="AA64" i="1" l="1"/>
  <c r="Z325" i="1"/>
  <c r="AA325" i="1"/>
  <c r="W314" i="1"/>
  <c r="U314" i="1"/>
  <c r="V173" i="1"/>
  <c r="U173" i="1"/>
  <c r="W169" i="1"/>
  <c r="U169" i="1"/>
  <c r="Z64" i="1"/>
  <c r="V169" i="1"/>
  <c r="AA169" i="1"/>
  <c r="AA429" i="1"/>
  <c r="R772" i="1"/>
  <c r="AA459" i="1"/>
  <c r="Z504" i="1"/>
  <c r="Z572" i="1"/>
  <c r="AA26" i="1"/>
  <c r="AA701" i="1"/>
  <c r="Z459" i="1"/>
  <c r="AA551" i="1"/>
  <c r="AA20" i="1"/>
  <c r="AA572" i="1"/>
  <c r="AA362" i="1"/>
  <c r="AA504" i="1"/>
  <c r="Z197" i="1"/>
  <c r="AA483" i="1"/>
  <c r="Z694" i="1"/>
  <c r="Z181" i="1"/>
  <c r="W173" i="1"/>
  <c r="AA314" i="1"/>
  <c r="Z594" i="1"/>
  <c r="AA173" i="1"/>
  <c r="AA183" i="1"/>
  <c r="Z183" i="1"/>
  <c r="Z314" i="1"/>
  <c r="AA594" i="1"/>
  <c r="V314" i="1"/>
  <c r="J168" i="1" l="1"/>
  <c r="Z168" i="1" l="1"/>
  <c r="Z635" i="1"/>
  <c r="AA635" i="1"/>
  <c r="AA168" i="1"/>
  <c r="J8" i="1"/>
  <c r="AA8" i="1" l="1"/>
  <c r="AA6" i="1"/>
  <c r="Z6" i="1"/>
  <c r="Z8" i="1"/>
  <c r="J9" i="1"/>
  <c r="AA9" i="1" l="1"/>
  <c r="AA210" i="1"/>
  <c r="Z210" i="1"/>
  <c r="Z9" i="1"/>
  <c r="AA588" i="1"/>
  <c r="Z588" i="1"/>
  <c r="J19" i="1"/>
  <c r="AA19" i="1" l="1"/>
  <c r="AA631" i="1"/>
  <c r="Z631" i="1"/>
  <c r="Z19" i="1"/>
  <c r="J660" i="1"/>
  <c r="AA660" i="1" l="1"/>
  <c r="Z566" i="1"/>
  <c r="AA566" i="1"/>
  <c r="Z660" i="1"/>
  <c r="J208" i="1"/>
  <c r="Z208" i="1" l="1"/>
  <c r="Z380" i="1"/>
  <c r="AA380" i="1"/>
  <c r="Z1" i="1"/>
  <c r="AA208" i="1"/>
  <c r="AA1" i="1" s="1"/>
</calcChain>
</file>

<file path=xl/sharedStrings.xml><?xml version="1.0" encoding="utf-8"?>
<sst xmlns="http://schemas.openxmlformats.org/spreadsheetml/2006/main" count="2808" uniqueCount="1601">
  <si>
    <t>SONDA K 33 P</t>
  </si>
  <si>
    <t>"ANALIZADOR DE GLUCOSA EN SANFRE"</t>
  </si>
  <si>
    <t>ACUFIRM</t>
  </si>
  <si>
    <t>CHATA PLASTICA</t>
  </si>
  <si>
    <t>PRECIO X UN - CAJA X 50 - "CATETER INTRAVENOSO 16G ANGIOCATH-BD" T/ABOCATH O ABBOCATH</t>
  </si>
  <si>
    <t>CANULA DE TRAQUEO C/B N° 4,5</t>
  </si>
  <si>
    <t>CANULA DE TRAQUEO C/B N° 5,5</t>
  </si>
  <si>
    <t>CANULA DE TRAQUEO C/B N° 6</t>
  </si>
  <si>
    <t>CANULA DE TRAQUEO C/B N° 7</t>
  </si>
  <si>
    <t>CANULA DE TRAQUEO C/B N° 8</t>
  </si>
  <si>
    <t>LATEX</t>
  </si>
  <si>
    <t>CEPILLO DE CIRUGIA MADERA</t>
  </si>
  <si>
    <t>96°</t>
  </si>
  <si>
    <t>CONECTOR EN Y 95°</t>
  </si>
  <si>
    <t>HILO DE LINO N° 100</t>
  </si>
  <si>
    <t>HILO DE LINO N° 20</t>
  </si>
  <si>
    <t>HILO DE LINO N° 30</t>
  </si>
  <si>
    <t>HILO DE LINO N° 40</t>
  </si>
  <si>
    <t>HILO DE LINO N° 60</t>
  </si>
  <si>
    <t>HILO DE LINO N° 70</t>
  </si>
  <si>
    <t xml:space="preserve">HILO DE LINO N° 80        </t>
  </si>
  <si>
    <t>HILO DE LINO N° 90</t>
  </si>
  <si>
    <t>MANGO P/HOJA DE BISTURI N° 3</t>
  </si>
  <si>
    <t>MANGO P/HOJA DE BISTURI N° 4</t>
  </si>
  <si>
    <t>MASCARA DE ANESTESIA N° 1</t>
  </si>
  <si>
    <t>MASCARA DE ANESTESIA N° 3</t>
  </si>
  <si>
    <t>MASCARA DE ANESTESIA N° 4</t>
  </si>
  <si>
    <t>MASCARA DE ANESTESIA N° 5</t>
  </si>
  <si>
    <t>MASCARA DE ANESTESIA N° 6</t>
  </si>
  <si>
    <t>SONDA RECTAL N° 26</t>
  </si>
  <si>
    <t>BOTA WALKER PEDIATRICA</t>
  </si>
  <si>
    <t xml:space="preserve">PRECIO X UN - CAJA X 50 - "CATETER INTRAVENOSO 14G ANGIOCATH-BD" T/ABOCATH O ABBOCATH </t>
  </si>
  <si>
    <t>PRECIO X UN - CAJA X 50 - "CATETER INTRAVENOSO 18G ANGIOCATH-BD" T/ABOCATH O ABBOCATH 1,88 " O INSYDE</t>
  </si>
  <si>
    <t>¿?</t>
  </si>
  <si>
    <t>LEDESMA</t>
  </si>
  <si>
    <t>WELCH ALLYN</t>
  </si>
  <si>
    <t>GUANTES DE VINILO X 100 EXAMEN MEDIANO</t>
  </si>
  <si>
    <t>GUANTES DE VINILO X 100 EXAMEN SMALL</t>
  </si>
  <si>
    <t>SOPORTE</t>
  </si>
  <si>
    <t>GENTLEMAN</t>
  </si>
  <si>
    <t>ALQUILER</t>
  </si>
  <si>
    <t>NO SE COMPRA MAS…</t>
  </si>
  <si>
    <t>BOTA DESCARTABLES 30 GR X PAR</t>
  </si>
  <si>
    <t>ENDOBRUSH</t>
  </si>
  <si>
    <t>ANDROMEDA / MB</t>
  </si>
  <si>
    <t>SONDA FOLEY N° 14 - 2 VIAS</t>
  </si>
  <si>
    <t>SONDA FOLEY N° 18 - 2 VIAS</t>
  </si>
  <si>
    <t>SONDA FOLEY N° 18 - 3 VIAS</t>
  </si>
  <si>
    <t>SONDA FOLEY N° 22 - 2 VIAS</t>
  </si>
  <si>
    <t>SONDA FOLEY N° 22 - 3 VIAS</t>
  </si>
  <si>
    <t>SONDA FOLEY N° 24 - 2 VIAS</t>
  </si>
  <si>
    <t>PRECIO X CAJA 6 U - HIPOALERGENICA</t>
  </si>
  <si>
    <t>LEXEL SRL</t>
  </si>
  <si>
    <t>AMERICAN LENOX SA</t>
  </si>
  <si>
    <t>WEINMANN</t>
  </si>
  <si>
    <t>MASCARA NASAL CPAP DE GEL SMALL</t>
  </si>
  <si>
    <t>COD 26112</t>
  </si>
  <si>
    <t>COD 26140</t>
  </si>
  <si>
    <t>AGUA OXIGENADA 10 VOL X 1 L</t>
  </si>
  <si>
    <t>HIDROFILA</t>
  </si>
  <si>
    <t>LIBUS</t>
  </si>
  <si>
    <t>O "ENDOTRAQUEAL" O "TRAQUEOFLEX" O "CANULA TRAQUEOSTOMIA"</t>
  </si>
  <si>
    <t>SILLA DE RUEDAS PLEGABLE / PEDANA FIJA</t>
  </si>
  <si>
    <t>PINZA RUSSA 15 CM</t>
  </si>
  <si>
    <t>PINZA HALSTEAD CURVA C/DIENTE 14 CM</t>
  </si>
  <si>
    <t>PINZA KOCHER X 14 CM RECTA</t>
  </si>
  <si>
    <t>SEDEME / CLERICOT</t>
  </si>
  <si>
    <t>HISOPO DESCART X 100 UN</t>
  </si>
  <si>
    <t>EURO / MEDIBEL</t>
  </si>
  <si>
    <t>EURO / MEDIFAR / TECNOMEDICA</t>
  </si>
  <si>
    <t>MEDIBEL</t>
  </si>
  <si>
    <t>FECHA PRECIO</t>
  </si>
  <si>
    <t>PRECIO SIN IVA</t>
  </si>
  <si>
    <t>PRECIO CON IVA</t>
  </si>
  <si>
    <t>STOCK SIN IVA</t>
  </si>
  <si>
    <t>STOCK IVA INCLUIDO</t>
  </si>
  <si>
    <t>FARMACIAS</t>
  </si>
  <si>
    <t>ALANIS</t>
  </si>
  <si>
    <t>BIOINSUMOS</t>
  </si>
  <si>
    <t>LOS ALERCES</t>
  </si>
  <si>
    <t>HEMOCIENCIA</t>
  </si>
  <si>
    <t>LA MERCED</t>
  </si>
  <si>
    <t>HOSP JACOBACCI</t>
  </si>
  <si>
    <t>CON IVA</t>
  </si>
  <si>
    <t>SOC ZAPALINA DE IMÁGENES</t>
  </si>
  <si>
    <t>DIALISIS PATAGONIA</t>
  </si>
  <si>
    <t>IMI - INST MATERNO INFANTIL</t>
  </si>
  <si>
    <t>CLINICA CUTRAL CO</t>
  </si>
  <si>
    <t>CLINICA ZAPALA</t>
  </si>
  <si>
    <t>PAGANINI ANDREA</t>
  </si>
  <si>
    <t>SILIQUINI SRL</t>
  </si>
  <si>
    <t>SANATORIO SAN CARLOS "SUELTOS"</t>
  </si>
  <si>
    <t>SANATORIO SAN CARLOS COTIZACION MENSUAL</t>
  </si>
  <si>
    <t>OSDE</t>
  </si>
  <si>
    <t>UNION PERSONAL</t>
  </si>
  <si>
    <t>OSECAC</t>
  </si>
  <si>
    <t>HOSP PILCANIYEU</t>
  </si>
  <si>
    <t>HOSP ÑORQUINCO</t>
  </si>
  <si>
    <t>CLINICA PASTEUR</t>
  </si>
  <si>
    <t>CLINICA DEL VALLE</t>
  </si>
  <si>
    <t>ASOC ESPAÑOLA</t>
  </si>
  <si>
    <t>FARMACIA DIAGONAL</t>
  </si>
  <si>
    <t>FARMACIA PASTEUR</t>
  </si>
  <si>
    <t>FARMACIA ARAUCANA</t>
  </si>
  <si>
    <t>AREA PROGRAMATICA ESQUEL (+IVA)</t>
  </si>
  <si>
    <t>HOSP EL MAITEN (+IVA)</t>
  </si>
  <si>
    <t>IPROSS</t>
  </si>
  <si>
    <t>NEPHRON HEMODIALISIS SA</t>
  </si>
  <si>
    <t>FARMACIA LA CUMBRE</t>
  </si>
  <si>
    <t>MEDICINA NUCLEAR - ABRIATA</t>
  </si>
  <si>
    <t>MEDICINA NUCLEAR - MOGUILEVSKY</t>
  </si>
  <si>
    <t>ALAMBRE KIRSCHNER 3,5MM X 25CM</t>
  </si>
  <si>
    <t>ALAMBRE KIRSCHNER 4,5MM X 25CM</t>
  </si>
  <si>
    <t>BOLSA ANESTESIA X 1/2 L</t>
  </si>
  <si>
    <t>BOLSA ANESTESIA X 2 L</t>
  </si>
  <si>
    <t>BOLSA ANESTESIA X 3 L</t>
  </si>
  <si>
    <t>CINTA/ROLLO CALOR SECO 18MM X 50M</t>
  </si>
  <si>
    <t>EURO / TECNOMEDICA / MEDIBEL</t>
  </si>
  <si>
    <t>MEDIBEL / EURO</t>
  </si>
  <si>
    <t>COD 7315</t>
  </si>
  <si>
    <t>MASCARA OXIGENO C/RESERV ADUL</t>
  </si>
  <si>
    <t>MASCARA OXIGENO C/RESERV PEDIA</t>
  </si>
  <si>
    <t>MASCARA OXIGENO S/RESERV ADUL</t>
  </si>
  <si>
    <t>CEPILLO PLASTICO P/LAV MANOS</t>
  </si>
  <si>
    <t>VETERINARIA 9 DE JULIO ANABELLA</t>
  </si>
  <si>
    <t>TUBO ENDOTRAQ N° 2,5 S/BALON</t>
  </si>
  <si>
    <t>TUBO ENDOTRAQ N° 3 C/BALON</t>
  </si>
  <si>
    <t>TUBO ENDOTRAQ N° 3 S/BALON</t>
  </si>
  <si>
    <t>TUBO ENDOTRAQ N° 3,5 S/BALON</t>
  </si>
  <si>
    <t>TUBO ENDOTRAQ N° 4 C/BALON</t>
  </si>
  <si>
    <t>TUBO ENDOTRAQ N° 4 S/BALON</t>
  </si>
  <si>
    <t>TUBO ENDOTRAQ N° 4,5 C/BALON</t>
  </si>
  <si>
    <t>TUBO ENDOTRAQ N° 4,5 S/BALON</t>
  </si>
  <si>
    <t>TUBO ENDOTRAQ N° 5 C/BALON</t>
  </si>
  <si>
    <t>TUBO ENDOTRAQ N° 5 S/BALON</t>
  </si>
  <si>
    <t>TUBO ENDOTRAQ N° 5,5 C/BALON</t>
  </si>
  <si>
    <t>TUBO ENDOTRAQ N° 5,5 S/BALON</t>
  </si>
  <si>
    <t>TUBO ENDOTRAQ N° 6 C/BALON</t>
  </si>
  <si>
    <t xml:space="preserve">TUBO ENDOTRAQ N° 6 S/BALON </t>
  </si>
  <si>
    <t>TUBO ENDOTRAQ N° 6,5 C/BALON</t>
  </si>
  <si>
    <t>TUBO ENDOTRAQ N° 6,5 S/BALON</t>
  </si>
  <si>
    <t>TUBO ENDOTRAQ N° 7 C/BALON</t>
  </si>
  <si>
    <t>TUBO ENDOTRAQ N° 7,5 C/BALON</t>
  </si>
  <si>
    <t>TUBO ENDOTRAQ N° 8 C/BALON</t>
  </si>
  <si>
    <t>TUBO ENDOTRAQ N° 8 S/BALON</t>
  </si>
  <si>
    <t>TUBO ENDOTRAQ N° 8,5 C/BALON</t>
  </si>
  <si>
    <t>FRAGUADO RAPIDO - NO COT X 4 MT!! COD 1566</t>
  </si>
  <si>
    <t>TUBO GUEDEL N°03 - 90MM AMARILLO</t>
  </si>
  <si>
    <t>Tubo guedel Nº000 (40mm-rosa) MCM</t>
  </si>
  <si>
    <t>Tubo guedel Nº00 (50mm-celeste) MCM</t>
  </si>
  <si>
    <t>Tubo guedel Nº0 (60mm-negro) MCM</t>
  </si>
  <si>
    <t>Tubo guedel Nº01 (70mm-blanco) MCM</t>
  </si>
  <si>
    <t>Tubo guedel Nº02 (80mm-verde) MCM</t>
  </si>
  <si>
    <t>HG</t>
  </si>
  <si>
    <t>ARTROMED</t>
  </si>
  <si>
    <t>MEDIFAR</t>
  </si>
  <si>
    <t xml:space="preserve">TIRAS REACTIVAS P/GLUCOSA X 50 U </t>
  </si>
  <si>
    <t>PAPAGAYO (ORINAL MASC PLAST)</t>
  </si>
  <si>
    <t>SONDA FOLEY N° 14 SILIC PURA - 2V</t>
  </si>
  <si>
    <t>SONDA FOLEY N° 16 SILIC PURA - 2V</t>
  </si>
  <si>
    <t>SONDA FOLEY N° 18 SILIC PURA - 2V</t>
  </si>
  <si>
    <t>Sonda t/K 11 PVC est p/intub gástrica SHINOBI</t>
  </si>
  <si>
    <t>Sonda t/K 30 PVC est p/intub nasogást SHINOBI</t>
  </si>
  <si>
    <t>C/REGULADOR - Sonda t/K 30P PVC est p/asp mucus SHINOBI</t>
  </si>
  <si>
    <t>SONDA K 31 P</t>
  </si>
  <si>
    <t>PRECIO X CAJA 12 U - HIPOALERGENICA - Tela Micropore 2.5x9mt (x12r) 1530 3M</t>
  </si>
  <si>
    <t>TELA ADHES HIPOAL 2,5 CM X 12 U</t>
  </si>
  <si>
    <t>TELA ADHES HOSPIT 5 CM  X 6 U</t>
  </si>
  <si>
    <t>TELA MICROPORE 2,5 CM X 12 U</t>
  </si>
  <si>
    <t>TELA MICROPORE 1,25 CM X 24 U</t>
  </si>
  <si>
    <t>TELA MICROPORE 5 CM X 6 U</t>
  </si>
  <si>
    <t>Venda cambric 20cm x 3mt VENDSUR</t>
  </si>
  <si>
    <t>GUIA V 14 / PERFUS 1 MACROGOT</t>
  </si>
  <si>
    <t>CATETER INTRAV BD 20G</t>
  </si>
  <si>
    <t>CATETER INTRAV BD 18G</t>
  </si>
  <si>
    <t>CATETER INTRAV BD 22G</t>
  </si>
  <si>
    <t>TECNOMEDICA / EURO / MEDIFAR</t>
  </si>
  <si>
    <t>JERINGA X 5CC</t>
  </si>
  <si>
    <t>JERINGA X 10CC</t>
  </si>
  <si>
    <t xml:space="preserve">MALLA POLIPROPILENO 15X15 CM </t>
  </si>
  <si>
    <t>ACA SALUD</t>
  </si>
  <si>
    <t>GUANTES CIRUGIA N° 8 (PAR)</t>
  </si>
  <si>
    <t>COD 1750 INSTRUMENTAL</t>
  </si>
  <si>
    <t>COD 778</t>
  </si>
  <si>
    <t>COD 809</t>
  </si>
  <si>
    <t>COD 1965 INSTRUMENTAL</t>
  </si>
  <si>
    <t>COD 1966 INSTRUMENTAL</t>
  </si>
  <si>
    <t>COD 1967 INSTRUMENTAL</t>
  </si>
  <si>
    <t>COD 1968 INSTRUMENTAL</t>
  </si>
  <si>
    <t>COD 1969 INSTRUMENTAL</t>
  </si>
  <si>
    <t>COD 821</t>
  </si>
  <si>
    <t>COD 820</t>
  </si>
  <si>
    <t>COD 819</t>
  </si>
  <si>
    <t>COD 822</t>
  </si>
  <si>
    <t>ROLLO PAPEL ECG 45 X 30</t>
  </si>
  <si>
    <t>IVA</t>
  </si>
  <si>
    <t>BMK</t>
  </si>
  <si>
    <t>DR. ALONSO - MEDILAB</t>
  </si>
  <si>
    <t>AGUJA P/PUNCION 3 1/2" - PUNCION LUMBAR - OJO NO ES PERIDURAL - RAQUIDEA</t>
  </si>
  <si>
    <t>CATETER INTRAV BD 24G</t>
  </si>
  <si>
    <t>CLINICA SAN LUCAS / CONSULT INTEGRALES SAN LUCAS</t>
  </si>
  <si>
    <t>Frasco bitubulado est x 750cc PLASTIMED - ESTERIL</t>
  </si>
  <si>
    <t>TELA ADHES HIPOAL 5 CM X 6 U</t>
  </si>
  <si>
    <t>GUANTES CIRUGIA N° 7,5 (PAR)</t>
  </si>
  <si>
    <t>GUANTES CIRUGIA N° 7 (PAR)</t>
  </si>
  <si>
    <t>Frasco bitubulado est x 2500cc PLASTIMED - ESTERIL</t>
  </si>
  <si>
    <t>REF 7-6203 NEOPRENE COD 675</t>
  </si>
  <si>
    <t>COD 1091</t>
  </si>
  <si>
    <t>COD 1100</t>
  </si>
  <si>
    <t>COD 1102</t>
  </si>
  <si>
    <t>COD 1103</t>
  </si>
  <si>
    <t>COD 1104</t>
  </si>
  <si>
    <t>COD 1097</t>
  </si>
  <si>
    <t>COD 7129</t>
  </si>
  <si>
    <t>COD 1233</t>
  </si>
  <si>
    <t>COD 1391</t>
  </si>
  <si>
    <t>COD 1379</t>
  </si>
  <si>
    <t>COD 709 X 2 MTS CT66S</t>
  </si>
  <si>
    <t>COD 710 X 2 MTS CT67S</t>
  </si>
  <si>
    <t>MCM</t>
  </si>
  <si>
    <t>BD</t>
  </si>
  <si>
    <t>LEXEL</t>
  </si>
  <si>
    <t>BELMED</t>
  </si>
  <si>
    <t>IQB</t>
  </si>
  <si>
    <t>ANTIPARRAS PLASTICAS</t>
  </si>
  <si>
    <t xml:space="preserve">ASPIRADOR A DIAFRAGMA </t>
  </si>
  <si>
    <t>K-TEX</t>
  </si>
  <si>
    <t>BAJALENGUAS ADULTO X 100 UN</t>
  </si>
  <si>
    <t>KOLER</t>
  </si>
  <si>
    <t>GALEMED</t>
  </si>
  <si>
    <t>WESTMED</t>
  </si>
  <si>
    <t>OXINOVA</t>
  </si>
  <si>
    <t>CLOTHIER</t>
  </si>
  <si>
    <t>SAMTRONIC</t>
  </si>
  <si>
    <t>CAL SODADA X 1KG</t>
  </si>
  <si>
    <t>CANULA DE GUEDEL/MAYO 100MM</t>
  </si>
  <si>
    <t>CANULA DE GUEDEL/MAYO 40MM</t>
  </si>
  <si>
    <t>CANULA DE GUEDEL/MAYO 50MM</t>
  </si>
  <si>
    <t>CANULA DE GUEDEL/MAYO 60MM</t>
  </si>
  <si>
    <t>CANULA DE GUEDEL/MAYO 70MM</t>
  </si>
  <si>
    <t>RUSCH</t>
  </si>
  <si>
    <t>HUDSON</t>
  </si>
  <si>
    <t>SILMAG</t>
  </si>
  <si>
    <t>ARROW</t>
  </si>
  <si>
    <t>CATETER EPICUTANEO CAVA 540-15</t>
  </si>
  <si>
    <t>CATETER EPICUTANEO CAVA 540-30</t>
  </si>
  <si>
    <t>AURINCO</t>
  </si>
  <si>
    <t>CEPILLO ENDOBRUSH</t>
  </si>
  <si>
    <t>CERA PARA HUESOS X 2.5 GRS</t>
  </si>
  <si>
    <t>WEST MED</t>
  </si>
  <si>
    <t>PLASTIMED</t>
  </si>
  <si>
    <t>CLAVIJA 2,00 MM X 12 CM</t>
  </si>
  <si>
    <t>CLAVIJA 3,00 MM X 12 CM</t>
  </si>
  <si>
    <t>CLAVIJA 3,50 MM X 12 CM</t>
  </si>
  <si>
    <t>CLAVIJA 4,00 MM X 12 CM</t>
  </si>
  <si>
    <t>COLLAR DE FILADELFIA PEDIATRICO</t>
  </si>
  <si>
    <t>COLTEX</t>
  </si>
  <si>
    <t>COLLAR DE FILADELFIA MEDIANO</t>
  </si>
  <si>
    <t>COLLAR DE FILADELFIA GRANDE</t>
  </si>
  <si>
    <t>AIR SEP</t>
  </si>
  <si>
    <t>RESPIRONIC</t>
  </si>
  <si>
    <t>CONECTOR EN T HUDSON</t>
  </si>
  <si>
    <t>adulto</t>
  </si>
  <si>
    <t>CUBRE CAMILLA DESCARTABLE</t>
  </si>
  <si>
    <t>CUBRE COLCHON 1 PLAZA</t>
  </si>
  <si>
    <t>MS</t>
  </si>
  <si>
    <t>3M</t>
  </si>
  <si>
    <t>ESPONJA HEMOSTATICA</t>
  </si>
  <si>
    <t>CURASPON</t>
  </si>
  <si>
    <t>MELIPAL</t>
  </si>
  <si>
    <t>FAVE</t>
  </si>
  <si>
    <t>TOM FAC</t>
  </si>
  <si>
    <t>FRASCO DRENAJE PLEURAL X 3000 CC</t>
  </si>
  <si>
    <t>CAVANNA</t>
  </si>
  <si>
    <t>SERTEX</t>
  </si>
  <si>
    <t>JERINGA DE BONNEAU X 60CC</t>
  </si>
  <si>
    <t>PAHSCO</t>
  </si>
  <si>
    <t>LLAVE DE 3 VIAS</t>
  </si>
  <si>
    <t>GTA</t>
  </si>
  <si>
    <t>MALLA TUBULAR X 25 CM</t>
  </si>
  <si>
    <t>SM</t>
  </si>
  <si>
    <t>MAQUINAS DE AFEITAR</t>
  </si>
  <si>
    <t>SILFAB</t>
  </si>
  <si>
    <t>OXIMETRO NELLCOR N-560</t>
  </si>
  <si>
    <t>NELLCOR</t>
  </si>
  <si>
    <t>KIMS</t>
  </si>
  <si>
    <t>NONI SEC</t>
  </si>
  <si>
    <t>ADMISOL</t>
  </si>
  <si>
    <t>SONDA K 108</t>
  </si>
  <si>
    <t>SONDA K 30</t>
  </si>
  <si>
    <t>SHINOBI</t>
  </si>
  <si>
    <t xml:space="preserve">SONDA K 11 </t>
  </si>
  <si>
    <t>HIPOALERGIC</t>
  </si>
  <si>
    <t>TUBO DE OXIGENO C/REGULAD/MOCHILA</t>
  </si>
  <si>
    <t>VENDSUR</t>
  </si>
  <si>
    <t>AYEP</t>
  </si>
  <si>
    <t>PLANILLA DE STOCK INSUMOS MEDICOS</t>
  </si>
  <si>
    <t>MARCA</t>
  </si>
  <si>
    <t>STOCK</t>
  </si>
  <si>
    <t>ENTRADA</t>
  </si>
  <si>
    <t>SALIDA</t>
  </si>
  <si>
    <t>REFERENCIA</t>
  </si>
  <si>
    <t>SONDA K 33</t>
  </si>
  <si>
    <t>MASCARA DE ANESTESIA N° 0</t>
  </si>
  <si>
    <t xml:space="preserve"> </t>
  </si>
  <si>
    <t>MASCARA DE ANESTESIA N° 2</t>
  </si>
  <si>
    <t xml:space="preserve">ON CALL </t>
  </si>
  <si>
    <t>CANULA NASAL ADULTO 230-12</t>
  </si>
  <si>
    <t>SCHREIBER</t>
  </si>
  <si>
    <t>AEROCAMARA PEDIATRICA</t>
  </si>
  <si>
    <t>AERO 100</t>
  </si>
  <si>
    <t xml:space="preserve">CONCENTRADOR DE OXIGENO </t>
  </si>
  <si>
    <t>SONDA K 225</t>
  </si>
  <si>
    <t>AEROCAMARA ADULTO</t>
  </si>
  <si>
    <t>FRASCO BITUBULADO X 750 CC</t>
  </si>
  <si>
    <t>MB</t>
  </si>
  <si>
    <t>BUTTERFLY 19G</t>
  </si>
  <si>
    <t>BUTTERFLY 21G</t>
  </si>
  <si>
    <t>BUTTERFLY 23G</t>
  </si>
  <si>
    <t>BUTTERFLY 25G</t>
  </si>
  <si>
    <t>NEBULIZADOR A PISTON N29-A</t>
  </si>
  <si>
    <t>NEBULIZADOR ULTRASONICO N64-A</t>
  </si>
  <si>
    <t>MEDICAL</t>
  </si>
  <si>
    <t xml:space="preserve">CONCENTRADOR DE OXIGENO PORTATIL </t>
  </si>
  <si>
    <t>FORLANO</t>
  </si>
  <si>
    <t xml:space="preserve">MALLA POLIPROPILENO 30X30 CM </t>
  </si>
  <si>
    <t>ULSTAR</t>
  </si>
  <si>
    <t>ESTETOSCOPIO SIMPLE ADULTO</t>
  </si>
  <si>
    <t xml:space="preserve">SONDA K 29 </t>
  </si>
  <si>
    <t>SONDA K 31</t>
  </si>
  <si>
    <t>SONDA K 9</t>
  </si>
  <si>
    <t>CONECTOR CONCENTRADOR VASO</t>
  </si>
  <si>
    <t>GRUSCHWITZ</t>
  </si>
  <si>
    <t xml:space="preserve">CONECTOR REDUCTOR 22H/10M </t>
  </si>
  <si>
    <t>SONDA K 10</t>
  </si>
  <si>
    <t>SIGMALINE</t>
  </si>
  <si>
    <t>SONDA K 227</t>
  </si>
  <si>
    <t>SONDA PT 26 X 200 CM</t>
  </si>
  <si>
    <t>CANULA DE GUEDEL/MAYO 80MM</t>
  </si>
  <si>
    <t>CANULA DE GUEDEL/MAYO 90MM</t>
  </si>
  <si>
    <t>REF 1638</t>
  </si>
  <si>
    <t>SONDA K 27 ADULTO</t>
  </si>
  <si>
    <t>SONDA K 32</t>
  </si>
  <si>
    <t>SONDA K 35</t>
  </si>
  <si>
    <t>SONDA K 67</t>
  </si>
  <si>
    <t>SONDA K 27 NEONATAL</t>
  </si>
  <si>
    <t>SONDA K 29 P SM 40 P P/ INHALACION O SUCCION</t>
  </si>
  <si>
    <t>SONDA K 30 P</t>
  </si>
  <si>
    <t>MALLA TUBULAR X 4 CM</t>
  </si>
  <si>
    <t>MALLA TUBULAR X 5 CM</t>
  </si>
  <si>
    <t>MALLA TUBULAR X 6 CM</t>
  </si>
  <si>
    <t>MALLA TUBULAR X 10 CM</t>
  </si>
  <si>
    <t>MALLA TUBULAR X 15 CM</t>
  </si>
  <si>
    <t>MALLA TUBULAR X 20 CM</t>
  </si>
  <si>
    <t>GEL NEUTRO X 1KG</t>
  </si>
  <si>
    <t>GEL NEUTRO X 3KG</t>
  </si>
  <si>
    <t>CARDIOCHARTS</t>
  </si>
  <si>
    <t>ESPATULAS DE AYRE X 100 UN</t>
  </si>
  <si>
    <t>BOTA WALKER TAMAÑO GRANDE</t>
  </si>
  <si>
    <t>DEMA</t>
  </si>
  <si>
    <t>SENSOR DE GOTA P/ BOMBA ST1000 NC 14007 NC 14008</t>
  </si>
  <si>
    <t>VERTICE</t>
  </si>
  <si>
    <t>EURO</t>
  </si>
  <si>
    <t>ASPIREX</t>
  </si>
  <si>
    <t>GLUCOMETRO ON CALL PLUS</t>
  </si>
  <si>
    <t>RESPIRONICS</t>
  </si>
  <si>
    <t>CLAMP UMBILICAL BLANCO</t>
  </si>
  <si>
    <t>GASA TUBULAR X 1,8 KG</t>
  </si>
  <si>
    <t>ALGODON X 500 GRS</t>
  </si>
  <si>
    <t>PROVEEDOR</t>
  </si>
  <si>
    <t>BIOMEDIK</t>
  </si>
  <si>
    <t>TECNOMEDICA SRL</t>
  </si>
  <si>
    <t>NETO</t>
  </si>
  <si>
    <t>VENDA CAMBRIC DE 10 CM</t>
  </si>
  <si>
    <t>VENDA CAMBRIC DE 15 CM</t>
  </si>
  <si>
    <t>VENDA CAMBRIC DE 20 CM</t>
  </si>
  <si>
    <t>VENDA CAMBRIC DE 5 CM</t>
  </si>
  <si>
    <t>VENDA CAMBRIC DE 7 CM</t>
  </si>
  <si>
    <t>VENDA OVATA X 10 CM</t>
  </si>
  <si>
    <t>VENDA OVATA X 15 CM</t>
  </si>
  <si>
    <t xml:space="preserve">TIRA CALOR SECO X 250 </t>
  </si>
  <si>
    <t>TIRA VAPOR X 250</t>
  </si>
  <si>
    <t>ROLLO P/ECOGRAFIA 1100-S</t>
  </si>
  <si>
    <t>ROLLO PAPEL ECG 58 X 25</t>
  </si>
  <si>
    <t>SONDA K 66</t>
  </si>
  <si>
    <t>SONDA K 29 P</t>
  </si>
  <si>
    <t>SONDA K 32 P</t>
  </si>
  <si>
    <t>VENDA YESO X 10 CM 3 MT - F. RAPIDO</t>
  </si>
  <si>
    <t>VENDA YESO X 15 CM 3 MT - F. RAPIDO</t>
  </si>
  <si>
    <t>VENDA YESO X 20 CM 3 MT - F. RAPIDO</t>
  </si>
  <si>
    <t>CANULA DE TRAQUEO C/B N° 10</t>
  </si>
  <si>
    <t>CANULA DE TRAQUEO C/B N° 6,5</t>
  </si>
  <si>
    <t>CANULA DE TRAQUEO C/B N° 7,5</t>
  </si>
  <si>
    <t xml:space="preserve">CANULA DE TRAQUEO C/B N° 8,5 </t>
  </si>
  <si>
    <t>CANULA DE TRAQUEO C/B N° 9</t>
  </si>
  <si>
    <t>PRECIO X UN "CATETER INTRAVENOSO 20G ANGIOCATH-BD"</t>
  </si>
  <si>
    <t>PRECIO X UN "CATETER INTRAVENOSO 22G ANGIOCATH-BD"</t>
  </si>
  <si>
    <t>DISIPADOR DE CALOR ASPIREX</t>
  </si>
  <si>
    <t>JUEGO X4 PINZA P/ECG AD</t>
  </si>
  <si>
    <t>SONDA PT 26 X 150 CM</t>
  </si>
  <si>
    <t>SONDA PT 26 X 100 CM</t>
  </si>
  <si>
    <t xml:space="preserve">PRECIO X UN - CAJA X 5 </t>
  </si>
  <si>
    <t>TUBO ENDOTR ESPIRALADO N° 6,5 C/B</t>
  </si>
  <si>
    <t>TUBO ENDOTR ESPIRALADO N° 7 C/B</t>
  </si>
  <si>
    <t>TUBO ENDOTR ESPIRALADO N° 7,5 C/B</t>
  </si>
  <si>
    <t>TUBO ENDOTR ESPIRALADO N° 8 C/B</t>
  </si>
  <si>
    <t>TUBO ENDOTR ESPIRALADO N° 8,5 C/B</t>
  </si>
  <si>
    <t>TUBO ENDOTR ESPIRALADO N° 6 C/B</t>
  </si>
  <si>
    <t>S/N 9550</t>
  </si>
  <si>
    <t>SOPORTE VITAL SRL</t>
  </si>
  <si>
    <t>S/N 9441</t>
  </si>
  <si>
    <t>S/N 9502</t>
  </si>
  <si>
    <t>PERMA</t>
  </si>
  <si>
    <t>BELMED / RS</t>
  </si>
  <si>
    <t>PEDIATRICA</t>
  </si>
  <si>
    <t>ESPECULO DESCARTABLE CHICOS</t>
  </si>
  <si>
    <t>ESPECULO DESCARTABLE GRANDES</t>
  </si>
  <si>
    <t>JERINGA X 20CC</t>
  </si>
  <si>
    <t xml:space="preserve">RECIPIENTE CONTENEDOR MUESTRAS O VASO O COLECTOR O ENVASE ORINA X 125 CC. ESTERIL </t>
  </si>
  <si>
    <t>TECNOMEDICA / EURO</t>
  </si>
  <si>
    <t>T/K 31</t>
  </si>
  <si>
    <t>T/K 30</t>
  </si>
  <si>
    <t>HOSPI LAGO PUELO</t>
  </si>
  <si>
    <t>SONDA NELATON N° 20 (GOMA ROJA)</t>
  </si>
  <si>
    <t>SONDA NELATON N° 26 (GOMA ROJA)</t>
  </si>
  <si>
    <t>PARTICULARES</t>
  </si>
  <si>
    <t>DRES TODOS (MENOS RIOS 70%)</t>
  </si>
  <si>
    <t>DR. CARLOS RIOS 70%!!!!!!!!</t>
  </si>
  <si>
    <t>MAMUSCHKA</t>
  </si>
  <si>
    <t>S/N 9759</t>
  </si>
  <si>
    <t>S/N 9761</t>
  </si>
  <si>
    <t xml:space="preserve">TUBO CORRUGADO P/CPAP </t>
  </si>
  <si>
    <t>GALEMED / WEST MED</t>
  </si>
  <si>
    <t>CIRCUITO P/CAPNOGRAFIA MACHO-MACHO</t>
  </si>
  <si>
    <t>DIU H KUPFER 400 STANDARD</t>
  </si>
  <si>
    <t>JERINGA X 50/60CC</t>
  </si>
  <si>
    <t>LABORATORIO LES</t>
  </si>
  <si>
    <t>MARCRIS MEDICAL</t>
  </si>
  <si>
    <t>GUIA T/V 413 FOTOSENSIBLE / PERFUS</t>
  </si>
  <si>
    <t>COLCHON ANTI ESCARAS C/COMPRESOR</t>
  </si>
  <si>
    <t>SONDA RECTAL N° 30</t>
  </si>
  <si>
    <t>SONDA RECTAL N° 32</t>
  </si>
  <si>
    <t>CAMPANA PRECORDIAL SOLA</t>
  </si>
  <si>
    <t>MG BIO</t>
  </si>
  <si>
    <t>FRASCO BITUBULADO X 2500 CC</t>
  </si>
  <si>
    <t>SENSOR OXIMETRIA MECK T/NELLCOR PINZA DEDO</t>
  </si>
  <si>
    <t>LEDESMA / MEDIBEL</t>
  </si>
  <si>
    <t>SALUD ZAPALA (VANDERSANDE)</t>
  </si>
  <si>
    <t>REUSABLE</t>
  </si>
  <si>
    <t>HOJA DE BISTURI N° 11 X 100 U</t>
  </si>
  <si>
    <t>HOJA DE BISTURI N° 15 X 100 U</t>
  </si>
  <si>
    <t>AMIGOS DE SEBASTIAN</t>
  </si>
  <si>
    <t>BAHEFA (LABORATORIO DEL SOL)</t>
  </si>
  <si>
    <t>"EQUIPO PERICRANEAL" COD 6235 - OJO! MCM NO ES INTERMITENTE!!!!</t>
  </si>
  <si>
    <t>CAPACCIOLI</t>
  </si>
  <si>
    <t>PRECIO X UN - CAJA X 10 - "ROLLOS PARA ECG TIPO EME 45MM CC" - VISOCARDINE- EME- CARDIOTÉCNICA - ART Q1</t>
  </si>
  <si>
    <t>MARIO MIANI VETE</t>
  </si>
  <si>
    <t>SONDA NELATON N° 20 ESTERIL (GOMA ROJA)</t>
  </si>
  <si>
    <t>SONDA NELATON N° 22 ESTERIL (GOMA ROJA)</t>
  </si>
  <si>
    <t>MASSUAR</t>
  </si>
  <si>
    <t>LEDESMA / BIOMEDIK</t>
  </si>
  <si>
    <t>MALLA TUBULAR X 8 CM</t>
  </si>
  <si>
    <t>JARRA/CAMARA HUMIFICADORA PED</t>
  </si>
  <si>
    <t>CEB</t>
  </si>
  <si>
    <t>MASCARA OXIGENO S/RESERV PEDIA</t>
  </si>
  <si>
    <t>CENTRO TRAUMATOLOGICO - CIPRES SRL</t>
  </si>
  <si>
    <t>COD 2219 INSTRUMENTAL</t>
  </si>
  <si>
    <t>COD 2220 INSTRUMENTAL</t>
  </si>
  <si>
    <t>COD 2490 INSTR</t>
  </si>
  <si>
    <t>COD 2543 INSTR</t>
  </si>
  <si>
    <t>SONDA NELATON N° 14 EST (G ROJA)</t>
  </si>
  <si>
    <t>EMEC</t>
  </si>
  <si>
    <t>AMANECER - NIBORSKI</t>
  </si>
  <si>
    <t>MANO PEDIATRICA</t>
  </si>
  <si>
    <t>COD 1453</t>
  </si>
  <si>
    <t>SANATORIO JUAN XXIII</t>
  </si>
  <si>
    <t>SONDA NELATON N° 16 EST (G ROJA)</t>
  </si>
  <si>
    <t>HOSPI COMALLO</t>
  </si>
  <si>
    <t>RESUCITADOR BOCA A BOCA C/ESTUCHE</t>
  </si>
  <si>
    <t>T/K 33 - NEONATAL</t>
  </si>
  <si>
    <t>BANNEX  (REMITO) DANIEL MEDRANO</t>
  </si>
  <si>
    <t>T/K 35 - PEDIATRICA</t>
  </si>
  <si>
    <t>AMUGENAL</t>
  </si>
  <si>
    <t>HOSPI LOS MENUCOS</t>
  </si>
  <si>
    <t>VITTAL BARILOCHE - MTE SA</t>
  </si>
  <si>
    <t>OSUTHGRA</t>
  </si>
  <si>
    <t>PRECIO X PAR - LARGO MAX TOTAL 1,48 M</t>
  </si>
  <si>
    <t>COD 31</t>
  </si>
  <si>
    <t>PINZA DISECCION 20CM</t>
  </si>
  <si>
    <t>INST MEDICO OTORRINO DE MASOERO Y VOUK SH</t>
  </si>
  <si>
    <t>COD 1388 SONDA NASOGASTRICA NEO T/K-35 S-14</t>
  </si>
  <si>
    <t>PRECIO X U - Apósito Tegaderm 4,4x4,4cms (CJx100u) 1622 3M - APOTEG13</t>
  </si>
  <si>
    <t>Cal sodada c/ind de saturac 1kg IQB - ANT0005</t>
  </si>
  <si>
    <t>Tubo guedel Nº04 (100mm-rojo) MCM - "TUBO DE MAYO N°10" O TUBO DE GUEDEL - MCMTUBGUE09</t>
  </si>
  <si>
    <t>O "ENDOTRAQUEAL" O "TRAQUEOFLEX" O "CANULA TRAQUEOSTOMIA" - MCMCANTRA03</t>
  </si>
  <si>
    <t>"TESTIGO" ROLLO CONTROL - Cinta autoadhes ESTUFA -rollo 18mm x 50mts - CONQUIKIM03</t>
  </si>
  <si>
    <t>DIU H Kupfer 400 standard t/Multiload 375 MEDICAL - DIU06</t>
  </si>
  <si>
    <t>Hemost de gelatina -esponja- 80x50x10mm CURASPON CS-010 - SPONGOSTAN - 20 X CAJA - SPONGELI01</t>
  </si>
  <si>
    <t>Gel p/eco y kinesio x 1kgs DELVA - GEL18</t>
  </si>
  <si>
    <t>PRECIO X PAR - CAJA X 50 PAR - "ESTERIL" LATEX - Guante de látex est 8½ p/cirugía MCM PREMIUM - MCMGUAPRE05</t>
  </si>
  <si>
    <t>PRECIO X CAJA 100 U - BAJO NIVEL DE POLVO - GUAVIN02</t>
  </si>
  <si>
    <t>PRECIO X CAJA 100 U - BAJO NIVEL DE POLVO - GUAVIN03</t>
  </si>
  <si>
    <t>TV413ADM</t>
  </si>
  <si>
    <t>PRECIO X CAJA 100 U - MCMHOJ01</t>
  </si>
  <si>
    <t>Detergente quirúrgico 1kg IQB - ANT0010</t>
  </si>
  <si>
    <t>Pulsera de identificación padiatrica IMPORTADA - PULSE02</t>
  </si>
  <si>
    <t>FOL2VRUS04</t>
  </si>
  <si>
    <t>MCMFOL2V14SIL</t>
  </si>
  <si>
    <t>FOL2VRUS06</t>
  </si>
  <si>
    <t>MCMFOL3V18</t>
  </si>
  <si>
    <t>FOL2VRUS08</t>
  </si>
  <si>
    <t>MCMFOL3V22</t>
  </si>
  <si>
    <t>MCMFOL2V24</t>
  </si>
  <si>
    <t>Sonda t/K 10 PVC est p/intub gástrica SHINOBI - TK10SHI</t>
  </si>
  <si>
    <t>Sonda t/K227 PVC est p/drenaje toraxico TOM FAC - TK227TFAC</t>
  </si>
  <si>
    <t>Sonda t/K 29 PVC est p/asp mucus SHINOBI - TK29SHI</t>
  </si>
  <si>
    <t>C/REGULADOR - Sonda t/K 29P PVC est p/asp mucus SHINOBI - TK29PSHI</t>
  </si>
  <si>
    <t>SONDA K 35 P</t>
  </si>
  <si>
    <t>C/REGULADOR - Sonda t/K 35P PVC est p/asp mucus SHINOBI - TK35PSHI</t>
  </si>
  <si>
    <t>Sonda t/K 9 PVC est p/intub gástrica SHINOBI - TK9SHI</t>
  </si>
  <si>
    <t>NELATINMCM14</t>
  </si>
  <si>
    <t>C.Q. Tiras 15x110mm ESTUFA -x250u- KIMS - CONQUIKIM01</t>
  </si>
  <si>
    <t>C.Q. Tiras 15x110mm VAPOR -x250u - CONQUIKIM02</t>
  </si>
  <si>
    <t>PRECIO X UN - CAJA X 5 - MCMTUBEND6CBESP</t>
  </si>
  <si>
    <t>PRECIO X UN - CAJA X 5  - MCMTUBEND65CBESP</t>
  </si>
  <si>
    <t>MCMTUBEND25SB</t>
  </si>
  <si>
    <t>MCMTUBEND3CBP - PEDIATRICO</t>
  </si>
  <si>
    <t>MCMTUBEND45SB</t>
  </si>
  <si>
    <t>MCMTUBEND5CB</t>
  </si>
  <si>
    <t>MCMTUBEND55CB</t>
  </si>
  <si>
    <t>MCMTUBEND6SB</t>
  </si>
  <si>
    <t>MCMTUBEND65CB</t>
  </si>
  <si>
    <t>MCMTUBEND65SB</t>
  </si>
  <si>
    <t>MCMTUBEND8SB</t>
  </si>
  <si>
    <t>VENDSUR03 - Venda cambric 10cm x 3mt VENDSUR</t>
  </si>
  <si>
    <t>VENDSUR04 - Venda cambric 15cm x 3mt VENDSUR</t>
  </si>
  <si>
    <t>VENDSUR01 - Venda cambric 5cm x 3mt VENDSUR</t>
  </si>
  <si>
    <t>VENDSUR02 - Venda cambric 7cm x 3mt VENDSUR</t>
  </si>
  <si>
    <t xml:space="preserve">VENELAPRO02 - Venda elástica 10cm x 3mt SURGIFIX </t>
  </si>
  <si>
    <t>ANT0155</t>
  </si>
  <si>
    <t>COD 1492</t>
  </si>
  <si>
    <t>EURO / MEDIBEL / BIOMEDIK</t>
  </si>
  <si>
    <t>ON CALL PLUS</t>
  </si>
  <si>
    <t>TECNOMEDICA</t>
  </si>
  <si>
    <t>MERENDERO LOS PEQUES</t>
  </si>
  <si>
    <t>PRECIO X CAJA 100 U - MCMHOJ05 - SE VENDE MAS</t>
  </si>
  <si>
    <t>PRECIO X CAJA 100 U - SE VENDE MAS</t>
  </si>
  <si>
    <t>CONTIMED</t>
  </si>
  <si>
    <t>AMC</t>
  </si>
  <si>
    <t>COD 1380 - LARGO 1,1 MT - DIAM 2,8 MM S-28</t>
  </si>
  <si>
    <t>COD 1746 INSTRUMENTAL</t>
  </si>
  <si>
    <t>COD 1748 INSTRUMENTAL</t>
  </si>
  <si>
    <t>COD 672</t>
  </si>
  <si>
    <t xml:space="preserve">COLLAR DE FILADELFIA CHICO </t>
  </si>
  <si>
    <t>HISTEROMETRO DESCART X UN</t>
  </si>
  <si>
    <t>COD 982 - PRECIO X UNIDAD</t>
  </si>
  <si>
    <t>DETECTOR LATIDOS FETALES BOLSILLO</t>
  </si>
  <si>
    <t>BISTOS</t>
  </si>
  <si>
    <t>COD 04429 - MOD BT-200</t>
  </si>
  <si>
    <t>COD 1175 Orinal masculino plástico (papagayo)</t>
  </si>
  <si>
    <t>22G X 1</t>
  </si>
  <si>
    <t>MG BIO / MEDIBEL</t>
  </si>
  <si>
    <t>PARA BOMBAS DE INFUSION</t>
  </si>
  <si>
    <t>ECAM</t>
  </si>
  <si>
    <t>SENSOR OXIMETRIA REUSABLE</t>
  </si>
  <si>
    <t>OXIMAX DURASENSOR DS-100</t>
  </si>
  <si>
    <t>PINZA KOCHER X 24 CM</t>
  </si>
  <si>
    <t>VALVA MALEABLE</t>
  </si>
  <si>
    <t>COD 2985 INSTR</t>
  </si>
  <si>
    <t>COD 674 - NEGRAS</t>
  </si>
  <si>
    <t>COLLARIN P/TRAQUEOTOMIA</t>
  </si>
  <si>
    <t>COD 1180</t>
  </si>
  <si>
    <t>PERA P/TENSIOMETROS</t>
  </si>
  <si>
    <t>PERA PRECORDIAL CHICA</t>
  </si>
  <si>
    <t>P/ECG "PERITA P/ECG CHICOS"  COD ¿?</t>
  </si>
  <si>
    <t>TUBO CORRUGADO P/RESPIRADOR (EXTENSOR)</t>
  </si>
  <si>
    <t>C/SILICONA - NEO</t>
  </si>
  <si>
    <t>CON TRAMPA DE AGUA</t>
  </si>
  <si>
    <t>AGUJA SUTURA GA 213/0 X 12 U</t>
  </si>
  <si>
    <t>AGUJA SUTURA GA 213/00 X 12 U</t>
  </si>
  <si>
    <t>AGUJA SUTURA G 311/2 X 12 U</t>
  </si>
  <si>
    <t>AGUJA SUTURA PD 335/3 X 12 U</t>
  </si>
  <si>
    <t>AGUJA SUTURA PC 333/2 X 12 U</t>
  </si>
  <si>
    <t>AGUJA SUTURA PB 331/7 X 12 U</t>
  </si>
  <si>
    <t>AGUJA SUTURA E 319/5 X 12 U</t>
  </si>
  <si>
    <t xml:space="preserve">ELECTRODO DESCART ADULTO </t>
  </si>
  <si>
    <t>EURO / TECNOMEDICA SRL</t>
  </si>
  <si>
    <t>TUBO ENDOTRAQ N° 3,5 C/BALON</t>
  </si>
  <si>
    <t>KELLBRUSH</t>
  </si>
  <si>
    <t>COD 04387 - PRECIO X 100 U</t>
  </si>
  <si>
    <t>COD 04561 (EX COD 7008) CARCAZA P/HUMIDIF.DESC.NEO/PEDIATRICA - HOTFLOW 220</t>
  </si>
  <si>
    <t>NEO / PREMATUROS EXTREMOS</t>
  </si>
  <si>
    <t>SAN LUCAS / POLY PORT 35%</t>
  </si>
  <si>
    <t>DRA. ADEILAIDA QUADRI (LAILA) 40% JERINGAS</t>
  </si>
  <si>
    <t>PRECIO X UN - CAJA X 50 U</t>
  </si>
  <si>
    <t>S/N P13030357AD37 FACTURADO COMO REPARACION CON IVA 21%</t>
  </si>
  <si>
    <t>TELA ADHES HOSPIT 2,5 CM  X 12 U</t>
  </si>
  <si>
    <t xml:space="preserve">COD 6054 PRECIO X PACK 12 U </t>
  </si>
  <si>
    <t xml:space="preserve">COD 390 PRECIO X PACK 12 U </t>
  </si>
  <si>
    <t xml:space="preserve">COD 407 PRECIO X PACK 12 U </t>
  </si>
  <si>
    <t xml:space="preserve">COD 406 PRECIO X PACK 12 U </t>
  </si>
  <si>
    <t xml:space="preserve">COD 6160 PRECIO X PACK 12 U </t>
  </si>
  <si>
    <t xml:space="preserve">COD 317 PRECIO X PACK 12 U </t>
  </si>
  <si>
    <t xml:space="preserve">COD 327 PRECIO X PACK 12 U </t>
  </si>
  <si>
    <t>COD 638 ANTEOJO DE VISITA TRANSPARENTe</t>
  </si>
  <si>
    <t>COD 618 PRECIO X U - BOLSON X 10 UN</t>
  </si>
  <si>
    <t>COD 653 "COMPRESA IMPERMEABLE Y DESC" BABEROS</t>
  </si>
  <si>
    <t xml:space="preserve">COD 655 PRECIO X 100 U -MADERA </t>
  </si>
  <si>
    <t>COD 6237 "EQUIPO PERICRANEAL"</t>
  </si>
  <si>
    <t>COD 1174 "EQUIPO PERICRANEAL"</t>
  </si>
  <si>
    <t>COD 1692 - PRECIO X U - CAMISOLIN C/ PUÑO ELAST. 100 CM. (30GR.) - OJO NO ES PUÑO RIBB - PAQUETE X 10 U</t>
  </si>
  <si>
    <t>COD 719 O "ENDOTRAQUEAL" O "TRAQUEOFLEX" O "CANULA TRAQUEOSTOMIA"</t>
  </si>
  <si>
    <t xml:space="preserve">COD 04389 CV-50014-BF  ADULTO X 20CM - VIA CENTRAL - P/TERAPIA / CRISTINA HPR="DRUMS" - CENTRAL VENOUS CATHETERIZATION SET / Set CVC 1 lúmen 14G (7fr) 20cms ARROW (CV-50014) - </t>
  </si>
  <si>
    <t xml:space="preserve">COD 818 O CUELLO </t>
  </si>
  <si>
    <t xml:space="preserve">COD 03971 PRECIO X U - BOLSA X 34 U / 4,25MM REF 52434-U </t>
  </si>
  <si>
    <t xml:space="preserve">COD 03972 PRECIO X U - BOLSA X 34 U / 2,75MM REF 52432-U </t>
  </si>
  <si>
    <t xml:space="preserve">COD 1943 PRECIO X U - COD 2228 - Electrodo desc adulto 3M - PACK X 50 UNIDADES - </t>
  </si>
  <si>
    <t xml:space="preserve">COD 872 PRECIO X 100 U O DE EYRE - </t>
  </si>
  <si>
    <t>COD 03638 (HO3300) O CAMPANA DE DRENAJE / CON TAPA SELLADA CON 2 TUBITOS PARA INGRESO/EGRESO / UN USO?</t>
  </si>
  <si>
    <t>C/SILICONA o mascara para ambu</t>
  </si>
  <si>
    <t xml:space="preserve">COD 979 - PRECIO X U - O SUTURA DE LINO </t>
  </si>
  <si>
    <t xml:space="preserve">COD 974 - PRECIO X U </t>
  </si>
  <si>
    <t xml:space="preserve">COD 975 - PRECIO X U </t>
  </si>
  <si>
    <t xml:space="preserve">COD 976 - PRECIO X U </t>
  </si>
  <si>
    <t xml:space="preserve">COD 977 - PRECIO X U </t>
  </si>
  <si>
    <t xml:space="preserve">COD 978 - PRECIO X U </t>
  </si>
  <si>
    <t>COD 04561 (EX COD 6) CARCAZA P/HUMIDIF.DESC.ADULTO - HOTFLOW 330</t>
  </si>
  <si>
    <t>COD 1023 PLASTICO ESTERIL (G3004) - BONEAU - REF G03004</t>
  </si>
  <si>
    <t>COD 7125 INSTRUMENTAL MC INTOSH</t>
  </si>
  <si>
    <t xml:space="preserve">COD 1098 X 25 MTS </t>
  </si>
  <si>
    <t xml:space="preserve">COD 1099 X 25 MTS </t>
  </si>
  <si>
    <t xml:space="preserve">COD 7297 FULLFACE C/ARNES INCLUIDO REF 5428 </t>
  </si>
  <si>
    <t xml:space="preserve">COD 03524 FULLFACE C/ARNES INCLUIDO REF 5429 </t>
  </si>
  <si>
    <t>COD 1144 C/SILICONA - NIÑO</t>
  </si>
  <si>
    <t>COD 1146 C/SILICONA - ADULTO</t>
  </si>
  <si>
    <t>COD 1147 C/SILICONA  - ADULTO GRANDE</t>
  </si>
  <si>
    <t xml:space="preserve">COD 1154 C/SILICONA </t>
  </si>
  <si>
    <t xml:space="preserve">COD 1184 P/ECG MEDIANAS </t>
  </si>
  <si>
    <t xml:space="preserve">COD 2553 O 03853 INSTRUMENTAL RECTA O CURVA??? </t>
  </si>
  <si>
    <t xml:space="preserve">COD 2639 INSTR RUSA </t>
  </si>
  <si>
    <t xml:space="preserve">COD 1276 FREE TRACHEA O TRACH CARE - 40 CM - COD 1276 </t>
  </si>
  <si>
    <t>COD 1277 FREE TRACHEA O TRACH CARE - 40 CM</t>
  </si>
  <si>
    <t xml:space="preserve">COD 1376 "SONDA GASTRICA N° 16 T/K-10 SL-53" </t>
  </si>
  <si>
    <t>COD 1390 "SONDA P/NUTRICION T/K-108 SN-108" - SIMPLE VIA!!! (SILMAG ES DOBLE VIA)</t>
  </si>
  <si>
    <t xml:space="preserve">COD 1377 "GASTRICA N°18 T/K-11 SL-60" </t>
  </si>
  <si>
    <t xml:space="preserve">COD 1378 SM-40 </t>
  </si>
  <si>
    <t>COD 1381 CON REGULADOR - SONDA P/ SUCCION T/K-30P SA-30</t>
  </si>
  <si>
    <t xml:space="preserve">COD 1382 P/ALIM NASOG DE NIÑOS - SONDA NASOGASTRICA NIÑO T/K-31 S-23 </t>
  </si>
  <si>
    <t xml:space="preserve">COD 1383 SONDA P/ SUCCION T/K-31P/26P SA-31 </t>
  </si>
  <si>
    <t xml:space="preserve">COD 1384 SONDA P/ INHAL. O SUCC. T/K-32 SM-50 </t>
  </si>
  <si>
    <t xml:space="preserve">COD 1385 SM-50 P P/ INHALACION O SUCCION </t>
  </si>
  <si>
    <t xml:space="preserve">COD 1386 "NASOGASTRICA INFANTE T/K-33 S-20" </t>
  </si>
  <si>
    <t xml:space="preserve">COD 1387 CON REGULADOR SA-33 </t>
  </si>
  <si>
    <t xml:space="preserve">COD 1389 CON REGULADOR SA-35 </t>
  </si>
  <si>
    <t xml:space="preserve">COD 1375 "SONDA GASTRICA N°12 T/K-09 SL-40" </t>
  </si>
  <si>
    <t xml:space="preserve">COD 1323 "GOMA ROJA" </t>
  </si>
  <si>
    <t xml:space="preserve">COD 1325 GOMA ROJA </t>
  </si>
  <si>
    <t xml:space="preserve">COD 1326 GOMA ROJA </t>
  </si>
  <si>
    <t xml:space="preserve">COD 1370 GOMA ROJA </t>
  </si>
  <si>
    <t xml:space="preserve">COD 1372 GOMA ROJA </t>
  </si>
  <si>
    <t xml:space="preserve">COD 1373 GOMA ROJA </t>
  </si>
  <si>
    <t>COD 04391 PRECIO X CAJA 12 U - SIMIL MICROPORE X 9 MT</t>
  </si>
  <si>
    <t>COD 04392 PRECIO X CAJA 6 U - SIMIL MICROPORE X 9 MT</t>
  </si>
  <si>
    <t>TENSIOMETRO ANER PED SIN ESTET</t>
  </si>
  <si>
    <t>TENSIOMETRO ANER AD CON ESTET</t>
  </si>
  <si>
    <t xml:space="preserve">COD 459 PRECIO X CAJA 50 U </t>
  </si>
  <si>
    <t xml:space="preserve">COD 1539 P/RESUCITADOR - VALVULA PEEP AUTOCLAV. DE 0 A 20 CM (2413) </t>
  </si>
  <si>
    <t xml:space="preserve">COD 1553 Venda ovata 10cm x 3mt AYEP </t>
  </si>
  <si>
    <t xml:space="preserve">COD 1554 Venda ovata 15cm x 3mt AYEP </t>
  </si>
  <si>
    <t>COD 1555 Venda ovata 20cm x 3mt AYEP</t>
  </si>
  <si>
    <t>COD 1561 - O ESMARCH "ROLLO GOMA ELASTICA 10 CM. X 1,50 MT."</t>
  </si>
  <si>
    <t>COD 1562 - "ROLLO GOMA ELASTICA 15 CM. X 1,50 MT."</t>
  </si>
  <si>
    <t>COD 1563 - "ROLLO GOMA ELASTICA 20 CM. X 1,50 MT."</t>
  </si>
  <si>
    <t xml:space="preserve">COD 1564 FRAGUADO RAPIDO - NO COT X 4 MT!! - CAJA X 30 U </t>
  </si>
  <si>
    <t>COD 1565 FRAGUADO RAPIDO - CAJA X 30 U</t>
  </si>
  <si>
    <t>PAÑAL ADULTO EXTRA GRANDE</t>
  </si>
  <si>
    <t>S/N P13030389F431 FACTURADO COMO REPARACION CON IVA 21%</t>
  </si>
  <si>
    <t>COD 583</t>
  </si>
  <si>
    <t>Sensitive / RASURADORAS</t>
  </si>
  <si>
    <t>BOLSA COLECT ORINA AD X 2L T/K 207</t>
  </si>
  <si>
    <t>"BOLSA COLEC ORINA CON 2 GANCHOS" - MCMBOLSA01 - PRECIO UNITARIO - BOLSA X 10 UNIDADES</t>
  </si>
  <si>
    <t>SONDA NASOGASTRICA PED 392-04</t>
  </si>
  <si>
    <t xml:space="preserve">SONDA NASOGASTRICA PED 392-06 </t>
  </si>
  <si>
    <t>SONDA NASOGASTRICA PED 392-07</t>
  </si>
  <si>
    <t>SONDA NASOGASTRICA PED 392-09</t>
  </si>
  <si>
    <t>AGUJA ESPINAL PTA LAPIZ BD 25G 3½"</t>
  </si>
  <si>
    <t>AGUJA ESPINAL PTA LAPIZ BD 27G 3½"</t>
  </si>
  <si>
    <t>90MM</t>
  </si>
  <si>
    <t>PRECIO X PAR</t>
  </si>
  <si>
    <t>ANDADOR TIJERA S/RUEDAS</t>
  </si>
  <si>
    <t>COD 1618 EPOXY O ESMALTADO</t>
  </si>
  <si>
    <t>COD 1617 EPOXY O ESMALTADO</t>
  </si>
  <si>
    <t>COD 6232</t>
  </si>
  <si>
    <t>NO ESTA EN LISTA</t>
  </si>
  <si>
    <t>SOPORTE / MEDIBEL</t>
  </si>
  <si>
    <t>SOPORTE / MG BIO / MEDIBEL</t>
  </si>
  <si>
    <t>S/N P13030340C050 - IN171 - FACTURADO COMO REPARACION CON IVA 21%</t>
  </si>
  <si>
    <t>S/N H12315270DBCD - IN171 - FACTURADO COMO REPARACION CON IVA 21%</t>
  </si>
  <si>
    <t>WELL LEAD / MCM</t>
  </si>
  <si>
    <t>WELL LEAD / ELITE / MCM</t>
  </si>
  <si>
    <t>CANULA DE TRAQUEO C/B N° 9,5</t>
  </si>
  <si>
    <t>SANATORIO RIO NEGRO (SERTEX 45%)</t>
  </si>
  <si>
    <t xml:space="preserve">MASCARA BUCONASAL CPAP MEDIUM FULL FACE  </t>
  </si>
  <si>
    <t>JERINGA X 1CC P/INSULINA S/AG</t>
  </si>
  <si>
    <t>POLICLINICO MODELO CIPOLLETTI</t>
  </si>
  <si>
    <t>JABON/DETERG QUIRURGICO X 1KG</t>
  </si>
  <si>
    <t>PRECIO UNIDAD</t>
  </si>
  <si>
    <t>HOJA DE BISTURI Nº 10 X 100 U</t>
  </si>
  <si>
    <t>REP.MULETA AXILERA</t>
  </si>
  <si>
    <t>REP.MULETA EMPUÑADURA</t>
  </si>
  <si>
    <t>MEDICAL USES</t>
  </si>
  <si>
    <t>CONECTOR EN Y X 22MM -BIFURCADO C/PORT REF 73009</t>
  </si>
  <si>
    <t xml:space="preserve">VENDA OVATA X 20 CM </t>
  </si>
  <si>
    <t>VENDA SMARCH X 10 CM X 1,5MT.</t>
  </si>
  <si>
    <t>VENDA SMARCH X 20 CM X 1,5</t>
  </si>
  <si>
    <t>VENDA SMARCH X 15 CM X 1,5 MT.</t>
  </si>
  <si>
    <t>SANATORIO DEL SOL</t>
  </si>
  <si>
    <t>HPR</t>
  </si>
  <si>
    <t>COD 2491 INSTR</t>
  </si>
  <si>
    <t>KOLER  *</t>
  </si>
  <si>
    <t xml:space="preserve">KOLER  </t>
  </si>
  <si>
    <t>FERULA INFLABLES KIT COMPLETO X 4 PIEZAS ADULTO</t>
  </si>
  <si>
    <t>CONECTOR EN T P/TUB 22MM</t>
  </si>
  <si>
    <t>MEDIBEL/EURO</t>
  </si>
  <si>
    <t>S/N P135895845305 -IN171-</t>
  </si>
  <si>
    <t>S/N P13007090D5A1 - IN171</t>
  </si>
  <si>
    <t>S/N P13006904C438 - IN171</t>
  </si>
  <si>
    <t>AGUJA SUTURA PC 333/0 X 12 U</t>
  </si>
  <si>
    <t>MCM/WELL LEAD</t>
  </si>
  <si>
    <t>COLOPLAST 1782</t>
  </si>
  <si>
    <t>CLINIC SHEEP</t>
  </si>
  <si>
    <t>COD 03704</t>
  </si>
  <si>
    <t xml:space="preserve">MEDIBEL </t>
  </si>
  <si>
    <t>SONDA T/K32 PVC EST P/ASP MUCUS SHINOBI</t>
  </si>
  <si>
    <t>DV</t>
  </si>
  <si>
    <t>=</t>
  </si>
  <si>
    <t xml:space="preserve">KOLER </t>
  </si>
  <si>
    <t>TELA DURAPORE 2,5 CM X 12</t>
  </si>
  <si>
    <t>PINZA HALSTEAD RECTA X 18 CM S/DIENTE</t>
  </si>
  <si>
    <t>BOTA WALKER TAMAÑO CHICO - NUEVA</t>
  </si>
  <si>
    <t>BOTA WALKER TAMAÑO CHICO - USADA</t>
  </si>
  <si>
    <t>BOTA WALKER TAMAÑO MEDIANO -  USADA</t>
  </si>
  <si>
    <t>BOTA WALKER TAMAÑO MEDIANO - NUEVA</t>
  </si>
  <si>
    <t>FUNDAS BOTA WALKER- NUEVAS (2MED/2 G)</t>
  </si>
  <si>
    <t>BASTON CANADIENSE X UNIDAD AD - NUEVO</t>
  </si>
  <si>
    <t>BASTON CANADIENSE X UNIDAD AD - USADO</t>
  </si>
  <si>
    <t>MULETAS ALUMINIO GRANDE - NUEVA</t>
  </si>
  <si>
    <t>MULETAS ALUMINIO MEDIANA - NUEVA</t>
  </si>
  <si>
    <t>MULETAS ALUMINIO PEQUEÑA  -  NUEVA</t>
  </si>
  <si>
    <t>MASCARA DE ANESTESIA N° 00 (NEONATAL)</t>
  </si>
  <si>
    <t>SONDA K 29</t>
  </si>
  <si>
    <t>Sonda t/k29 PVC est p/asp mucus</t>
  </si>
  <si>
    <t>FRASCO VIDRIO P/ASPIRADOR X 1L</t>
  </si>
  <si>
    <t>FRASCO VIDRIO P/ ASPIRADOR SILFAB X 1L FV-1 (COD 3543)</t>
  </si>
  <si>
    <t>TAPA P/ FRASCO ASP. X 1L</t>
  </si>
  <si>
    <t>CON NIPLE Y TRAMPA CO-7</t>
  </si>
  <si>
    <t>CAJA 24 U - HIPOALERGENICA - TELMIC3M03</t>
  </si>
  <si>
    <t>DEALER</t>
  </si>
  <si>
    <t>COD 49 CON MASCARA</t>
  </si>
  <si>
    <t>COD 51 CON MASCARA</t>
  </si>
  <si>
    <t>P/ONCOLOGIA SET AGUJA C/CATETER - P/QUIMIO - P/PORT VENOSO DE TITANIUM DE 7FR X 25 MM- POR UNIDAD</t>
  </si>
  <si>
    <t>COD 1016 "BIGOTERA" REF 3336-E  CANULA DE OXIGENO</t>
  </si>
  <si>
    <t>hipoderm est desc PRECIO X U - CAJA X 100 - 25G X 5/8</t>
  </si>
  <si>
    <t>hipoderm est desc TROCAR 18G  X 1 1/2 CAPUCHON ROSADO</t>
  </si>
  <si>
    <t>hipoderm est desc PRECIO X U - CAJA X 100 - 21G X 1 1/2</t>
  </si>
  <si>
    <t>hipoderm est desc PRECIO X UN - CAJA X 100 - 21G X 2</t>
  </si>
  <si>
    <t>PEDIÁTRICO- ART 1782</t>
  </si>
  <si>
    <t>BOLSA DE COLOSTOMÍA CON ARO 60 MM X 15 U</t>
  </si>
  <si>
    <t>ADULTO- ART. 1683</t>
  </si>
  <si>
    <t>COLOPLAST  1683</t>
  </si>
  <si>
    <t>GUANTES DE VINILO X 100 EXAMEN GRANDE</t>
  </si>
  <si>
    <t>PRECIO X CAJA 100 U</t>
  </si>
  <si>
    <t>TIJERA LISTER MANGO PLASTICO 15 CM</t>
  </si>
  <si>
    <t xml:space="preserve"> GALEMED</t>
  </si>
  <si>
    <t>PARA CPAP Y/O ANESTESIA- SILICONA</t>
  </si>
  <si>
    <t>COD 315</t>
  </si>
  <si>
    <t>COD 654</t>
  </si>
  <si>
    <t>COD 7317- BRAZAL P/ TENSIOM. AD. 2 TUBOS C/ CAMARA (14 X 50 CM.) MI-8012</t>
  </si>
  <si>
    <t>COD 7318- BRAZAL P/ TENSIOM. OBESO C/ CAMARA (21 X 72 CM.) MI-8013</t>
  </si>
  <si>
    <t>COD 704 VA CON PERA PRECORDIAL SOLA - CAMPANA ESPECULO HARTMANN</t>
  </si>
  <si>
    <t>COD 773- CEPILLO ENDOMETRIAL DESC. ENV. INDIV. EST.</t>
  </si>
  <si>
    <t>EUROMIX</t>
  </si>
  <si>
    <t>REGULADOR DE FLUJO</t>
  </si>
  <si>
    <t>MEDISUL</t>
  </si>
  <si>
    <t>ACRÍLICO TECLA AZUL</t>
  </si>
  <si>
    <t>MISTICLIMP</t>
  </si>
  <si>
    <t>DISPENSER P/ LÍQUIDOS</t>
  </si>
  <si>
    <t>COD 607 - EURO ES MÁS BARATO</t>
  </si>
  <si>
    <t xml:space="preserve">PRECIO Y STOCK POR BOLSA DE 25 U -COD 04580 O 1650 - PRECIO X BOLSA DE 25 U - "TRIPLE C/4 TIRAS" </t>
  </si>
  <si>
    <t>AGUJAS HIPODERM ECONOM 16/5</t>
  </si>
  <si>
    <t>AGUJAS HIPODERM ECONOM 25/7</t>
  </si>
  <si>
    <t>AGUJAS HIPODERM ECONOM 25/8</t>
  </si>
  <si>
    <t>AGUJAS HIPODERM ECONOM 40/12</t>
  </si>
  <si>
    <t>AGUJAS HIPODERM ECONOM 40/8</t>
  </si>
  <si>
    <t>AGUJAS HIPODERM ECONOM 50/8</t>
  </si>
  <si>
    <t>AGUJA ESPINAL TUOHY 18G X 3 1/2</t>
  </si>
  <si>
    <t>REF N6205 COD 802 P/RESPIRACION DESCARTABLE NEO SECHRIST C/2 TRAMPAS COD N6205 - CIRCUITO NEO COMPLETO!!!</t>
  </si>
  <si>
    <t xml:space="preserve">CIRCUITO P/ RESP. DESC. NEO C/ 2 TRAMPAS </t>
  </si>
  <si>
    <t>APÓSITO POST EXTRACCIÓN X 250</t>
  </si>
  <si>
    <t xml:space="preserve">BASTON TRIPODE ESMALTADO REGULABLE </t>
  </si>
  <si>
    <t>CONECTOR RECTO ROSCADO C/ TUBBING</t>
  </si>
  <si>
    <t>MGBIO</t>
  </si>
  <si>
    <t>SENSOR DESC. NELLCOR OXIMAX NEO/AD</t>
  </si>
  <si>
    <t>NELLCOR OXIMAX</t>
  </si>
  <si>
    <t>REF 661</t>
  </si>
  <si>
    <t>COD 2355</t>
  </si>
  <si>
    <t>PRESERVATIVO SIN LUBRICAR</t>
  </si>
  <si>
    <t>GUANTES CIRUGIA Nº 6,5 (PAR)</t>
  </si>
  <si>
    <t>ADULTO cod 980</t>
  </si>
  <si>
    <t>ledesma</t>
  </si>
  <si>
    <r>
      <t xml:space="preserve">COD 2020 - BIGOTERA </t>
    </r>
    <r>
      <rPr>
        <b/>
        <sz val="10"/>
        <rFont val="Arial"/>
        <family val="2"/>
      </rPr>
      <t>100% SILICONA</t>
    </r>
  </si>
  <si>
    <t>12Fr</t>
  </si>
  <si>
    <t>MARCRIS</t>
  </si>
  <si>
    <t>MCMTUBEND4CB 16FR</t>
  </si>
  <si>
    <t>MCMTUBEND4SB 16FR</t>
  </si>
  <si>
    <t>MCMTUBEND45CB 18FR</t>
  </si>
  <si>
    <t>MCMTUBEND5SB 20FR</t>
  </si>
  <si>
    <t>COD 1490 PRECIO X U - CAJA X 10 UN 28FR</t>
  </si>
  <si>
    <t>MCMTUBEND6CB 24FR</t>
  </si>
  <si>
    <t>MCMTUBEND55SB 22FR</t>
  </si>
  <si>
    <t>30FR</t>
  </si>
  <si>
    <t>PRECIO X U - CAJA X 10 UN 34FR</t>
  </si>
  <si>
    <t>PRECIO X U COD 971 - MCMHILO01 170MT</t>
  </si>
  <si>
    <t>COD 972 - PRECIO X U 290MT</t>
  </si>
  <si>
    <t>COD 973 - PRECIO X U  375MT</t>
  </si>
  <si>
    <t>SONDAR</t>
  </si>
  <si>
    <t>SONDA 398-12-S REINSERTABLE TIPO K 108</t>
  </si>
  <si>
    <r>
      <t>ADULTO -</t>
    </r>
    <r>
      <rPr>
        <b/>
        <sz val="10"/>
        <rFont val="Arial"/>
        <family val="2"/>
      </rPr>
      <t xml:space="preserve"> ES IGUAL A LA 398-10 </t>
    </r>
    <r>
      <rPr>
        <sz val="10"/>
        <rFont val="Arial"/>
        <family val="2"/>
      </rPr>
      <t>SÓLO QUE EL DIÁMETRO ES UN POQUITO MÁS GRANDE, SIRVE IGUAL</t>
    </r>
  </si>
  <si>
    <t>"EQUIPO PERICRANEAL" COD 6236 CAJA X 100 U.</t>
  </si>
  <si>
    <t>VANGUARDIA</t>
  </si>
  <si>
    <t>WELL LEAD</t>
  </si>
  <si>
    <t xml:space="preserve">VASO HUMIDIFICADOR </t>
  </si>
  <si>
    <t>COD 2881</t>
  </si>
  <si>
    <t>17X12CM</t>
  </si>
  <si>
    <t>CON CARRITO, es pequeño. Se carga una batería que dura 12 hs.</t>
  </si>
  <si>
    <t>CONCENTRADOR DE OXIGENO ESTACIONARIO 5L MODELO EVERFLO</t>
  </si>
  <si>
    <t>DEVILBIS</t>
  </si>
  <si>
    <t>MALLINCROT</t>
  </si>
  <si>
    <t>ORION VIASYS</t>
  </si>
  <si>
    <r>
      <rPr>
        <b/>
        <sz val="10"/>
        <rFont val="Arial"/>
        <family val="2"/>
      </rPr>
      <t>CPAP</t>
    </r>
    <r>
      <rPr>
        <sz val="10"/>
        <rFont val="Arial"/>
        <family val="2"/>
      </rPr>
      <t xml:space="preserve"> DEVILBIS</t>
    </r>
  </si>
  <si>
    <r>
      <rPr>
        <b/>
        <sz val="10"/>
        <rFont val="Arial"/>
        <family val="2"/>
      </rPr>
      <t>CPAP</t>
    </r>
    <r>
      <rPr>
        <sz val="10"/>
        <rFont val="Arial"/>
        <family val="2"/>
      </rPr>
      <t xml:space="preserve"> MALLINCROT</t>
    </r>
  </si>
  <si>
    <r>
      <rPr>
        <b/>
        <sz val="10"/>
        <rFont val="Arial"/>
        <family val="2"/>
      </rPr>
      <t>CPAP</t>
    </r>
    <r>
      <rPr>
        <sz val="10"/>
        <rFont val="Arial"/>
        <family val="2"/>
      </rPr>
      <t xml:space="preserve"> RESPIRONICS C/CALENTADOR SMARVELL (adicionado)</t>
    </r>
  </si>
  <si>
    <r>
      <rPr>
        <b/>
        <sz val="10"/>
        <rFont val="Arial"/>
        <family val="2"/>
      </rPr>
      <t>CPAP</t>
    </r>
    <r>
      <rPr>
        <sz val="10"/>
        <rFont val="Arial"/>
        <family val="2"/>
      </rPr>
      <t xml:space="preserve"> RESPIRONICS C/HUMIDIFICADOR</t>
    </r>
  </si>
  <si>
    <t>Este modelo NO viene con Humidificador entonces se añede un equipitoC/HUMIDIFICADOR</t>
  </si>
  <si>
    <t>BPAP C/HUMIDIFICADOR</t>
  </si>
  <si>
    <r>
      <t xml:space="preserve">COD 2400 INSTR </t>
    </r>
    <r>
      <rPr>
        <b/>
        <sz val="10"/>
        <rFont val="Arial"/>
        <family val="2"/>
      </rPr>
      <t>PINZA MANO IZQUIERDA S/ DIENTES</t>
    </r>
  </si>
  <si>
    <t>LA ANÓNIMA</t>
  </si>
  <si>
    <t xml:space="preserve">PRECIO X PAR MADRE/HIJO- BLANCAS- BOLSA 75UN - </t>
  </si>
  <si>
    <t>PULSERA IDENTIFICACION MADRE/HIJO SET IMPORTADA</t>
  </si>
  <si>
    <t>100ui  - X100 UNIDADES</t>
  </si>
  <si>
    <t>BARBIJOS DESCARTABLES CÓD. 1800 3M</t>
  </si>
  <si>
    <t>BOLSA X 50 UNIDADES - ASEPTEX</t>
  </si>
  <si>
    <t>Portaobjeto borde natural 25.4x76.2mm IMP - MCMPORNAT01 (PRECIO x 50 U.)</t>
  </si>
  <si>
    <t>COD 774 8 HILERAS - CEPILLO MADERA Y CERDA DE 8 HILERAS (CEPILLO, NO DESCARTABLE)</t>
  </si>
  <si>
    <t>PRECIO X U - CAJA X 100</t>
  </si>
  <si>
    <t>CAJA X 250 U tipo CURITAS</t>
  </si>
  <si>
    <t>ANDADOR TIJERA C/ RUEDAS</t>
  </si>
  <si>
    <t>ANDADOR TIJERA S/ RUEDAS</t>
  </si>
  <si>
    <t>PRODUCTO</t>
  </si>
  <si>
    <t>DESCRIPCIÓN</t>
  </si>
  <si>
    <t>ALQUILADOS</t>
  </si>
  <si>
    <t>VANGUARDIA/MB</t>
  </si>
  <si>
    <t>FECHA PRECIO COSTO</t>
  </si>
  <si>
    <t>BOTA WALKER CHICA</t>
  </si>
  <si>
    <t>BOTA WALKER MEDIANA</t>
  </si>
  <si>
    <t>BOTA WALKER PEDIÁTRICA</t>
  </si>
  <si>
    <t>BPAP C/ HUMIDIFICADOR</t>
  </si>
  <si>
    <t>C/ TARJETA DE LECTURA</t>
  </si>
  <si>
    <t>ASPIRADOR DE SECRECIONES</t>
  </si>
  <si>
    <t>ASPIRADOR A DIAFRAGMA C/ FRASCO DE VIDRIO DE 1 LT. N33</t>
  </si>
  <si>
    <t>ASPIRADOR A DIAFRAGMA</t>
  </si>
  <si>
    <r>
      <t xml:space="preserve">DISPONIBLES </t>
    </r>
    <r>
      <rPr>
        <b/>
        <sz val="10"/>
        <color theme="0"/>
        <rFont val="Calibri"/>
        <family val="2"/>
        <scheme val="minor"/>
      </rPr>
      <t>NUEVOS</t>
    </r>
  </si>
  <si>
    <r>
      <t xml:space="preserve">PRECIO COSTO </t>
    </r>
    <r>
      <rPr>
        <b/>
        <sz val="9"/>
        <color theme="0"/>
        <rFont val="Calibri"/>
        <family val="2"/>
        <scheme val="minor"/>
      </rPr>
      <t>(SIN IVA)</t>
    </r>
  </si>
  <si>
    <r>
      <t xml:space="preserve">PRECIO ALQUILER </t>
    </r>
    <r>
      <rPr>
        <b/>
        <sz val="9"/>
        <rFont val="Calibri"/>
        <family val="2"/>
        <scheme val="minor"/>
      </rPr>
      <t xml:space="preserve">(final) </t>
    </r>
  </si>
  <si>
    <t>CAMA ORTOPÉDICA</t>
  </si>
  <si>
    <t>C/ BARANDAS CROMADAS</t>
  </si>
  <si>
    <t xml:space="preserve">COLCHÓN ANTIESCARAS </t>
  </si>
  <si>
    <t>C/ COMPRESOR - COLCHON AIRE C/ MOTOR SECUENCIAL C/ REGULADOR - COD 7200</t>
  </si>
  <si>
    <t>AERA/SILFAB</t>
  </si>
  <si>
    <t>CONCENTRADOR DE OXÍGENO</t>
  </si>
  <si>
    <t>CONCENTRADOR DE OXÍGENO PORTÁTIL</t>
  </si>
  <si>
    <t>BOLSA COLECT ORINA PED 100 ML</t>
  </si>
  <si>
    <t>BASTÓN CANADIENSE</t>
  </si>
  <si>
    <t>NEBULIZADOR</t>
  </si>
  <si>
    <t>CPAP BÁSICO</t>
  </si>
  <si>
    <t>MULETAS ALUMINIO S</t>
  </si>
  <si>
    <t>MULETAS ALUMINIO M</t>
  </si>
  <si>
    <t>MULETAS ALUMINIO L</t>
  </si>
  <si>
    <t>SATURÓMETRO DE BOLSILLO</t>
  </si>
  <si>
    <t>SATURÓMETRO C/ BATERÍA RECARG./SENSOR</t>
  </si>
  <si>
    <t>SATURÓMETRO C/ SENSOR NEONATAL NELLCOR</t>
  </si>
  <si>
    <t>SILLA DE RUEDAS</t>
  </si>
  <si>
    <t>TUBO DE OXÍGENO (C/ MOCHILA)</t>
  </si>
  <si>
    <t>TUBO DE OXÍGENO GRANDE (3 m3)</t>
  </si>
  <si>
    <t>CPAP AUTOFLEX C/ TARJ. LECT</t>
  </si>
  <si>
    <t>LEDESMA/BIOMEDIK</t>
  </si>
  <si>
    <t>10?</t>
  </si>
  <si>
    <t>BASTÓN TRÍPODE ESMALTADO REGULABLE</t>
  </si>
  <si>
    <t>BASTÓN TRÍPODE ALUMINIO REGULABLE</t>
  </si>
  <si>
    <t>M913</t>
  </si>
  <si>
    <t>BASTÓN CUÁDRUPLE ALUMINIO ESMALTADO</t>
  </si>
  <si>
    <t>M911</t>
  </si>
  <si>
    <t>DISPONIBLES USADOS</t>
  </si>
  <si>
    <t>MODELO ESTACIONARIO, 5 LT.</t>
  </si>
  <si>
    <t>SOPORTE VITAL</t>
  </si>
  <si>
    <t>12-AIRSEP/1-MARK5/1-INVACARE</t>
  </si>
  <si>
    <t>HAY CON Y SIN TARJ DE LECT</t>
  </si>
  <si>
    <t>A PISTÓN</t>
  </si>
  <si>
    <t>60X90 CM</t>
  </si>
  <si>
    <t>ACERO CROMADO APOYABRAZOS Y PEDANAS FIJAS IMP. (FS 809-41/FS 809-46) PEDANA FIJA REBATIBLE (SE REBATE, NO SE SACA)</t>
  </si>
  <si>
    <t>COD 1035 UNIDAD (CAJA X 50 U) - 50/60 - CON PICO LUER O PICO FINO - luer excentrico</t>
  </si>
  <si>
    <t>MASCARA NASAL CPAP DE GEL LARGE</t>
  </si>
  <si>
    <t xml:space="preserve">ARNES P/MASCARA CPAP SILICONA </t>
  </si>
  <si>
    <t>COD 1135 CON TUBULADURA</t>
  </si>
  <si>
    <t>RESUCITADOR/AMBU NEONATAL REUSABLE/AMBU</t>
  </si>
  <si>
    <t>BOLSA ANESTESIA 1 L</t>
  </si>
  <si>
    <t>COD 7-6201</t>
  </si>
  <si>
    <t>CONO / ESPECULO  DESC P/OTOSCOPIO ADULTO</t>
  </si>
  <si>
    <t>CONO / ESPECULO  DESC P/OTOSCOPIO PEDIATRICO</t>
  </si>
  <si>
    <t>INMOVILIZADOR CERVICAL ESTANDAR (PAR)</t>
  </si>
  <si>
    <t>PORTA AGUJA TIJERA OLSEN  X 14 CM</t>
  </si>
  <si>
    <t>PAQUETE X 20 U. PRECIO Y STOCK X 20 U.</t>
  </si>
  <si>
    <t>SENSITHERM</t>
  </si>
  <si>
    <t>APOSITO P/ INCONTINENCIA FUERTE X 20 UN</t>
  </si>
  <si>
    <t>SEPID SA (MG BIO)</t>
  </si>
  <si>
    <t>BMC</t>
  </si>
  <si>
    <t>CPAP BMC C/HUMIDIFICADOR</t>
  </si>
  <si>
    <t>N/S CSX15C5K002 MODELO RESMART</t>
  </si>
  <si>
    <t>N/S CSX15C5K014 MODELO RESMART</t>
  </si>
  <si>
    <t>N/S CSX15C5K019 MODELO RESMART</t>
  </si>
  <si>
    <t>N/S CSX15C5K055 MODELO RESMART</t>
  </si>
  <si>
    <t>SONDA FOLEY N°20-3 VIAS</t>
  </si>
  <si>
    <r>
      <rPr>
        <b/>
        <sz val="10"/>
        <rFont val="Arial"/>
        <family val="2"/>
      </rPr>
      <t>CPAP</t>
    </r>
    <r>
      <rPr>
        <sz val="10"/>
        <rFont val="Arial"/>
        <family val="2"/>
      </rPr>
      <t xml:space="preserve"> RESPIRONICS C/ HUMIDIFICADOR </t>
    </r>
    <r>
      <rPr>
        <b/>
        <sz val="10"/>
        <rFont val="Arial"/>
        <family val="2"/>
      </rPr>
      <t>AUTOFLEX</t>
    </r>
  </si>
  <si>
    <t>CANULA DE TRAQUEO C/B N° 5</t>
  </si>
  <si>
    <t>NELATONMCM16 X10U</t>
  </si>
  <si>
    <t>X10U</t>
  </si>
  <si>
    <t>APOSITO TEGADERM 4,4 X 4,4 CM</t>
  </si>
  <si>
    <t xml:space="preserve">MANGO DESC.P/PRES.NO INV.1 TUBO NEO N°3 </t>
  </si>
  <si>
    <t>BC201</t>
  </si>
  <si>
    <t>CLOUD/VIT</t>
  </si>
  <si>
    <t>MANGO DESC.P/PRES.NO INV.1 TUBO NEO N° 4</t>
  </si>
  <si>
    <t>BC251</t>
  </si>
  <si>
    <t>AGUJA ESPINAL TUOHY 16G X 3 1/2</t>
  </si>
  <si>
    <t>PRECIO Y STOCK X CAJA DE 12 UNID.</t>
  </si>
  <si>
    <t>BY-DREAMY-B19 SERIE N° BY-16B19020042</t>
  </si>
  <si>
    <t>BPAP C/HUMIDIFICADOR Y FRECUENCIA</t>
  </si>
  <si>
    <t>COD 04590</t>
  </si>
  <si>
    <t>MANGO P/ELECTROBISTURI DESCART.</t>
  </si>
  <si>
    <t>PRECIO X PAR - LARGO MAX TOTAL 1,33 M REGULABLE</t>
  </si>
  <si>
    <t>CUFF</t>
  </si>
  <si>
    <t>KELMER</t>
  </si>
  <si>
    <t>ROLLO PAPEL ECG 50X30</t>
  </si>
  <si>
    <t xml:space="preserve">TELA DE SEDA </t>
  </si>
  <si>
    <t>BOMBA DE INSUSION MOD ST 1000</t>
  </si>
  <si>
    <t>SILLA DE RUEDAS TIPO ESCRITORIO</t>
  </si>
  <si>
    <t>SONDA FOLEY Nº 18 - 2 VIAS</t>
  </si>
  <si>
    <t>AEROCHAMBER</t>
  </si>
  <si>
    <t>GUANTES MANOPLAS POLIETILENO X 100U</t>
  </si>
  <si>
    <t>COD 1124</t>
  </si>
  <si>
    <t>COLOPLAST</t>
  </si>
  <si>
    <t>(ESPONJITA, DESCARTABLE) Ó CEPILLO DE CIRUGÍA DESCARTABLE  Ó CEPILLO PARA ESPONJAS QUIRURGICO O CEPILLO ESPONJA  - CEPNEU01 - CEPILLO ESTÉRIL</t>
  </si>
  <si>
    <t>CAJA X 6 U 8 METROS</t>
  </si>
  <si>
    <t>UNIV 65CM VELOUR AJUSTABLE</t>
  </si>
  <si>
    <t>UNIV 45CM VELOUR AJUSTABLE</t>
  </si>
  <si>
    <t>PAÑO DE HIGIENE CORPORAL C/MANZANILLA</t>
  </si>
  <si>
    <t xml:space="preserve">EURO </t>
  </si>
  <si>
    <r>
      <t xml:space="preserve">COD 04379 - </t>
    </r>
    <r>
      <rPr>
        <b/>
        <sz val="10"/>
        <rFont val="Arial"/>
        <family val="2"/>
      </rPr>
      <t>BROORI01</t>
    </r>
  </si>
  <si>
    <t xml:space="preserve">CATETER 1 LUMEN 7FR 14 G 20cm </t>
  </si>
  <si>
    <t>medibel</t>
  </si>
  <si>
    <t>tipo SONY - PRECIO X ROLLO- STOCK X ROLLO- CAJA X 5U.-"THERMAL PAPER FOR VIDEO PINTER" O "ROLLO P/ECOGRAFIA 1100-S"</t>
  </si>
  <si>
    <t>COD 1177 CON GEL</t>
  </si>
  <si>
    <t xml:space="preserve">TERMOMETRO DIGITAL </t>
  </si>
  <si>
    <t>COD 1145 C/SILICONA - NIÑO GRANDE/ADOLESCENTE</t>
  </si>
  <si>
    <t>13-19 CM</t>
  </si>
  <si>
    <t>SONDA FOLEY Nº 12 SILIC PURA - 2V</t>
  </si>
  <si>
    <t>SONDAS FOLEY Nº 16 - 2 VIAS</t>
  </si>
  <si>
    <t>COD 943</t>
  </si>
  <si>
    <t>SONDA FOLEY Nº 14 - 2V</t>
  </si>
  <si>
    <t>HOJA DE BISTURI Nº 21 X 100U</t>
  </si>
  <si>
    <t>IMP</t>
  </si>
  <si>
    <t>PRESERVATIVO LUBRICADO</t>
  </si>
  <si>
    <t>914 - SE USA EN LA PARED Y EN LOS CONCENTRADORES DE O2 - FRASCOS P/ OXIGENO 500 CC-FRASCOS HUMIDIFICADORES HUDSON 3230 / PARA CONCENTRADORES DE OXIGENO EN ALQUILER! TAPA VERDE</t>
  </si>
  <si>
    <t xml:space="preserve">CONCENTRADOR DE OXIGENO DOMICILIARIO </t>
  </si>
  <si>
    <t>S/N MZJ5S56883</t>
  </si>
  <si>
    <t>S/N MZJ5S56893</t>
  </si>
  <si>
    <t>S/N MZJ5S56874</t>
  </si>
  <si>
    <t>LONGFIAN JAY5-Q</t>
  </si>
  <si>
    <r>
      <t xml:space="preserve">GUANTES NITRILO CHICOS </t>
    </r>
    <r>
      <rPr>
        <sz val="10"/>
        <color rgb="FFFF0000"/>
        <rFont val="Arial"/>
        <family val="2"/>
      </rPr>
      <t>SIN POLVO</t>
    </r>
  </si>
  <si>
    <r>
      <t xml:space="preserve">GUANTES NITRILO EXAMEN GRANDE </t>
    </r>
    <r>
      <rPr>
        <sz val="10"/>
        <color rgb="FFFF0000"/>
        <rFont val="Arial"/>
        <family val="2"/>
      </rPr>
      <t>SIN POLVO</t>
    </r>
  </si>
  <si>
    <t>CALENTADORES MARCA MARBEL</t>
  </si>
  <si>
    <t>MARBEL</t>
  </si>
  <si>
    <t>N/S CSX1663K132 MODELO RESMART</t>
  </si>
  <si>
    <t>Tapón intermitente O "TAPON P/VENOCLISIS" O "TAPON DE INFUSION" COD 1859 CON LUER LOCK</t>
  </si>
  <si>
    <t>DESCARTADOR AGUJA X 2,2 LTS</t>
  </si>
  <si>
    <t>cumple la función del HUMIDIFICADOR en los CPAP que vienen SIN humidif (entró 1 el 25/10/16 C-500A N/S C2-1023)</t>
  </si>
  <si>
    <t>CPAP BMC C/HUMIDIFICADOR AUTOCPAP</t>
  </si>
  <si>
    <t>S/N MZJ5S56886</t>
  </si>
  <si>
    <t>CONCENTRADOR DE OXIGENO DOMICILIARIO</t>
  </si>
  <si>
    <t>S/N MZJ5S56896</t>
  </si>
  <si>
    <t>STOPER / TAPON INTERMITENTE C/ LUER LOCK</t>
  </si>
  <si>
    <t>FARMACIA CUMBRE</t>
  </si>
  <si>
    <t>LARINGOSCOPIO 3 RAMAS (N°2-3-4)</t>
  </si>
  <si>
    <t>RF</t>
  </si>
  <si>
    <r>
      <rPr>
        <b/>
        <sz val="10"/>
        <rFont val="Arial"/>
        <family val="2"/>
      </rPr>
      <t>CPAP</t>
    </r>
    <r>
      <rPr>
        <sz val="10"/>
        <rFont val="Arial"/>
        <family val="2"/>
      </rPr>
      <t xml:space="preserve"> ORION VIASYS N/S(014862/014069)</t>
    </r>
  </si>
  <si>
    <t>INMOVILIZADOR BRAZO TALLE U</t>
  </si>
  <si>
    <t>DEMA IB</t>
  </si>
  <si>
    <t>MAS GRUESITO… SE ECUCHA MEJOR. Viene con campanas intercambiables: neo, ped y ad. BK3003 NEGRO</t>
  </si>
  <si>
    <t>MASCARA BUCONASAL M</t>
  </si>
  <si>
    <t>MASCARA NASAL CPAP L</t>
  </si>
  <si>
    <t>MASCARA NASAL CPAP S</t>
  </si>
  <si>
    <t>sujeción</t>
  </si>
  <si>
    <r>
      <t xml:space="preserve">SONDA NELATON Nº 16 </t>
    </r>
    <r>
      <rPr>
        <sz val="10"/>
        <color rgb="FFFF0000"/>
        <rFont val="Arial"/>
        <family val="2"/>
      </rPr>
      <t>PVC EST K95</t>
    </r>
  </si>
  <si>
    <t>SEPARADOR BALFOUR M AB. 200MM V. CENTRAL 60X10</t>
  </si>
  <si>
    <t>COD 26-3323</t>
  </si>
  <si>
    <t>SIERRA GIGLI/OLIVAR 40CM 1,2MM</t>
  </si>
  <si>
    <t>JELCO</t>
  </si>
  <si>
    <t>PINZA HALSTEAD 14CM CURVA SIN DIENTE</t>
  </si>
  <si>
    <t>RESUCITADOR/AMBU PEDIATRICO DESCARTABLE</t>
  </si>
  <si>
    <t>COD 1229</t>
  </si>
  <si>
    <t>CATETER URINARIO 14FR.  SPEEDICAT</t>
  </si>
  <si>
    <t>COLOPLAST 28414</t>
  </si>
  <si>
    <t>SONDA FOLEY Nº 24 - 3 VIAS</t>
  </si>
  <si>
    <t>MASCARA NASAL CPAP M</t>
  </si>
  <si>
    <t>MASCARA BUCONASAL S</t>
  </si>
  <si>
    <t>MASCARA BUCONASAL L</t>
  </si>
  <si>
    <t>AGUJA SUTURA G 311/3 X 12 u</t>
  </si>
  <si>
    <t>SONDAS K 27 PEDIATRICA</t>
  </si>
  <si>
    <t>CATETER INTRAV JELCO 16G</t>
  </si>
  <si>
    <t>PULSERA IDENTIFICACION NEONATAL</t>
  </si>
  <si>
    <t>WEST MED /HOSPIT.</t>
  </si>
  <si>
    <t>BPAP C/ HUMIDIFICADOR (SIN FRECUENCIA)</t>
  </si>
  <si>
    <t>POLYSUTURE</t>
  </si>
  <si>
    <t>COD 1070 - REF 30002 CON LUER - LINEA CAPNOG. MACHO MACHO 1,02/3,18 MM. C/ LUER (30002)</t>
  </si>
  <si>
    <t>CLAVIJA 2,5 MM X 12 CM</t>
  </si>
  <si>
    <t>COD 7200 - apex</t>
  </si>
  <si>
    <t>apex</t>
  </si>
  <si>
    <t>CONECTOR CODO 90° STANDARD C/ PORT</t>
  </si>
  <si>
    <t>COD6231 - CONECTOR T P/ TUB. 22 MM. (75037-45-47)</t>
  </si>
  <si>
    <t>cod 4355 - CONECTOR RECTO P/ TUB. 22 MM. (22F 22F) (74059)</t>
  </si>
  <si>
    <t>COD 4357 - (6236)</t>
  </si>
  <si>
    <t>BUJIA HEGARD N° 11 (11mm) DILATADOR UTERINO</t>
  </si>
  <si>
    <t>BUJIA HEGARD N° 9 (9MM) DILATADOR UTERINO</t>
  </si>
  <si>
    <t xml:space="preserve">PINZA HALSTEAD 12,5  CURVA S/DIENTE </t>
  </si>
  <si>
    <t>CLAVIJA 1,00 MM X 12 CM</t>
  </si>
  <si>
    <t>ALAMBRE KIRSCHNER 6 MM X 25CM</t>
  </si>
  <si>
    <t>SUT MONONYLON 4/0 COD NP 43340 COVIDIEN</t>
  </si>
  <si>
    <t>COD 04966</t>
  </si>
  <si>
    <t>REGULADOR A RUEDITA</t>
  </si>
  <si>
    <t>SOLUCION FISIOLOGICA X 500CC</t>
  </si>
  <si>
    <t>SONDAS FOLEY Nº12 - 2 VIAS</t>
  </si>
  <si>
    <t>STOCK X SOBRE</t>
  </si>
  <si>
    <t>TUBO ENDOTRAQ Nº 4,5 C/B</t>
  </si>
  <si>
    <t>PORTA OBJETOS 25,4X76,2MM X 50U.</t>
  </si>
  <si>
    <t>ULTEC PRO KENDALL</t>
  </si>
  <si>
    <t>PRECIO X U - P/ESCARAS  - Aposito hidrocol 10x10cm  REF 9801</t>
  </si>
  <si>
    <t>TUBO CONECTOR DE OXIGENO  X 2MTS</t>
  </si>
  <si>
    <t>*NUEVA*   DESMONTABLE PIES- BRAZOS FS903-46</t>
  </si>
  <si>
    <t>SILLA DE RUEDAS TRANSPORTE</t>
  </si>
  <si>
    <t>CON RESPALDO REBATIBLE Y FRENOS FS976ABJ-43</t>
  </si>
  <si>
    <t>ESTETOSCOPIO T/RAPPAPORT DOBLE CAMP</t>
  </si>
  <si>
    <t>NO son macromax, son MP1000 - MACROMAX es más barato, no lo trabajan más.SE PAGA AL CONTADO - "SET DE BOMBA DAIWHA-PLASTIMED" O PERFUS PARA BOMBA DE INFUSION O SET DE INFUSION PARENTERAL</t>
  </si>
  <si>
    <r>
      <rPr>
        <b/>
        <sz val="10"/>
        <color rgb="FFFF0000"/>
        <rFont val="Arial"/>
        <family val="2"/>
      </rPr>
      <t xml:space="preserve">DIMEX: 33X40CM 30GR. BLANCA </t>
    </r>
    <r>
      <rPr>
        <i/>
        <sz val="10"/>
        <rFont val="Arial"/>
        <family val="2"/>
      </rPr>
      <t xml:space="preserve">- COD 1691 PRECIO X PAR - PAQUETE X 50 - C/TIRAS ALTO 33CM </t>
    </r>
  </si>
  <si>
    <t>MODELO RESMART AUTO</t>
  </si>
  <si>
    <t>AMBO DESCART. MANGA LARGA C/ PUÑO 30GR.</t>
  </si>
  <si>
    <t>AGUJA SUTURA GA 213/08 X 12 U</t>
  </si>
  <si>
    <t>AGUJA HIPODERM ECONOM 13/4</t>
  </si>
  <si>
    <t>JARRA/CAMARA HUMIFICADORA AD/ped/neo (3424)</t>
  </si>
  <si>
    <t>COVIDIEN</t>
  </si>
  <si>
    <t>Nº 32-33</t>
  </si>
  <si>
    <t>BOTA WALKER TALLE 36-37 Nº2</t>
  </si>
  <si>
    <t>BOTA WALKER PEDIÁTRICA TALLE 32-33 Nº5P</t>
  </si>
  <si>
    <t>BOTA WALKER TALLE 38-39 Nº3</t>
  </si>
  <si>
    <t>BOTA WALKER TALLE 40-42 Nº4</t>
  </si>
  <si>
    <t>BOTA WALKER TALLE 45-46</t>
  </si>
  <si>
    <t>BOTA WALKER TALLE 43-44 Nº5</t>
  </si>
  <si>
    <t>Euro</t>
  </si>
  <si>
    <t>CIRCUITO PACIENTE ANESTESIA 2 RAMAS/PEDIATRICO</t>
  </si>
  <si>
    <t>CIRCUITO CORRUGADO PEDIATRICO C/ 2 TRAMPAS</t>
  </si>
  <si>
    <t>TRAMPA DE AGUA PED 15 MM</t>
  </si>
  <si>
    <t>SONDA NELATON Nº18 EST GOMA ROJA</t>
  </si>
  <si>
    <t>VENDA SMARCH X 5 CM X 1.5 MT</t>
  </si>
  <si>
    <t>BK2005 AZUL</t>
  </si>
  <si>
    <t>APOSITO HIDROCOLOIDE C/ ALGINATO 10x10cm</t>
  </si>
  <si>
    <t>CATETER UMBILICAL 3,5Fr. AURINCO</t>
  </si>
  <si>
    <t>CATETER UMBILICAL 5Fr. AURINCO</t>
  </si>
  <si>
    <t>PINZA ROMPE BOLSA DESCARTABLE</t>
  </si>
  <si>
    <t>GUIA V 20 C/ AG.</t>
  </si>
  <si>
    <t>SET DE TRANSFUSION TIPO V-20 C/ AG. - BLISTER</t>
  </si>
  <si>
    <t>PINZA CLAMP BAKEY 22 CM</t>
  </si>
  <si>
    <t>COD 0605-16 INSTRUMENTAL</t>
  </si>
  <si>
    <t>COD 5098 PASO GRUESO INSTRUM</t>
  </si>
  <si>
    <t>COLCHON P/ CAMA ORTOPÉDICA (con tela hospitalaria)</t>
  </si>
  <si>
    <t>AVALOS</t>
  </si>
  <si>
    <t>S/N MZJ5S56882  SAN MARTIN DE LOS ANDES</t>
  </si>
  <si>
    <t>CON TERMINACIÓN LUER</t>
  </si>
  <si>
    <t>SIERRA GIGLI/OLIVAR 50CM 1,2MM</t>
  </si>
  <si>
    <t>COD 1320-50</t>
  </si>
  <si>
    <t>PINZA MAIER (MAYER) DESCARTABLE</t>
  </si>
  <si>
    <t>BASTON CUADRUPLE REGULABLE</t>
  </si>
  <si>
    <t>MS (BC41) c/ mango, base chica/ FS924</t>
  </si>
  <si>
    <r>
      <t xml:space="preserve">BASTON CUADRUPLE REGULABLE </t>
    </r>
    <r>
      <rPr>
        <b/>
        <sz val="10"/>
        <rFont val="Arial"/>
        <family val="2"/>
      </rPr>
      <t>MANGO ACODADO</t>
    </r>
  </si>
  <si>
    <t>FS931</t>
  </si>
  <si>
    <t>ELEVADOR DE INODORO PLÁSTICO C/ TRABA</t>
  </si>
  <si>
    <t>FS810</t>
  </si>
  <si>
    <t>CEPILLO ENDOCERV MEDIBRUSH X 1 U.</t>
  </si>
  <si>
    <t>PROLONGADOR DE OXÍGENO REF 31310</t>
  </si>
  <si>
    <t>COD 831 - PVC ELASTICO 1,9X90X20</t>
  </si>
  <si>
    <t>EURO/ MEDIBEL</t>
  </si>
  <si>
    <t xml:space="preserve">ARNES P/MASCARA NASAL CPAP </t>
  </si>
  <si>
    <t>SULAN</t>
  </si>
  <si>
    <t>PADEMED</t>
  </si>
  <si>
    <t>N/S CTX16B5J286</t>
  </si>
  <si>
    <t>N/S CTX16B5J007</t>
  </si>
  <si>
    <t>N/S CTX1666J271</t>
  </si>
  <si>
    <t>N/S CTX1666J265</t>
  </si>
  <si>
    <t>N/S MZJ5S59837</t>
  </si>
  <si>
    <t>N/S MZJ5S59826</t>
  </si>
  <si>
    <t>N/S MZJ5S59840</t>
  </si>
  <si>
    <t>bolsa x 100u.</t>
  </si>
  <si>
    <t>CAMA ORTOPEDICA C/ 2 BARANDAS CROMADAS</t>
  </si>
  <si>
    <t>EL PRECIO INCLUYE BARANDAS</t>
  </si>
  <si>
    <t>LEDESMA / MB</t>
  </si>
  <si>
    <t>KIT DE VISITA ESTERIL DESCARTABLE</t>
  </si>
  <si>
    <t>30GRS.</t>
  </si>
  <si>
    <t>AEROCAMARA NEONATAL</t>
  </si>
  <si>
    <t>AERO100</t>
  </si>
  <si>
    <t>TIPO K 93 - MASCULINA su40 (Sr. Comallo)</t>
  </si>
  <si>
    <t>BOLSA X 10U. - COLECTOR CITOLOGICO O CITOBRUSH</t>
  </si>
  <si>
    <t>TIJERA TRAUMA - MULTIPROPÓSITO - para cortar ropa/ vendas</t>
  </si>
  <si>
    <t>MANGO BRAZAL P/ PRES. Nº2</t>
  </si>
  <si>
    <t>CLOUD</t>
  </si>
  <si>
    <t>JERINGA X 3CC</t>
  </si>
  <si>
    <t>ÁVALOS EQUIPAMIENTOS</t>
  </si>
  <si>
    <t>euro</t>
  </si>
  <si>
    <t>DISCO PARA ILEOSTOMIA NEONATAL</t>
  </si>
  <si>
    <t>MASCARA NASAL PILLOWS SYSTEM FEALITE S/M/L</t>
  </si>
  <si>
    <t>EURO/ medibel</t>
  </si>
  <si>
    <t>CIRCUITO CORRUGADO P/RESP DESCART. PEDIÁTRICO</t>
  </si>
  <si>
    <t>LONGFIAN JAY5</t>
  </si>
  <si>
    <t>N/S MZJ5S59890 25 KG</t>
  </si>
  <si>
    <t>N/S MZJ5S59840 16 KG</t>
  </si>
  <si>
    <t>ASIENTO GOMA ESPUMA C/ FUNDA CIRCULAR</t>
  </si>
  <si>
    <t>BRAZAL P/ TENSIOM. AD. 2 TUBOS C/ CAMARA (14 X 50 CM.) MI-8012</t>
  </si>
  <si>
    <t>BRAZAL P/ TENSIOM. OBESO C/ CAMARA (21 X 72 CM.) MI-8013</t>
  </si>
  <si>
    <t>BRAZAL P/ TENSIOM. PED. C/ CAMARA (11 X 34 CM.) MI-8010</t>
  </si>
  <si>
    <t>INMOVILIZADOR PIERNA LARGO NUEVO</t>
  </si>
  <si>
    <t>INMOVILIZADOR PIERNA LARGO USADO</t>
  </si>
  <si>
    <t>UNIV</t>
  </si>
  <si>
    <t xml:space="preserve">MASCARA BUCONASAL CPAP SMALL FULL FACE </t>
  </si>
  <si>
    <t>HEMOSUCTOR 14FG</t>
  </si>
  <si>
    <t>MARTORANI</t>
  </si>
  <si>
    <t>VALVULA DE PEEP ADULTO AUTOCLAV.</t>
  </si>
  <si>
    <t>MANGO DESC P/PRES NO INV 1 TUBO NIÑO</t>
  </si>
  <si>
    <t>FILTRO PARA ASPIRADOR SILFAB</t>
  </si>
  <si>
    <t>DRAGER</t>
  </si>
  <si>
    <t>RIÑONERA AC. INOX. 25CM</t>
  </si>
  <si>
    <t>COD  02758</t>
  </si>
  <si>
    <t>BOLSA X 100U.</t>
  </si>
  <si>
    <t>SEPID SA</t>
  </si>
  <si>
    <t>DIU T KUPFER 380 STANDARD</t>
  </si>
  <si>
    <t>T/NOVA</t>
  </si>
  <si>
    <t>HOJA DE BISTURI Nº 24 X 100 U.</t>
  </si>
  <si>
    <t>BASTON ALUMINIO REGULABLE imp.</t>
  </si>
  <si>
    <t>FS929L</t>
  </si>
  <si>
    <t>FS961L</t>
  </si>
  <si>
    <t>FS9632L</t>
  </si>
  <si>
    <t>MASCARA BUCONASAL CPAP LARGE FULL FACE</t>
  </si>
  <si>
    <t>05111 (5437)</t>
  </si>
  <si>
    <t>COD 801 - UNIVERSAL SIN TRAMPA</t>
  </si>
  <si>
    <t>RAMA PARA LARINGOSCOPIO Nº2</t>
  </si>
  <si>
    <t>SONDA FOLEY Nº 10 - 2 VIAS</t>
  </si>
  <si>
    <t>HIDROGASA</t>
  </si>
  <si>
    <t xml:space="preserve">PRECIO X SOBRE de 10 TROZOS  </t>
  </si>
  <si>
    <t>GASA ESTERIL 20 X 20 (SOBRE X 4 TROZOS)</t>
  </si>
  <si>
    <t>CAMPO ESTÉRIL 0,60 X 0,60 MT 30 GR.</t>
  </si>
  <si>
    <t>ZALEA DESCARTABLE X 10U.</t>
  </si>
  <si>
    <t>CATETER INTRAV JELCO 22G</t>
  </si>
  <si>
    <t>CATETER INTRAV  14G</t>
  </si>
  <si>
    <t>BIONPRO</t>
  </si>
  <si>
    <t>COD 1143 C/SILICONA  53011</t>
  </si>
  <si>
    <t>FULL WALKER</t>
  </si>
  <si>
    <t>BOTA WALKER TAMAÑO GRANDE NUEVA</t>
  </si>
  <si>
    <t>ELEVADOR DE INODORO C/ MANIJAS</t>
  </si>
  <si>
    <t>NEBULIZADOR A PISTÓN N23 "PIU VENTO"</t>
  </si>
  <si>
    <t>MEDIBEL/ VANGUARDIA</t>
  </si>
  <si>
    <t>VAPORIZADOR DE AMBIENTES</t>
  </si>
  <si>
    <t>MEDIBEL/VANGUARDIA</t>
  </si>
  <si>
    <t>TIJERA DE CURACION RECTA R/A 16 CM</t>
  </si>
  <si>
    <t>HUMIDIFICADOR DE AMBIENTES</t>
  </si>
  <si>
    <t>IVOLVE</t>
  </si>
  <si>
    <t>S/N 9409 vendido NIRIAN NELIDA PAULA</t>
  </si>
  <si>
    <t>COLCHON ANTI ESCARAS C/COMPRESOR - MCM</t>
  </si>
  <si>
    <t>SONDA FOLEY Nº20 SILIC PURA 2V</t>
  </si>
  <si>
    <t>SONDA FOLEY Nº22 SILIC PURA 2V</t>
  </si>
  <si>
    <t>ALMOHADON CUADRADO BLANDO</t>
  </si>
  <si>
    <t>IONA RF007 (CON AGUJERO CENTRAL)</t>
  </si>
  <si>
    <t xml:space="preserve">PINZA KOCHER X 18 CM RECTA </t>
  </si>
  <si>
    <t>MCM CH</t>
  </si>
  <si>
    <t>DESCARTADOR AGUJA X 4.5 LT</t>
  </si>
  <si>
    <t>CATETER INTRAV JELCO 24G</t>
  </si>
  <si>
    <t>CONECTOR MM/HH  RECTO (LADOS IGUALES P/TUB22mm)</t>
  </si>
  <si>
    <t>TIJERA DE CURACION RECTA A/A 13 CM</t>
  </si>
  <si>
    <t>Y KIT DE REPARACIÓN</t>
  </si>
  <si>
    <t>PORTA SUERO BASE METÁLICA 5 PATAS 4 GANCHOS</t>
  </si>
  <si>
    <t>RNL-G7</t>
  </si>
  <si>
    <t>REGULABLE EN ALTURA, CON BACINILLA FS810</t>
  </si>
  <si>
    <t>SILLA PARA BAÑO</t>
  </si>
  <si>
    <t>CUBRE COLCHON 2 PLAZAS</t>
  </si>
  <si>
    <t>INMOVILIZADOR PIERNA CORTO (NUEVO)</t>
  </si>
  <si>
    <t>ROLLO PAPEL ECG 60X30</t>
  </si>
  <si>
    <t>PINZA ROMPE BOLSA DESCARTABLE ESTÉRIL / POZZI-ERINA</t>
  </si>
  <si>
    <t>T/NELLCOR</t>
  </si>
  <si>
    <t>SENSOR OXIMETRIA NEONATAL EN Y   BIOGENESIS</t>
  </si>
  <si>
    <t>SENSOR OXIMETRIA PINZA REUSABLE  BIOGENESIS</t>
  </si>
  <si>
    <t>CONECTOR RECTO P/ TUB. 22mm (22M 22M)</t>
  </si>
  <si>
    <t>(74056) CÓD. 05287</t>
  </si>
  <si>
    <t>Beltom</t>
  </si>
  <si>
    <t>SUT MONONYLON 2/0 COD NP 44320</t>
  </si>
  <si>
    <t>25mm</t>
  </si>
  <si>
    <t>PICO CATETER - CONO LUER</t>
  </si>
  <si>
    <t>JERINGA X 60CC TOOMEY</t>
  </si>
  <si>
    <t xml:space="preserve">BAJALENGUAS PEDIATRICO X 100 UN </t>
  </si>
  <si>
    <t>CLERICOT</t>
  </si>
  <si>
    <t>MUÑEQUERA NEOPRENE TALLE 4</t>
  </si>
  <si>
    <t xml:space="preserve">SUT MONONYLON 3/0 COD NP 69330 E RECTA </t>
  </si>
  <si>
    <t>60mm</t>
  </si>
  <si>
    <t>bionpro</t>
  </si>
  <si>
    <t>shinobi</t>
  </si>
  <si>
    <t>BOLSA RESERV. P/ RESUCIT. ADULTO AUTOCLAV. 2500ML</t>
  </si>
  <si>
    <t>incluye barandas</t>
  </si>
  <si>
    <t>20mm</t>
  </si>
  <si>
    <t>MULTIPROPÓSITO-Máscara de oxígeno adulto reg -6 esc- HG VENTURI - MASOXI02 SIN TUBULADURA HG 4013</t>
  </si>
  <si>
    <t>TIPO K 93 - FEMENINA SU-40F</t>
  </si>
  <si>
    <t>PERA PRECORDIAL SOLA P/FUKUDA MEDIANAS (AD/PED)</t>
  </si>
  <si>
    <t>HG 1032</t>
  </si>
  <si>
    <t>LANCETA PARA SANGRE X 100U.</t>
  </si>
  <si>
    <t>JARRA/CAMARA HUMIDIFICADORA FISHER&amp;PAYKEL 385</t>
  </si>
  <si>
    <t>FISCHER</t>
  </si>
  <si>
    <t>GUTE HAND</t>
  </si>
  <si>
    <t>CONECTOR RECTO COD 1659</t>
  </si>
  <si>
    <t>CONECTOR EN Y X 22MM REF 73006  / 77321</t>
  </si>
  <si>
    <t>CONECTOR EN Y X 15 MM</t>
  </si>
  <si>
    <t>GASA ESTERIL 10 X 10</t>
  </si>
  <si>
    <t>ALMOHADÓN REDONDO GOMA ESPUMA con FUNDA</t>
  </si>
  <si>
    <t>R F001-E (CON AGUJERO CENTRAL)</t>
  </si>
  <si>
    <t>ALMOHADON BASTONADO CUADRADO (RF004) FORLANO</t>
  </si>
  <si>
    <t>LAMPARA P/LARINGOSC ESTRIADA PASO GRUESO</t>
  </si>
  <si>
    <t>TIJERA DE CURACION RECTA R/R 20 CM</t>
  </si>
  <si>
    <t>DESCARTADOR DE BOLSILLO (30U.)</t>
  </si>
  <si>
    <t>DIU H KUPFER 250 MINI MULTILOAD</t>
  </si>
  <si>
    <t>SUPER MASK 1325</t>
  </si>
  <si>
    <t>AGUJA HIPODERM ECONOM 13/3</t>
  </si>
  <si>
    <r>
      <t xml:space="preserve">N/S CSX15C5K025 MODELO RESMART </t>
    </r>
    <r>
      <rPr>
        <sz val="10"/>
        <color rgb="FFFF0000"/>
        <rFont val="Arial"/>
        <family val="2"/>
      </rPr>
      <t>(se vendió a LO IACONO 5/7/18)</t>
    </r>
  </si>
  <si>
    <t>S/N P149289889A35 - IN561S REMSTAR</t>
  </si>
  <si>
    <t>SIGLO XXI</t>
  </si>
  <si>
    <t>AGUA BIDESTILADA X 1LT</t>
  </si>
  <si>
    <t>CAJA X 50 UNIDADES</t>
  </si>
  <si>
    <t>DRENAJE `PLEURAL ST-95</t>
  </si>
  <si>
    <t>EURO/MEDIBEL</t>
  </si>
  <si>
    <t>ESTERIL X 100 UNIDADES</t>
  </si>
  <si>
    <t>CAJA X 100  -  LAVANDA</t>
  </si>
  <si>
    <t>GASA CORTADA DE 5 X 5 CM X 450 GRS</t>
  </si>
  <si>
    <t>750CC  /  BOLSA X 10 UNID)</t>
  </si>
  <si>
    <t>ESPECULO DESCARTABLE MEDIANOS ESTÁNDAR</t>
  </si>
  <si>
    <t>BOLSA COLECT ORINA AMBULAT K 206 N3B 750CC</t>
  </si>
  <si>
    <t>BOLSA COLECT K 206 N1B 750CC</t>
  </si>
  <si>
    <t>CO1000</t>
  </si>
  <si>
    <t>PHASCO</t>
  </si>
  <si>
    <t xml:space="preserve">PINZA ADSON 12CM SIN DIENTE </t>
  </si>
  <si>
    <t>SUT MONONYLON 3/0 COD NP 43330 COVIDIEN</t>
  </si>
  <si>
    <t>FRASCO PLASTICO P/ASPIRADOR X 1LTS</t>
  </si>
  <si>
    <t>COD 1724 PRECIO X U - PAQUETE X 10 UN - "FUNDA P/CAMILLA ELAST 01X2M 30 GR"  - CAMILLERO // EURO: 0,8X2mt 30Gr.</t>
  </si>
  <si>
    <t>RAMA PARA LARINGOSCOPIO Nº0</t>
  </si>
  <si>
    <t xml:space="preserve">CON TUBULADURA - HG 5043A </t>
  </si>
  <si>
    <t>TOPSAL</t>
  </si>
  <si>
    <t>DIMEX</t>
  </si>
  <si>
    <t>PORT VENOSO ADULTO TITANIUM 7FR</t>
  </si>
  <si>
    <r>
      <t xml:space="preserve">MICRONEBULIZADOR AD. </t>
    </r>
    <r>
      <rPr>
        <b/>
        <sz val="10"/>
        <rFont val="Arial"/>
        <family val="2"/>
      </rPr>
      <t>COMPLETO</t>
    </r>
  </si>
  <si>
    <r>
      <t xml:space="preserve">MICRONEBULIZADOR PED. </t>
    </r>
    <r>
      <rPr>
        <b/>
        <sz val="10"/>
        <rFont val="Arial"/>
        <family val="2"/>
      </rPr>
      <t>COMPLETO</t>
    </r>
    <r>
      <rPr>
        <sz val="10"/>
        <rFont val="Arial"/>
        <family val="2"/>
      </rPr>
      <t xml:space="preserve"> (2) (c/ másc + elást + tub)</t>
    </r>
  </si>
  <si>
    <t>FS915L</t>
  </si>
  <si>
    <t>ANDADOR ALUMINIO DOBLE AGARRE - PASO/PASO reg. Pleg.</t>
  </si>
  <si>
    <t>ANDADOR ALUMINIO SIMPLE - PASO/PASO reg. Pleg.</t>
  </si>
  <si>
    <t>ANDADOR ALUMINIO C/ ASIENTO reg. Pleg.</t>
  </si>
  <si>
    <t>MASCARA OXIGENO C/REGUL ADUL completa</t>
  </si>
  <si>
    <t>CAJA X 100 - LAVANDA</t>
  </si>
  <si>
    <t>GUANTES EXAMEN LATEX XS X 100U.</t>
  </si>
  <si>
    <t xml:space="preserve">GUANTES EXAMEN LATEX CHICOS X 100 UN </t>
  </si>
  <si>
    <t>GUANTES EXAMEN LATEX GRANDES X 100 UN</t>
  </si>
  <si>
    <t xml:space="preserve">GUANTES EXAMEN LATEX MEDIANOS X 100 UN </t>
  </si>
  <si>
    <t>AGUJAS HIPODERM ECONOM 25/12</t>
  </si>
  <si>
    <t>18G x 1"</t>
  </si>
  <si>
    <t>SUT T/VICRYL 4/0 241040</t>
  </si>
  <si>
    <t>26mm</t>
  </si>
  <si>
    <t>SUT MONONYLON 5/0 COD NP43350 COVIDIEN</t>
  </si>
  <si>
    <t>INODORO PORTÁTIL FIJO C/ RESPALDO ELEVABLE</t>
  </si>
  <si>
    <t>FRASCO P/ALIMENT ENTERAL 2 PICOS X 600CC</t>
  </si>
  <si>
    <t>PINZA HALSTEAD 14 CM SIN DIENTE RECTA</t>
  </si>
  <si>
    <t>MOSQUITO</t>
  </si>
  <si>
    <t>TIJERA MAYO CURVA 14 CM</t>
  </si>
  <si>
    <t>INODORO PORTÁTIL t/silla plegable C/ RESPALDO, c APOYABRAZO</t>
  </si>
  <si>
    <r>
      <rPr>
        <b/>
        <sz val="10"/>
        <color indexed="8"/>
        <rFont val="Arial"/>
        <family val="2"/>
      </rPr>
      <t>NO REGULABLE EN ALTURA</t>
    </r>
    <r>
      <rPr>
        <sz val="10"/>
        <color indexed="8"/>
        <rFont val="Arial"/>
        <family val="2"/>
      </rPr>
      <t xml:space="preserve">, CON BACINILLA, ESMALTADO C/APOYABRAZO </t>
    </r>
    <r>
      <rPr>
        <b/>
        <sz val="10"/>
        <color rgb="FFFF0000"/>
        <rFont val="Arial"/>
        <family val="2"/>
      </rPr>
      <t>FS899</t>
    </r>
  </si>
  <si>
    <t>MANGO (RESPUESTO) PARA TENS. DIG. BRAZAL</t>
  </si>
  <si>
    <t>MELIPAL 0661</t>
  </si>
  <si>
    <t>COLCHON ANTIESCARAS C/ COMPRESOR - MELIPAL</t>
  </si>
  <si>
    <t>H5-P</t>
  </si>
  <si>
    <t>COLCHON ANTIESCARAS REPUESTO</t>
  </si>
  <si>
    <t>MELIPAL PARA H5-P (COLCHONETA + KIT)</t>
  </si>
  <si>
    <t>NATURE TOUCH</t>
  </si>
  <si>
    <t xml:space="preserve">APOSITO GASA-ALGODON 10 X 20 CM </t>
  </si>
  <si>
    <t>con tubuladura GALEMED 3645 100%</t>
  </si>
  <si>
    <t>TUBULADURA 22MM HUDSON 1417</t>
  </si>
  <si>
    <t>BOLSA X 100U. Tipo beachan</t>
  </si>
  <si>
    <t>RECOLECTOR ORINA EST X 120/125 ML</t>
  </si>
  <si>
    <t>NIPRO/ EUROMIX</t>
  </si>
  <si>
    <t>TOP GLOVE</t>
  </si>
  <si>
    <t xml:space="preserve">CINTA/ROLLO P/VAPOR 18MM X 50M </t>
  </si>
  <si>
    <t>ÁVALOS EQUIP./FABORT</t>
  </si>
  <si>
    <t>TIJERA DE CURACION RECTA R/R 14 / 15 CM</t>
  </si>
  <si>
    <t>PINZA DISECCION 14,5CM</t>
  </si>
  <si>
    <t>HEMATURICA</t>
  </si>
  <si>
    <t>REGULADOR DE FLUJO C/PRO LUER LOCK</t>
  </si>
  <si>
    <t>AGUJA HIPODERMICA 25/6</t>
  </si>
  <si>
    <t>23X1 X 100U</t>
  </si>
  <si>
    <t>COD 1962</t>
  </si>
  <si>
    <t>COD 832</t>
  </si>
  <si>
    <t>PASTA KARAYA 60 GR.</t>
  </si>
  <si>
    <t>BOLSA COLOSTOMIA REC 10-70MM X 30U</t>
  </si>
  <si>
    <t>COD 893 - X 50 CM  -      zimmer=férula digital</t>
  </si>
  <si>
    <t xml:space="preserve">COD 894 - X 50 CM </t>
  </si>
  <si>
    <t>COD 895 - X 50 CM -</t>
  </si>
  <si>
    <t>GASA ESTERIL 30 X 30 (CAJA X 2 SOBRES)</t>
  </si>
  <si>
    <t>HOJA DE BISTURI N° 20 X 100U</t>
  </si>
  <si>
    <t>COLOPLAST 2650</t>
  </si>
  <si>
    <t xml:space="preserve"> WELL LEAD</t>
  </si>
  <si>
    <t xml:space="preserve">WELL LEAD </t>
  </si>
  <si>
    <t>BOLSA X 100</t>
  </si>
  <si>
    <t>COD 892 - X 50 CM - BOLSA X 5 UNIDADES PRECIO X UNIDAD    ZIMMER= INMOVILIZADORA</t>
  </si>
  <si>
    <t>FERULA ZIMMER X 10MM X 5UN (PRECIO UNITARIO)</t>
  </si>
  <si>
    <t>FERULA ZIMMER X 15MM X 5UN ( PERCIO UNITARIO)</t>
  </si>
  <si>
    <t xml:space="preserve">FERULA ZIMMER X 20MM X 5UN (PRECIO UNITARIO) </t>
  </si>
  <si>
    <t xml:space="preserve">FERULA ZIMMER X 25MM X 5UN (PRECIO UNITARIO) </t>
  </si>
  <si>
    <t>SOBRES SUELTOS cantidad 4 trozos</t>
  </si>
  <si>
    <t>ASIENTO GINECOLOGICO X 100 UN (COMPRESA)</t>
  </si>
  <si>
    <t>ESTERILIZADA</t>
  </si>
  <si>
    <t>COLLAR DE FILADELFIA EXTRA GRANDE</t>
  </si>
  <si>
    <t>PINZA KOCHER X 14 CM CURVA</t>
  </si>
  <si>
    <t>PAÑAL ADULTO EXTRA GRANDE BOLSON X20</t>
  </si>
  <si>
    <t>COD 1176 O COD 03610 X UN O COD 04486 X 100U- PRECIO X UN -  BOLSON X 50 (4X20) - C/GEL</t>
  </si>
  <si>
    <t>17mm</t>
  </si>
  <si>
    <t>CON FRASCO PVC 1 LT. C/VACUOMETRO</t>
  </si>
  <si>
    <t>INODORO PORTÁTIL t/silla plegable S/ RESPALDO ELEVABLE, REG. ALT.</t>
  </si>
  <si>
    <t>GUANTES CIRUGIA N°8,5 (PAR)</t>
  </si>
  <si>
    <t>Cánula c/tubo PVC 6.3mm t/K 66 est p/asp SHINOBI - CANULA DE ASPIRACION QUIRURGICA / CANULA DE ASPIRACION CAMPO QUIRURGICO - TK66SHI "CON AGUJERITO"</t>
  </si>
  <si>
    <t>COD.230 CAJA X144U</t>
  </si>
  <si>
    <t>MCM/EUROMIX</t>
  </si>
  <si>
    <t>P/DRENAJE QUIRURGICO</t>
  </si>
  <si>
    <t>SURGSUPPLY</t>
  </si>
  <si>
    <t>EUROMIX/MCM</t>
  </si>
  <si>
    <t>GUANTES NITRILO EXAMEN MEDIANO SIN POLVO</t>
  </si>
  <si>
    <t>CAJA X100 -LAVANDA</t>
  </si>
  <si>
    <t>GUIA V17 MICROGOTERO con reg. Plást.</t>
  </si>
  <si>
    <t>21G X 1 INTRAMUSCULAR X100</t>
  </si>
  <si>
    <t>SONDA FOLEY N° 20 2 VIAS</t>
  </si>
  <si>
    <t>30G x 1/2" CAJA X100</t>
  </si>
  <si>
    <t>SKINTACT</t>
  </si>
  <si>
    <t>JERINGA DE 5 CC S/AG  MARCA BD</t>
  </si>
  <si>
    <t>EURO/TECNOMEDICA</t>
  </si>
  <si>
    <t>CINTA P/MEDIR DIAMETRO ENCEFALICO</t>
  </si>
  <si>
    <t>VARA</t>
  </si>
  <si>
    <t>TORNIQUETE P/HEMOSTASIA AJUSTABLE</t>
  </si>
  <si>
    <t>MCM /WELL LEAD</t>
  </si>
  <si>
    <t>MCM/ WELL LEAD</t>
  </si>
  <si>
    <t>PRECIO UNIDAD ,CAJA X 25 U</t>
  </si>
  <si>
    <t>TENSIOMETRO ANER PARED CUADRADO</t>
  </si>
  <si>
    <t>AGUJA ESPINAL 18G 3½"</t>
  </si>
  <si>
    <t>GUIA V 14 / PERFUS 1 MACROGOT C/chapita</t>
  </si>
  <si>
    <t>meditrace 200 PAQUETE X 100</t>
  </si>
  <si>
    <t>AGUJAS POLY PORT HUBER 19G X 25 MM ( PRESENT CAJA X 10 UN)</t>
  </si>
  <si>
    <t xml:space="preserve">CAJA X100 </t>
  </si>
  <si>
    <t xml:space="preserve">27G x 1/2"  </t>
  </si>
  <si>
    <t>COD 4928 CELESTES HMI</t>
  </si>
  <si>
    <t xml:space="preserve">SET DE INFUSION TIPO HUBER VTO: 27/11/2021 PRECIO X UNIDAD </t>
  </si>
  <si>
    <t>CIRCUITO P/ RESPIRADOR 2 RAMAS AD. 1,8MT (9005)</t>
  </si>
  <si>
    <t>HOJA DE BISTURI N°10 X100U</t>
  </si>
  <si>
    <t>PRECIO X CAJA 100U</t>
  </si>
  <si>
    <t>ALBION</t>
  </si>
  <si>
    <t xml:space="preserve">PRECIO X U - CAJA X 10 U - MINIMETRADO - CARDIO PRINT INNOMED - ART Q21 </t>
  </si>
  <si>
    <t>SUT T/VICRYL 2/0 241020</t>
  </si>
  <si>
    <t>KENDALL</t>
  </si>
  <si>
    <t>CAJA X 10</t>
  </si>
  <si>
    <t>SURMESH</t>
  </si>
  <si>
    <t>SIN AGUJA - Guia p/adm sol macro t/V14 (AD14) - TV14ADM- Nº1 c/ruedita</t>
  </si>
  <si>
    <t>COFIA DESCARTABLE X 100</t>
  </si>
  <si>
    <t>AURINCO/CLERICOT</t>
  </si>
  <si>
    <r>
      <t>MCMLLAVE01 CAJA X 200U</t>
    </r>
    <r>
      <rPr>
        <b/>
        <sz val="10"/>
        <rFont val="Arial"/>
        <family val="2"/>
      </rPr>
      <t xml:space="preserve"> (CAJA X 50U EUROMIX)</t>
    </r>
  </si>
  <si>
    <t>MCM /EUROMIX</t>
  </si>
  <si>
    <r>
      <t xml:space="preserve">RESUCITADOR ADULTO DESCARTABLE </t>
    </r>
    <r>
      <rPr>
        <b/>
        <sz val="10"/>
        <rFont val="Arial"/>
        <family val="2"/>
      </rPr>
      <t>SIN VÁLVULA PEEP</t>
    </r>
    <r>
      <rPr>
        <sz val="10"/>
        <rFont val="Arial"/>
        <family val="2"/>
      </rPr>
      <t xml:space="preserve"> /AMBU</t>
    </r>
  </si>
  <si>
    <r>
      <t>WELL LEAD /</t>
    </r>
    <r>
      <rPr>
        <b/>
        <sz val="10"/>
        <rFont val="Arial"/>
        <family val="2"/>
      </rPr>
      <t>AURINCO</t>
    </r>
  </si>
  <si>
    <t>ROLLO PAPEL ECG 63X30</t>
  </si>
  <si>
    <t>IMPORTADO</t>
  </si>
  <si>
    <t>MEDIBRUSCH</t>
  </si>
  <si>
    <t>GASA CORTADA DE 20 X 20 CM X 450 GRS</t>
  </si>
  <si>
    <t>COLOPLAST 5985</t>
  </si>
  <si>
    <t>CLAVIJA 1,50 MM X 12 CM</t>
  </si>
  <si>
    <t>SUEZ</t>
  </si>
  <si>
    <r>
      <t>SHINOBI</t>
    </r>
    <r>
      <rPr>
        <b/>
        <sz val="10"/>
        <rFont val="Arial"/>
        <family val="2"/>
      </rPr>
      <t>/ WELL LEAD</t>
    </r>
  </si>
  <si>
    <t>COLOPLAST 5787</t>
  </si>
  <si>
    <t>BOLSA ILEOSTOMIA CON ARO 40MM X 15U ( PEDIATRICA )</t>
  </si>
  <si>
    <t xml:space="preserve">SUT T/VICRYL 5/0 2210-50 </t>
  </si>
  <si>
    <t xml:space="preserve">HILO DE LINO N° 50 </t>
  </si>
  <si>
    <t>MELIPAL/TENSO</t>
  </si>
  <si>
    <t>LUCIANO</t>
  </si>
  <si>
    <t>TELCSORPAR</t>
  </si>
  <si>
    <t>VENDA ELASTICA 15 CM</t>
  </si>
  <si>
    <t>GASA 15X15 ( X 6 SOBRES, PRECIO X SOBRE )</t>
  </si>
  <si>
    <t>CLAVIJA 0,80 MM X 12 CM</t>
  </si>
  <si>
    <t>reforzado  FS926</t>
  </si>
  <si>
    <t>DE ALUMINIO DOBLE REGULACION FS933L STOCK: POR UNIDAD (NO X PAR) FS933L</t>
  </si>
  <si>
    <t>NEBULIZADOR .PISTON  MOD 1002 SERIE L</t>
  </si>
  <si>
    <t xml:space="preserve">OXIMETRO DE PULSO ADULTO/PED DE DEDO MD300C </t>
  </si>
  <si>
    <t xml:space="preserve"> BELMED </t>
  </si>
  <si>
    <t>SONDA NELATON Nº 12 PVC KOLER MASCULINA</t>
  </si>
  <si>
    <t>SONDA NELATON Nº12 PVC KOLER FEMENINA</t>
  </si>
  <si>
    <t>SONDA NELATON Nº 14 PVC EST K94</t>
  </si>
  <si>
    <t>SONDA NELATON N° 22 (GOMA ROJA)</t>
  </si>
  <si>
    <t>JERINGA X20CC BD</t>
  </si>
  <si>
    <t>TELA TRANSPORE 1,25 CM X 24</t>
  </si>
  <si>
    <t xml:space="preserve">PORTA AGUJA MAYO HEGAR 24 CM </t>
  </si>
  <si>
    <t xml:space="preserve">TIJERA HALSTED RECTA X 12 CM  </t>
  </si>
  <si>
    <t>PINZA BACKOK X 16 CM</t>
  </si>
  <si>
    <t>PINZA MIXTER X 16 CM</t>
  </si>
  <si>
    <t>PINZA MAIER GROSS RECTA 20 CM</t>
  </si>
  <si>
    <t>MICRO22 HG 1033</t>
  </si>
  <si>
    <t>CAJA X 35 UNIDADES</t>
  </si>
  <si>
    <t>COD 1191 pinza 4 colores</t>
  </si>
  <si>
    <t>AGUJA ESPINAL 19G</t>
  </si>
  <si>
    <t>PAQUETE X 30u</t>
  </si>
  <si>
    <t xml:space="preserve">ALCOHOL X 1 LTS </t>
  </si>
  <si>
    <t>CUBRE CALZADO ELASTIZADO X 50 PARES</t>
  </si>
  <si>
    <t xml:space="preserve">CLOTHIER </t>
  </si>
  <si>
    <t>XGLOVE</t>
  </si>
  <si>
    <t>30/02/20</t>
  </si>
  <si>
    <t>EURO/BIOMEDIK</t>
  </si>
  <si>
    <t xml:space="preserve">SOLUCION DE DEXTROSA X500 CC BLANDA </t>
  </si>
  <si>
    <t>GASA NO ESTERIL</t>
  </si>
  <si>
    <t>SONDA NELATON  Nº 12 EST (G ROJA)</t>
  </si>
  <si>
    <t>N33</t>
  </si>
  <si>
    <t xml:space="preserve">MASCARA DE ACRILICO PROTECTORA FACIAL </t>
  </si>
  <si>
    <t>COD 883 / BK3001 NEGRO / AZUL</t>
  </si>
  <si>
    <t>COD 5703 CIRCUIT RESP DESC ADULT .UNIV.S/ TRAMPA DE AGUA T/ BENNETT</t>
  </si>
  <si>
    <t>TOPSAL /KAUTION</t>
  </si>
  <si>
    <t>TOPSAL / KAUTION</t>
  </si>
  <si>
    <t>TOPSAL/ KAUTION</t>
  </si>
  <si>
    <t>COD 5985</t>
  </si>
  <si>
    <r>
      <t>BOLSA ROSADA</t>
    </r>
    <r>
      <rPr>
        <b/>
        <sz val="10"/>
        <rFont val="Arial"/>
        <family val="2"/>
      </rPr>
      <t xml:space="preserve"> NO ESTERIL</t>
    </r>
  </si>
  <si>
    <t>BARBIJOS DESCARTABLES X 50UN CON TIRAS NO QUIRURGICOS</t>
  </si>
  <si>
    <t>ALCOHOL EN GEL X BIDON 5 LTS</t>
  </si>
  <si>
    <t>COD 896 (1770)</t>
  </si>
  <si>
    <r>
      <t xml:space="preserve">GUIA </t>
    </r>
    <r>
      <rPr>
        <b/>
        <sz val="10"/>
        <color rgb="FFFF00FF"/>
        <rFont val="Arial"/>
        <family val="2"/>
      </rPr>
      <t>MP1000</t>
    </r>
    <r>
      <rPr>
        <b/>
        <sz val="10"/>
        <rFont val="Arial"/>
        <family val="2"/>
      </rPr>
      <t xml:space="preserve"> NAC CR P/BOMBA DE INFUSIÓN c/ roller</t>
    </r>
  </si>
  <si>
    <r>
      <rPr>
        <b/>
        <sz val="10"/>
        <rFont val="Arial"/>
        <family val="2"/>
      </rPr>
      <t>MELIPAL</t>
    </r>
    <r>
      <rPr>
        <sz val="10"/>
        <rFont val="Arial"/>
        <family val="2"/>
      </rPr>
      <t xml:space="preserve">/TENSO/ </t>
    </r>
    <r>
      <rPr>
        <b/>
        <sz val="10"/>
        <rFont val="Arial"/>
        <family val="2"/>
      </rPr>
      <t xml:space="preserve">MCM </t>
    </r>
  </si>
  <si>
    <t>SONDA K10</t>
  </si>
  <si>
    <t xml:space="preserve">SONDA GASTRICA </t>
  </si>
  <si>
    <t>ALCOHOL X 500LTS</t>
  </si>
  <si>
    <t xml:space="preserve">GRAVIGARD MEDICAL </t>
  </si>
  <si>
    <r>
      <t>MCM/</t>
    </r>
    <r>
      <rPr>
        <b/>
        <sz val="10"/>
        <rFont val="Arial"/>
        <family val="2"/>
      </rPr>
      <t>WINNER</t>
    </r>
  </si>
  <si>
    <t xml:space="preserve">GUANTE NITRILO EXAMEN XL </t>
  </si>
  <si>
    <t>KAUTION</t>
  </si>
  <si>
    <t>GUANTES NITRILO XS</t>
  </si>
  <si>
    <t>ALCOHOLERA FLAVIA</t>
  </si>
  <si>
    <t>FLAVIA</t>
  </si>
  <si>
    <t xml:space="preserve">FILTRO VIRAL .BACT C/ HUMIDIFICADOR 70313 </t>
  </si>
  <si>
    <r>
      <t>AGUJAS POLY PORT HUBER 21G X 25 MM /</t>
    </r>
    <r>
      <rPr>
        <b/>
        <sz val="10"/>
        <rFont val="Arial"/>
        <family val="2"/>
      </rPr>
      <t xml:space="preserve">20G </t>
    </r>
    <r>
      <rPr>
        <sz val="10"/>
        <rFont val="Arial"/>
        <family val="2"/>
      </rPr>
      <t>( PRESENT CAJA X 10 UN)</t>
    </r>
  </si>
  <si>
    <t>PORT VENOSO ADULTO TITANIUM 9FR</t>
  </si>
  <si>
    <t>FRAVIDA</t>
  </si>
  <si>
    <t>GASA CORTADA 10X10  X 450 GRS</t>
  </si>
  <si>
    <r>
      <t>ELIT/WEBEST/</t>
    </r>
    <r>
      <rPr>
        <b/>
        <sz val="10"/>
        <rFont val="Arial"/>
        <family val="2"/>
      </rPr>
      <t>COVIDIEN</t>
    </r>
  </si>
  <si>
    <t>ESPONJA HEMOSTATICA 10X10X10  (ODONTOLOGIA)</t>
  </si>
  <si>
    <t>(MAS CARAS) NASAL PILLOWS</t>
  </si>
  <si>
    <t>PAHSCO/UNIMED</t>
  </si>
  <si>
    <t xml:space="preserve">AEROCAMARA PARA CIRCUITO RESPIRADOR ADULTO </t>
  </si>
  <si>
    <t>SURGIFIX</t>
  </si>
  <si>
    <t>CAMISOLIN DESCARTABLE X 30 GR 1,20 MT PUÑO ALGODÓN</t>
  </si>
  <si>
    <t>INSUM.QUIRURG.</t>
  </si>
  <si>
    <t>CAMISOLIN DESCARTABLE X 30 GR 1,00 MT PUÑO ELASTICO</t>
  </si>
  <si>
    <t xml:space="preserve">SUT T/VICRYL 0-  26mm </t>
  </si>
  <si>
    <t>BRAUN</t>
  </si>
  <si>
    <t>SUT T/PROLENE 0 AG 37 MM</t>
  </si>
  <si>
    <t>SUT VICRYL 6/0 AG 17 MMM</t>
  </si>
  <si>
    <t>ETHICON</t>
  </si>
  <si>
    <t>SISTEMA DE ASPIRACION CERRADO 10 FR</t>
  </si>
  <si>
    <t>SISTEMA DE ASPIRACION CERRADO 12 FR</t>
  </si>
  <si>
    <t xml:space="preserve">SISTEMA DE ASPIRACION CERRADO 14 FR </t>
  </si>
  <si>
    <t xml:space="preserve">SISTEMA DE ASPIRACION CERRADO 16 FR </t>
  </si>
  <si>
    <r>
      <t>OXYWATCH/</t>
    </r>
    <r>
      <rPr>
        <b/>
        <sz val="10"/>
        <rFont val="Arial"/>
        <family val="2"/>
      </rPr>
      <t>ACCURATE</t>
    </r>
  </si>
  <si>
    <t xml:space="preserve">KOLER/TOM FAC </t>
  </si>
  <si>
    <t>TRAMPA DE AGUA AD. 22 MM</t>
  </si>
  <si>
    <t>LLAVE DE 3 VIAS + PROLONG.X 25 CM</t>
  </si>
  <si>
    <t>POLYMED</t>
  </si>
  <si>
    <t>PAÑO DE HIGIENE CORPORAL C/CLORHEXIDINA</t>
  </si>
  <si>
    <t>ULAX</t>
  </si>
  <si>
    <t>PARECE UNA PIPETA</t>
  </si>
  <si>
    <t xml:space="preserve">FILTRO HUMIDIFICADOR P/ RESP MINIFLEX AB 3310 </t>
  </si>
  <si>
    <t>TENSIOMETRO  DIGITAL AUTOMATICODE BRAZO</t>
  </si>
  <si>
    <t>ULAX AB4030</t>
  </si>
  <si>
    <t>BOLSA DE ORINA AMBULAT C/ ELASTICO X 500CC  D-30</t>
  </si>
  <si>
    <t>COLECTOR DE ORINA PEDIATRICO 12 HS ( X 10 UN)</t>
  </si>
  <si>
    <t>YUWELL 7F-5 MINI</t>
  </si>
  <si>
    <t>MB / BELMED</t>
  </si>
  <si>
    <t xml:space="preserve">SONDA NASOGASTRICA PED 329-09 </t>
  </si>
  <si>
    <t>BRAUN 55010A</t>
  </si>
  <si>
    <t>ADMISOL/mcm</t>
  </si>
  <si>
    <t>ECONOMICA</t>
  </si>
  <si>
    <t>ALCOHOL EN GEL X 250</t>
  </si>
  <si>
    <t>BARBIJOS DESC. X 50 U CON ELASTICO</t>
  </si>
  <si>
    <t>BOLSA X 50 UNIDADES -CAVANNA</t>
  </si>
  <si>
    <t>AGUJA ESPINAL 20G</t>
  </si>
  <si>
    <t>AGUJA ESPINAL 21 G</t>
  </si>
  <si>
    <t>SOLUTHEL/HIDROSAN</t>
  </si>
  <si>
    <t xml:space="preserve">MASCARA OXIGENO C/RESERV NEO </t>
  </si>
  <si>
    <t>TRACH VENT</t>
  </si>
  <si>
    <t xml:space="preserve">FILTRO P/ CÁNULA TRAQUEAL ADULTO </t>
  </si>
  <si>
    <t>FILTRO P/ CANULA DE TRAQUEO  -DRAGER</t>
  </si>
  <si>
    <t>FS8142 (SIN TAPA) C/ AJUSTE FRONTAL Y AGARRADERA</t>
  </si>
  <si>
    <t>SUTURA STERI STRIP 6,3 X76</t>
  </si>
  <si>
    <t>COD 1541</t>
  </si>
  <si>
    <t xml:space="preserve">RESUCITADOR ADULTO REUSABLE SILICONADO C/ VALV PEEP </t>
  </si>
  <si>
    <r>
      <t xml:space="preserve">COD 05148 </t>
    </r>
    <r>
      <rPr>
        <b/>
        <sz val="10"/>
        <rFont val="Arial"/>
        <family val="2"/>
      </rPr>
      <t>DESCARTABLE</t>
    </r>
  </si>
  <si>
    <r>
      <t>1750 CHIQUITITO</t>
    </r>
    <r>
      <rPr>
        <b/>
        <sz val="10"/>
        <rFont val="Arial"/>
        <family val="2"/>
      </rPr>
      <t xml:space="preserve"> TRACH VENT 41312</t>
    </r>
  </si>
  <si>
    <t>SHINOBI/MCM</t>
  </si>
  <si>
    <t>ESTERIL  SOBRE</t>
  </si>
  <si>
    <t>GUTE HAND/ALLPRO</t>
  </si>
  <si>
    <t>IODOPOVIDONA SOLUCION AL 10 %</t>
  </si>
  <si>
    <t>BARBIJO N95 ART 9010</t>
  </si>
  <si>
    <t>GREYTON</t>
  </si>
  <si>
    <t>AGUA OXIGENADA 10 VOL X 250 CC</t>
  </si>
  <si>
    <t>TENSIOMETRO  ANER ADULTO S/ ESTETOCOPIO</t>
  </si>
  <si>
    <t xml:space="preserve">BK 2001 </t>
  </si>
  <si>
    <t>TIJERA MAYO RECTA  20 CM</t>
  </si>
  <si>
    <t>HUAKUN</t>
  </si>
  <si>
    <t>SUT T / VICRYL 3/0  241030</t>
  </si>
  <si>
    <t>FILTRO VIRAL  - BACTERIAL</t>
  </si>
  <si>
    <t>COD REF 6216</t>
  </si>
  <si>
    <t xml:space="preserve">BK6022   MODELO /MARCA  KT -DT4B </t>
  </si>
  <si>
    <t>WELL LEAD / BELMED</t>
  </si>
  <si>
    <t>PERVINOX JABON  X 240 ML</t>
  </si>
  <si>
    <t>PERVINOX</t>
  </si>
  <si>
    <t>BOLSA IELOSTOMIA REC 10-70mm</t>
  </si>
  <si>
    <t>CAMISOLIN DESCRTABLE X 45 GR</t>
  </si>
  <si>
    <t xml:space="preserve">OTOSCOPIO F . OPTICA LED </t>
  </si>
  <si>
    <t>C/ ESTUCHE ECONOMICO</t>
  </si>
  <si>
    <t>AFK</t>
  </si>
  <si>
    <t>TERMOMETRO INFRARROJO (AFK)</t>
  </si>
  <si>
    <t>MEDECO</t>
  </si>
  <si>
    <t>MCM/GREETMED</t>
  </si>
  <si>
    <t>MASCARA LARINGEA PVC N° 3</t>
  </si>
  <si>
    <t xml:space="preserve">FILTRO VIR. BACT. Y HUMIDIF. </t>
  </si>
  <si>
    <t xml:space="preserve">BMC /yuwell </t>
  </si>
  <si>
    <t xml:space="preserve">BOLSA DE ILEOSTOMIA REC 10-76 </t>
  </si>
  <si>
    <t>COD 15580 COLOPLAST</t>
  </si>
  <si>
    <t>COLOPLAST 15580</t>
  </si>
  <si>
    <t>EUROMIX/ MAXITEL</t>
  </si>
  <si>
    <t>JERINGA X 10CC  PICO LUER LOCK</t>
  </si>
  <si>
    <t>AGUJA P/ BIOPSIA 8G X10</t>
  </si>
  <si>
    <t>RYM</t>
  </si>
  <si>
    <t xml:space="preserve">APOSITO TEGADERM 6X7 </t>
  </si>
  <si>
    <t xml:space="preserve">PRECIO X U </t>
  </si>
  <si>
    <t>11/,01/2021</t>
  </si>
  <si>
    <t>SONDA PEZZER N° 28</t>
  </si>
  <si>
    <t>GUIA V/14 C/ RUEDITA MACROGOTERO</t>
  </si>
  <si>
    <t>SILLA DE RUEDAS PEDANAS DESMONTABLES</t>
  </si>
  <si>
    <t>BIC/XMART</t>
  </si>
  <si>
    <r>
      <t xml:space="preserve">OXIMETRO DE PULSO ADULTO/PED DE DEDO  MD 300 </t>
    </r>
    <r>
      <rPr>
        <b/>
        <sz val="10"/>
        <rFont val="Arial"/>
        <family val="2"/>
      </rPr>
      <t>C/ CURVA</t>
    </r>
  </si>
  <si>
    <r>
      <t xml:space="preserve">MD300C CELESTE </t>
    </r>
    <r>
      <rPr>
        <b/>
        <sz val="10"/>
        <rFont val="Arial"/>
        <family val="2"/>
      </rPr>
      <t>C4   CON CURVA  Y ESTUCHE</t>
    </r>
  </si>
  <si>
    <t>LD521 MARCA MAVERICK MOD YE670A</t>
  </si>
  <si>
    <t>MCM/ MAVERICK</t>
  </si>
  <si>
    <t>APOSITO GASA -ALGODÓN 10/20 ESTERIL- SOBRE</t>
  </si>
  <si>
    <t>MODELO 1002 SERIE C</t>
  </si>
  <si>
    <t>REPUESTO SILLA DE RUEDAS APOYA BRAZO "CORTO"</t>
  </si>
  <si>
    <t>APOYA BRAZO CORTO</t>
  </si>
  <si>
    <t>BROCAL DE ORINA PLASTICO C/TAPA  x 2 lts</t>
  </si>
  <si>
    <t>BOLSA DE OBITO NEGRAS TERMOSELLADAS</t>
  </si>
  <si>
    <t>POLIFILM</t>
  </si>
  <si>
    <t>BELMED/NOVAMED</t>
  </si>
  <si>
    <t>MCM/ CURE GUARD</t>
  </si>
  <si>
    <t xml:space="preserve"> MELIPAL/ ACCURATE</t>
  </si>
  <si>
    <r>
      <t xml:space="preserve">BOTAS DESCARTABLES </t>
    </r>
    <r>
      <rPr>
        <b/>
        <sz val="10"/>
        <rFont val="Arial"/>
        <family val="2"/>
      </rPr>
      <t>AZULES ECONOMICAS</t>
    </r>
  </si>
  <si>
    <t xml:space="preserve">ECONOMICAS </t>
  </si>
  <si>
    <t>DROGAL</t>
  </si>
  <si>
    <t>DONCELLA</t>
  </si>
  <si>
    <t>BARBIJO N95 ART 9820</t>
  </si>
  <si>
    <t>18/02/221</t>
  </si>
  <si>
    <t>ASPIRADOR A DIAFRAGMA  YUWELL</t>
  </si>
  <si>
    <t>MODELO MAVERIK</t>
  </si>
  <si>
    <t>SYEMED</t>
  </si>
  <si>
    <t xml:space="preserve">YUWELL </t>
  </si>
  <si>
    <t>FILTRO VIRAL-BACTERIAL Y HUMID C/ PORT</t>
  </si>
  <si>
    <t>DRAGUER</t>
  </si>
  <si>
    <t>SUT CATGUT X 24 SIMPLE 0 X 1,50 MTS</t>
  </si>
  <si>
    <t>ABLE</t>
  </si>
  <si>
    <t>POWESCREST</t>
  </si>
  <si>
    <t>INSUMOS XXI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</si>
</sst>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&quot;$&quot;\ * #,##0.00_ ;_ &quot;$&quot;\ * \-#,##0.00_ ;_ &quot;$&quot;\ * &quot;-&quot;??_ ;_ @_ "/>
    <numFmt numFmtId="165" formatCode="#,##0_ ;\-#,##0\ "/>
    <numFmt numFmtId="166" formatCode="dd/mm/yy;@"/>
    <numFmt numFmtId="167" formatCode="_ &quot;$&quot;\ * #,##0.0000_ ;_ &quot;$&quot;\ * \-#,##0.0000_ ;_ &quot;$&quot;\ * &quot;-&quot;??_ ;_ @_ "/>
    <numFmt numFmtId="168" formatCode="0.0%"/>
    <numFmt numFmtId="169" formatCode="#,##0_ ;[Red]\-#,##0\ "/>
    <numFmt numFmtId="170" formatCode="_ &quot;$&quot;\ * #,##0.000_ ;_ &quot;$&quot;\ * \-#,##0.000_ ;_ &quot;$&quot;\ * &quot;-&quot;??_ ;_ @_ "/>
    <numFmt numFmtId="171" formatCode="#,##0.0"/>
  </numFmts>
  <fonts count="3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5"/>
      <color indexed="8"/>
      <name val="Arial"/>
      <family val="2"/>
    </font>
    <font>
      <b/>
      <sz val="15"/>
      <color indexed="10"/>
      <name val="Arial"/>
      <family val="2"/>
    </font>
    <font>
      <b/>
      <sz val="12"/>
      <color indexed="60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Calibri"/>
      <family val="2"/>
    </font>
    <font>
      <b/>
      <sz val="10"/>
      <color rgb="FFFF0000"/>
      <name val="Arial"/>
      <family val="2"/>
    </font>
    <font>
      <b/>
      <sz val="7"/>
      <color indexed="60"/>
      <name val="Arial"/>
      <family val="2"/>
    </font>
    <font>
      <i/>
      <sz val="10"/>
      <name val="Arial"/>
      <family val="2"/>
    </font>
    <font>
      <b/>
      <sz val="7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FF0000"/>
      <name val="Arial"/>
      <family val="2"/>
    </font>
    <font>
      <b/>
      <sz val="8"/>
      <color rgb="FFFF0000"/>
      <name val="Arial"/>
      <family val="2"/>
    </font>
    <font>
      <b/>
      <sz val="12"/>
      <color theme="9" tint="-0.249977111117893"/>
      <name val="Arial"/>
      <family val="2"/>
    </font>
    <font>
      <b/>
      <sz val="12"/>
      <color theme="9" tint="-0.499984740745262"/>
      <name val="Arial"/>
      <family val="2"/>
    </font>
    <font>
      <sz val="10"/>
      <color theme="1" tint="0.14999847407452621"/>
      <name val="Arial"/>
      <family val="2"/>
    </font>
    <font>
      <b/>
      <sz val="10"/>
      <color theme="1"/>
      <name val="Arial"/>
      <family val="2"/>
    </font>
    <font>
      <sz val="10"/>
      <color indexed="8"/>
      <name val="Times New Roman"/>
      <family val="1"/>
    </font>
    <font>
      <b/>
      <sz val="10"/>
      <color rgb="FFFF00FF"/>
      <name val="Arial"/>
      <family val="2"/>
    </font>
    <font>
      <sz val="12"/>
      <name val="Arial"/>
      <family val="2"/>
    </font>
    <font>
      <b/>
      <i/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8"/>
      </patternFill>
    </fill>
    <fill>
      <patternFill patternType="solid">
        <fgColor rgb="FFFFFF00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164" fontId="7" fillId="0" borderId="0" applyFont="0" applyFill="0" applyBorder="0" applyAlignment="0" applyProtection="0"/>
    <xf numFmtId="0" fontId="1" fillId="0" borderId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62">
    <xf numFmtId="0" fontId="0" fillId="0" borderId="0" xfId="0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164" fontId="1" fillId="5" borderId="5" xfId="1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Font="1" applyFill="1" applyBorder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164" fontId="6" fillId="0" borderId="5" xfId="1" applyFont="1" applyFill="1" applyBorder="1" applyAlignment="1">
      <alignment vertical="center"/>
    </xf>
    <xf numFmtId="164" fontId="6" fillId="0" borderId="0" xfId="1" applyFont="1" applyAlignment="1">
      <alignment vertical="center"/>
    </xf>
    <xf numFmtId="164" fontId="6" fillId="0" borderId="0" xfId="1" applyFont="1" applyFill="1" applyAlignment="1">
      <alignment vertical="center"/>
    </xf>
    <xf numFmtId="166" fontId="6" fillId="0" borderId="0" xfId="1" applyNumberFormat="1" applyFont="1" applyFill="1" applyBorder="1" applyAlignment="1">
      <alignment horizontal="center" vertical="center"/>
    </xf>
    <xf numFmtId="166" fontId="6" fillId="0" borderId="0" xfId="1" applyNumberFormat="1" applyFont="1" applyAlignment="1">
      <alignment horizontal="center" vertical="center"/>
    </xf>
    <xf numFmtId="9" fontId="8" fillId="0" borderId="4" xfId="3" applyFont="1" applyFill="1" applyBorder="1" applyAlignment="1">
      <alignment horizontal="center" vertical="center" wrapText="1"/>
    </xf>
    <xf numFmtId="0" fontId="6" fillId="0" borderId="0" xfId="1" applyNumberFormat="1" applyFont="1" applyFill="1" applyAlignment="1">
      <alignment horizontal="left" vertical="center"/>
    </xf>
    <xf numFmtId="0" fontId="6" fillId="0" borderId="0" xfId="1" applyNumberFormat="1" applyFont="1" applyFill="1" applyAlignment="1">
      <alignment vertical="center"/>
    </xf>
    <xf numFmtId="0" fontId="6" fillId="0" borderId="0" xfId="1" applyNumberFormat="1" applyFont="1" applyFill="1" applyAlignment="1">
      <alignment horizontal="left" vertical="center" wrapText="1"/>
    </xf>
    <xf numFmtId="9" fontId="8" fillId="0" borderId="2" xfId="3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164" fontId="8" fillId="0" borderId="8" xfId="3" applyNumberFormat="1" applyFont="1" applyFill="1" applyBorder="1" applyAlignment="1">
      <alignment horizontal="center" vertical="center" wrapText="1"/>
    </xf>
    <xf numFmtId="9" fontId="6" fillId="0" borderId="9" xfId="3" applyFont="1" applyFill="1" applyBorder="1" applyAlignment="1">
      <alignment horizontal="center" vertical="center" wrapText="1"/>
    </xf>
    <xf numFmtId="0" fontId="0" fillId="0" borderId="0" xfId="0" applyFill="1"/>
    <xf numFmtId="167" fontId="6" fillId="0" borderId="0" xfId="1" applyNumberFormat="1" applyFont="1" applyFill="1" applyBorder="1" applyAlignment="1">
      <alignment vertical="center"/>
    </xf>
    <xf numFmtId="166" fontId="11" fillId="0" borderId="0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166" fontId="11" fillId="0" borderId="0" xfId="1" applyNumberFormat="1" applyFont="1" applyAlignment="1">
      <alignment horizontal="center" vertical="center"/>
    </xf>
    <xf numFmtId="166" fontId="12" fillId="10" borderId="2" xfId="1" applyNumberFormat="1" applyFont="1" applyFill="1" applyBorder="1" applyAlignment="1">
      <alignment horizontal="center" vertical="center" wrapText="1"/>
    </xf>
    <xf numFmtId="166" fontId="4" fillId="10" borderId="4" xfId="1" applyNumberFormat="1" applyFont="1" applyFill="1" applyBorder="1" applyAlignment="1">
      <alignment horizontal="center" vertical="center" wrapText="1"/>
    </xf>
    <xf numFmtId="164" fontId="4" fillId="11" borderId="5" xfId="1" applyFont="1" applyFill="1" applyBorder="1" applyAlignment="1">
      <alignment vertical="center"/>
    </xf>
    <xf numFmtId="166" fontId="4" fillId="11" borderId="5" xfId="1" applyNumberFormat="1" applyFont="1" applyFill="1" applyBorder="1" applyAlignment="1">
      <alignment horizontal="center" vertical="center"/>
    </xf>
    <xf numFmtId="168" fontId="4" fillId="11" borderId="5" xfId="3" applyNumberFormat="1" applyFont="1" applyFill="1" applyBorder="1" applyAlignment="1">
      <alignment horizontal="center" vertical="center"/>
    </xf>
    <xf numFmtId="164" fontId="4" fillId="11" borderId="6" xfId="1" applyFont="1" applyFill="1" applyBorder="1" applyAlignment="1">
      <alignment vertical="center"/>
    </xf>
    <xf numFmtId="168" fontId="13" fillId="11" borderId="5" xfId="3" applyNumberFormat="1" applyFont="1" applyFill="1" applyBorder="1" applyAlignment="1">
      <alignment horizontal="center" vertical="center"/>
    </xf>
    <xf numFmtId="9" fontId="9" fillId="12" borderId="2" xfId="3" applyFont="1" applyFill="1" applyBorder="1" applyAlignment="1">
      <alignment horizontal="center" vertical="center" wrapText="1"/>
    </xf>
    <xf numFmtId="9" fontId="8" fillId="12" borderId="4" xfId="3" applyFont="1" applyFill="1" applyBorder="1" applyAlignment="1">
      <alignment horizontal="center" vertical="center" wrapText="1"/>
    </xf>
    <xf numFmtId="164" fontId="6" fillId="12" borderId="5" xfId="1" applyFont="1" applyFill="1" applyBorder="1" applyAlignment="1">
      <alignment vertical="center"/>
    </xf>
    <xf numFmtId="164" fontId="8" fillId="12" borderId="8" xfId="3" applyNumberFormat="1" applyFont="1" applyFill="1" applyBorder="1" applyAlignment="1">
      <alignment horizontal="center" vertical="center" wrapText="1"/>
    </xf>
    <xf numFmtId="9" fontId="6" fillId="12" borderId="9" xfId="3" applyFont="1" applyFill="1" applyBorder="1" applyAlignment="1">
      <alignment horizontal="center" vertical="center" wrapText="1"/>
    </xf>
    <xf numFmtId="0" fontId="6" fillId="12" borderId="0" xfId="1" applyNumberFormat="1" applyFont="1" applyFill="1" applyAlignment="1">
      <alignment horizontal="left" vertical="center" wrapText="1"/>
    </xf>
    <xf numFmtId="0" fontId="6" fillId="12" borderId="0" xfId="1" applyNumberFormat="1" applyFont="1" applyFill="1" applyAlignment="1">
      <alignment horizontal="left" vertical="center"/>
    </xf>
    <xf numFmtId="0" fontId="6" fillId="12" borderId="0" xfId="1" applyNumberFormat="1" applyFont="1" applyFill="1" applyAlignment="1">
      <alignment vertical="center"/>
    </xf>
    <xf numFmtId="164" fontId="6" fillId="12" borderId="0" xfId="1" applyFont="1" applyFill="1" applyAlignment="1">
      <alignment vertical="center"/>
    </xf>
    <xf numFmtId="0" fontId="2" fillId="0" borderId="0" xfId="1" applyNumberFormat="1" applyFont="1" applyFill="1" applyAlignment="1">
      <alignment horizontal="left" vertical="center" wrapText="1"/>
    </xf>
    <xf numFmtId="168" fontId="15" fillId="11" borderId="5" xfId="3" applyNumberFormat="1" applyFont="1" applyFill="1" applyBorder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3" fontId="1" fillId="9" borderId="0" xfId="0" applyNumberFormat="1" applyFont="1" applyFill="1" applyAlignment="1">
      <alignment horizontal="center" vertical="center"/>
    </xf>
    <xf numFmtId="3" fontId="1" fillId="4" borderId="5" xfId="0" applyNumberFormat="1" applyFont="1" applyFill="1" applyBorder="1" applyAlignment="1">
      <alignment horizontal="center" vertical="center"/>
    </xf>
    <xf numFmtId="3" fontId="1" fillId="9" borderId="5" xfId="0" applyNumberFormat="1" applyFont="1" applyFill="1" applyBorder="1" applyAlignment="1">
      <alignment horizontal="center" vertical="center"/>
    </xf>
    <xf numFmtId="3" fontId="1" fillId="2" borderId="5" xfId="0" applyNumberFormat="1" applyFont="1" applyFill="1" applyBorder="1" applyAlignment="1">
      <alignment horizontal="center" vertical="center"/>
    </xf>
    <xf numFmtId="3" fontId="1" fillId="9" borderId="7" xfId="0" applyNumberFormat="1" applyFont="1" applyFill="1" applyBorder="1" applyAlignment="1">
      <alignment horizontal="center" vertical="center"/>
    </xf>
    <xf numFmtId="3" fontId="6" fillId="0" borderId="0" xfId="0" applyNumberFormat="1" applyFont="1" applyAlignment="1">
      <alignment vertical="center"/>
    </xf>
    <xf numFmtId="3" fontId="6" fillId="9" borderId="0" xfId="0" applyNumberFormat="1" applyFont="1" applyFill="1" applyAlignment="1">
      <alignment vertical="center"/>
    </xf>
    <xf numFmtId="0" fontId="1" fillId="13" borderId="5" xfId="0" applyFont="1" applyFill="1" applyBorder="1" applyAlignment="1">
      <alignment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14" fontId="1" fillId="13" borderId="5" xfId="0" applyNumberFormat="1" applyFont="1" applyFill="1" applyBorder="1" applyAlignment="1">
      <alignment vertical="center"/>
    </xf>
    <xf numFmtId="0" fontId="1" fillId="13" borderId="5" xfId="0" applyNumberFormat="1" applyFont="1" applyFill="1" applyBorder="1" applyAlignment="1">
      <alignment vertical="center"/>
    </xf>
    <xf numFmtId="0" fontId="2" fillId="13" borderId="5" xfId="0" applyFont="1" applyFill="1" applyBorder="1" applyAlignment="1">
      <alignment vertical="center"/>
    </xf>
    <xf numFmtId="0" fontId="6" fillId="13" borderId="0" xfId="0" applyFont="1" applyFill="1" applyAlignment="1">
      <alignment vertical="center"/>
    </xf>
    <xf numFmtId="0" fontId="1" fillId="13" borderId="0" xfId="0" applyFont="1" applyFill="1" applyAlignment="1">
      <alignment horizontal="center" vertical="center"/>
    </xf>
    <xf numFmtId="0" fontId="1" fillId="13" borderId="0" xfId="0" applyFont="1" applyFill="1" applyAlignment="1">
      <alignment vertical="center"/>
    </xf>
    <xf numFmtId="164" fontId="1" fillId="15" borderId="5" xfId="1" applyFont="1" applyFill="1" applyBorder="1" applyAlignment="1">
      <alignment vertical="center"/>
    </xf>
    <xf numFmtId="164" fontId="6" fillId="0" borderId="5" xfId="1" applyNumberFormat="1" applyFont="1" applyFill="1" applyBorder="1" applyAlignment="1">
      <alignment vertical="center"/>
    </xf>
    <xf numFmtId="0" fontId="3" fillId="12" borderId="0" xfId="0" applyFont="1" applyFill="1" applyAlignment="1">
      <alignment vertical="center"/>
    </xf>
    <xf numFmtId="0" fontId="2" fillId="12" borderId="0" xfId="1" applyNumberFormat="1" applyFont="1" applyFill="1" applyAlignment="1">
      <alignment horizontal="left" vertical="center" wrapText="1"/>
    </xf>
    <xf numFmtId="164" fontId="6" fillId="0" borderId="4" xfId="1" applyFont="1" applyFill="1" applyBorder="1" applyAlignment="1">
      <alignment vertical="center"/>
    </xf>
    <xf numFmtId="3" fontId="4" fillId="9" borderId="5" xfId="0" applyNumberFormat="1" applyFont="1" applyFill="1" applyBorder="1" applyAlignment="1">
      <alignment horizontal="center" vertical="center"/>
    </xf>
    <xf numFmtId="164" fontId="2" fillId="0" borderId="5" xfId="1" applyFont="1" applyFill="1" applyBorder="1" applyAlignment="1">
      <alignment vertical="center"/>
    </xf>
    <xf numFmtId="0" fontId="15" fillId="13" borderId="5" xfId="0" applyFont="1" applyFill="1" applyBorder="1" applyAlignment="1">
      <alignment vertical="center"/>
    </xf>
    <xf numFmtId="164" fontId="2" fillId="0" borderId="4" xfId="1" applyFont="1" applyFill="1" applyBorder="1" applyAlignment="1">
      <alignment vertical="center"/>
    </xf>
    <xf numFmtId="164" fontId="2" fillId="12" borderId="5" xfId="1" applyFont="1" applyFill="1" applyBorder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9" fontId="5" fillId="7" borderId="9" xfId="0" applyNumberFormat="1" applyFont="1" applyFill="1" applyBorder="1" applyAlignment="1">
      <alignment horizontal="center" vertical="center"/>
    </xf>
    <xf numFmtId="169" fontId="5" fillId="16" borderId="5" xfId="0" applyNumberFormat="1" applyFont="1" applyFill="1" applyBorder="1" applyAlignment="1">
      <alignment horizontal="center" vertical="center"/>
    </xf>
    <xf numFmtId="169" fontId="5" fillId="6" borderId="5" xfId="0" applyNumberFormat="1" applyFont="1" applyFill="1" applyBorder="1" applyAlignment="1">
      <alignment horizontal="center" vertical="center"/>
    </xf>
    <xf numFmtId="169" fontId="5" fillId="7" borderId="0" xfId="0" applyNumberFormat="1" applyFont="1" applyFill="1" applyAlignment="1">
      <alignment horizontal="center" vertical="center"/>
    </xf>
    <xf numFmtId="169" fontId="6" fillId="0" borderId="0" xfId="0" applyNumberFormat="1" applyFont="1" applyAlignment="1">
      <alignment vertical="center"/>
    </xf>
    <xf numFmtId="170" fontId="4" fillId="11" borderId="5" xfId="1" applyNumberFormat="1" applyFont="1" applyFill="1" applyBorder="1" applyAlignment="1">
      <alignment vertical="center"/>
    </xf>
    <xf numFmtId="164" fontId="2" fillId="0" borderId="0" xfId="1" applyFont="1" applyFill="1" applyAlignment="1">
      <alignment vertical="center"/>
    </xf>
    <xf numFmtId="0" fontId="4" fillId="13" borderId="5" xfId="0" applyFont="1" applyFill="1" applyBorder="1" applyAlignment="1">
      <alignment horizontal="center" vertical="center"/>
    </xf>
    <xf numFmtId="0" fontId="17" fillId="13" borderId="5" xfId="0" applyFont="1" applyFill="1" applyBorder="1" applyAlignment="1">
      <alignment vertical="center"/>
    </xf>
    <xf numFmtId="3" fontId="17" fillId="9" borderId="5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1" fillId="17" borderId="5" xfId="0" applyFont="1" applyFill="1" applyBorder="1" applyAlignment="1">
      <alignment vertical="center"/>
    </xf>
    <xf numFmtId="164" fontId="4" fillId="15" borderId="5" xfId="1" applyFont="1" applyFill="1" applyBorder="1" applyAlignment="1">
      <alignment vertical="center"/>
    </xf>
    <xf numFmtId="164" fontId="4" fillId="11" borderId="5" xfId="1" applyNumberFormat="1" applyFont="1" applyFill="1" applyBorder="1" applyAlignment="1">
      <alignment vertical="center"/>
    </xf>
    <xf numFmtId="168" fontId="4" fillId="11" borderId="10" xfId="3" applyNumberFormat="1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distributed"/>
    </xf>
    <xf numFmtId="0" fontId="0" fillId="19" borderId="0" xfId="0" applyFill="1"/>
    <xf numFmtId="0" fontId="21" fillId="19" borderId="0" xfId="0" applyFont="1" applyFill="1"/>
    <xf numFmtId="0" fontId="21" fillId="20" borderId="0" xfId="0" applyFont="1" applyFill="1"/>
    <xf numFmtId="0" fontId="20" fillId="18" borderId="5" xfId="0" applyFont="1" applyFill="1" applyBorder="1"/>
    <xf numFmtId="0" fontId="22" fillId="19" borderId="5" xfId="0" applyFont="1" applyFill="1" applyBorder="1"/>
    <xf numFmtId="0" fontId="22" fillId="20" borderId="5" xfId="0" applyNumberFormat="1" applyFont="1" applyFill="1" applyBorder="1" applyAlignment="1">
      <alignment horizontal="left" vertical="distributed"/>
    </xf>
    <xf numFmtId="0" fontId="20" fillId="18" borderId="5" xfId="0" applyFont="1" applyFill="1" applyBorder="1" applyAlignment="1">
      <alignment vertical="distributed"/>
    </xf>
    <xf numFmtId="0" fontId="23" fillId="18" borderId="5" xfId="0" applyFont="1" applyFill="1" applyBorder="1" applyAlignment="1">
      <alignment vertical="distributed"/>
    </xf>
    <xf numFmtId="0" fontId="22" fillId="19" borderId="5" xfId="0" applyFont="1" applyFill="1" applyBorder="1" applyAlignment="1">
      <alignment vertical="distributed"/>
    </xf>
    <xf numFmtId="0" fontId="0" fillId="19" borderId="5" xfId="0" applyFill="1" applyBorder="1"/>
    <xf numFmtId="0" fontId="21" fillId="20" borderId="5" xfId="0" applyFont="1" applyFill="1" applyBorder="1"/>
    <xf numFmtId="0" fontId="21" fillId="19" borderId="5" xfId="0" applyFont="1" applyFill="1" applyBorder="1"/>
    <xf numFmtId="14" fontId="0" fillId="0" borderId="5" xfId="0" applyNumberFormat="1" applyBorder="1"/>
    <xf numFmtId="0" fontId="4" fillId="0" borderId="5" xfId="0" applyFont="1" applyBorder="1" applyAlignment="1">
      <alignment vertical="center"/>
    </xf>
    <xf numFmtId="3" fontId="4" fillId="4" borderId="5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165" fontId="6" fillId="0" borderId="0" xfId="0" applyNumberFormat="1" applyFont="1" applyFill="1" applyAlignment="1">
      <alignment vertical="center"/>
    </xf>
    <xf numFmtId="164" fontId="4" fillId="10" borderId="5" xfId="1" applyFont="1" applyFill="1" applyBorder="1" applyAlignment="1">
      <alignment vertical="center"/>
    </xf>
    <xf numFmtId="166" fontId="4" fillId="10" borderId="5" xfId="1" applyNumberFormat="1" applyFont="1" applyFill="1" applyBorder="1" applyAlignment="1">
      <alignment horizontal="center" vertical="center"/>
    </xf>
    <xf numFmtId="168" fontId="4" fillId="10" borderId="5" xfId="3" applyNumberFormat="1" applyFont="1" applyFill="1" applyBorder="1" applyAlignment="1">
      <alignment horizontal="center" vertical="center"/>
    </xf>
    <xf numFmtId="169" fontId="5" fillId="17" borderId="5" xfId="0" applyNumberFormat="1" applyFont="1" applyFill="1" applyBorder="1" applyAlignment="1">
      <alignment horizontal="center" vertical="center"/>
    </xf>
    <xf numFmtId="3" fontId="1" fillId="21" borderId="5" xfId="0" applyNumberFormat="1" applyFont="1" applyFill="1" applyBorder="1" applyAlignment="1">
      <alignment horizontal="center" vertical="center"/>
    </xf>
    <xf numFmtId="164" fontId="1" fillId="14" borderId="5" xfId="1" applyFont="1" applyFill="1" applyBorder="1" applyAlignment="1">
      <alignment vertical="center"/>
    </xf>
    <xf numFmtId="168" fontId="27" fillId="11" borderId="5" xfId="3" applyNumberFormat="1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6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16" fontId="18" fillId="0" borderId="0" xfId="0" applyNumberFormat="1" applyFont="1" applyFill="1" applyAlignment="1">
      <alignment vertical="center" wrapText="1"/>
    </xf>
    <xf numFmtId="0" fontId="16" fillId="0" borderId="0" xfId="0" applyFont="1" applyFill="1" applyAlignment="1">
      <alignment vertical="center"/>
    </xf>
    <xf numFmtId="0" fontId="30" fillId="0" borderId="5" xfId="0" applyFont="1" applyBorder="1" applyAlignment="1">
      <alignment vertical="center"/>
    </xf>
    <xf numFmtId="16" fontId="10" fillId="0" borderId="0" xfId="0" applyNumberFormat="1" applyFont="1" applyFill="1" applyAlignment="1">
      <alignment vertical="center"/>
    </xf>
    <xf numFmtId="0" fontId="31" fillId="13" borderId="5" xfId="0" applyFont="1" applyFill="1" applyBorder="1" applyAlignment="1">
      <alignment vertical="center"/>
    </xf>
    <xf numFmtId="168" fontId="31" fillId="11" borderId="5" xfId="3" applyNumberFormat="1" applyFont="1" applyFill="1" applyBorder="1" applyAlignment="1">
      <alignment horizontal="center" vertical="center"/>
    </xf>
    <xf numFmtId="16" fontId="29" fillId="0" borderId="0" xfId="0" applyNumberFormat="1" applyFont="1" applyFill="1" applyAlignment="1">
      <alignment vertical="center"/>
    </xf>
    <xf numFmtId="16" fontId="28" fillId="0" borderId="0" xfId="0" applyNumberFormat="1" applyFont="1" applyFill="1" applyAlignment="1">
      <alignment vertical="center"/>
    </xf>
    <xf numFmtId="0" fontId="32" fillId="0" borderId="5" xfId="0" applyFont="1" applyFill="1" applyBorder="1" applyAlignment="1" applyProtection="1">
      <alignment horizontal="left" vertical="top"/>
      <protection locked="0"/>
    </xf>
    <xf numFmtId="0" fontId="26" fillId="13" borderId="5" xfId="0" applyFont="1" applyFill="1" applyBorder="1" applyAlignment="1">
      <alignment vertical="center"/>
    </xf>
    <xf numFmtId="164" fontId="1" fillId="17" borderId="5" xfId="1" applyFont="1" applyFill="1" applyBorder="1" applyAlignment="1">
      <alignment vertical="center"/>
    </xf>
    <xf numFmtId="164" fontId="1" fillId="11" borderId="5" xfId="1" applyFont="1" applyFill="1" applyBorder="1" applyAlignment="1">
      <alignment vertical="center"/>
    </xf>
    <xf numFmtId="3" fontId="17" fillId="4" borderId="5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Alignment="1">
      <alignment vertical="center"/>
    </xf>
    <xf numFmtId="168" fontId="3" fillId="11" borderId="5" xfId="3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171" fontId="1" fillId="9" borderId="5" xfId="0" applyNumberFormat="1" applyFont="1" applyFill="1" applyBorder="1" applyAlignment="1">
      <alignment horizontal="center" vertical="center"/>
    </xf>
    <xf numFmtId="171" fontId="1" fillId="4" borderId="5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vertical="center"/>
    </xf>
    <xf numFmtId="166" fontId="1" fillId="11" borderId="5" xfId="1" applyNumberFormat="1" applyFont="1" applyFill="1" applyBorder="1" applyAlignment="1">
      <alignment horizontal="center" vertical="center"/>
    </xf>
    <xf numFmtId="16" fontId="34" fillId="0" borderId="0" xfId="0" applyNumberFormat="1" applyFont="1" applyFill="1" applyAlignment="1">
      <alignment vertical="center"/>
    </xf>
    <xf numFmtId="0" fontId="35" fillId="13" borderId="5" xfId="0" applyFont="1" applyFill="1" applyBorder="1" applyAlignment="1">
      <alignment vertical="center"/>
    </xf>
    <xf numFmtId="14" fontId="1" fillId="0" borderId="0" xfId="0" applyNumberFormat="1" applyFont="1" applyFill="1" applyAlignment="1">
      <alignment vertical="center"/>
    </xf>
    <xf numFmtId="164" fontId="4" fillId="14" borderId="2" xfId="1" applyFont="1" applyFill="1" applyBorder="1" applyAlignment="1">
      <alignment horizontal="center" vertical="center" wrapText="1"/>
    </xf>
    <xf numFmtId="164" fontId="4" fillId="14" borderId="4" xfId="1" applyFont="1" applyFill="1" applyBorder="1" applyAlignment="1">
      <alignment horizontal="center" vertical="center" wrapText="1"/>
    </xf>
    <xf numFmtId="164" fontId="4" fillId="8" borderId="5" xfId="1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164" fontId="4" fillId="10" borderId="2" xfId="1" applyFont="1" applyFill="1" applyBorder="1" applyAlignment="1">
      <alignment horizontal="center" vertical="center" wrapText="1"/>
    </xf>
    <xf numFmtId="164" fontId="4" fillId="10" borderId="4" xfId="1" applyFont="1" applyFill="1" applyBorder="1" applyAlignment="1">
      <alignment horizontal="center" vertical="center" wrapText="1"/>
    </xf>
    <xf numFmtId="166" fontId="4" fillId="10" borderId="2" xfId="1" applyNumberFormat="1" applyFont="1" applyFill="1" applyBorder="1" applyAlignment="1">
      <alignment horizontal="center" vertical="center" wrapText="1"/>
    </xf>
    <xf numFmtId="166" fontId="4" fillId="10" borderId="4" xfId="1" applyNumberFormat="1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3" borderId="3" xfId="0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3" fontId="4" fillId="2" borderId="4" xfId="0" applyNumberFormat="1" applyFont="1" applyFill="1" applyBorder="1" applyAlignment="1">
      <alignment horizontal="center" vertical="center" wrapText="1"/>
    </xf>
    <xf numFmtId="3" fontId="4" fillId="9" borderId="2" xfId="0" applyNumberFormat="1" applyFont="1" applyFill="1" applyBorder="1" applyAlignment="1">
      <alignment horizontal="center" vertical="center" wrapText="1"/>
    </xf>
    <xf numFmtId="3" fontId="4" fillId="9" borderId="4" xfId="0" applyNumberFormat="1" applyFont="1" applyFill="1" applyBorder="1" applyAlignment="1">
      <alignment horizontal="center" vertical="center" wrapText="1"/>
    </xf>
    <xf numFmtId="169" fontId="5" fillId="7" borderId="2" xfId="0" applyNumberFormat="1" applyFont="1" applyFill="1" applyBorder="1" applyAlignment="1">
      <alignment horizontal="center" vertical="center" wrapText="1"/>
    </xf>
    <xf numFmtId="169" fontId="5" fillId="7" borderId="4" xfId="0" applyNumberFormat="1" applyFont="1" applyFill="1" applyBorder="1" applyAlignment="1">
      <alignment horizontal="center" vertical="center" wrapText="1"/>
    </xf>
  </cellXfs>
  <cellStyles count="6">
    <cellStyle name="Moneda" xfId="1" builtinId="4"/>
    <cellStyle name="Moneda 2" xfId="4"/>
    <cellStyle name="Normal" xfId="0" builtinId="0"/>
    <cellStyle name="Normal 2" xfId="2"/>
    <cellStyle name="Porcentaje" xfId="3" builtinId="5"/>
    <cellStyle name="Porcentual 2" xfId="5"/>
  </cellStyles>
  <dxfs count="0"/>
  <tableStyles count="0" defaultTableStyle="TableStyleMedium9" defaultPivotStyle="PivotStyleLight16"/>
  <colors>
    <mruColors>
      <color rgb="FFFF00FF"/>
      <color rgb="FFEF5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108</xdr:row>
      <xdr:rowOff>0</xdr:rowOff>
    </xdr:from>
    <xdr:to>
      <xdr:col>2</xdr:col>
      <xdr:colOff>0</xdr:colOff>
      <xdr:row>110</xdr:row>
      <xdr:rowOff>47624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23014781"/>
          <a:ext cx="0" cy="126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0</xdr:colOff>
      <xdr:row>183</xdr:row>
      <xdr:rowOff>0</xdr:rowOff>
    </xdr:from>
    <xdr:to>
      <xdr:col>8</xdr:col>
      <xdr:colOff>0</xdr:colOff>
      <xdr:row>190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120938" y="42338625"/>
          <a:ext cx="0" cy="17406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834"/>
  <sheetViews>
    <sheetView tabSelected="1" zoomScale="80" zoomScaleNormal="80" workbookViewId="0">
      <pane xSplit="3" ySplit="3" topLeftCell="J717" activePane="bottomRight" state="frozen"/>
      <selection activeCell="P1" sqref="P1"/>
      <selection pane="topRight" activeCell="P1" sqref="P1"/>
      <selection pane="bottomLeft" activeCell="P1" sqref="P1"/>
      <selection pane="bottomRight" activeCell="K8" sqref="K8"/>
    </sheetView>
  </sheetViews>
  <sheetFormatPr baseColWidth="10" defaultColWidth="13.6640625" defaultRowHeight="15.6" x14ac:dyDescent="0.3"/>
  <cols>
    <col min="1" max="1" width="10.6640625" style="109" customWidth="1"/>
    <col min="2" max="2" width="0.5546875" style="119" customWidth="1"/>
    <col min="3" max="3" width="67.33203125" style="7" customWidth="1"/>
    <col min="4" max="4" width="93.6640625" style="7" customWidth="1"/>
    <col min="5" max="5" width="27.88671875" style="7" customWidth="1"/>
    <col min="6" max="6" width="20.44140625" style="7" customWidth="1"/>
    <col min="7" max="7" width="13.5546875" style="21" customWidth="1"/>
    <col min="8" max="8" width="7.44140625" style="47" customWidth="1"/>
    <col min="9" max="9" width="7.44140625" style="48" customWidth="1"/>
    <col min="10" max="10" width="13" style="79" customWidth="1"/>
    <col min="11" max="11" width="15.109375" style="12" customWidth="1"/>
    <col min="12" max="12" width="8.88671875" style="15" customWidth="1"/>
    <col min="13" max="13" width="10.5546875" style="28" bestFit="1" customWidth="1"/>
    <col min="14" max="14" width="12.5546875" style="12" customWidth="1"/>
    <col min="15" max="18" width="13.109375" style="13" hidden="1" customWidth="1"/>
    <col min="19" max="19" width="12.5546875" style="13" hidden="1" customWidth="1"/>
    <col min="20" max="20" width="14" style="13" customWidth="1"/>
    <col min="21" max="21" width="15.33203125" style="44" customWidth="1"/>
    <col min="22" max="22" width="14.5546875" style="44" customWidth="1"/>
    <col min="23" max="23" width="14" style="44" customWidth="1"/>
    <col min="24" max="24" width="13.6640625" style="44" customWidth="1"/>
    <col min="25" max="25" width="3.109375" style="9" customWidth="1"/>
    <col min="26" max="26" width="17.44140625" style="12" bestFit="1" customWidth="1"/>
    <col min="27" max="27" width="17.44140625" style="12" customWidth="1"/>
    <col min="28" max="28" width="13.5546875" style="7" hidden="1" customWidth="1"/>
    <col min="29" max="29" width="13.6640625" style="7" customWidth="1"/>
    <col min="30" max="16384" width="13.6640625" style="7"/>
  </cols>
  <sheetData>
    <row r="1" spans="1:27" x14ac:dyDescent="0.3">
      <c r="C1" s="66" t="s">
        <v>296</v>
      </c>
      <c r="D1" s="1"/>
      <c r="H1" s="47" t="s">
        <v>735</v>
      </c>
      <c r="J1" s="76"/>
      <c r="K1" s="25"/>
      <c r="L1" s="14"/>
      <c r="M1" s="26"/>
      <c r="N1" s="8"/>
      <c r="O1" s="24"/>
      <c r="P1" s="24"/>
      <c r="Q1" s="24"/>
      <c r="R1" s="24"/>
      <c r="S1" s="24"/>
      <c r="T1" s="24"/>
      <c r="U1" s="24"/>
      <c r="V1" s="24"/>
      <c r="W1" s="24"/>
      <c r="X1" s="24"/>
      <c r="Z1" s="8">
        <f>SUM(Z4:Z768)+Z714</f>
        <v>5291153.4057851229</v>
      </c>
      <c r="AA1" s="8">
        <f>SUM(AA4:AA768)+AA714</f>
        <v>6257214.6630499894</v>
      </c>
    </row>
    <row r="2" spans="1:27" s="10" customFormat="1" ht="38.25" customHeight="1" x14ac:dyDescent="0.3">
      <c r="A2" s="120"/>
      <c r="B2" s="121"/>
      <c r="C2" s="86"/>
      <c r="D2" s="148" t="s">
        <v>301</v>
      </c>
      <c r="E2" s="148" t="s">
        <v>369</v>
      </c>
      <c r="F2" s="148" t="s">
        <v>297</v>
      </c>
      <c r="G2" s="154" t="s">
        <v>412</v>
      </c>
      <c r="H2" s="156" t="s">
        <v>299</v>
      </c>
      <c r="I2" s="158" t="s">
        <v>300</v>
      </c>
      <c r="J2" s="160" t="s">
        <v>298</v>
      </c>
      <c r="K2" s="150" t="s">
        <v>72</v>
      </c>
      <c r="L2" s="152" t="s">
        <v>71</v>
      </c>
      <c r="M2" s="29" t="s">
        <v>195</v>
      </c>
      <c r="N2" s="145" t="s">
        <v>73</v>
      </c>
      <c r="O2" s="20" t="s">
        <v>372</v>
      </c>
      <c r="P2" s="20" t="str">
        <f>+O2</f>
        <v>NETO</v>
      </c>
      <c r="Q2" s="20" t="str">
        <f>+O2</f>
        <v>NETO</v>
      </c>
      <c r="R2" s="20" t="str">
        <f>+P2</f>
        <v>NETO</v>
      </c>
      <c r="S2" s="20" t="str">
        <f>+Q2</f>
        <v>NETO</v>
      </c>
      <c r="T2" s="20" t="str">
        <f>+Q2</f>
        <v>NETO</v>
      </c>
      <c r="U2" s="36" t="s">
        <v>83</v>
      </c>
      <c r="V2" s="36" t="s">
        <v>83</v>
      </c>
      <c r="W2" s="36" t="str">
        <f>+V2</f>
        <v>CON IVA</v>
      </c>
      <c r="X2" s="36" t="str">
        <f>+W2</f>
        <v>CON IVA</v>
      </c>
      <c r="Y2" s="9"/>
      <c r="Z2" s="147" t="s">
        <v>74</v>
      </c>
      <c r="AA2" s="147" t="s">
        <v>75</v>
      </c>
    </row>
    <row r="3" spans="1:27" s="10" customFormat="1" ht="24" customHeight="1" x14ac:dyDescent="0.3">
      <c r="A3" s="122"/>
      <c r="B3" s="121"/>
      <c r="C3" s="2"/>
      <c r="D3" s="149"/>
      <c r="E3" s="149"/>
      <c r="F3" s="149"/>
      <c r="G3" s="155"/>
      <c r="H3" s="157"/>
      <c r="I3" s="159"/>
      <c r="J3" s="161"/>
      <c r="K3" s="151"/>
      <c r="L3" s="153"/>
      <c r="M3" s="30"/>
      <c r="N3" s="146"/>
      <c r="O3" s="16">
        <v>0.3</v>
      </c>
      <c r="P3" s="16">
        <v>0.35</v>
      </c>
      <c r="Q3" s="16">
        <v>0.4</v>
      </c>
      <c r="R3" s="16">
        <v>0.45</v>
      </c>
      <c r="S3" s="16">
        <v>0.5</v>
      </c>
      <c r="T3" s="16">
        <v>0.6</v>
      </c>
      <c r="U3" s="37">
        <v>0.35</v>
      </c>
      <c r="V3" s="37">
        <v>0.4</v>
      </c>
      <c r="W3" s="37">
        <v>0.45</v>
      </c>
      <c r="X3" s="37">
        <v>0.5</v>
      </c>
      <c r="Y3" s="9"/>
      <c r="Z3" s="147"/>
      <c r="AA3" s="147"/>
    </row>
    <row r="4" spans="1:27" x14ac:dyDescent="0.3">
      <c r="A4" s="135"/>
      <c r="B4" s="125"/>
      <c r="C4" s="3" t="s">
        <v>313</v>
      </c>
      <c r="D4" s="55" t="s">
        <v>758</v>
      </c>
      <c r="E4" s="55" t="s">
        <v>70</v>
      </c>
      <c r="F4" s="55" t="s">
        <v>310</v>
      </c>
      <c r="G4" s="56">
        <v>3</v>
      </c>
      <c r="H4" s="49">
        <f>1+30+1+6+10+5</f>
        <v>53</v>
      </c>
      <c r="I4" s="50">
        <f>10+1+3+13+2+3+2+4+6+1+3+1</f>
        <v>49</v>
      </c>
      <c r="J4" s="77">
        <f>+H4-I4</f>
        <v>4</v>
      </c>
      <c r="K4" s="31">
        <v>136.44999999999999</v>
      </c>
      <c r="L4" s="32">
        <v>44245</v>
      </c>
      <c r="M4" s="33">
        <v>0.21</v>
      </c>
      <c r="N4" s="64">
        <f t="shared" ref="N4:N46" si="0">+K4*(1+M4)</f>
        <v>165.10449999999997</v>
      </c>
      <c r="O4" s="68">
        <f t="shared" ref="O4:O26" si="1">ROUND(K4*(1+$O$3),2)</f>
        <v>177.39</v>
      </c>
      <c r="P4" s="68">
        <f t="shared" ref="P4:P46" si="2">ROUND(K4*(1+$P$3),2)</f>
        <v>184.21</v>
      </c>
      <c r="Q4" s="68">
        <f t="shared" ref="Q4:Q46" si="3">ROUND(K4*(1+$Q$3),2)</f>
        <v>191.03</v>
      </c>
      <c r="R4" s="11">
        <f t="shared" ref="R4:R46" si="4">ROUND(K4*(1+$R$3),2)</f>
        <v>197.85</v>
      </c>
      <c r="S4" s="11">
        <f t="shared" ref="S4:S26" si="5">ROUND(K4*(1+$S$3),2)</f>
        <v>204.68</v>
      </c>
      <c r="T4" s="11">
        <f t="shared" ref="T4:T46" si="6">ROUND(K4*(1+$T$3),2)</f>
        <v>218.32</v>
      </c>
      <c r="U4" s="38">
        <f t="shared" ref="U4:U54" si="7">ROUND((N4*(1+$U$3)),2)</f>
        <v>222.89</v>
      </c>
      <c r="V4" s="38">
        <f t="shared" ref="V4:V54" si="8">ROUND((N4*(1+$V$3)),2)</f>
        <v>231.15</v>
      </c>
      <c r="W4" s="38">
        <f t="shared" ref="W4:W54" si="9">ROUND((N4*(1+$W$3)),2)</f>
        <v>239.4</v>
      </c>
      <c r="X4" s="38">
        <f>ROUND((N4*(1+$X$3)),2)</f>
        <v>247.66</v>
      </c>
      <c r="Z4" s="4">
        <f t="shared" ref="Z4:Z46" si="10">J4*K4</f>
        <v>545.79999999999995</v>
      </c>
      <c r="AA4" s="4">
        <f t="shared" ref="AA4:AA46" si="11">J4*N4</f>
        <v>660.41799999999989</v>
      </c>
    </row>
    <row r="5" spans="1:27" x14ac:dyDescent="0.3">
      <c r="A5" s="135"/>
      <c r="B5" s="128"/>
      <c r="C5" s="3" t="s">
        <v>309</v>
      </c>
      <c r="D5" s="55"/>
      <c r="E5" s="55" t="s">
        <v>1136</v>
      </c>
      <c r="F5" s="55" t="s">
        <v>310</v>
      </c>
      <c r="G5" s="56">
        <v>3</v>
      </c>
      <c r="H5" s="49">
        <f>5+3+1+1+1</f>
        <v>11</v>
      </c>
      <c r="I5" s="50">
        <f>3+3+1+1+2</f>
        <v>10</v>
      </c>
      <c r="J5" s="77">
        <f>+H5-I5</f>
        <v>1</v>
      </c>
      <c r="K5" s="31">
        <v>136.44999999999999</v>
      </c>
      <c r="L5" s="32">
        <v>44245</v>
      </c>
      <c r="M5" s="33">
        <v>0.21</v>
      </c>
      <c r="N5" s="64">
        <f>+K5*(1+M5)</f>
        <v>165.10449999999997</v>
      </c>
      <c r="O5" s="68"/>
      <c r="P5" s="68"/>
      <c r="Q5" s="68"/>
      <c r="R5" s="11"/>
      <c r="S5" s="11"/>
      <c r="T5" s="11">
        <f t="shared" si="6"/>
        <v>218.32</v>
      </c>
      <c r="U5" s="38">
        <f t="shared" si="7"/>
        <v>222.89</v>
      </c>
      <c r="V5" s="38">
        <f t="shared" si="8"/>
        <v>231.15</v>
      </c>
      <c r="W5" s="38">
        <f t="shared" si="9"/>
        <v>239.4</v>
      </c>
      <c r="X5" s="38">
        <f t="shared" ref="X5:X12" si="12">ROUND((N5*(1+$X$3)),2)</f>
        <v>247.66</v>
      </c>
      <c r="Z5" s="4">
        <f t="shared" si="10"/>
        <v>136.44999999999999</v>
      </c>
      <c r="AA5" s="4">
        <f t="shared" si="11"/>
        <v>165.10449999999997</v>
      </c>
    </row>
    <row r="6" spans="1:27" x14ac:dyDescent="0.3">
      <c r="A6" s="135"/>
      <c r="B6" s="128"/>
      <c r="C6" s="3" t="s">
        <v>1124</v>
      </c>
      <c r="D6" s="55"/>
      <c r="E6" s="55" t="s">
        <v>70</v>
      </c>
      <c r="F6" s="55" t="s">
        <v>1125</v>
      </c>
      <c r="G6" s="56">
        <v>1</v>
      </c>
      <c r="H6" s="49">
        <f>5+1+1</f>
        <v>7</v>
      </c>
      <c r="I6" s="50">
        <v>4</v>
      </c>
      <c r="J6" s="77">
        <f>+H6-I6</f>
        <v>3</v>
      </c>
      <c r="K6" s="31">
        <v>136.44999999999999</v>
      </c>
      <c r="L6" s="32">
        <v>44245</v>
      </c>
      <c r="M6" s="33">
        <v>0.21</v>
      </c>
      <c r="N6" s="64">
        <f>+K6*(1+M6)</f>
        <v>165.10449999999997</v>
      </c>
      <c r="O6" s="68"/>
      <c r="P6" s="68"/>
      <c r="Q6" s="68"/>
      <c r="R6" s="11"/>
      <c r="S6" s="11"/>
      <c r="T6" s="11">
        <f t="shared" si="6"/>
        <v>218.32</v>
      </c>
      <c r="U6" s="38">
        <f t="shared" si="7"/>
        <v>222.89</v>
      </c>
      <c r="V6" s="38">
        <f t="shared" si="8"/>
        <v>231.15</v>
      </c>
      <c r="W6" s="38"/>
      <c r="X6" s="38"/>
      <c r="Z6" s="4">
        <f t="shared" si="10"/>
        <v>409.34999999999997</v>
      </c>
      <c r="AA6" s="4">
        <f t="shared" si="11"/>
        <v>495.31349999999992</v>
      </c>
    </row>
    <row r="7" spans="1:27" x14ac:dyDescent="0.3">
      <c r="A7" s="135"/>
      <c r="B7" s="128"/>
      <c r="C7" s="3" t="s">
        <v>1479</v>
      </c>
      <c r="D7" s="55" t="s">
        <v>759</v>
      </c>
      <c r="E7" s="55" t="s">
        <v>1133</v>
      </c>
      <c r="F7" s="55" t="s">
        <v>956</v>
      </c>
      <c r="G7" s="56">
        <v>0</v>
      </c>
      <c r="H7" s="49">
        <f>2+10+50+10+20+10</f>
        <v>102</v>
      </c>
      <c r="I7" s="85">
        <f>2+10+25+10+10+5+10+20+10</f>
        <v>102</v>
      </c>
      <c r="J7" s="77">
        <f>+H7-I7</f>
        <v>0</v>
      </c>
      <c r="K7" s="31">
        <v>1714.3</v>
      </c>
      <c r="L7" s="32">
        <v>44239</v>
      </c>
      <c r="M7" s="33">
        <v>0.21</v>
      </c>
      <c r="N7" s="64">
        <f t="shared" si="0"/>
        <v>2074.3029999999999</v>
      </c>
      <c r="O7" s="68">
        <f t="shared" si="1"/>
        <v>2228.59</v>
      </c>
      <c r="P7" s="68">
        <f t="shared" si="2"/>
        <v>2314.31</v>
      </c>
      <c r="Q7" s="68">
        <f t="shared" si="3"/>
        <v>2400.02</v>
      </c>
      <c r="R7" s="11">
        <f t="shared" si="4"/>
        <v>2485.7399999999998</v>
      </c>
      <c r="S7" s="11">
        <f t="shared" si="5"/>
        <v>2571.4499999999998</v>
      </c>
      <c r="T7" s="11">
        <f t="shared" si="6"/>
        <v>2742.88</v>
      </c>
      <c r="U7" s="38">
        <f t="shared" si="7"/>
        <v>2800.31</v>
      </c>
      <c r="V7" s="38">
        <f t="shared" si="8"/>
        <v>2904.02</v>
      </c>
      <c r="W7" s="38">
        <f t="shared" si="9"/>
        <v>3007.74</v>
      </c>
      <c r="X7" s="38">
        <f t="shared" si="12"/>
        <v>3111.45</v>
      </c>
      <c r="Z7" s="4">
        <f t="shared" si="10"/>
        <v>0</v>
      </c>
      <c r="AA7" s="4">
        <f t="shared" si="11"/>
        <v>0</v>
      </c>
    </row>
    <row r="8" spans="1:27" x14ac:dyDescent="0.3">
      <c r="A8" s="135"/>
      <c r="B8" s="128"/>
      <c r="C8" s="3" t="s">
        <v>1194</v>
      </c>
      <c r="D8" s="55" t="s">
        <v>1195</v>
      </c>
      <c r="E8" s="55" t="s">
        <v>34</v>
      </c>
      <c r="F8" s="55" t="s">
        <v>324</v>
      </c>
      <c r="G8" s="56">
        <v>1</v>
      </c>
      <c r="H8" s="49">
        <v>3</v>
      </c>
      <c r="I8" s="50">
        <v>3</v>
      </c>
      <c r="J8" s="77">
        <f>+H8-I8</f>
        <v>0</v>
      </c>
      <c r="K8" s="31">
        <v>400</v>
      </c>
      <c r="L8" s="32">
        <v>43879</v>
      </c>
      <c r="M8" s="33">
        <v>0.21</v>
      </c>
      <c r="N8" s="64">
        <f>+K8*(1+M8)</f>
        <v>484</v>
      </c>
      <c r="O8" s="68"/>
      <c r="P8" s="68"/>
      <c r="Q8" s="68"/>
      <c r="R8" s="11"/>
      <c r="S8" s="11"/>
      <c r="T8" s="11">
        <f t="shared" si="6"/>
        <v>640</v>
      </c>
      <c r="U8" s="38">
        <f t="shared" si="7"/>
        <v>653.4</v>
      </c>
      <c r="V8" s="38">
        <f t="shared" si="8"/>
        <v>677.6</v>
      </c>
      <c r="W8" s="38">
        <f t="shared" si="9"/>
        <v>701.8</v>
      </c>
      <c r="X8" s="38">
        <f t="shared" si="12"/>
        <v>726</v>
      </c>
      <c r="Z8" s="4">
        <f t="shared" si="10"/>
        <v>0</v>
      </c>
      <c r="AA8" s="4">
        <f t="shared" si="11"/>
        <v>0</v>
      </c>
    </row>
    <row r="9" spans="1:27" x14ac:dyDescent="0.3">
      <c r="A9" s="135"/>
      <c r="B9" s="125"/>
      <c r="C9" s="3" t="s">
        <v>1245</v>
      </c>
      <c r="D9" s="55"/>
      <c r="E9" s="55" t="s">
        <v>34</v>
      </c>
      <c r="F9" s="55" t="s">
        <v>324</v>
      </c>
      <c r="G9" s="56">
        <v>1</v>
      </c>
      <c r="H9" s="49">
        <f>1+2</f>
        <v>3</v>
      </c>
      <c r="I9" s="50">
        <f>0+1+1</f>
        <v>2</v>
      </c>
      <c r="J9" s="77">
        <f>+H9-I9</f>
        <v>1</v>
      </c>
      <c r="K9" s="31">
        <v>1152</v>
      </c>
      <c r="L9" s="32">
        <v>44245</v>
      </c>
      <c r="M9" s="33">
        <v>0.21</v>
      </c>
      <c r="N9" s="64">
        <f>+K9*(1+M9)</f>
        <v>1393.92</v>
      </c>
      <c r="O9" s="68"/>
      <c r="P9" s="68"/>
      <c r="Q9" s="68"/>
      <c r="R9" s="11"/>
      <c r="S9" s="11"/>
      <c r="T9" s="70">
        <f>ROUND(K9*(1+$T$3),2)</f>
        <v>1843.2</v>
      </c>
      <c r="U9" s="38">
        <f t="shared" si="7"/>
        <v>1881.79</v>
      </c>
      <c r="V9" s="38">
        <f t="shared" si="8"/>
        <v>1951.49</v>
      </c>
      <c r="W9" s="38">
        <f t="shared" si="9"/>
        <v>2021.18</v>
      </c>
      <c r="X9" s="38">
        <f t="shared" si="12"/>
        <v>2090.88</v>
      </c>
      <c r="Z9" s="4">
        <f t="shared" si="10"/>
        <v>1152</v>
      </c>
      <c r="AA9" s="4">
        <f t="shared" si="11"/>
        <v>1393.92</v>
      </c>
    </row>
    <row r="10" spans="1:27" x14ac:dyDescent="0.3">
      <c r="A10" s="135"/>
      <c r="B10" s="125"/>
      <c r="C10" s="3" t="s">
        <v>1243</v>
      </c>
      <c r="D10" s="55" t="s">
        <v>1244</v>
      </c>
      <c r="E10" s="55" t="s">
        <v>34</v>
      </c>
      <c r="F10" s="55" t="s">
        <v>324</v>
      </c>
      <c r="G10" s="56">
        <v>1</v>
      </c>
      <c r="H10" s="49">
        <v>6</v>
      </c>
      <c r="I10" s="50">
        <f>1+1+2+1</f>
        <v>5</v>
      </c>
      <c r="J10" s="77">
        <f>+H10-I10</f>
        <v>1</v>
      </c>
      <c r="K10" s="31">
        <v>400</v>
      </c>
      <c r="L10" s="32">
        <v>43879</v>
      </c>
      <c r="M10" s="33">
        <v>0.21</v>
      </c>
      <c r="N10" s="64">
        <f>+K10*(1+M10)</f>
        <v>484</v>
      </c>
      <c r="O10" s="68"/>
      <c r="P10" s="68"/>
      <c r="Q10" s="68"/>
      <c r="R10" s="11"/>
      <c r="S10" s="11"/>
      <c r="T10" s="11">
        <f>ROUND(K10*(1+$T$3),2)</f>
        <v>640</v>
      </c>
      <c r="U10" s="38">
        <f t="shared" si="7"/>
        <v>653.4</v>
      </c>
      <c r="V10" s="38">
        <f t="shared" si="8"/>
        <v>677.6</v>
      </c>
      <c r="W10" s="38">
        <f t="shared" si="9"/>
        <v>701.8</v>
      </c>
      <c r="X10" s="38">
        <f t="shared" si="12"/>
        <v>726</v>
      </c>
      <c r="Z10" s="4">
        <f t="shared" si="10"/>
        <v>400</v>
      </c>
      <c r="AA10" s="4">
        <f t="shared" si="11"/>
        <v>484</v>
      </c>
    </row>
    <row r="11" spans="1:27" x14ac:dyDescent="0.3">
      <c r="B11" s="125"/>
      <c r="C11" s="3" t="s">
        <v>1063</v>
      </c>
      <c r="D11" s="55">
        <v>1687</v>
      </c>
      <c r="E11" s="55" t="s">
        <v>70</v>
      </c>
      <c r="F11" s="55" t="s">
        <v>232</v>
      </c>
      <c r="G11" s="56">
        <v>0</v>
      </c>
      <c r="H11" s="49">
        <f>120</f>
        <v>120</v>
      </c>
      <c r="I11" s="50">
        <f>100+1+9</f>
        <v>110</v>
      </c>
      <c r="J11" s="77">
        <f>+H11-I11</f>
        <v>10</v>
      </c>
      <c r="K11" s="31">
        <v>143.80000000000001</v>
      </c>
      <c r="L11" s="32" t="s">
        <v>1590</v>
      </c>
      <c r="M11" s="33">
        <v>0.21</v>
      </c>
      <c r="N11" s="64">
        <f>+K11*(1+M11)</f>
        <v>173.99800000000002</v>
      </c>
      <c r="O11" s="68"/>
      <c r="P11" s="68"/>
      <c r="Q11" s="68"/>
      <c r="R11" s="11"/>
      <c r="S11" s="11"/>
      <c r="T11" s="11">
        <f>ROUND(K11*(1+$T$3),2)</f>
        <v>230.08</v>
      </c>
      <c r="U11" s="38">
        <f t="shared" si="7"/>
        <v>234.9</v>
      </c>
      <c r="V11" s="38">
        <f t="shared" si="8"/>
        <v>243.6</v>
      </c>
      <c r="W11" s="38">
        <f t="shared" si="9"/>
        <v>252.3</v>
      </c>
      <c r="X11" s="38">
        <f t="shared" si="12"/>
        <v>261</v>
      </c>
      <c r="Z11" s="4">
        <f t="shared" si="10"/>
        <v>1438</v>
      </c>
      <c r="AA11" s="4">
        <f t="shared" si="11"/>
        <v>1739.9800000000002</v>
      </c>
    </row>
    <row r="12" spans="1:27" x14ac:dyDescent="0.3">
      <c r="A12" s="135"/>
      <c r="B12" s="125"/>
      <c r="C12" s="3" t="s">
        <v>1255</v>
      </c>
      <c r="D12" s="55"/>
      <c r="E12" s="55" t="s">
        <v>1000</v>
      </c>
      <c r="F12" s="55"/>
      <c r="G12" s="56">
        <v>3</v>
      </c>
      <c r="H12" s="49">
        <f>6+2+12+12+6+2+1+10</f>
        <v>51</v>
      </c>
      <c r="I12" s="50">
        <f>4+2+2+3+2+7+6+6+3+5+6+5</f>
        <v>51</v>
      </c>
      <c r="J12" s="77">
        <f>+H12-I12</f>
        <v>0</v>
      </c>
      <c r="K12" s="31">
        <v>130</v>
      </c>
      <c r="L12" s="32">
        <v>44176</v>
      </c>
      <c r="M12" s="33">
        <v>0.21</v>
      </c>
      <c r="N12" s="64">
        <f>+K12*(1+M12)</f>
        <v>157.29999999999998</v>
      </c>
      <c r="O12" s="68"/>
      <c r="P12" s="68"/>
      <c r="Q12" s="68"/>
      <c r="R12" s="11"/>
      <c r="S12" s="11"/>
      <c r="T12" s="11">
        <f>ROUND(K12*(1+$T$3),2)</f>
        <v>208</v>
      </c>
      <c r="U12" s="38">
        <f t="shared" si="7"/>
        <v>212.36</v>
      </c>
      <c r="V12" s="38">
        <f t="shared" si="8"/>
        <v>220.22</v>
      </c>
      <c r="W12" s="38">
        <f t="shared" si="9"/>
        <v>228.09</v>
      </c>
      <c r="X12" s="38">
        <f t="shared" si="12"/>
        <v>235.95</v>
      </c>
      <c r="Z12" s="4">
        <f t="shared" si="10"/>
        <v>0</v>
      </c>
      <c r="AA12" s="4">
        <f t="shared" si="11"/>
        <v>0</v>
      </c>
    </row>
    <row r="13" spans="1:27" x14ac:dyDescent="0.3">
      <c r="A13" s="135"/>
      <c r="B13" s="125"/>
      <c r="C13" s="3" t="s">
        <v>58</v>
      </c>
      <c r="D13" s="55" t="s">
        <v>539</v>
      </c>
      <c r="E13" s="55" t="s">
        <v>1000</v>
      </c>
      <c r="F13" s="55" t="s">
        <v>1587</v>
      </c>
      <c r="G13" s="56">
        <v>12</v>
      </c>
      <c r="H13" s="49">
        <f>6+10+10+12+5+1+6+6+6+6+6+18</f>
        <v>92</v>
      </c>
      <c r="I13" s="50">
        <f>6+1+9+1+3+1+5+2+1+1+1+1+2+1+1+8+6+2+1+1+1+13+1+5+12</f>
        <v>86</v>
      </c>
      <c r="J13" s="77">
        <f>+H13-I13</f>
        <v>6</v>
      </c>
      <c r="K13" s="31">
        <v>88</v>
      </c>
      <c r="L13" s="32">
        <v>44238</v>
      </c>
      <c r="M13" s="33">
        <v>0.21</v>
      </c>
      <c r="N13" s="64">
        <f t="shared" si="0"/>
        <v>106.47999999999999</v>
      </c>
      <c r="O13" s="68">
        <f t="shared" si="1"/>
        <v>114.4</v>
      </c>
      <c r="P13" s="68">
        <f t="shared" si="2"/>
        <v>118.8</v>
      </c>
      <c r="Q13" s="68">
        <f t="shared" si="3"/>
        <v>123.2</v>
      </c>
      <c r="R13" s="11">
        <f t="shared" si="4"/>
        <v>127.6</v>
      </c>
      <c r="S13" s="11">
        <f t="shared" si="5"/>
        <v>132</v>
      </c>
      <c r="T13" s="11">
        <f t="shared" si="6"/>
        <v>140.80000000000001</v>
      </c>
      <c r="U13" s="38">
        <f t="shared" si="7"/>
        <v>143.75</v>
      </c>
      <c r="V13" s="38">
        <f t="shared" si="8"/>
        <v>149.07</v>
      </c>
      <c r="W13" s="38">
        <f t="shared" si="9"/>
        <v>154.4</v>
      </c>
      <c r="X13" s="38">
        <f t="shared" ref="X13:X54" si="13">ROUND((N13*(1+$X$3)),2)</f>
        <v>159.72</v>
      </c>
      <c r="Z13" s="4">
        <f t="shared" si="10"/>
        <v>528</v>
      </c>
      <c r="AA13" s="4">
        <f t="shared" si="11"/>
        <v>638.87999999999988</v>
      </c>
    </row>
    <row r="14" spans="1:27" x14ac:dyDescent="0.3">
      <c r="A14" s="135"/>
      <c r="B14" s="125"/>
      <c r="C14" s="3" t="s">
        <v>1534</v>
      </c>
      <c r="D14" s="55"/>
      <c r="E14" s="55"/>
      <c r="F14" s="55"/>
      <c r="G14" s="56">
        <v>0</v>
      </c>
      <c r="H14" s="49">
        <f>24</f>
        <v>24</v>
      </c>
      <c r="I14" s="50">
        <f>8+4</f>
        <v>12</v>
      </c>
      <c r="J14" s="77">
        <f>+H14-I14</f>
        <v>12</v>
      </c>
      <c r="K14" s="31">
        <v>40.97</v>
      </c>
      <c r="L14" s="32">
        <v>44118</v>
      </c>
      <c r="M14" s="33">
        <v>0.21</v>
      </c>
      <c r="N14" s="64">
        <f>+K14*(1+M14)</f>
        <v>49.573699999999995</v>
      </c>
      <c r="O14" s="68"/>
      <c r="P14" s="68"/>
      <c r="Q14" s="68"/>
      <c r="R14" s="11"/>
      <c r="S14" s="11"/>
      <c r="T14" s="11">
        <f t="shared" si="6"/>
        <v>65.55</v>
      </c>
      <c r="U14" s="38">
        <f t="shared" si="7"/>
        <v>66.92</v>
      </c>
      <c r="V14" s="38">
        <f t="shared" si="8"/>
        <v>69.400000000000006</v>
      </c>
      <c r="W14" s="38">
        <f t="shared" si="9"/>
        <v>71.88</v>
      </c>
      <c r="X14" s="38">
        <f t="shared" si="13"/>
        <v>74.36</v>
      </c>
      <c r="Z14" s="4">
        <f t="shared" si="10"/>
        <v>491.64</v>
      </c>
      <c r="AA14" s="4">
        <f t="shared" si="11"/>
        <v>594.88439999999991</v>
      </c>
    </row>
    <row r="15" spans="1:27" x14ac:dyDescent="0.3">
      <c r="A15" s="135"/>
      <c r="B15" s="125"/>
      <c r="C15" s="3" t="s">
        <v>1374</v>
      </c>
      <c r="D15" s="55" t="s">
        <v>198</v>
      </c>
      <c r="E15" s="55" t="s">
        <v>68</v>
      </c>
      <c r="F15" s="55" t="s">
        <v>781</v>
      </c>
      <c r="G15" s="56">
        <v>10</v>
      </c>
      <c r="H15" s="49">
        <f>10+10+20</f>
        <v>40</v>
      </c>
      <c r="I15" s="50">
        <f>10+10+10+10</f>
        <v>40</v>
      </c>
      <c r="J15" s="77">
        <f>+H15-I15</f>
        <v>0</v>
      </c>
      <c r="K15" s="31">
        <v>51</v>
      </c>
      <c r="L15" s="32">
        <v>44146</v>
      </c>
      <c r="M15" s="33">
        <v>0.21</v>
      </c>
      <c r="N15" s="64">
        <f t="shared" si="0"/>
        <v>61.71</v>
      </c>
      <c r="O15" s="68">
        <f t="shared" si="1"/>
        <v>66.3</v>
      </c>
      <c r="P15" s="68">
        <f t="shared" si="2"/>
        <v>68.849999999999994</v>
      </c>
      <c r="Q15" s="68">
        <f t="shared" si="3"/>
        <v>71.400000000000006</v>
      </c>
      <c r="R15" s="11">
        <f t="shared" si="4"/>
        <v>73.95</v>
      </c>
      <c r="S15" s="11">
        <f t="shared" si="5"/>
        <v>76.5</v>
      </c>
      <c r="T15" s="11">
        <f t="shared" si="6"/>
        <v>81.599999999999994</v>
      </c>
      <c r="U15" s="38">
        <f t="shared" si="7"/>
        <v>83.31</v>
      </c>
      <c r="V15" s="38">
        <f t="shared" si="8"/>
        <v>86.39</v>
      </c>
      <c r="W15" s="38">
        <f t="shared" si="9"/>
        <v>89.48</v>
      </c>
      <c r="X15" s="38">
        <f t="shared" si="13"/>
        <v>92.57</v>
      </c>
      <c r="Z15" s="4">
        <f t="shared" si="10"/>
        <v>0</v>
      </c>
      <c r="AA15" s="4">
        <f t="shared" si="11"/>
        <v>0</v>
      </c>
    </row>
    <row r="16" spans="1:27" x14ac:dyDescent="0.3">
      <c r="A16" s="135"/>
      <c r="B16" s="125"/>
      <c r="C16" s="3" t="s">
        <v>1435</v>
      </c>
      <c r="D16" s="55"/>
      <c r="E16" s="55"/>
      <c r="F16" s="55" t="s">
        <v>781</v>
      </c>
      <c r="G16" s="56">
        <v>0</v>
      </c>
      <c r="H16" s="49">
        <f>20+11+10</f>
        <v>41</v>
      </c>
      <c r="I16" s="50">
        <f>10+10+11</f>
        <v>31</v>
      </c>
      <c r="J16" s="77">
        <f>+H16-I16</f>
        <v>10</v>
      </c>
      <c r="K16" s="31">
        <v>51</v>
      </c>
      <c r="L16" s="32">
        <v>44146</v>
      </c>
      <c r="M16" s="33">
        <v>0.21</v>
      </c>
      <c r="N16" s="64">
        <f t="shared" si="0"/>
        <v>61.71</v>
      </c>
      <c r="O16" s="68"/>
      <c r="P16" s="68"/>
      <c r="Q16" s="68"/>
      <c r="R16" s="11"/>
      <c r="S16" s="11"/>
      <c r="T16" s="11">
        <f t="shared" si="6"/>
        <v>81.599999999999994</v>
      </c>
      <c r="U16" s="38">
        <f t="shared" si="7"/>
        <v>83.31</v>
      </c>
      <c r="V16" s="38">
        <f t="shared" si="8"/>
        <v>86.39</v>
      </c>
      <c r="W16" s="38">
        <f t="shared" si="9"/>
        <v>89.48</v>
      </c>
      <c r="X16" s="38">
        <f t="shared" si="13"/>
        <v>92.57</v>
      </c>
      <c r="Z16" s="4">
        <f t="shared" si="10"/>
        <v>510</v>
      </c>
      <c r="AA16" s="4">
        <f t="shared" si="11"/>
        <v>617.1</v>
      </c>
    </row>
    <row r="17" spans="1:27" x14ac:dyDescent="0.3">
      <c r="A17" s="135"/>
      <c r="B17" s="125"/>
      <c r="C17" s="3" t="s">
        <v>1515</v>
      </c>
      <c r="D17" s="55"/>
      <c r="E17" s="55"/>
      <c r="F17" s="55" t="s">
        <v>781</v>
      </c>
      <c r="G17" s="56">
        <v>0</v>
      </c>
      <c r="H17" s="49">
        <f>20</f>
        <v>20</v>
      </c>
      <c r="I17" s="50">
        <f>10</f>
        <v>10</v>
      </c>
      <c r="J17" s="77">
        <f>+H17-I17</f>
        <v>10</v>
      </c>
      <c r="K17" s="31">
        <v>51</v>
      </c>
      <c r="L17" s="32">
        <v>44146</v>
      </c>
      <c r="M17" s="33">
        <v>0.21</v>
      </c>
      <c r="N17" s="64">
        <f>+K17*(1+M17)</f>
        <v>61.71</v>
      </c>
      <c r="O17" s="68"/>
      <c r="P17" s="68"/>
      <c r="Q17" s="68"/>
      <c r="R17" s="11"/>
      <c r="S17" s="11"/>
      <c r="T17" s="11">
        <f t="shared" si="6"/>
        <v>81.599999999999994</v>
      </c>
      <c r="U17" s="38">
        <f t="shared" si="7"/>
        <v>83.31</v>
      </c>
      <c r="V17" s="38">
        <f t="shared" si="8"/>
        <v>86.39</v>
      </c>
      <c r="W17" s="38">
        <f t="shared" si="9"/>
        <v>89.48</v>
      </c>
      <c r="X17" s="38">
        <f t="shared" si="13"/>
        <v>92.57</v>
      </c>
      <c r="Z17" s="4">
        <f t="shared" si="10"/>
        <v>510</v>
      </c>
      <c r="AA17" s="4">
        <f t="shared" si="11"/>
        <v>617.1</v>
      </c>
    </row>
    <row r="18" spans="1:27" x14ac:dyDescent="0.3">
      <c r="A18" s="135"/>
      <c r="B18" s="125"/>
      <c r="C18" s="3" t="s">
        <v>1516</v>
      </c>
      <c r="D18" s="55"/>
      <c r="E18" s="55"/>
      <c r="F18" s="55" t="s">
        <v>781</v>
      </c>
      <c r="G18" s="56">
        <v>0</v>
      </c>
      <c r="H18" s="49">
        <f>20</f>
        <v>20</v>
      </c>
      <c r="I18" s="50">
        <f>10+10</f>
        <v>20</v>
      </c>
      <c r="J18" s="77">
        <f>+H18-I18</f>
        <v>0</v>
      </c>
      <c r="K18" s="31">
        <v>51</v>
      </c>
      <c r="L18" s="32">
        <v>44146</v>
      </c>
      <c r="M18" s="33">
        <v>0.21</v>
      </c>
      <c r="N18" s="64">
        <f>+K18*(1+M18)</f>
        <v>61.71</v>
      </c>
      <c r="O18" s="68"/>
      <c r="P18" s="68"/>
      <c r="Q18" s="68"/>
      <c r="R18" s="11"/>
      <c r="S18" s="11"/>
      <c r="T18" s="11">
        <f t="shared" si="6"/>
        <v>81.599999999999994</v>
      </c>
      <c r="U18" s="38">
        <f t="shared" si="7"/>
        <v>83.31</v>
      </c>
      <c r="V18" s="38">
        <f t="shared" si="8"/>
        <v>86.39</v>
      </c>
      <c r="W18" s="38">
        <f t="shared" si="9"/>
        <v>89.48</v>
      </c>
      <c r="X18" s="38">
        <f t="shared" si="13"/>
        <v>92.57</v>
      </c>
      <c r="Z18" s="4">
        <f t="shared" si="10"/>
        <v>0</v>
      </c>
      <c r="AA18" s="4">
        <f t="shared" si="11"/>
        <v>0</v>
      </c>
    </row>
    <row r="19" spans="1:27" x14ac:dyDescent="0.3">
      <c r="A19" s="135"/>
      <c r="B19" s="125"/>
      <c r="C19" s="3" t="s">
        <v>685</v>
      </c>
      <c r="D19" s="55" t="s">
        <v>1372</v>
      </c>
      <c r="E19" s="55" t="s">
        <v>362</v>
      </c>
      <c r="F19" s="55" t="s">
        <v>220</v>
      </c>
      <c r="G19" s="56">
        <v>50</v>
      </c>
      <c r="H19" s="49">
        <f>200+50+55+50+100+100+50+5+100+100+100+50+25+200</f>
        <v>1185</v>
      </c>
      <c r="I19" s="50">
        <f>35+50+15+100+50+25+30+45+105+50+50+50+60+40+60+45+75+25+50+10+15+75+75</f>
        <v>1135</v>
      </c>
      <c r="J19" s="77">
        <f>+H19-I19</f>
        <v>50</v>
      </c>
      <c r="K19" s="31">
        <v>381.3</v>
      </c>
      <c r="L19" s="32">
        <v>44186</v>
      </c>
      <c r="M19" s="33">
        <v>0.21</v>
      </c>
      <c r="N19" s="64">
        <f t="shared" si="0"/>
        <v>461.37299999999999</v>
      </c>
      <c r="O19" s="68">
        <f t="shared" si="1"/>
        <v>495.69</v>
      </c>
      <c r="P19" s="68">
        <f t="shared" si="2"/>
        <v>514.76</v>
      </c>
      <c r="Q19" s="68">
        <f t="shared" si="3"/>
        <v>533.82000000000005</v>
      </c>
      <c r="R19" s="11">
        <f t="shared" si="4"/>
        <v>552.89</v>
      </c>
      <c r="S19" s="11">
        <f t="shared" si="5"/>
        <v>571.95000000000005</v>
      </c>
      <c r="T19" s="11">
        <f t="shared" si="6"/>
        <v>610.08000000000004</v>
      </c>
      <c r="U19" s="38">
        <f t="shared" si="7"/>
        <v>622.85</v>
      </c>
      <c r="V19" s="38">
        <f t="shared" si="8"/>
        <v>645.91999999999996</v>
      </c>
      <c r="W19" s="38">
        <f t="shared" si="9"/>
        <v>668.99</v>
      </c>
      <c r="X19" s="38">
        <f t="shared" si="13"/>
        <v>692.06</v>
      </c>
      <c r="Z19" s="4">
        <f t="shared" si="10"/>
        <v>19065</v>
      </c>
      <c r="AA19" s="4">
        <f t="shared" si="11"/>
        <v>23068.649999999998</v>
      </c>
    </row>
    <row r="20" spans="1:27" x14ac:dyDescent="0.3">
      <c r="A20" s="135"/>
      <c r="B20" s="125"/>
      <c r="C20" s="3" t="s">
        <v>686</v>
      </c>
      <c r="D20" s="55" t="s">
        <v>687</v>
      </c>
      <c r="E20" s="55" t="s">
        <v>117</v>
      </c>
      <c r="F20" s="55" t="s">
        <v>220</v>
      </c>
      <c r="G20" s="56">
        <v>0</v>
      </c>
      <c r="H20" s="49">
        <f>50+100+25+50</f>
        <v>225</v>
      </c>
      <c r="I20" s="50">
        <f>40+10+100+25+40</f>
        <v>215</v>
      </c>
      <c r="J20" s="77">
        <f>+H20-I20</f>
        <v>10</v>
      </c>
      <c r="K20" s="31">
        <v>381.3</v>
      </c>
      <c r="L20" s="32">
        <v>44137</v>
      </c>
      <c r="M20" s="33">
        <v>0.21</v>
      </c>
      <c r="N20" s="64">
        <f t="shared" si="0"/>
        <v>461.37299999999999</v>
      </c>
      <c r="O20" s="68">
        <f t="shared" si="1"/>
        <v>495.69</v>
      </c>
      <c r="P20" s="68">
        <f t="shared" si="2"/>
        <v>514.76</v>
      </c>
      <c r="Q20" s="68">
        <f t="shared" si="3"/>
        <v>533.82000000000005</v>
      </c>
      <c r="R20" s="11">
        <f t="shared" si="4"/>
        <v>552.89</v>
      </c>
      <c r="S20" s="11">
        <f t="shared" si="5"/>
        <v>571.95000000000005</v>
      </c>
      <c r="T20" s="11">
        <f t="shared" si="6"/>
        <v>610.08000000000004</v>
      </c>
      <c r="U20" s="38">
        <f t="shared" si="7"/>
        <v>622.85</v>
      </c>
      <c r="V20" s="38">
        <f t="shared" si="8"/>
        <v>645.91999999999996</v>
      </c>
      <c r="W20" s="38">
        <f t="shared" si="9"/>
        <v>668.99</v>
      </c>
      <c r="X20" s="38">
        <f t="shared" si="13"/>
        <v>692.06</v>
      </c>
      <c r="Z20" s="4">
        <f t="shared" si="10"/>
        <v>3813</v>
      </c>
      <c r="AA20" s="4">
        <f t="shared" si="11"/>
        <v>4613.7299999999996</v>
      </c>
    </row>
    <row r="21" spans="1:27" x14ac:dyDescent="0.3">
      <c r="A21" s="135"/>
      <c r="B21" s="125"/>
      <c r="C21" s="3" t="s">
        <v>795</v>
      </c>
      <c r="D21" s="55" t="s">
        <v>787</v>
      </c>
      <c r="E21" s="55" t="s">
        <v>362</v>
      </c>
      <c r="F21" s="55" t="s">
        <v>219</v>
      </c>
      <c r="G21" s="56">
        <v>0</v>
      </c>
      <c r="H21" s="49">
        <f>20+50</f>
        <v>70</v>
      </c>
      <c r="I21" s="50">
        <f>0+20+20+10+20</f>
        <v>70</v>
      </c>
      <c r="J21" s="77">
        <f>+H21-I21</f>
        <v>0</v>
      </c>
      <c r="K21" s="31">
        <v>70.459999999999994</v>
      </c>
      <c r="L21" s="32">
        <v>44146</v>
      </c>
      <c r="M21" s="33">
        <v>0.21</v>
      </c>
      <c r="N21" s="64">
        <f t="shared" si="0"/>
        <v>85.256599999999992</v>
      </c>
      <c r="O21" s="68">
        <f t="shared" si="1"/>
        <v>91.6</v>
      </c>
      <c r="P21" s="68">
        <f t="shared" si="2"/>
        <v>95.12</v>
      </c>
      <c r="Q21" s="68">
        <f t="shared" si="3"/>
        <v>98.64</v>
      </c>
      <c r="R21" s="11">
        <f t="shared" si="4"/>
        <v>102.17</v>
      </c>
      <c r="S21" s="11">
        <f t="shared" si="5"/>
        <v>105.69</v>
      </c>
      <c r="T21" s="11">
        <f t="shared" si="6"/>
        <v>112.74</v>
      </c>
      <c r="U21" s="38">
        <f t="shared" si="7"/>
        <v>115.1</v>
      </c>
      <c r="V21" s="38">
        <f t="shared" si="8"/>
        <v>119.36</v>
      </c>
      <c r="W21" s="38">
        <f t="shared" si="9"/>
        <v>123.62</v>
      </c>
      <c r="X21" s="38">
        <f t="shared" si="13"/>
        <v>127.88</v>
      </c>
      <c r="Z21" s="4">
        <f t="shared" si="10"/>
        <v>0</v>
      </c>
      <c r="AA21" s="4">
        <f t="shared" si="11"/>
        <v>0</v>
      </c>
    </row>
    <row r="22" spans="1:27" x14ac:dyDescent="0.3">
      <c r="A22" s="135"/>
      <c r="B22" s="125"/>
      <c r="C22" s="3" t="s">
        <v>942</v>
      </c>
      <c r="D22" s="55"/>
      <c r="E22" s="55" t="s">
        <v>362</v>
      </c>
      <c r="F22" s="55" t="s">
        <v>219</v>
      </c>
      <c r="G22" s="56">
        <v>0</v>
      </c>
      <c r="H22" s="49">
        <f>10+50</f>
        <v>60</v>
      </c>
      <c r="I22" s="50">
        <f>10+20+2+10+10</f>
        <v>52</v>
      </c>
      <c r="J22" s="77">
        <f>+H22-I22</f>
        <v>8</v>
      </c>
      <c r="K22" s="31">
        <v>70.459999999999994</v>
      </c>
      <c r="L22" s="32">
        <v>44146</v>
      </c>
      <c r="M22" s="33">
        <v>0.21</v>
      </c>
      <c r="N22" s="64">
        <f t="shared" si="0"/>
        <v>85.256599999999992</v>
      </c>
      <c r="O22" s="68">
        <f t="shared" si="1"/>
        <v>91.6</v>
      </c>
      <c r="P22" s="68">
        <f t="shared" si="2"/>
        <v>95.12</v>
      </c>
      <c r="Q22" s="68">
        <f t="shared" si="3"/>
        <v>98.64</v>
      </c>
      <c r="R22" s="11">
        <f t="shared" si="4"/>
        <v>102.17</v>
      </c>
      <c r="S22" s="11">
        <f t="shared" si="5"/>
        <v>105.69</v>
      </c>
      <c r="T22" s="11">
        <f t="shared" si="6"/>
        <v>112.74</v>
      </c>
      <c r="U22" s="38">
        <f t="shared" si="7"/>
        <v>115.1</v>
      </c>
      <c r="V22" s="38">
        <f t="shared" si="8"/>
        <v>119.36</v>
      </c>
      <c r="W22" s="38">
        <f t="shared" si="9"/>
        <v>123.62</v>
      </c>
      <c r="X22" s="38">
        <f t="shared" si="13"/>
        <v>127.88</v>
      </c>
      <c r="Z22" s="4">
        <f t="shared" si="10"/>
        <v>563.67999999999995</v>
      </c>
      <c r="AA22" s="4">
        <f t="shared" si="11"/>
        <v>682.05279999999993</v>
      </c>
    </row>
    <row r="23" spans="1:27" x14ac:dyDescent="0.3">
      <c r="A23" s="135"/>
      <c r="B23" s="125"/>
      <c r="C23" s="3" t="s">
        <v>584</v>
      </c>
      <c r="D23" s="55" t="s">
        <v>597</v>
      </c>
      <c r="E23" s="55" t="s">
        <v>70</v>
      </c>
      <c r="F23" s="55" t="s">
        <v>308</v>
      </c>
      <c r="G23" s="56">
        <v>0</v>
      </c>
      <c r="H23" s="49">
        <f>2</f>
        <v>2</v>
      </c>
      <c r="I23" s="50">
        <f>0+2</f>
        <v>2</v>
      </c>
      <c r="J23" s="77">
        <f>+H23-I23</f>
        <v>0</v>
      </c>
      <c r="K23" s="31">
        <v>546</v>
      </c>
      <c r="L23" s="32">
        <v>44044</v>
      </c>
      <c r="M23" s="33">
        <v>0.21</v>
      </c>
      <c r="N23" s="64">
        <f t="shared" si="0"/>
        <v>660.66</v>
      </c>
      <c r="O23" s="68">
        <f t="shared" si="1"/>
        <v>709.8</v>
      </c>
      <c r="P23" s="68">
        <f t="shared" si="2"/>
        <v>737.1</v>
      </c>
      <c r="Q23" s="68">
        <f t="shared" si="3"/>
        <v>764.4</v>
      </c>
      <c r="R23" s="11">
        <f t="shared" si="4"/>
        <v>791.7</v>
      </c>
      <c r="S23" s="11">
        <f t="shared" si="5"/>
        <v>819</v>
      </c>
      <c r="T23" s="11">
        <f t="shared" si="6"/>
        <v>873.6</v>
      </c>
      <c r="U23" s="38">
        <f t="shared" si="7"/>
        <v>891.89</v>
      </c>
      <c r="V23" s="38">
        <f t="shared" si="8"/>
        <v>924.92</v>
      </c>
      <c r="W23" s="38">
        <f t="shared" si="9"/>
        <v>957.96</v>
      </c>
      <c r="X23" s="38">
        <f t="shared" si="13"/>
        <v>990.99</v>
      </c>
      <c r="Z23" s="4">
        <f t="shared" si="10"/>
        <v>0</v>
      </c>
      <c r="AA23" s="4">
        <f t="shared" si="11"/>
        <v>0</v>
      </c>
    </row>
    <row r="24" spans="1:27" x14ac:dyDescent="0.3">
      <c r="A24" s="135"/>
      <c r="B24" s="125"/>
      <c r="C24" s="3" t="s">
        <v>580</v>
      </c>
      <c r="D24" s="55" t="s">
        <v>598</v>
      </c>
      <c r="E24" s="55" t="s">
        <v>70</v>
      </c>
      <c r="F24" s="55" t="s">
        <v>2</v>
      </c>
      <c r="G24" s="56">
        <v>0</v>
      </c>
      <c r="H24" s="49">
        <f>1+1</f>
        <v>2</v>
      </c>
      <c r="I24" s="50">
        <f>0</f>
        <v>0</v>
      </c>
      <c r="J24" s="77">
        <f>+H24-I24</f>
        <v>2</v>
      </c>
      <c r="K24" s="31">
        <v>760</v>
      </c>
      <c r="L24" s="32">
        <v>44044</v>
      </c>
      <c r="M24" s="33">
        <v>0.21</v>
      </c>
      <c r="N24" s="64">
        <f t="shared" si="0"/>
        <v>919.6</v>
      </c>
      <c r="O24" s="68">
        <f t="shared" si="1"/>
        <v>988</v>
      </c>
      <c r="P24" s="68">
        <f t="shared" si="2"/>
        <v>1026</v>
      </c>
      <c r="Q24" s="68">
        <f t="shared" si="3"/>
        <v>1064</v>
      </c>
      <c r="R24" s="11">
        <f t="shared" si="4"/>
        <v>1102</v>
      </c>
      <c r="S24" s="11">
        <f t="shared" si="5"/>
        <v>1140</v>
      </c>
      <c r="T24" s="11">
        <f t="shared" si="6"/>
        <v>1216</v>
      </c>
      <c r="U24" s="38">
        <f t="shared" si="7"/>
        <v>1241.46</v>
      </c>
      <c r="V24" s="38">
        <f t="shared" si="8"/>
        <v>1287.44</v>
      </c>
      <c r="W24" s="38">
        <f t="shared" si="9"/>
        <v>1333.42</v>
      </c>
      <c r="X24" s="38">
        <f t="shared" si="13"/>
        <v>1379.4</v>
      </c>
      <c r="Z24" s="4">
        <f t="shared" si="10"/>
        <v>1520</v>
      </c>
      <c r="AA24" s="4">
        <f t="shared" si="11"/>
        <v>1839.2</v>
      </c>
    </row>
    <row r="25" spans="1:27" x14ac:dyDescent="0.3">
      <c r="A25" s="135"/>
      <c r="B25" s="125"/>
      <c r="C25" s="3" t="s">
        <v>1025</v>
      </c>
      <c r="D25" s="55"/>
      <c r="E25" s="55"/>
      <c r="F25" s="55" t="s">
        <v>2</v>
      </c>
      <c r="G25" s="56">
        <v>0</v>
      </c>
      <c r="H25" s="49">
        <f>1</f>
        <v>1</v>
      </c>
      <c r="I25" s="50">
        <f>0</f>
        <v>0</v>
      </c>
      <c r="J25" s="77">
        <f>+H25-I25</f>
        <v>1</v>
      </c>
      <c r="K25" s="31">
        <v>760</v>
      </c>
      <c r="L25" s="32">
        <v>44044</v>
      </c>
      <c r="M25" s="33">
        <v>0.21</v>
      </c>
      <c r="N25" s="64">
        <f t="shared" si="0"/>
        <v>919.6</v>
      </c>
      <c r="O25" s="68">
        <f t="shared" si="1"/>
        <v>988</v>
      </c>
      <c r="P25" s="68">
        <f t="shared" si="2"/>
        <v>1026</v>
      </c>
      <c r="Q25" s="68">
        <f t="shared" si="3"/>
        <v>1064</v>
      </c>
      <c r="R25" s="11">
        <f t="shared" si="4"/>
        <v>1102</v>
      </c>
      <c r="S25" s="11">
        <f t="shared" si="5"/>
        <v>1140</v>
      </c>
      <c r="T25" s="11">
        <f t="shared" si="6"/>
        <v>1216</v>
      </c>
      <c r="U25" s="38">
        <f t="shared" si="7"/>
        <v>1241.46</v>
      </c>
      <c r="V25" s="38">
        <f t="shared" si="8"/>
        <v>1287.44</v>
      </c>
      <c r="W25" s="38">
        <f t="shared" si="9"/>
        <v>1333.42</v>
      </c>
      <c r="X25" s="38">
        <f t="shared" si="13"/>
        <v>1379.4</v>
      </c>
      <c r="Z25" s="4">
        <f t="shared" si="10"/>
        <v>760</v>
      </c>
      <c r="AA25" s="4">
        <f t="shared" si="11"/>
        <v>919.6</v>
      </c>
    </row>
    <row r="26" spans="1:27" x14ac:dyDescent="0.3">
      <c r="A26" s="135"/>
      <c r="B26" s="125"/>
      <c r="C26" s="3" t="s">
        <v>578</v>
      </c>
      <c r="D26" s="55" t="s">
        <v>599</v>
      </c>
      <c r="E26" s="55" t="s">
        <v>70</v>
      </c>
      <c r="F26" s="55" t="s">
        <v>2</v>
      </c>
      <c r="G26" s="56">
        <v>0</v>
      </c>
      <c r="H26" s="49">
        <f>1</f>
        <v>1</v>
      </c>
      <c r="I26" s="50">
        <f>0</f>
        <v>0</v>
      </c>
      <c r="J26" s="77">
        <f>+H26-I26</f>
        <v>1</v>
      </c>
      <c r="K26" s="31">
        <v>1557</v>
      </c>
      <c r="L26" s="32">
        <v>44044</v>
      </c>
      <c r="M26" s="33">
        <v>0.21</v>
      </c>
      <c r="N26" s="64">
        <f t="shared" si="0"/>
        <v>1883.97</v>
      </c>
      <c r="O26" s="68">
        <f t="shared" si="1"/>
        <v>2024.1</v>
      </c>
      <c r="P26" s="68">
        <f t="shared" si="2"/>
        <v>2101.9499999999998</v>
      </c>
      <c r="Q26" s="68">
        <f t="shared" si="3"/>
        <v>2179.8000000000002</v>
      </c>
      <c r="R26" s="11">
        <f t="shared" si="4"/>
        <v>2257.65</v>
      </c>
      <c r="S26" s="11">
        <f t="shared" si="5"/>
        <v>2335.5</v>
      </c>
      <c r="T26" s="11">
        <f t="shared" si="6"/>
        <v>2491.1999999999998</v>
      </c>
      <c r="U26" s="38">
        <f t="shared" si="7"/>
        <v>2543.36</v>
      </c>
      <c r="V26" s="38">
        <f t="shared" si="8"/>
        <v>2637.56</v>
      </c>
      <c r="W26" s="38">
        <f t="shared" si="9"/>
        <v>2731.76</v>
      </c>
      <c r="X26" s="38">
        <f t="shared" si="13"/>
        <v>2825.96</v>
      </c>
      <c r="Z26" s="4">
        <f t="shared" si="10"/>
        <v>1557</v>
      </c>
      <c r="AA26" s="4">
        <f t="shared" si="11"/>
        <v>1883.97</v>
      </c>
    </row>
    <row r="27" spans="1:27" x14ac:dyDescent="0.3">
      <c r="A27" s="135"/>
      <c r="B27" s="125"/>
      <c r="C27" s="3" t="s">
        <v>579</v>
      </c>
      <c r="D27" s="55" t="s">
        <v>600</v>
      </c>
      <c r="E27" s="55" t="s">
        <v>70</v>
      </c>
      <c r="F27" s="55" t="s">
        <v>2</v>
      </c>
      <c r="G27" s="56">
        <v>0</v>
      </c>
      <c r="H27" s="49">
        <f>1+1</f>
        <v>2</v>
      </c>
      <c r="I27" s="50">
        <f>0+1</f>
        <v>1</v>
      </c>
      <c r="J27" s="77">
        <f>+H27-I27</f>
        <v>1</v>
      </c>
      <c r="K27" s="31">
        <v>1557</v>
      </c>
      <c r="L27" s="32">
        <v>44044</v>
      </c>
      <c r="M27" s="33">
        <v>0.21</v>
      </c>
      <c r="N27" s="64">
        <f>+K27*(1+M27)</f>
        <v>1883.97</v>
      </c>
      <c r="O27" s="68">
        <f>ROUND(K27*(1+$O$3),2)</f>
        <v>2024.1</v>
      </c>
      <c r="P27" s="68">
        <f>ROUND(K27*(1+$P$3),2)</f>
        <v>2101.9499999999998</v>
      </c>
      <c r="Q27" s="68">
        <f>ROUND(K27*(1+$Q$3),2)</f>
        <v>2179.8000000000002</v>
      </c>
      <c r="R27" s="11">
        <f>ROUND(K27*(1+$R$3),2)</f>
        <v>2257.65</v>
      </c>
      <c r="S27" s="11">
        <f>ROUND(K27*(1+$S$3),2)</f>
        <v>2335.5</v>
      </c>
      <c r="T27" s="11">
        <f>ROUND(K27*(1+$T$3),2)</f>
        <v>2491.1999999999998</v>
      </c>
      <c r="U27" s="38">
        <f t="shared" si="7"/>
        <v>2543.36</v>
      </c>
      <c r="V27" s="38">
        <f t="shared" si="8"/>
        <v>2637.56</v>
      </c>
      <c r="W27" s="38">
        <f t="shared" si="9"/>
        <v>2731.76</v>
      </c>
      <c r="X27" s="38">
        <f t="shared" si="13"/>
        <v>2825.96</v>
      </c>
      <c r="Z27" s="4">
        <f t="shared" si="10"/>
        <v>1557</v>
      </c>
      <c r="AA27" s="4">
        <f>J27*N27</f>
        <v>1883.97</v>
      </c>
    </row>
    <row r="28" spans="1:27" x14ac:dyDescent="0.3">
      <c r="A28" s="135"/>
      <c r="B28" s="125"/>
      <c r="C28" s="3" t="s">
        <v>1064</v>
      </c>
      <c r="D28" s="55"/>
      <c r="E28" s="55" t="s">
        <v>70</v>
      </c>
      <c r="F28" s="55" t="s">
        <v>2</v>
      </c>
      <c r="G28" s="56">
        <v>0</v>
      </c>
      <c r="H28" s="49">
        <f>4+3</f>
        <v>7</v>
      </c>
      <c r="I28" s="50">
        <f>3+1+1</f>
        <v>5</v>
      </c>
      <c r="J28" s="77">
        <f>+H28-I28</f>
        <v>2</v>
      </c>
      <c r="K28" s="31">
        <v>959.5</v>
      </c>
      <c r="L28" s="32">
        <v>44044</v>
      </c>
      <c r="M28" s="33">
        <v>0.21</v>
      </c>
      <c r="N28" s="64">
        <f>+K28*(1+M28)</f>
        <v>1160.9949999999999</v>
      </c>
      <c r="O28" s="68">
        <f>ROUND(K28*(1+$O$3),2)</f>
        <v>1247.3499999999999</v>
      </c>
      <c r="P28" s="68">
        <f>ROUND(K28*(1+$P$3),2)</f>
        <v>1295.33</v>
      </c>
      <c r="Q28" s="68">
        <f>ROUND(K28*(1+$Q$3),2)</f>
        <v>1343.3</v>
      </c>
      <c r="R28" s="11">
        <f>ROUND(K28*(1+$R$3),2)</f>
        <v>1391.28</v>
      </c>
      <c r="S28" s="11">
        <f>ROUND(K28*(1+$S$3),2)</f>
        <v>1439.25</v>
      </c>
      <c r="T28" s="11">
        <f>ROUND(K28*(1+$T$3),2)</f>
        <v>1535.2</v>
      </c>
      <c r="U28" s="38">
        <f t="shared" si="7"/>
        <v>1567.34</v>
      </c>
      <c r="V28" s="38">
        <f t="shared" si="8"/>
        <v>1625.39</v>
      </c>
      <c r="W28" s="38">
        <f t="shared" si="9"/>
        <v>1683.44</v>
      </c>
      <c r="X28" s="38">
        <f t="shared" si="13"/>
        <v>1741.49</v>
      </c>
      <c r="Z28" s="4">
        <f t="shared" si="10"/>
        <v>1919</v>
      </c>
      <c r="AA28" s="4">
        <f>J28*N28</f>
        <v>2321.9899999999998</v>
      </c>
    </row>
    <row r="29" spans="1:27" x14ac:dyDescent="0.3">
      <c r="A29" s="135"/>
      <c r="B29" s="125"/>
      <c r="C29" s="3" t="s">
        <v>583</v>
      </c>
      <c r="D29" s="55" t="s">
        <v>601</v>
      </c>
      <c r="E29" s="55" t="s">
        <v>70</v>
      </c>
      <c r="F29" s="55" t="s">
        <v>308</v>
      </c>
      <c r="G29" s="56">
        <v>0</v>
      </c>
      <c r="H29" s="49">
        <f>2</f>
        <v>2</v>
      </c>
      <c r="I29" s="50">
        <f>0</f>
        <v>0</v>
      </c>
      <c r="J29" s="77">
        <f>+H29-I29</f>
        <v>2</v>
      </c>
      <c r="K29" s="31">
        <v>590</v>
      </c>
      <c r="L29" s="32">
        <v>44044</v>
      </c>
      <c r="M29" s="33">
        <v>0.21</v>
      </c>
      <c r="N29" s="64">
        <f t="shared" si="0"/>
        <v>713.9</v>
      </c>
      <c r="O29" s="68">
        <f t="shared" ref="O29:O46" si="14">ROUND(K29*(1+$O$3),2)</f>
        <v>767</v>
      </c>
      <c r="P29" s="68">
        <f t="shared" si="2"/>
        <v>796.5</v>
      </c>
      <c r="Q29" s="68">
        <f t="shared" si="3"/>
        <v>826</v>
      </c>
      <c r="R29" s="11">
        <f t="shared" si="4"/>
        <v>855.5</v>
      </c>
      <c r="S29" s="11">
        <f t="shared" ref="S29:S46" si="15">ROUND(K29*(1+$S$3),2)</f>
        <v>885</v>
      </c>
      <c r="T29" s="11">
        <f t="shared" si="6"/>
        <v>944</v>
      </c>
      <c r="U29" s="38">
        <f t="shared" si="7"/>
        <v>963.77</v>
      </c>
      <c r="V29" s="38">
        <f t="shared" si="8"/>
        <v>999.46</v>
      </c>
      <c r="W29" s="38">
        <f t="shared" si="9"/>
        <v>1035.1600000000001</v>
      </c>
      <c r="X29" s="38">
        <f t="shared" si="13"/>
        <v>1070.8499999999999</v>
      </c>
      <c r="Z29" s="4">
        <f t="shared" si="10"/>
        <v>1180</v>
      </c>
      <c r="AA29" s="4">
        <f t="shared" si="11"/>
        <v>1427.8</v>
      </c>
    </row>
    <row r="30" spans="1:27" x14ac:dyDescent="0.3">
      <c r="A30" s="135"/>
      <c r="B30" s="125"/>
      <c r="C30" s="3" t="s">
        <v>727</v>
      </c>
      <c r="D30" s="55" t="s">
        <v>775</v>
      </c>
      <c r="E30" s="55" t="s">
        <v>70</v>
      </c>
      <c r="F30" s="55" t="s">
        <v>2</v>
      </c>
      <c r="G30" s="56">
        <v>0</v>
      </c>
      <c r="H30" s="49">
        <v>1</v>
      </c>
      <c r="I30" s="50">
        <f>0</f>
        <v>0</v>
      </c>
      <c r="J30" s="77">
        <f>+H30-I30</f>
        <v>1</v>
      </c>
      <c r="K30" s="31">
        <v>706</v>
      </c>
      <c r="L30" s="32">
        <v>44044</v>
      </c>
      <c r="M30" s="33">
        <v>0.21</v>
      </c>
      <c r="N30" s="64">
        <f t="shared" si="0"/>
        <v>854.26</v>
      </c>
      <c r="O30" s="68">
        <f t="shared" si="14"/>
        <v>917.8</v>
      </c>
      <c r="P30" s="68">
        <f t="shared" si="2"/>
        <v>953.1</v>
      </c>
      <c r="Q30" s="68">
        <f t="shared" si="3"/>
        <v>988.4</v>
      </c>
      <c r="R30" s="11">
        <f t="shared" si="4"/>
        <v>1023.7</v>
      </c>
      <c r="S30" s="11">
        <f t="shared" si="15"/>
        <v>1059</v>
      </c>
      <c r="T30" s="11">
        <f t="shared" si="6"/>
        <v>1129.5999999999999</v>
      </c>
      <c r="U30" s="38">
        <f t="shared" si="7"/>
        <v>1153.25</v>
      </c>
      <c r="V30" s="38">
        <f t="shared" si="8"/>
        <v>1195.96</v>
      </c>
      <c r="W30" s="38">
        <f t="shared" si="9"/>
        <v>1238.68</v>
      </c>
      <c r="X30" s="38">
        <f t="shared" si="13"/>
        <v>1281.3900000000001</v>
      </c>
      <c r="Z30" s="4">
        <f t="shared" si="10"/>
        <v>706</v>
      </c>
      <c r="AA30" s="4">
        <f t="shared" si="11"/>
        <v>854.26</v>
      </c>
    </row>
    <row r="31" spans="1:27" x14ac:dyDescent="0.3">
      <c r="A31" s="135"/>
      <c r="B31" s="125"/>
      <c r="C31" s="3" t="s">
        <v>582</v>
      </c>
      <c r="D31" s="55" t="s">
        <v>602</v>
      </c>
      <c r="E31" s="55" t="s">
        <v>70</v>
      </c>
      <c r="F31" s="55" t="s">
        <v>2</v>
      </c>
      <c r="G31" s="56">
        <v>0</v>
      </c>
      <c r="H31" s="49">
        <f>1</f>
        <v>1</v>
      </c>
      <c r="I31" s="50">
        <f>0</f>
        <v>0</v>
      </c>
      <c r="J31" s="77">
        <f>+H31-I31</f>
        <v>1</v>
      </c>
      <c r="K31" s="31">
        <v>706</v>
      </c>
      <c r="L31" s="32">
        <v>44044</v>
      </c>
      <c r="M31" s="33">
        <v>0.21</v>
      </c>
      <c r="N31" s="64">
        <f t="shared" si="0"/>
        <v>854.26</v>
      </c>
      <c r="O31" s="68">
        <f t="shared" si="14"/>
        <v>917.8</v>
      </c>
      <c r="P31" s="68">
        <f t="shared" si="2"/>
        <v>953.1</v>
      </c>
      <c r="Q31" s="68">
        <f t="shared" si="3"/>
        <v>988.4</v>
      </c>
      <c r="R31" s="11">
        <f t="shared" si="4"/>
        <v>1023.7</v>
      </c>
      <c r="S31" s="11">
        <f t="shared" si="15"/>
        <v>1059</v>
      </c>
      <c r="T31" s="11">
        <f t="shared" si="6"/>
        <v>1129.5999999999999</v>
      </c>
      <c r="U31" s="38">
        <f t="shared" si="7"/>
        <v>1153.25</v>
      </c>
      <c r="V31" s="38">
        <f t="shared" si="8"/>
        <v>1195.96</v>
      </c>
      <c r="W31" s="38">
        <f t="shared" si="9"/>
        <v>1238.68</v>
      </c>
      <c r="X31" s="38">
        <f t="shared" si="13"/>
        <v>1281.3900000000001</v>
      </c>
      <c r="Z31" s="4">
        <f t="shared" si="10"/>
        <v>706</v>
      </c>
      <c r="AA31" s="4">
        <f t="shared" si="11"/>
        <v>854.26</v>
      </c>
    </row>
    <row r="32" spans="1:27" x14ac:dyDescent="0.3">
      <c r="A32" s="135"/>
      <c r="B32" s="125"/>
      <c r="C32" s="3" t="s">
        <v>581</v>
      </c>
      <c r="D32" s="55" t="s">
        <v>603</v>
      </c>
      <c r="E32" s="55" t="s">
        <v>70</v>
      </c>
      <c r="F32" s="55" t="s">
        <v>2</v>
      </c>
      <c r="G32" s="56">
        <v>0</v>
      </c>
      <c r="H32" s="49">
        <f>1+1</f>
        <v>2</v>
      </c>
      <c r="I32" s="50">
        <f>0</f>
        <v>0</v>
      </c>
      <c r="J32" s="77">
        <f>+H32-I32</f>
        <v>2</v>
      </c>
      <c r="K32" s="31">
        <v>760</v>
      </c>
      <c r="L32" s="32">
        <v>44044</v>
      </c>
      <c r="M32" s="33">
        <v>0.21</v>
      </c>
      <c r="N32" s="64">
        <f t="shared" si="0"/>
        <v>919.6</v>
      </c>
      <c r="O32" s="68">
        <f t="shared" si="14"/>
        <v>988</v>
      </c>
      <c r="P32" s="68">
        <f t="shared" si="2"/>
        <v>1026</v>
      </c>
      <c r="Q32" s="68">
        <f t="shared" si="3"/>
        <v>1064</v>
      </c>
      <c r="R32" s="11">
        <f t="shared" si="4"/>
        <v>1102</v>
      </c>
      <c r="S32" s="11">
        <f t="shared" si="15"/>
        <v>1140</v>
      </c>
      <c r="T32" s="11">
        <f t="shared" si="6"/>
        <v>1216</v>
      </c>
      <c r="U32" s="38">
        <f t="shared" si="7"/>
        <v>1241.46</v>
      </c>
      <c r="V32" s="38">
        <f t="shared" si="8"/>
        <v>1287.44</v>
      </c>
      <c r="W32" s="38">
        <f t="shared" si="9"/>
        <v>1333.42</v>
      </c>
      <c r="X32" s="38">
        <f t="shared" si="13"/>
        <v>1379.4</v>
      </c>
      <c r="Z32" s="4">
        <f t="shared" si="10"/>
        <v>1520</v>
      </c>
      <c r="AA32" s="4">
        <f t="shared" si="11"/>
        <v>1839.2</v>
      </c>
    </row>
    <row r="33" spans="1:27" x14ac:dyDescent="0.3">
      <c r="A33" s="135"/>
      <c r="B33" s="125"/>
      <c r="C33" s="3" t="s">
        <v>1251</v>
      </c>
      <c r="D33" s="55" t="s">
        <v>1363</v>
      </c>
      <c r="E33" s="55" t="s">
        <v>362</v>
      </c>
      <c r="F33" s="55" t="s">
        <v>1553</v>
      </c>
      <c r="G33" s="56">
        <v>1000</v>
      </c>
      <c r="H33" s="49">
        <f>700+1000+2+1000+2000+1000+1000+1000+1000+1000+1000</f>
        <v>10702</v>
      </c>
      <c r="I33" s="50">
        <f>5002+200+100+100+100+200+300+300+300+200+100+300+100+300+100+1000+200+100+300+100+300</f>
        <v>9702</v>
      </c>
      <c r="J33" s="77">
        <f>+H33-I33</f>
        <v>1000</v>
      </c>
      <c r="K33" s="31">
        <v>1.83</v>
      </c>
      <c r="L33" s="32">
        <v>44245</v>
      </c>
      <c r="M33" s="33">
        <v>0.21</v>
      </c>
      <c r="N33" s="64">
        <f t="shared" si="0"/>
        <v>2.2143000000000002</v>
      </c>
      <c r="O33" s="68">
        <f t="shared" si="14"/>
        <v>2.38</v>
      </c>
      <c r="P33" s="68">
        <f t="shared" si="2"/>
        <v>2.4700000000000002</v>
      </c>
      <c r="Q33" s="68">
        <f t="shared" si="3"/>
        <v>2.56</v>
      </c>
      <c r="R33" s="11">
        <f t="shared" si="4"/>
        <v>2.65</v>
      </c>
      <c r="S33" s="11">
        <f t="shared" si="15"/>
        <v>2.75</v>
      </c>
      <c r="T33" s="11">
        <f t="shared" si="6"/>
        <v>2.93</v>
      </c>
      <c r="U33" s="38">
        <f t="shared" si="7"/>
        <v>2.99</v>
      </c>
      <c r="V33" s="38">
        <f t="shared" si="8"/>
        <v>3.1</v>
      </c>
      <c r="W33" s="38">
        <f t="shared" si="9"/>
        <v>3.21</v>
      </c>
      <c r="X33" s="38">
        <f t="shared" si="13"/>
        <v>3.32</v>
      </c>
      <c r="Z33" s="4">
        <f t="shared" si="10"/>
        <v>1830</v>
      </c>
      <c r="AA33" s="4">
        <f t="shared" si="11"/>
        <v>2214.3000000000002</v>
      </c>
    </row>
    <row r="34" spans="1:27" x14ac:dyDescent="0.3">
      <c r="A34" s="135"/>
      <c r="B34" s="125"/>
      <c r="C34" s="3" t="s">
        <v>1065</v>
      </c>
      <c r="D34" s="55" t="s">
        <v>1379</v>
      </c>
      <c r="E34" s="55" t="s">
        <v>362</v>
      </c>
      <c r="F34" s="55" t="s">
        <v>219</v>
      </c>
      <c r="G34" s="56">
        <v>500</v>
      </c>
      <c r="H34" s="49">
        <f>1000+1000+1000</f>
        <v>3000</v>
      </c>
      <c r="I34" s="50">
        <f>100+100+100+200+200+100+100+100+100+200+200+100+200</f>
        <v>1800</v>
      </c>
      <c r="J34" s="77">
        <f>+H34-I34</f>
        <v>1200</v>
      </c>
      <c r="K34" s="31">
        <v>1.05</v>
      </c>
      <c r="L34" s="32">
        <v>44245</v>
      </c>
      <c r="M34" s="33">
        <v>0.21</v>
      </c>
      <c r="N34" s="64">
        <f t="shared" si="0"/>
        <v>1.2705</v>
      </c>
      <c r="O34" s="68">
        <f t="shared" si="14"/>
        <v>1.37</v>
      </c>
      <c r="P34" s="68">
        <f t="shared" si="2"/>
        <v>1.42</v>
      </c>
      <c r="Q34" s="68">
        <f t="shared" si="3"/>
        <v>1.47</v>
      </c>
      <c r="R34" s="11">
        <f t="shared" si="4"/>
        <v>1.52</v>
      </c>
      <c r="S34" s="11">
        <f t="shared" si="15"/>
        <v>1.58</v>
      </c>
      <c r="T34" s="11">
        <f t="shared" si="6"/>
        <v>1.68</v>
      </c>
      <c r="U34" s="38">
        <f t="shared" si="7"/>
        <v>1.72</v>
      </c>
      <c r="V34" s="38">
        <f t="shared" si="8"/>
        <v>1.78</v>
      </c>
      <c r="W34" s="38">
        <f t="shared" si="9"/>
        <v>1.84</v>
      </c>
      <c r="X34" s="38">
        <f t="shared" si="13"/>
        <v>1.91</v>
      </c>
      <c r="Z34" s="4">
        <f t="shared" si="10"/>
        <v>1260</v>
      </c>
      <c r="AA34" s="4">
        <f t="shared" si="11"/>
        <v>1524.6</v>
      </c>
    </row>
    <row r="35" spans="1:27" x14ac:dyDescent="0.3">
      <c r="A35" s="135"/>
      <c r="B35" s="125"/>
      <c r="C35" s="3" t="s">
        <v>789</v>
      </c>
      <c r="D35" s="55" t="s">
        <v>762</v>
      </c>
      <c r="E35" s="55" t="s">
        <v>362</v>
      </c>
      <c r="F35" s="55" t="s">
        <v>219</v>
      </c>
      <c r="G35" s="56">
        <v>1000</v>
      </c>
      <c r="H35" s="49">
        <f>1000+1000+2000+1000+2000+3000</f>
        <v>10000</v>
      </c>
      <c r="I35" s="69">
        <f>200+100+500+500+500+100+300+100+100+200+100+500+100+100+200+400+500+200+300+500+1000+500+1500+200+200+200+100+200+100+100+100</f>
        <v>9700</v>
      </c>
      <c r="J35" s="77">
        <f>+H35-I35</f>
        <v>300</v>
      </c>
      <c r="K35" s="89">
        <v>0.97</v>
      </c>
      <c r="L35" s="32">
        <v>44203</v>
      </c>
      <c r="M35" s="33">
        <v>0.21</v>
      </c>
      <c r="N35" s="64">
        <f t="shared" si="0"/>
        <v>1.1737</v>
      </c>
      <c r="O35" s="68">
        <f t="shared" si="14"/>
        <v>1.26</v>
      </c>
      <c r="P35" s="68">
        <f t="shared" si="2"/>
        <v>1.31</v>
      </c>
      <c r="Q35" s="68">
        <f t="shared" si="3"/>
        <v>1.36</v>
      </c>
      <c r="R35" s="11">
        <f t="shared" si="4"/>
        <v>1.41</v>
      </c>
      <c r="S35" s="11">
        <f t="shared" si="15"/>
        <v>1.46</v>
      </c>
      <c r="T35" s="11">
        <f t="shared" si="6"/>
        <v>1.55</v>
      </c>
      <c r="U35" s="38">
        <f t="shared" si="7"/>
        <v>1.58</v>
      </c>
      <c r="V35" s="38">
        <f t="shared" si="8"/>
        <v>1.64</v>
      </c>
      <c r="W35" s="38">
        <f t="shared" si="9"/>
        <v>1.7</v>
      </c>
      <c r="X35" s="38">
        <f t="shared" si="13"/>
        <v>1.76</v>
      </c>
      <c r="Z35" s="4">
        <f t="shared" si="10"/>
        <v>291</v>
      </c>
      <c r="AA35" s="4">
        <f t="shared" si="11"/>
        <v>352.11</v>
      </c>
    </row>
    <row r="36" spans="1:27" x14ac:dyDescent="0.3">
      <c r="A36" s="135"/>
      <c r="B36" s="125"/>
      <c r="C36" s="3" t="s">
        <v>1321</v>
      </c>
      <c r="D36" s="55" t="s">
        <v>1322</v>
      </c>
      <c r="E36" s="55" t="s">
        <v>362</v>
      </c>
      <c r="F36" s="55" t="s">
        <v>781</v>
      </c>
      <c r="G36" s="56">
        <v>500</v>
      </c>
      <c r="H36" s="49">
        <f>2000+100</f>
        <v>2100</v>
      </c>
      <c r="I36" s="50">
        <f>15+15+10+300+700+60+100+200+500+100</f>
        <v>2000</v>
      </c>
      <c r="J36" s="77">
        <f>+H36-I36</f>
        <v>100</v>
      </c>
      <c r="K36" s="89">
        <v>1.36</v>
      </c>
      <c r="L36" s="32">
        <v>44238</v>
      </c>
      <c r="M36" s="33">
        <v>0.21</v>
      </c>
      <c r="N36" s="64">
        <f t="shared" si="0"/>
        <v>1.6456000000000002</v>
      </c>
      <c r="O36" s="68">
        <f t="shared" si="14"/>
        <v>1.77</v>
      </c>
      <c r="P36" s="68">
        <f t="shared" si="2"/>
        <v>1.84</v>
      </c>
      <c r="Q36" s="68">
        <f t="shared" si="3"/>
        <v>1.9</v>
      </c>
      <c r="R36" s="11">
        <f t="shared" si="4"/>
        <v>1.97</v>
      </c>
      <c r="S36" s="11">
        <f t="shared" si="15"/>
        <v>2.04</v>
      </c>
      <c r="T36" s="11">
        <f t="shared" si="6"/>
        <v>2.1800000000000002</v>
      </c>
      <c r="U36" s="38">
        <f t="shared" si="7"/>
        <v>2.2200000000000002</v>
      </c>
      <c r="V36" s="38">
        <f t="shared" si="8"/>
        <v>2.2999999999999998</v>
      </c>
      <c r="W36" s="38">
        <f t="shared" si="9"/>
        <v>2.39</v>
      </c>
      <c r="X36" s="38">
        <f t="shared" si="13"/>
        <v>2.4700000000000002</v>
      </c>
      <c r="Z36" s="4"/>
      <c r="AA36" s="4"/>
    </row>
    <row r="37" spans="1:27" x14ac:dyDescent="0.3">
      <c r="A37" s="135"/>
      <c r="B37" s="125"/>
      <c r="C37" s="3" t="s">
        <v>790</v>
      </c>
      <c r="D37" s="55" t="s">
        <v>560</v>
      </c>
      <c r="E37" s="91" t="s">
        <v>68</v>
      </c>
      <c r="F37" s="55" t="s">
        <v>219</v>
      </c>
      <c r="G37" s="56">
        <v>1000</v>
      </c>
      <c r="H37" s="49">
        <f>0</f>
        <v>0</v>
      </c>
      <c r="I37" s="50">
        <f>0</f>
        <v>0</v>
      </c>
      <c r="J37" s="77">
        <f>+H37-I37</f>
        <v>0</v>
      </c>
      <c r="K37" s="89">
        <v>0.95</v>
      </c>
      <c r="L37" s="32">
        <v>44146</v>
      </c>
      <c r="M37" s="33">
        <v>0.21</v>
      </c>
      <c r="N37" s="64">
        <f t="shared" si="0"/>
        <v>1.1495</v>
      </c>
      <c r="O37" s="68">
        <f t="shared" si="14"/>
        <v>1.24</v>
      </c>
      <c r="P37" s="68">
        <f t="shared" si="2"/>
        <v>1.28</v>
      </c>
      <c r="Q37" s="68">
        <f t="shared" si="3"/>
        <v>1.33</v>
      </c>
      <c r="R37" s="11">
        <f t="shared" si="4"/>
        <v>1.38</v>
      </c>
      <c r="S37" s="11">
        <f t="shared" si="15"/>
        <v>1.43</v>
      </c>
      <c r="T37" s="11">
        <f t="shared" si="6"/>
        <v>1.52</v>
      </c>
      <c r="U37" s="38">
        <f t="shared" si="7"/>
        <v>1.55</v>
      </c>
      <c r="V37" s="38">
        <f t="shared" si="8"/>
        <v>1.61</v>
      </c>
      <c r="W37" s="38">
        <f t="shared" si="9"/>
        <v>1.67</v>
      </c>
      <c r="X37" s="38">
        <f t="shared" si="13"/>
        <v>1.72</v>
      </c>
      <c r="Z37" s="4">
        <f t="shared" si="10"/>
        <v>0</v>
      </c>
      <c r="AA37" s="4">
        <f t="shared" si="11"/>
        <v>0</v>
      </c>
    </row>
    <row r="38" spans="1:27" x14ac:dyDescent="0.3">
      <c r="A38" s="135"/>
      <c r="B38" s="125"/>
      <c r="C38" s="3" t="s">
        <v>791</v>
      </c>
      <c r="D38" s="55" t="s">
        <v>1361</v>
      </c>
      <c r="E38" s="55" t="s">
        <v>68</v>
      </c>
      <c r="F38" s="55" t="s">
        <v>219</v>
      </c>
      <c r="G38" s="56">
        <v>3000</v>
      </c>
      <c r="H38" s="49">
        <f>3000+3000+3000+5000+5000+3000+3000+5000+3000+2000+5000+3000+2000+3000+300+3000+3000</f>
        <v>54300</v>
      </c>
      <c r="I38" s="50">
        <f>23320+100+200+200+1100+500+1000+200+1600+100+1200+480+100+100+100+500+1200+100+500+100+100+100+300+1500+200+100+500+500+100+1000+2700+1200+1400+300+300+200+100+1500+200+100+200+100+100+100+700+300+100+1100+300+100+200+400+200+500+20+500+500+100+100+500+100+1000</f>
        <v>52320</v>
      </c>
      <c r="J38" s="77">
        <f>+H38-I38</f>
        <v>1980</v>
      </c>
      <c r="K38" s="89">
        <v>0.96</v>
      </c>
      <c r="L38" s="32">
        <v>44230</v>
      </c>
      <c r="M38" s="33">
        <v>0.21</v>
      </c>
      <c r="N38" s="64">
        <f t="shared" si="0"/>
        <v>1.1616</v>
      </c>
      <c r="O38" s="68">
        <f t="shared" si="14"/>
        <v>1.25</v>
      </c>
      <c r="P38" s="68">
        <f t="shared" si="2"/>
        <v>1.3</v>
      </c>
      <c r="Q38" s="68">
        <f t="shared" si="3"/>
        <v>1.34</v>
      </c>
      <c r="R38" s="11">
        <f t="shared" si="4"/>
        <v>1.39</v>
      </c>
      <c r="S38" s="11">
        <f t="shared" si="15"/>
        <v>1.44</v>
      </c>
      <c r="T38" s="11">
        <f t="shared" si="6"/>
        <v>1.54</v>
      </c>
      <c r="U38" s="38">
        <f t="shared" si="7"/>
        <v>1.57</v>
      </c>
      <c r="V38" s="38">
        <f t="shared" si="8"/>
        <v>1.63</v>
      </c>
      <c r="W38" s="38">
        <f t="shared" si="9"/>
        <v>1.68</v>
      </c>
      <c r="X38" s="38">
        <f t="shared" si="13"/>
        <v>1.74</v>
      </c>
      <c r="Z38" s="4">
        <f t="shared" si="10"/>
        <v>1900.8</v>
      </c>
      <c r="AA38" s="4">
        <f t="shared" si="11"/>
        <v>2299.9679999999998</v>
      </c>
    </row>
    <row r="39" spans="1:27" x14ac:dyDescent="0.3">
      <c r="A39" s="135"/>
      <c r="B39" s="125"/>
      <c r="C39" s="3" t="s">
        <v>1289</v>
      </c>
      <c r="D39" s="55" t="s">
        <v>1290</v>
      </c>
      <c r="E39" s="55" t="s">
        <v>362</v>
      </c>
      <c r="F39" s="55" t="s">
        <v>219</v>
      </c>
      <c r="G39" s="56">
        <v>500</v>
      </c>
      <c r="H39" s="49">
        <f>1000</f>
        <v>1000</v>
      </c>
      <c r="I39" s="69">
        <f>200+200</f>
        <v>400</v>
      </c>
      <c r="J39" s="77">
        <f>+H39-I39</f>
        <v>600</v>
      </c>
      <c r="K39" s="89">
        <v>1.6</v>
      </c>
      <c r="L39" s="32">
        <v>44203</v>
      </c>
      <c r="M39" s="33">
        <v>0.21</v>
      </c>
      <c r="N39" s="64">
        <f t="shared" si="0"/>
        <v>1.9359999999999999</v>
      </c>
      <c r="O39" s="68">
        <f t="shared" si="14"/>
        <v>2.08</v>
      </c>
      <c r="P39" s="68">
        <f t="shared" si="2"/>
        <v>2.16</v>
      </c>
      <c r="Q39" s="68">
        <f t="shared" si="3"/>
        <v>2.2400000000000002</v>
      </c>
      <c r="R39" s="11">
        <f t="shared" si="4"/>
        <v>2.3199999999999998</v>
      </c>
      <c r="S39" s="11">
        <f t="shared" si="15"/>
        <v>2.4</v>
      </c>
      <c r="T39" s="11">
        <f t="shared" si="6"/>
        <v>2.56</v>
      </c>
      <c r="U39" s="38">
        <f t="shared" si="7"/>
        <v>2.61</v>
      </c>
      <c r="V39" s="38">
        <f t="shared" si="8"/>
        <v>2.71</v>
      </c>
      <c r="W39" s="38">
        <f t="shared" si="9"/>
        <v>2.81</v>
      </c>
      <c r="X39" s="38">
        <f t="shared" si="13"/>
        <v>2.9</v>
      </c>
      <c r="Z39" s="4">
        <f t="shared" si="10"/>
        <v>960</v>
      </c>
      <c r="AA39" s="4">
        <f t="shared" si="11"/>
        <v>1161.5999999999999</v>
      </c>
    </row>
    <row r="40" spans="1:27" x14ac:dyDescent="0.3">
      <c r="A40" s="135"/>
      <c r="B40" s="125"/>
      <c r="C40" s="3" t="s">
        <v>792</v>
      </c>
      <c r="D40" s="55" t="s">
        <v>763</v>
      </c>
      <c r="E40" s="55" t="s">
        <v>70</v>
      </c>
      <c r="F40" s="55" t="s">
        <v>219</v>
      </c>
      <c r="G40" s="56">
        <v>500</v>
      </c>
      <c r="H40" s="49">
        <f>1000+10000+3000+5000+100+100+1200</f>
        <v>20400</v>
      </c>
      <c r="I40" s="50">
        <f>200+5+100+100+100+40+100+7000+100+20+500+200+100+55+500+1000+880+1800+200+1000+4000+1000+100+100+100+500+200</f>
        <v>20000</v>
      </c>
      <c r="J40" s="77">
        <f>+H40-I40</f>
        <v>400</v>
      </c>
      <c r="K40" s="31">
        <v>1.2</v>
      </c>
      <c r="L40" s="32">
        <v>44203</v>
      </c>
      <c r="M40" s="33">
        <v>0.21</v>
      </c>
      <c r="N40" s="64">
        <f t="shared" si="0"/>
        <v>1.452</v>
      </c>
      <c r="O40" s="68">
        <f t="shared" si="14"/>
        <v>1.56</v>
      </c>
      <c r="P40" s="68">
        <f t="shared" si="2"/>
        <v>1.62</v>
      </c>
      <c r="Q40" s="68">
        <f t="shared" si="3"/>
        <v>1.68</v>
      </c>
      <c r="R40" s="11">
        <f t="shared" si="4"/>
        <v>1.74</v>
      </c>
      <c r="S40" s="11">
        <f t="shared" si="15"/>
        <v>1.8</v>
      </c>
      <c r="T40" s="11">
        <f t="shared" si="6"/>
        <v>1.92</v>
      </c>
      <c r="U40" s="38">
        <f t="shared" si="7"/>
        <v>1.96</v>
      </c>
      <c r="V40" s="38">
        <f t="shared" si="8"/>
        <v>2.0299999999999998</v>
      </c>
      <c r="W40" s="38">
        <f t="shared" si="9"/>
        <v>2.11</v>
      </c>
      <c r="X40" s="38">
        <f t="shared" si="13"/>
        <v>2.1800000000000002</v>
      </c>
      <c r="Z40" s="4">
        <f t="shared" si="10"/>
        <v>480</v>
      </c>
      <c r="AA40" s="4">
        <f t="shared" si="11"/>
        <v>580.79999999999995</v>
      </c>
    </row>
    <row r="41" spans="1:27" x14ac:dyDescent="0.3">
      <c r="A41" s="135"/>
      <c r="B41" s="125"/>
      <c r="C41" s="6" t="s">
        <v>793</v>
      </c>
      <c r="D41" s="55" t="s">
        <v>764</v>
      </c>
      <c r="E41" s="55" t="s">
        <v>362</v>
      </c>
      <c r="F41" s="55" t="s">
        <v>219</v>
      </c>
      <c r="G41" s="56">
        <v>3000</v>
      </c>
      <c r="H41" s="49">
        <f>2500+500+3900+3000+5000+3000+3000+3000+3000+800+100+3000</f>
        <v>30800</v>
      </c>
      <c r="I41" s="50">
        <f>14200+500+30+500+100+100+1700+770+100+200+100+100+100+100+500+100+100+500+100+100+100+100+500+500+300+100+200+500+200+300+1000+200+100+200+300+500+200+100+100+300+300+100+100+100+100+600+200+500+100+500+100</f>
        <v>28500</v>
      </c>
      <c r="J41" s="77">
        <f>+H41-I41</f>
        <v>2300</v>
      </c>
      <c r="K41" s="31">
        <v>0.96</v>
      </c>
      <c r="L41" s="32">
        <v>44230</v>
      </c>
      <c r="M41" s="33">
        <v>0.21</v>
      </c>
      <c r="N41" s="64">
        <f t="shared" si="0"/>
        <v>1.1616</v>
      </c>
      <c r="O41" s="68">
        <f t="shared" si="14"/>
        <v>1.25</v>
      </c>
      <c r="P41" s="68">
        <f t="shared" si="2"/>
        <v>1.3</v>
      </c>
      <c r="Q41" s="68">
        <f t="shared" si="3"/>
        <v>1.34</v>
      </c>
      <c r="R41" s="11">
        <f t="shared" si="4"/>
        <v>1.39</v>
      </c>
      <c r="S41" s="11">
        <f t="shared" si="15"/>
        <v>1.44</v>
      </c>
      <c r="T41" s="11">
        <f t="shared" si="6"/>
        <v>1.54</v>
      </c>
      <c r="U41" s="38">
        <f t="shared" si="7"/>
        <v>1.57</v>
      </c>
      <c r="V41" s="38">
        <f t="shared" si="8"/>
        <v>1.63</v>
      </c>
      <c r="W41" s="38">
        <f t="shared" si="9"/>
        <v>1.68</v>
      </c>
      <c r="X41" s="38">
        <f t="shared" si="13"/>
        <v>1.74</v>
      </c>
      <c r="Z41" s="4">
        <f t="shared" si="10"/>
        <v>2208</v>
      </c>
      <c r="AA41" s="4">
        <f t="shared" si="11"/>
        <v>2671.68</v>
      </c>
    </row>
    <row r="42" spans="1:27" x14ac:dyDescent="0.3">
      <c r="A42" s="135"/>
      <c r="B42" s="125"/>
      <c r="C42" s="3" t="s">
        <v>794</v>
      </c>
      <c r="D42" s="55" t="s">
        <v>765</v>
      </c>
      <c r="E42" s="55" t="s">
        <v>70</v>
      </c>
      <c r="F42" s="55" t="s">
        <v>1354</v>
      </c>
      <c r="G42" s="56">
        <v>300</v>
      </c>
      <c r="H42" s="49">
        <f>3200+1000+3000+3000+500+5000+1000+2000</f>
        <v>18700</v>
      </c>
      <c r="I42" s="50">
        <f>16400+100+200+1000+100+200+100+200+100</f>
        <v>18400</v>
      </c>
      <c r="J42" s="77">
        <f>+H42-I42</f>
        <v>300</v>
      </c>
      <c r="K42" s="31">
        <v>1.2</v>
      </c>
      <c r="L42" s="32">
        <v>44203</v>
      </c>
      <c r="M42" s="33">
        <v>0.21</v>
      </c>
      <c r="N42" s="64">
        <f t="shared" si="0"/>
        <v>1.452</v>
      </c>
      <c r="O42" s="68">
        <f t="shared" si="14"/>
        <v>1.56</v>
      </c>
      <c r="P42" s="68">
        <f t="shared" si="2"/>
        <v>1.62</v>
      </c>
      <c r="Q42" s="68">
        <f t="shared" si="3"/>
        <v>1.68</v>
      </c>
      <c r="R42" s="11">
        <f t="shared" si="4"/>
        <v>1.74</v>
      </c>
      <c r="S42" s="11">
        <f t="shared" si="15"/>
        <v>1.8</v>
      </c>
      <c r="T42" s="11">
        <f t="shared" si="6"/>
        <v>1.92</v>
      </c>
      <c r="U42" s="38">
        <f t="shared" si="7"/>
        <v>1.96</v>
      </c>
      <c r="V42" s="38">
        <f t="shared" si="8"/>
        <v>2.0299999999999998</v>
      </c>
      <c r="W42" s="38">
        <f t="shared" si="9"/>
        <v>2.11</v>
      </c>
      <c r="X42" s="38">
        <f t="shared" si="13"/>
        <v>2.1800000000000002</v>
      </c>
      <c r="Z42" s="4">
        <f t="shared" si="10"/>
        <v>360</v>
      </c>
      <c r="AA42" s="4">
        <f t="shared" si="11"/>
        <v>435.59999999999997</v>
      </c>
    </row>
    <row r="43" spans="1:27" x14ac:dyDescent="0.3">
      <c r="A43" s="135"/>
      <c r="B43" s="125"/>
      <c r="C43" s="3" t="s">
        <v>1377</v>
      </c>
      <c r="D43" s="55" t="s">
        <v>1381</v>
      </c>
      <c r="E43" s="55" t="s">
        <v>52</v>
      </c>
      <c r="F43" s="55" t="s">
        <v>221</v>
      </c>
      <c r="G43" s="56">
        <v>20</v>
      </c>
      <c r="H43" s="49">
        <f>30+3+20+14</f>
        <v>67</v>
      </c>
      <c r="I43" s="50">
        <f>10+3+10+3+7+20+14</f>
        <v>67</v>
      </c>
      <c r="J43" s="77">
        <f>+H43-I43</f>
        <v>0</v>
      </c>
      <c r="K43" s="31">
        <v>172.96</v>
      </c>
      <c r="L43" s="32">
        <v>44146</v>
      </c>
      <c r="M43" s="33">
        <v>0.21</v>
      </c>
      <c r="N43" s="64">
        <f t="shared" si="0"/>
        <v>209.2816</v>
      </c>
      <c r="O43" s="68">
        <f t="shared" si="14"/>
        <v>224.85</v>
      </c>
      <c r="P43" s="68">
        <f t="shared" si="2"/>
        <v>233.5</v>
      </c>
      <c r="Q43" s="68">
        <f t="shared" si="3"/>
        <v>242.14</v>
      </c>
      <c r="R43" s="11">
        <f t="shared" si="4"/>
        <v>250.79</v>
      </c>
      <c r="S43" s="11">
        <f t="shared" si="15"/>
        <v>259.44</v>
      </c>
      <c r="T43" s="11">
        <f t="shared" si="6"/>
        <v>276.74</v>
      </c>
      <c r="U43" s="38">
        <f t="shared" si="7"/>
        <v>282.52999999999997</v>
      </c>
      <c r="V43" s="38">
        <f t="shared" si="8"/>
        <v>292.99</v>
      </c>
      <c r="W43" s="38">
        <f t="shared" si="9"/>
        <v>303.45999999999998</v>
      </c>
      <c r="X43" s="38">
        <f t="shared" si="13"/>
        <v>313.92</v>
      </c>
      <c r="Z43" s="4"/>
      <c r="AA43" s="4"/>
    </row>
    <row r="44" spans="1:27" x14ac:dyDescent="0.3">
      <c r="A44" s="135"/>
      <c r="B44" s="125"/>
      <c r="C44" s="3" t="s">
        <v>1471</v>
      </c>
      <c r="D44" s="55" t="s">
        <v>760</v>
      </c>
      <c r="E44" s="55" t="s">
        <v>52</v>
      </c>
      <c r="F44" s="55" t="s">
        <v>221</v>
      </c>
      <c r="G44" s="56">
        <v>50</v>
      </c>
      <c r="H44" s="49">
        <f>400+120+50+120+30+100+50+50</f>
        <v>920</v>
      </c>
      <c r="I44" s="50">
        <f>10+40+10+10+10+10+10+30+50+10+10+40+10+10+10+40+10+10+50+10+10+10+40+6+10+40+10+10+20+24+40+1+10+40+10+10+10+20+9+40+10+20+20+10+10+10</f>
        <v>840</v>
      </c>
      <c r="J44" s="77">
        <f>+H44-I44</f>
        <v>80</v>
      </c>
      <c r="K44" s="31">
        <v>172.96</v>
      </c>
      <c r="L44" s="32">
        <v>44146</v>
      </c>
      <c r="M44" s="33">
        <v>0.21</v>
      </c>
      <c r="N44" s="64">
        <f t="shared" si="0"/>
        <v>209.2816</v>
      </c>
      <c r="O44" s="68">
        <f t="shared" si="14"/>
        <v>224.85</v>
      </c>
      <c r="P44" s="68">
        <f t="shared" si="2"/>
        <v>233.5</v>
      </c>
      <c r="Q44" s="68">
        <f t="shared" si="3"/>
        <v>242.14</v>
      </c>
      <c r="R44" s="11">
        <f t="shared" si="4"/>
        <v>250.79</v>
      </c>
      <c r="S44" s="65">
        <f t="shared" si="15"/>
        <v>259.44</v>
      </c>
      <c r="T44" s="65">
        <f t="shared" si="6"/>
        <v>276.74</v>
      </c>
      <c r="U44" s="38">
        <f t="shared" si="7"/>
        <v>282.52999999999997</v>
      </c>
      <c r="V44" s="38">
        <f t="shared" si="8"/>
        <v>292.99</v>
      </c>
      <c r="W44" s="73" t="s">
        <v>304</v>
      </c>
      <c r="X44" s="38">
        <f t="shared" si="13"/>
        <v>313.92</v>
      </c>
      <c r="Z44" s="4">
        <f t="shared" si="10"/>
        <v>13836.800000000001</v>
      </c>
      <c r="AA44" s="4">
        <f t="shared" si="11"/>
        <v>16742.527999999998</v>
      </c>
    </row>
    <row r="45" spans="1:27" x14ac:dyDescent="0.3">
      <c r="A45" s="135"/>
      <c r="B45" s="142" t="s">
        <v>1562</v>
      </c>
      <c r="C45" s="3"/>
      <c r="D45" s="55"/>
      <c r="E45" s="55" t="s">
        <v>52</v>
      </c>
      <c r="F45" s="55" t="s">
        <v>221</v>
      </c>
      <c r="G45" s="56">
        <v>0</v>
      </c>
      <c r="H45" s="49">
        <f>10</f>
        <v>10</v>
      </c>
      <c r="I45" s="50">
        <v>6</v>
      </c>
      <c r="J45" s="77">
        <f>+H45-I45</f>
        <v>4</v>
      </c>
      <c r="K45" s="31">
        <v>824.3</v>
      </c>
      <c r="L45" s="32">
        <v>44186</v>
      </c>
      <c r="M45" s="33">
        <v>0.21</v>
      </c>
      <c r="N45" s="64">
        <f>+K45*(1+M45)</f>
        <v>997.40299999999991</v>
      </c>
      <c r="O45" s="68">
        <f t="shared" si="14"/>
        <v>1071.5899999999999</v>
      </c>
      <c r="P45" s="68">
        <f t="shared" si="2"/>
        <v>1112.81</v>
      </c>
      <c r="Q45" s="68">
        <f t="shared" si="3"/>
        <v>1154.02</v>
      </c>
      <c r="R45" s="11">
        <f t="shared" si="4"/>
        <v>1195.24</v>
      </c>
      <c r="S45" s="65">
        <f t="shared" si="15"/>
        <v>1236.45</v>
      </c>
      <c r="T45" s="65">
        <f t="shared" si="6"/>
        <v>1318.88</v>
      </c>
      <c r="U45" s="38">
        <f t="shared" si="7"/>
        <v>1346.49</v>
      </c>
      <c r="V45" s="38">
        <f t="shared" si="8"/>
        <v>1396.36</v>
      </c>
      <c r="W45" s="73"/>
      <c r="X45" s="38">
        <f t="shared" si="13"/>
        <v>1496.1</v>
      </c>
      <c r="Z45" s="4">
        <f t="shared" si="10"/>
        <v>3297.2</v>
      </c>
      <c r="AA45" s="4">
        <f t="shared" si="11"/>
        <v>3989.6119999999996</v>
      </c>
    </row>
    <row r="46" spans="1:27" x14ac:dyDescent="0.3">
      <c r="A46" s="135"/>
      <c r="B46" s="125"/>
      <c r="C46" s="5" t="s">
        <v>111</v>
      </c>
      <c r="D46" s="55" t="s">
        <v>550</v>
      </c>
      <c r="E46" s="55" t="s">
        <v>70</v>
      </c>
      <c r="F46" s="55" t="s">
        <v>222</v>
      </c>
      <c r="G46" s="56">
        <v>0</v>
      </c>
      <c r="H46" s="49">
        <f>4</f>
        <v>4</v>
      </c>
      <c r="I46" s="69">
        <f>0+4</f>
        <v>4</v>
      </c>
      <c r="J46" s="77">
        <f>+H46-I46</f>
        <v>0</v>
      </c>
      <c r="K46" s="31">
        <v>123</v>
      </c>
      <c r="L46" s="32">
        <v>44146</v>
      </c>
      <c r="M46" s="33">
        <v>0.21</v>
      </c>
      <c r="N46" s="64">
        <f t="shared" si="0"/>
        <v>148.82999999999998</v>
      </c>
      <c r="O46" s="68">
        <f t="shared" si="14"/>
        <v>159.9</v>
      </c>
      <c r="P46" s="68">
        <f t="shared" si="2"/>
        <v>166.05</v>
      </c>
      <c r="Q46" s="68">
        <f t="shared" si="3"/>
        <v>172.2</v>
      </c>
      <c r="R46" s="11">
        <f t="shared" si="4"/>
        <v>178.35</v>
      </c>
      <c r="S46" s="11">
        <f t="shared" si="15"/>
        <v>184.5</v>
      </c>
      <c r="T46" s="11">
        <f t="shared" si="6"/>
        <v>196.8</v>
      </c>
      <c r="U46" s="38">
        <f t="shared" si="7"/>
        <v>200.92</v>
      </c>
      <c r="V46" s="38">
        <f t="shared" si="8"/>
        <v>208.36</v>
      </c>
      <c r="W46" s="38">
        <f t="shared" si="9"/>
        <v>215.8</v>
      </c>
      <c r="X46" s="38">
        <f t="shared" si="13"/>
        <v>223.25</v>
      </c>
      <c r="Z46" s="4">
        <f t="shared" si="10"/>
        <v>0</v>
      </c>
      <c r="AA46" s="4">
        <f t="shared" si="11"/>
        <v>0</v>
      </c>
    </row>
    <row r="47" spans="1:27" x14ac:dyDescent="0.3">
      <c r="A47" s="135"/>
      <c r="B47" s="125"/>
      <c r="C47" s="5" t="s">
        <v>112</v>
      </c>
      <c r="D47" s="55" t="s">
        <v>551</v>
      </c>
      <c r="E47" s="55" t="s">
        <v>70</v>
      </c>
      <c r="F47" s="55" t="s">
        <v>222</v>
      </c>
      <c r="G47" s="56">
        <v>0</v>
      </c>
      <c r="H47" s="49">
        <f>10</f>
        <v>10</v>
      </c>
      <c r="I47" s="50">
        <f>0+5</f>
        <v>5</v>
      </c>
      <c r="J47" s="77">
        <f>+H47-I47</f>
        <v>5</v>
      </c>
      <c r="K47" s="31">
        <v>136</v>
      </c>
      <c r="L47" s="32">
        <v>44146</v>
      </c>
      <c r="M47" s="33">
        <v>0.21</v>
      </c>
      <c r="N47" s="64">
        <f t="shared" ref="N47:N131" si="16">+K47*(1+M47)</f>
        <v>164.56</v>
      </c>
      <c r="O47" s="68">
        <f t="shared" ref="O47:O75" si="17">ROUND(K47*(1+$O$3),2)</f>
        <v>176.8</v>
      </c>
      <c r="P47" s="68">
        <f t="shared" ref="P47:P131" si="18">ROUND(K47*(1+$P$3),2)</f>
        <v>183.6</v>
      </c>
      <c r="Q47" s="68">
        <f t="shared" ref="Q47:Q131" si="19">ROUND(K47*(1+$Q$3),2)</f>
        <v>190.4</v>
      </c>
      <c r="R47" s="11">
        <f t="shared" ref="R47:R131" si="20">ROUND(K47*(1+$R$3),2)</f>
        <v>197.2</v>
      </c>
      <c r="S47" s="11">
        <f t="shared" ref="S47:S64" si="21">ROUND(K47*(1+$S$3),2)</f>
        <v>204</v>
      </c>
      <c r="T47" s="11">
        <f t="shared" ref="T47:T131" si="22">ROUND(K47*(1+$T$3),2)</f>
        <v>217.6</v>
      </c>
      <c r="U47" s="38">
        <f t="shared" si="7"/>
        <v>222.16</v>
      </c>
      <c r="V47" s="38">
        <f t="shared" si="8"/>
        <v>230.38</v>
      </c>
      <c r="W47" s="38">
        <f t="shared" si="9"/>
        <v>238.61</v>
      </c>
      <c r="X47" s="38">
        <f t="shared" si="13"/>
        <v>246.84</v>
      </c>
      <c r="Z47" s="4">
        <f t="shared" ref="Z47:Z131" si="23">J47*K47</f>
        <v>680</v>
      </c>
      <c r="AA47" s="4">
        <f t="shared" ref="AA47:AA131" si="24">J47*N47</f>
        <v>822.8</v>
      </c>
    </row>
    <row r="48" spans="1:27" x14ac:dyDescent="0.3">
      <c r="A48" s="135"/>
      <c r="B48" s="125"/>
      <c r="C48" s="5" t="s">
        <v>1044</v>
      </c>
      <c r="D48" s="55" t="s">
        <v>182</v>
      </c>
      <c r="E48" s="55" t="s">
        <v>70</v>
      </c>
      <c r="F48" s="55" t="s">
        <v>222</v>
      </c>
      <c r="G48" s="56">
        <v>0</v>
      </c>
      <c r="H48" s="49">
        <f>10+5</f>
        <v>15</v>
      </c>
      <c r="I48" s="50">
        <f>0+5+5</f>
        <v>10</v>
      </c>
      <c r="J48" s="77">
        <f>+H48-I48</f>
        <v>5</v>
      </c>
      <c r="K48" s="31">
        <v>140</v>
      </c>
      <c r="L48" s="32">
        <v>44146</v>
      </c>
      <c r="M48" s="33">
        <v>0.21</v>
      </c>
      <c r="N48" s="64">
        <f t="shared" si="16"/>
        <v>169.4</v>
      </c>
      <c r="O48" s="68">
        <f t="shared" si="17"/>
        <v>182</v>
      </c>
      <c r="P48" s="68">
        <f t="shared" si="18"/>
        <v>189</v>
      </c>
      <c r="Q48" s="68">
        <f t="shared" si="19"/>
        <v>196</v>
      </c>
      <c r="R48" s="11">
        <f t="shared" si="20"/>
        <v>203</v>
      </c>
      <c r="S48" s="11">
        <f t="shared" si="21"/>
        <v>210</v>
      </c>
      <c r="T48" s="11">
        <f t="shared" si="22"/>
        <v>224</v>
      </c>
      <c r="U48" s="38">
        <f t="shared" si="7"/>
        <v>228.69</v>
      </c>
      <c r="V48" s="38">
        <f t="shared" si="8"/>
        <v>237.16</v>
      </c>
      <c r="W48" s="38">
        <f t="shared" si="9"/>
        <v>245.63</v>
      </c>
      <c r="X48" s="38">
        <f t="shared" si="13"/>
        <v>254.1</v>
      </c>
      <c r="Z48" s="4">
        <f t="shared" si="23"/>
        <v>700</v>
      </c>
      <c r="AA48" s="4">
        <f t="shared" si="24"/>
        <v>847</v>
      </c>
    </row>
    <row r="49" spans="1:27" x14ac:dyDescent="0.3">
      <c r="A49" s="135"/>
      <c r="B49" s="125"/>
      <c r="C49" s="3" t="s">
        <v>1437</v>
      </c>
      <c r="D49" s="55" t="s">
        <v>12</v>
      </c>
      <c r="E49" s="55" t="s">
        <v>1468</v>
      </c>
      <c r="F49" s="55" t="s">
        <v>1469</v>
      </c>
      <c r="G49" s="56">
        <v>36</v>
      </c>
      <c r="H49" s="49">
        <f>24+48+11+48+24+24+10+24+12+24+60+1+240+240+240+204</f>
        <v>1234</v>
      </c>
      <c r="I49" s="50">
        <f>6+914+4+7+81+15+1+1+1+1+3+1+18+6+2+1+11+12+8+4+5+2+5+1+3+3+1+3+5+5+5+9+3+5+3+2+3+3+5+2+1+3+3+5+6+1+10+1+3+10+2+2+1</f>
        <v>1218</v>
      </c>
      <c r="J49" s="77">
        <f>+H49-I49</f>
        <v>16</v>
      </c>
      <c r="K49" s="31">
        <v>168</v>
      </c>
      <c r="L49" s="32">
        <v>44146</v>
      </c>
      <c r="M49" s="33">
        <v>0.21</v>
      </c>
      <c r="N49" s="64">
        <f t="shared" si="16"/>
        <v>203.28</v>
      </c>
      <c r="O49" s="68">
        <f t="shared" si="17"/>
        <v>218.4</v>
      </c>
      <c r="P49" s="68">
        <f t="shared" si="18"/>
        <v>226.8</v>
      </c>
      <c r="Q49" s="68">
        <f t="shared" si="19"/>
        <v>235.2</v>
      </c>
      <c r="R49" s="11">
        <f t="shared" si="20"/>
        <v>243.6</v>
      </c>
      <c r="S49" s="11">
        <f t="shared" si="21"/>
        <v>252</v>
      </c>
      <c r="T49" s="11">
        <f t="shared" si="22"/>
        <v>268.8</v>
      </c>
      <c r="U49" s="38">
        <f t="shared" si="7"/>
        <v>274.43</v>
      </c>
      <c r="V49" s="38">
        <f t="shared" si="8"/>
        <v>284.58999999999997</v>
      </c>
      <c r="W49" s="38">
        <f t="shared" si="9"/>
        <v>294.76</v>
      </c>
      <c r="X49" s="38">
        <f t="shared" si="13"/>
        <v>304.92</v>
      </c>
      <c r="Z49" s="4">
        <f t="shared" si="23"/>
        <v>2688</v>
      </c>
      <c r="AA49" s="4">
        <f t="shared" si="24"/>
        <v>3252.48</v>
      </c>
    </row>
    <row r="50" spans="1:27" x14ac:dyDescent="0.3">
      <c r="A50" s="135"/>
      <c r="B50" s="125"/>
      <c r="C50" s="3" t="s">
        <v>1462</v>
      </c>
      <c r="D50" s="55"/>
      <c r="E50" s="55"/>
      <c r="F50" s="55"/>
      <c r="G50" s="56">
        <v>0</v>
      </c>
      <c r="H50" s="49">
        <f>40+12</f>
        <v>52</v>
      </c>
      <c r="I50" s="50">
        <f>2+17+5+8+5</f>
        <v>37</v>
      </c>
      <c r="J50" s="77">
        <f>+H50-I50</f>
        <v>15</v>
      </c>
      <c r="K50" s="31">
        <v>100</v>
      </c>
      <c r="L50" s="32">
        <v>44146</v>
      </c>
      <c r="M50" s="33">
        <v>0.21</v>
      </c>
      <c r="N50" s="64">
        <f t="shared" si="16"/>
        <v>121</v>
      </c>
      <c r="O50" s="68">
        <f t="shared" si="17"/>
        <v>130</v>
      </c>
      <c r="P50" s="68">
        <f t="shared" si="18"/>
        <v>135</v>
      </c>
      <c r="Q50" s="68">
        <f t="shared" si="19"/>
        <v>140</v>
      </c>
      <c r="R50" s="11">
        <f t="shared" si="20"/>
        <v>145</v>
      </c>
      <c r="S50" s="11">
        <f t="shared" si="21"/>
        <v>150</v>
      </c>
      <c r="T50" s="11">
        <f t="shared" si="22"/>
        <v>160</v>
      </c>
      <c r="U50" s="38">
        <f t="shared" si="7"/>
        <v>163.35</v>
      </c>
      <c r="V50" s="38">
        <f t="shared" si="8"/>
        <v>169.4</v>
      </c>
      <c r="W50" s="38">
        <f t="shared" si="9"/>
        <v>175.45</v>
      </c>
      <c r="X50" s="38">
        <f t="shared" si="13"/>
        <v>181.5</v>
      </c>
      <c r="Z50" s="4">
        <f t="shared" si="23"/>
        <v>1500</v>
      </c>
      <c r="AA50" s="4">
        <f t="shared" si="24"/>
        <v>1815</v>
      </c>
    </row>
    <row r="51" spans="1:27" x14ac:dyDescent="0.3">
      <c r="A51" s="135"/>
      <c r="B51" s="125"/>
      <c r="C51" s="3" t="s">
        <v>1456</v>
      </c>
      <c r="D51" s="55"/>
      <c r="E51" s="55"/>
      <c r="F51" s="55"/>
      <c r="G51" s="56">
        <v>0</v>
      </c>
      <c r="H51" s="49">
        <f>5+1</f>
        <v>6</v>
      </c>
      <c r="I51" s="50">
        <f>1+1+1+1+1</f>
        <v>5</v>
      </c>
      <c r="J51" s="77">
        <f>+H51-I51</f>
        <v>1</v>
      </c>
      <c r="K51" s="31">
        <v>1600</v>
      </c>
      <c r="L51" s="32">
        <v>44146</v>
      </c>
      <c r="M51" s="33">
        <v>0.21</v>
      </c>
      <c r="N51" s="64">
        <f t="shared" si="16"/>
        <v>1936</v>
      </c>
      <c r="O51" s="68">
        <f t="shared" si="17"/>
        <v>2080</v>
      </c>
      <c r="P51" s="68">
        <f t="shared" si="18"/>
        <v>2160</v>
      </c>
      <c r="Q51" s="68">
        <f t="shared" si="19"/>
        <v>2240</v>
      </c>
      <c r="R51" s="11">
        <f t="shared" si="20"/>
        <v>2320</v>
      </c>
      <c r="S51" s="11">
        <f t="shared" si="21"/>
        <v>2400</v>
      </c>
      <c r="T51" s="11">
        <f t="shared" si="22"/>
        <v>2560</v>
      </c>
      <c r="U51" s="38">
        <f t="shared" si="7"/>
        <v>2613.6</v>
      </c>
      <c r="V51" s="38">
        <f t="shared" si="8"/>
        <v>2710.4</v>
      </c>
      <c r="W51" s="38">
        <f t="shared" si="9"/>
        <v>2807.2</v>
      </c>
      <c r="X51" s="38">
        <f t="shared" si="13"/>
        <v>2904</v>
      </c>
      <c r="Z51" s="4">
        <f t="shared" si="23"/>
        <v>1600</v>
      </c>
      <c r="AA51" s="4">
        <f t="shared" si="24"/>
        <v>1936</v>
      </c>
    </row>
    <row r="52" spans="1:27" x14ac:dyDescent="0.3">
      <c r="A52" s="135"/>
      <c r="B52" s="125"/>
      <c r="C52" s="3" t="s">
        <v>1512</v>
      </c>
      <c r="D52" s="55"/>
      <c r="E52" s="55"/>
      <c r="F52" s="55"/>
      <c r="G52" s="56">
        <v>0</v>
      </c>
      <c r="H52" s="49">
        <f>12</f>
        <v>12</v>
      </c>
      <c r="I52" s="50">
        <v>0</v>
      </c>
      <c r="J52" s="77">
        <f>+H52-I52</f>
        <v>12</v>
      </c>
      <c r="K52" s="31">
        <v>78</v>
      </c>
      <c r="L52" s="32">
        <v>44082</v>
      </c>
      <c r="M52" s="33">
        <v>0.21</v>
      </c>
      <c r="N52" s="64">
        <f t="shared" si="16"/>
        <v>94.38</v>
      </c>
      <c r="O52" s="68">
        <f t="shared" si="17"/>
        <v>101.4</v>
      </c>
      <c r="P52" s="68">
        <f t="shared" si="18"/>
        <v>105.3</v>
      </c>
      <c r="Q52" s="68">
        <f t="shared" si="19"/>
        <v>109.2</v>
      </c>
      <c r="R52" s="11">
        <f t="shared" si="20"/>
        <v>113.1</v>
      </c>
      <c r="S52" s="11">
        <f t="shared" si="21"/>
        <v>117</v>
      </c>
      <c r="T52" s="11">
        <f t="shared" si="22"/>
        <v>124.8</v>
      </c>
      <c r="U52" s="38">
        <f t="shared" si="7"/>
        <v>127.41</v>
      </c>
      <c r="V52" s="38">
        <f t="shared" si="8"/>
        <v>132.13</v>
      </c>
      <c r="W52" s="38">
        <f t="shared" si="9"/>
        <v>136.85</v>
      </c>
      <c r="X52" s="38">
        <f t="shared" si="13"/>
        <v>141.57</v>
      </c>
      <c r="Z52" s="4">
        <f t="shared" si="23"/>
        <v>936</v>
      </c>
      <c r="AA52" s="4">
        <f t="shared" si="24"/>
        <v>1132.56</v>
      </c>
    </row>
    <row r="53" spans="1:27" x14ac:dyDescent="0.3">
      <c r="A53" s="135"/>
      <c r="B53" s="125"/>
      <c r="C53" s="3" t="s">
        <v>368</v>
      </c>
      <c r="D53" s="55" t="s">
        <v>605</v>
      </c>
      <c r="E53" s="55" t="s">
        <v>362</v>
      </c>
      <c r="F53" s="55" t="s">
        <v>1563</v>
      </c>
      <c r="G53" s="56">
        <v>50</v>
      </c>
      <c r="H53" s="49">
        <f>100+50+50+1+50+100+50+30+30+50+50</f>
        <v>561</v>
      </c>
      <c r="I53" s="50">
        <f>369+1+10+5+16+8+2+20+12+18+5+1+1+10+20+5+3+5+10+20+8+10+1</f>
        <v>560</v>
      </c>
      <c r="J53" s="77">
        <f>+H53-I53</f>
        <v>1</v>
      </c>
      <c r="K53" s="31">
        <v>157.5</v>
      </c>
      <c r="L53" s="32">
        <v>44230</v>
      </c>
      <c r="M53" s="33">
        <v>0.21</v>
      </c>
      <c r="N53" s="64">
        <f t="shared" si="16"/>
        <v>190.57499999999999</v>
      </c>
      <c r="O53" s="68">
        <f t="shared" si="17"/>
        <v>204.75</v>
      </c>
      <c r="P53" s="68">
        <f t="shared" si="18"/>
        <v>212.63</v>
      </c>
      <c r="Q53" s="68">
        <f t="shared" si="19"/>
        <v>220.5</v>
      </c>
      <c r="R53" s="11">
        <f t="shared" si="20"/>
        <v>228.38</v>
      </c>
      <c r="S53" s="11">
        <f t="shared" si="21"/>
        <v>236.25</v>
      </c>
      <c r="T53" s="11">
        <f t="shared" si="22"/>
        <v>252</v>
      </c>
      <c r="U53" s="38">
        <f t="shared" si="7"/>
        <v>257.27999999999997</v>
      </c>
      <c r="V53" s="38">
        <f t="shared" si="8"/>
        <v>266.81</v>
      </c>
      <c r="W53" s="38">
        <f t="shared" si="9"/>
        <v>276.33</v>
      </c>
      <c r="X53" s="38">
        <f t="shared" si="13"/>
        <v>285.86</v>
      </c>
      <c r="Z53" s="4">
        <f t="shared" si="23"/>
        <v>157.5</v>
      </c>
      <c r="AA53" s="4">
        <f t="shared" si="24"/>
        <v>190.57499999999999</v>
      </c>
    </row>
    <row r="54" spans="1:27" x14ac:dyDescent="0.3">
      <c r="A54" s="135"/>
      <c r="B54" s="125"/>
      <c r="C54" s="3" t="s">
        <v>368</v>
      </c>
      <c r="D54" s="55"/>
      <c r="E54" s="55" t="s">
        <v>362</v>
      </c>
      <c r="F54" s="55" t="s">
        <v>1588</v>
      </c>
      <c r="G54" s="56">
        <v>50</v>
      </c>
      <c r="H54" s="49">
        <f>50+50+100+100+30+50+50+50+30+50+50+50+50+32+3+50+2+50+50+50+60+50+50+50+50</f>
        <v>1207</v>
      </c>
      <c r="I54" s="50">
        <f>690+9+5+5+10+10+16+2+2+10+2+2+10+10+14+40+2+1+1+10+12+20+14+4+10+10+1+10+10+1+6+10+12+2+10+10+1+5+2+1+20+20+5+2+6+1+10+12+15+2+10+2+2+6+20+2+10+23+20</f>
        <v>1190</v>
      </c>
      <c r="J54" s="77">
        <f>+H54-I54</f>
        <v>17</v>
      </c>
      <c r="K54" s="31">
        <v>220.9</v>
      </c>
      <c r="L54" s="32">
        <v>44246</v>
      </c>
      <c r="M54" s="33">
        <v>0.21</v>
      </c>
      <c r="N54" s="64">
        <f t="shared" si="16"/>
        <v>267.28899999999999</v>
      </c>
      <c r="O54" s="68">
        <f t="shared" si="17"/>
        <v>287.17</v>
      </c>
      <c r="P54" s="68">
        <f t="shared" si="18"/>
        <v>298.22000000000003</v>
      </c>
      <c r="Q54" s="68">
        <f t="shared" si="19"/>
        <v>309.26</v>
      </c>
      <c r="R54" s="11">
        <f t="shared" si="20"/>
        <v>320.31</v>
      </c>
      <c r="S54" s="11">
        <f t="shared" si="21"/>
        <v>331.35</v>
      </c>
      <c r="T54" s="11">
        <f t="shared" si="22"/>
        <v>353.44</v>
      </c>
      <c r="U54" s="38">
        <f t="shared" si="7"/>
        <v>360.84</v>
      </c>
      <c r="V54" s="38">
        <f t="shared" si="8"/>
        <v>374.2</v>
      </c>
      <c r="W54" s="38">
        <f t="shared" si="9"/>
        <v>387.57</v>
      </c>
      <c r="X54" s="38">
        <f t="shared" si="13"/>
        <v>400.93</v>
      </c>
      <c r="Z54" s="4">
        <f t="shared" si="23"/>
        <v>3755.3</v>
      </c>
      <c r="AA54" s="4">
        <f t="shared" si="24"/>
        <v>4543.9129999999996</v>
      </c>
    </row>
    <row r="55" spans="1:27" x14ac:dyDescent="0.3">
      <c r="C55" s="3" t="s">
        <v>856</v>
      </c>
      <c r="D55" s="55" t="s">
        <v>690</v>
      </c>
      <c r="E55" s="55" t="s">
        <v>446</v>
      </c>
      <c r="F55" s="55" t="s">
        <v>1121</v>
      </c>
      <c r="G55" s="56">
        <v>3</v>
      </c>
      <c r="H55" s="49">
        <f>4+1+1+3+3+3</f>
        <v>15</v>
      </c>
      <c r="I55" s="50">
        <f>1+1+1+2+1+1+1+1+1</f>
        <v>10</v>
      </c>
      <c r="J55" s="77">
        <f>+H55-I55</f>
        <v>5</v>
      </c>
      <c r="K55" s="31">
        <v>2200</v>
      </c>
      <c r="L55" s="32">
        <v>44236</v>
      </c>
      <c r="M55" s="33">
        <v>0.21</v>
      </c>
      <c r="N55" s="64">
        <f t="shared" si="16"/>
        <v>2662</v>
      </c>
      <c r="O55" s="68">
        <f t="shared" si="17"/>
        <v>2860</v>
      </c>
      <c r="P55" s="68">
        <f t="shared" si="18"/>
        <v>2970</v>
      </c>
      <c r="Q55" s="68">
        <f t="shared" si="19"/>
        <v>3080</v>
      </c>
      <c r="R55" s="11">
        <f t="shared" si="20"/>
        <v>3190</v>
      </c>
      <c r="S55" s="11">
        <f t="shared" si="21"/>
        <v>3300</v>
      </c>
      <c r="T55" s="11">
        <f t="shared" si="22"/>
        <v>3520</v>
      </c>
      <c r="U55" s="38">
        <f t="shared" ref="U55:U142" si="25">ROUND((N55*(1+$U$3)),2)</f>
        <v>3593.7</v>
      </c>
      <c r="V55" s="38">
        <f t="shared" ref="V55:V142" si="26">ROUND((N55*(1+$V$3)),2)</f>
        <v>3726.8</v>
      </c>
      <c r="W55" s="38">
        <f t="shared" ref="W55:W142" si="27">ROUND((N55*(1+$W$3)),2)</f>
        <v>3859.9</v>
      </c>
      <c r="X55" s="38">
        <f t="shared" ref="X55:X143" si="28">ROUND((N55*(1+$X$3)),2)</f>
        <v>3993</v>
      </c>
      <c r="Z55" s="4">
        <f t="shared" si="23"/>
        <v>11000</v>
      </c>
      <c r="AA55" s="4">
        <f t="shared" si="24"/>
        <v>13310</v>
      </c>
    </row>
    <row r="56" spans="1:27" x14ac:dyDescent="0.3">
      <c r="C56" s="3" t="s">
        <v>689</v>
      </c>
      <c r="D56" s="55" t="s">
        <v>691</v>
      </c>
      <c r="E56" s="55" t="s">
        <v>829</v>
      </c>
      <c r="F56" s="55"/>
      <c r="G56" s="56">
        <v>3</v>
      </c>
      <c r="H56" s="49">
        <f>3+2+3+1+2+3+2+1+4+3</f>
        <v>24</v>
      </c>
      <c r="I56" s="50">
        <f>2+1+1+1+1+1+1+1+2+1+1+1+1+4</f>
        <v>19</v>
      </c>
      <c r="J56" s="77">
        <f>+H56-I56</f>
        <v>5</v>
      </c>
      <c r="K56" s="31">
        <v>1621.3</v>
      </c>
      <c r="L56" s="32">
        <v>44082</v>
      </c>
      <c r="M56" s="33">
        <v>0.21</v>
      </c>
      <c r="N56" s="64">
        <f t="shared" si="16"/>
        <v>1961.7729999999999</v>
      </c>
      <c r="O56" s="68">
        <f t="shared" si="17"/>
        <v>2107.69</v>
      </c>
      <c r="P56" s="68">
        <f t="shared" si="18"/>
        <v>2188.7600000000002</v>
      </c>
      <c r="Q56" s="68">
        <f t="shared" si="19"/>
        <v>2269.8200000000002</v>
      </c>
      <c r="R56" s="11">
        <f t="shared" si="20"/>
        <v>2350.89</v>
      </c>
      <c r="S56" s="11">
        <f t="shared" si="21"/>
        <v>2431.9499999999998</v>
      </c>
      <c r="T56" s="11">
        <f t="shared" si="22"/>
        <v>2594.08</v>
      </c>
      <c r="U56" s="38">
        <f t="shared" si="25"/>
        <v>2648.39</v>
      </c>
      <c r="V56" s="38">
        <f t="shared" si="26"/>
        <v>2746.48</v>
      </c>
      <c r="W56" s="38">
        <f t="shared" si="27"/>
        <v>2844.57</v>
      </c>
      <c r="X56" s="38">
        <f t="shared" si="28"/>
        <v>2942.66</v>
      </c>
      <c r="Z56" s="4">
        <f t="shared" si="23"/>
        <v>8106.5</v>
      </c>
      <c r="AA56" s="4">
        <f t="shared" si="24"/>
        <v>9808.8649999999998</v>
      </c>
    </row>
    <row r="57" spans="1:27" x14ac:dyDescent="0.3">
      <c r="A57" s="135"/>
      <c r="C57" s="3" t="s">
        <v>1281</v>
      </c>
      <c r="D57" s="55" t="s">
        <v>1279</v>
      </c>
      <c r="E57" s="55"/>
      <c r="F57" s="55"/>
      <c r="G57" s="56">
        <v>1</v>
      </c>
      <c r="H57" s="49">
        <f>1+1</f>
        <v>2</v>
      </c>
      <c r="I57" s="50">
        <v>1</v>
      </c>
      <c r="J57" s="77">
        <f>+H57-I57</f>
        <v>1</v>
      </c>
      <c r="K57" s="31">
        <v>2743.01</v>
      </c>
      <c r="L57" s="32">
        <v>44076</v>
      </c>
      <c r="M57" s="33">
        <v>0.21</v>
      </c>
      <c r="N57" s="64">
        <f t="shared" si="16"/>
        <v>3319.0421000000001</v>
      </c>
      <c r="O57" s="68">
        <f t="shared" si="17"/>
        <v>3565.91</v>
      </c>
      <c r="P57" s="68">
        <f t="shared" si="18"/>
        <v>3703.06</v>
      </c>
      <c r="Q57" s="68">
        <f t="shared" si="19"/>
        <v>3840.21</v>
      </c>
      <c r="R57" s="11">
        <f t="shared" si="20"/>
        <v>3977.36</v>
      </c>
      <c r="S57" s="11">
        <f t="shared" si="21"/>
        <v>4114.5200000000004</v>
      </c>
      <c r="T57" s="11">
        <f t="shared" si="22"/>
        <v>4388.82</v>
      </c>
      <c r="U57" s="38">
        <f t="shared" si="25"/>
        <v>4480.71</v>
      </c>
      <c r="V57" s="38">
        <f t="shared" si="26"/>
        <v>4646.66</v>
      </c>
      <c r="W57" s="38">
        <f t="shared" si="27"/>
        <v>4812.6099999999997</v>
      </c>
      <c r="X57" s="38">
        <f t="shared" si="28"/>
        <v>4978.5600000000004</v>
      </c>
      <c r="Z57" s="4">
        <f t="shared" si="23"/>
        <v>2743.01</v>
      </c>
      <c r="AA57" s="4">
        <f t="shared" si="24"/>
        <v>3319.0421000000001</v>
      </c>
    </row>
    <row r="58" spans="1:27" x14ac:dyDescent="0.3">
      <c r="A58" s="135"/>
      <c r="C58" s="3" t="s">
        <v>1282</v>
      </c>
      <c r="D58" s="55" t="s">
        <v>1164</v>
      </c>
      <c r="E58" s="55" t="s">
        <v>34</v>
      </c>
      <c r="F58" s="55"/>
      <c r="G58" s="56">
        <v>0</v>
      </c>
      <c r="H58" s="49">
        <v>1</v>
      </c>
      <c r="I58" s="50"/>
      <c r="J58" s="77">
        <f>+H58-I58</f>
        <v>1</v>
      </c>
      <c r="K58" s="31">
        <v>3672</v>
      </c>
      <c r="L58" s="32">
        <v>43858</v>
      </c>
      <c r="M58" s="33">
        <v>0.21</v>
      </c>
      <c r="N58" s="64">
        <f t="shared" si="16"/>
        <v>4443.12</v>
      </c>
      <c r="O58" s="68">
        <f t="shared" si="17"/>
        <v>4773.6000000000004</v>
      </c>
      <c r="P58" s="68">
        <f t="shared" si="18"/>
        <v>4957.2</v>
      </c>
      <c r="Q58" s="68">
        <f t="shared" si="19"/>
        <v>5140.8</v>
      </c>
      <c r="R58" s="11">
        <f t="shared" si="20"/>
        <v>5324.4</v>
      </c>
      <c r="S58" s="11">
        <f t="shared" si="21"/>
        <v>5508</v>
      </c>
      <c r="T58" s="11">
        <f t="shared" si="22"/>
        <v>5875.2</v>
      </c>
      <c r="U58" s="38">
        <f t="shared" si="25"/>
        <v>5998.21</v>
      </c>
      <c r="V58" s="38">
        <f t="shared" si="26"/>
        <v>6220.37</v>
      </c>
      <c r="W58" s="38">
        <f t="shared" si="27"/>
        <v>6442.52</v>
      </c>
      <c r="X58" s="38">
        <f t="shared" si="28"/>
        <v>6664.68</v>
      </c>
      <c r="Z58" s="4">
        <f t="shared" si="23"/>
        <v>3672</v>
      </c>
      <c r="AA58" s="4">
        <f t="shared" si="24"/>
        <v>4443.12</v>
      </c>
    </row>
    <row r="59" spans="1:27" x14ac:dyDescent="0.3">
      <c r="A59" s="135"/>
      <c r="C59" s="3" t="s">
        <v>1280</v>
      </c>
      <c r="D59" s="55" t="s">
        <v>1165</v>
      </c>
      <c r="E59" s="55" t="s">
        <v>34</v>
      </c>
      <c r="F59" s="55"/>
      <c r="G59" s="56">
        <v>0</v>
      </c>
      <c r="H59" s="49">
        <v>1</v>
      </c>
      <c r="I59" s="50"/>
      <c r="J59" s="77">
        <f>+H59-I59</f>
        <v>1</v>
      </c>
      <c r="K59" s="31">
        <v>2573</v>
      </c>
      <c r="L59" s="32">
        <v>43858</v>
      </c>
      <c r="M59" s="33">
        <v>0.21</v>
      </c>
      <c r="N59" s="64">
        <f t="shared" si="16"/>
        <v>3113.33</v>
      </c>
      <c r="O59" s="68">
        <f t="shared" si="17"/>
        <v>3344.9</v>
      </c>
      <c r="P59" s="68">
        <f t="shared" si="18"/>
        <v>3473.55</v>
      </c>
      <c r="Q59" s="68">
        <f t="shared" si="19"/>
        <v>3602.2</v>
      </c>
      <c r="R59" s="11">
        <f t="shared" si="20"/>
        <v>3730.85</v>
      </c>
      <c r="S59" s="11">
        <f t="shared" si="21"/>
        <v>3859.5</v>
      </c>
      <c r="T59" s="11">
        <f t="shared" si="22"/>
        <v>4116.8</v>
      </c>
      <c r="U59" s="38">
        <f t="shared" si="25"/>
        <v>4203</v>
      </c>
      <c r="V59" s="38">
        <f t="shared" si="26"/>
        <v>4358.66</v>
      </c>
      <c r="W59" s="38">
        <f t="shared" si="27"/>
        <v>4514.33</v>
      </c>
      <c r="X59" s="38">
        <f t="shared" si="28"/>
        <v>4670</v>
      </c>
      <c r="Z59" s="4">
        <f t="shared" si="23"/>
        <v>2573</v>
      </c>
      <c r="AA59" s="4">
        <f t="shared" si="24"/>
        <v>3113.33</v>
      </c>
    </row>
    <row r="60" spans="1:27" x14ac:dyDescent="0.3">
      <c r="A60" s="135"/>
      <c r="B60" s="125"/>
      <c r="C60" s="6" t="s">
        <v>224</v>
      </c>
      <c r="D60" s="55" t="s">
        <v>604</v>
      </c>
      <c r="E60" s="55" t="s">
        <v>70</v>
      </c>
      <c r="F60" s="55" t="s">
        <v>60</v>
      </c>
      <c r="G60" s="56">
        <v>10</v>
      </c>
      <c r="H60" s="49">
        <f>12+60+20+120+19+20+20</f>
        <v>271</v>
      </c>
      <c r="I60" s="50">
        <f>1+10+50+10+1+10+3+3+3+2+100+6+1+3+4+5+10+1+8+10</f>
        <v>241</v>
      </c>
      <c r="J60" s="77">
        <f>+H60-I60</f>
        <v>30</v>
      </c>
      <c r="K60" s="31">
        <v>101.15</v>
      </c>
      <c r="L60" s="32">
        <v>44239</v>
      </c>
      <c r="M60" s="33">
        <v>0.21</v>
      </c>
      <c r="N60" s="64">
        <f t="shared" si="16"/>
        <v>122.39150000000001</v>
      </c>
      <c r="O60" s="68">
        <f t="shared" si="17"/>
        <v>131.5</v>
      </c>
      <c r="P60" s="68">
        <f t="shared" si="18"/>
        <v>136.55000000000001</v>
      </c>
      <c r="Q60" s="68">
        <f t="shared" si="19"/>
        <v>141.61000000000001</v>
      </c>
      <c r="R60" s="11">
        <f t="shared" si="20"/>
        <v>146.66999999999999</v>
      </c>
      <c r="S60" s="11">
        <f t="shared" si="21"/>
        <v>151.72999999999999</v>
      </c>
      <c r="T60" s="11">
        <f t="shared" si="22"/>
        <v>161.84</v>
      </c>
      <c r="U60" s="38">
        <f t="shared" si="25"/>
        <v>165.23</v>
      </c>
      <c r="V60" s="38">
        <f t="shared" si="26"/>
        <v>171.35</v>
      </c>
      <c r="W60" s="38">
        <f t="shared" si="27"/>
        <v>177.47</v>
      </c>
      <c r="X60" s="38">
        <f t="shared" si="28"/>
        <v>183.59</v>
      </c>
      <c r="Z60" s="4">
        <f t="shared" si="23"/>
        <v>3034.5</v>
      </c>
      <c r="AA60" s="4">
        <f t="shared" si="24"/>
        <v>3671.7450000000003</v>
      </c>
    </row>
    <row r="61" spans="1:27" x14ac:dyDescent="0.3">
      <c r="A61" s="135"/>
      <c r="B61" s="125"/>
      <c r="C61" s="6" t="s">
        <v>798</v>
      </c>
      <c r="D61" s="55" t="s">
        <v>855</v>
      </c>
      <c r="E61" s="55" t="s">
        <v>362</v>
      </c>
      <c r="F61" s="55" t="s">
        <v>292</v>
      </c>
      <c r="G61" s="56">
        <v>0</v>
      </c>
      <c r="H61" s="49">
        <f>10+6</f>
        <v>16</v>
      </c>
      <c r="I61" s="50">
        <f>2+1+1+1+1+1+1+1+1+1+1+2+2</f>
        <v>16</v>
      </c>
      <c r="J61" s="77">
        <f>+H61-I61</f>
        <v>0</v>
      </c>
      <c r="K61" s="31">
        <v>264.35000000000002</v>
      </c>
      <c r="L61" s="32">
        <v>44146</v>
      </c>
      <c r="M61" s="33">
        <v>0.21</v>
      </c>
      <c r="N61" s="64">
        <f t="shared" si="16"/>
        <v>319.86350000000004</v>
      </c>
      <c r="O61" s="68">
        <f t="shared" si="17"/>
        <v>343.66</v>
      </c>
      <c r="P61" s="68">
        <f t="shared" si="18"/>
        <v>356.87</v>
      </c>
      <c r="Q61" s="68">
        <f t="shared" si="19"/>
        <v>370.09</v>
      </c>
      <c r="R61" s="11">
        <f t="shared" si="20"/>
        <v>383.31</v>
      </c>
      <c r="S61" s="11">
        <f t="shared" si="21"/>
        <v>396.53</v>
      </c>
      <c r="T61" s="11">
        <f t="shared" si="22"/>
        <v>422.96</v>
      </c>
      <c r="U61" s="38">
        <f t="shared" si="25"/>
        <v>431.82</v>
      </c>
      <c r="V61" s="38">
        <f t="shared" si="26"/>
        <v>447.81</v>
      </c>
      <c r="W61" s="38">
        <f t="shared" si="27"/>
        <v>463.8</v>
      </c>
      <c r="X61" s="38">
        <f t="shared" si="28"/>
        <v>479.8</v>
      </c>
      <c r="Z61" s="4">
        <f t="shared" si="23"/>
        <v>0</v>
      </c>
      <c r="AA61" s="4">
        <f t="shared" si="24"/>
        <v>0</v>
      </c>
    </row>
    <row r="62" spans="1:27" x14ac:dyDescent="0.3">
      <c r="A62" s="135"/>
      <c r="B62" s="125"/>
      <c r="C62" s="6" t="s">
        <v>1308</v>
      </c>
      <c r="D62" s="55" t="s">
        <v>1454</v>
      </c>
      <c r="E62" s="55" t="s">
        <v>362</v>
      </c>
      <c r="F62" s="55" t="s">
        <v>1254</v>
      </c>
      <c r="G62" s="56">
        <v>500</v>
      </c>
      <c r="H62" s="49">
        <f>90+600+400+1000+500+600+800+600+250+500+250+450+500+500+500+250+1000+400+2000+100+100+1500+2000+2000</f>
        <v>16890</v>
      </c>
      <c r="I62" s="50">
        <f>8285+250+250+100+100+200+5+1500+30+500+170+30+130+20+1000+50+250+1000+100+920+650+100+400</f>
        <v>16040</v>
      </c>
      <c r="J62" s="77">
        <f>+H62-I62</f>
        <v>850</v>
      </c>
      <c r="K62" s="31">
        <v>8.15</v>
      </c>
      <c r="L62" s="32">
        <v>44239</v>
      </c>
      <c r="M62" s="33">
        <v>0.21</v>
      </c>
      <c r="N62" s="64">
        <f t="shared" si="16"/>
        <v>9.8614999999999995</v>
      </c>
      <c r="O62" s="68">
        <f t="shared" si="17"/>
        <v>10.6</v>
      </c>
      <c r="P62" s="68">
        <f t="shared" si="18"/>
        <v>11</v>
      </c>
      <c r="Q62" s="68">
        <f t="shared" si="19"/>
        <v>11.41</v>
      </c>
      <c r="R62" s="11">
        <f t="shared" si="20"/>
        <v>11.82</v>
      </c>
      <c r="S62" s="11">
        <f t="shared" si="21"/>
        <v>12.23</v>
      </c>
      <c r="T62" s="11">
        <f t="shared" si="22"/>
        <v>13.04</v>
      </c>
      <c r="U62" s="38">
        <f t="shared" si="25"/>
        <v>13.31</v>
      </c>
      <c r="V62" s="38">
        <f t="shared" si="26"/>
        <v>13.81</v>
      </c>
      <c r="W62" s="38">
        <f t="shared" si="27"/>
        <v>14.3</v>
      </c>
      <c r="X62" s="38">
        <f t="shared" si="28"/>
        <v>14.79</v>
      </c>
      <c r="Z62" s="4">
        <f>J62*K62</f>
        <v>6927.5</v>
      </c>
      <c r="AA62" s="4">
        <f>J62*N62</f>
        <v>8382.2749999999996</v>
      </c>
    </row>
    <row r="63" spans="1:27" x14ac:dyDescent="0.3">
      <c r="A63" s="135"/>
      <c r="B63" s="125"/>
      <c r="C63" s="6" t="s">
        <v>1575</v>
      </c>
      <c r="D63" s="91" t="s">
        <v>1529</v>
      </c>
      <c r="E63" s="55"/>
      <c r="F63" s="55"/>
      <c r="G63" s="56">
        <v>0</v>
      </c>
      <c r="H63" s="49">
        <f>500+100</f>
        <v>600</v>
      </c>
      <c r="I63" s="50">
        <f>100+400+100</f>
        <v>600</v>
      </c>
      <c r="J63" s="77">
        <f>+H63-I63</f>
        <v>0</v>
      </c>
      <c r="K63" s="31">
        <v>15.63</v>
      </c>
      <c r="L63" s="32">
        <v>44146</v>
      </c>
      <c r="M63" s="33">
        <v>0.21</v>
      </c>
      <c r="N63" s="64">
        <f t="shared" si="16"/>
        <v>18.912300000000002</v>
      </c>
      <c r="O63" s="68">
        <f t="shared" si="17"/>
        <v>20.32</v>
      </c>
      <c r="P63" s="68">
        <f t="shared" si="18"/>
        <v>21.1</v>
      </c>
      <c r="Q63" s="68">
        <f t="shared" si="19"/>
        <v>21.88</v>
      </c>
      <c r="R63" s="11">
        <f t="shared" si="20"/>
        <v>22.66</v>
      </c>
      <c r="S63" s="11">
        <f t="shared" si="21"/>
        <v>23.45</v>
      </c>
      <c r="T63" s="11">
        <f t="shared" si="22"/>
        <v>25.01</v>
      </c>
      <c r="U63" s="38">
        <f t="shared" si="25"/>
        <v>25.53</v>
      </c>
      <c r="V63" s="38">
        <f t="shared" si="26"/>
        <v>26.48</v>
      </c>
      <c r="W63" s="38">
        <f t="shared" si="27"/>
        <v>27.42</v>
      </c>
      <c r="X63" s="38">
        <f t="shared" si="28"/>
        <v>28.37</v>
      </c>
      <c r="Z63" s="4">
        <f>J63*K63</f>
        <v>0</v>
      </c>
      <c r="AA63" s="4">
        <f>J63*N63</f>
        <v>0</v>
      </c>
    </row>
    <row r="64" spans="1:27" x14ac:dyDescent="0.3">
      <c r="A64" s="135"/>
      <c r="B64" s="125"/>
      <c r="C64" s="6" t="s">
        <v>1082</v>
      </c>
      <c r="D64" s="55" t="s">
        <v>1054</v>
      </c>
      <c r="E64" s="55" t="s">
        <v>362</v>
      </c>
      <c r="F64" s="55" t="s">
        <v>1053</v>
      </c>
      <c r="G64" s="56">
        <v>5</v>
      </c>
      <c r="H64" s="49">
        <f>15+5+5</f>
        <v>25</v>
      </c>
      <c r="I64" s="50">
        <f>10+2+3+5+3</f>
        <v>23</v>
      </c>
      <c r="J64" s="77">
        <f>+H64-I64</f>
        <v>2</v>
      </c>
      <c r="K64" s="31">
        <v>405.5</v>
      </c>
      <c r="L64" s="32">
        <v>44146</v>
      </c>
      <c r="M64" s="33">
        <v>0.21</v>
      </c>
      <c r="N64" s="64">
        <f t="shared" si="16"/>
        <v>490.65499999999997</v>
      </c>
      <c r="O64" s="68">
        <f t="shared" si="17"/>
        <v>527.15</v>
      </c>
      <c r="P64" s="68">
        <f t="shared" si="18"/>
        <v>547.42999999999995</v>
      </c>
      <c r="Q64" s="68">
        <f t="shared" si="19"/>
        <v>567.70000000000005</v>
      </c>
      <c r="R64" s="11">
        <f t="shared" si="20"/>
        <v>587.98</v>
      </c>
      <c r="S64" s="11">
        <f t="shared" si="21"/>
        <v>608.25</v>
      </c>
      <c r="T64" s="11">
        <f t="shared" si="22"/>
        <v>648.79999999999995</v>
      </c>
      <c r="U64" s="38">
        <f t="shared" si="25"/>
        <v>662.38</v>
      </c>
      <c r="V64" s="38">
        <f t="shared" si="26"/>
        <v>686.92</v>
      </c>
      <c r="W64" s="38">
        <f t="shared" si="27"/>
        <v>711.45</v>
      </c>
      <c r="X64" s="38">
        <f t="shared" si="28"/>
        <v>735.98</v>
      </c>
      <c r="Z64" s="4">
        <f t="shared" si="23"/>
        <v>811</v>
      </c>
      <c r="AA64" s="4">
        <f t="shared" si="24"/>
        <v>981.31</v>
      </c>
    </row>
    <row r="65" spans="1:27" x14ac:dyDescent="0.3">
      <c r="A65" s="135"/>
      <c r="B65" s="125"/>
      <c r="C65" s="3" t="s">
        <v>936</v>
      </c>
      <c r="D65" s="55" t="s">
        <v>491</v>
      </c>
      <c r="E65" s="55" t="s">
        <v>69</v>
      </c>
      <c r="F65" s="55" t="s">
        <v>266</v>
      </c>
      <c r="G65" s="56">
        <v>0</v>
      </c>
      <c r="H65" s="49">
        <f>53+100+32</f>
        <v>185</v>
      </c>
      <c r="I65" s="50">
        <f>100+10+43+20</f>
        <v>173</v>
      </c>
      <c r="J65" s="77">
        <f>+H65-I65</f>
        <v>12</v>
      </c>
      <c r="K65" s="31">
        <v>67</v>
      </c>
      <c r="L65" s="32">
        <v>44146</v>
      </c>
      <c r="M65" s="33">
        <v>0.21</v>
      </c>
      <c r="N65" s="64">
        <f t="shared" si="16"/>
        <v>81.069999999999993</v>
      </c>
      <c r="O65" s="68">
        <f t="shared" si="17"/>
        <v>87.1</v>
      </c>
      <c r="P65" s="68">
        <f t="shared" si="18"/>
        <v>90.45</v>
      </c>
      <c r="Q65" s="68">
        <f t="shared" si="19"/>
        <v>93.8</v>
      </c>
      <c r="R65" s="11">
        <f t="shared" si="20"/>
        <v>97.15</v>
      </c>
      <c r="S65" s="11">
        <f t="shared" ref="S65:S68" si="29">K65*(1+$S$3)</f>
        <v>100.5</v>
      </c>
      <c r="T65" s="11">
        <f t="shared" si="22"/>
        <v>107.2</v>
      </c>
      <c r="U65" s="38">
        <f t="shared" si="25"/>
        <v>109.44</v>
      </c>
      <c r="V65" s="38">
        <f t="shared" si="26"/>
        <v>113.5</v>
      </c>
      <c r="W65" s="38">
        <f t="shared" si="27"/>
        <v>117.55</v>
      </c>
      <c r="X65" s="38">
        <f t="shared" si="28"/>
        <v>121.61</v>
      </c>
      <c r="Z65" s="4">
        <f t="shared" si="23"/>
        <v>804</v>
      </c>
      <c r="AA65" s="4">
        <f t="shared" si="24"/>
        <v>972.83999999999992</v>
      </c>
    </row>
    <row r="66" spans="1:27" x14ac:dyDescent="0.3">
      <c r="A66" s="135"/>
      <c r="B66" s="125"/>
      <c r="C66" s="3" t="s">
        <v>1564</v>
      </c>
      <c r="D66" s="55" t="s">
        <v>1565</v>
      </c>
      <c r="E66" s="55"/>
      <c r="F66" s="55" t="s">
        <v>292</v>
      </c>
      <c r="G66" s="56"/>
      <c r="H66" s="49">
        <f>100</f>
        <v>100</v>
      </c>
      <c r="I66" s="50">
        <f>50</f>
        <v>50</v>
      </c>
      <c r="J66" s="77">
        <f>+H66-I66</f>
        <v>50</v>
      </c>
      <c r="K66" s="31">
        <v>20</v>
      </c>
      <c r="L66" s="32">
        <v>44207</v>
      </c>
      <c r="M66" s="33">
        <v>0.21</v>
      </c>
      <c r="N66" s="64">
        <f>+K66*(1+M66)</f>
        <v>24.2</v>
      </c>
      <c r="O66" s="68">
        <f t="shared" si="17"/>
        <v>26</v>
      </c>
      <c r="P66" s="68">
        <f t="shared" si="18"/>
        <v>27</v>
      </c>
      <c r="Q66" s="68">
        <f t="shared" si="19"/>
        <v>28</v>
      </c>
      <c r="R66" s="11">
        <f t="shared" si="20"/>
        <v>29</v>
      </c>
      <c r="S66" s="11">
        <f t="shared" si="29"/>
        <v>30</v>
      </c>
      <c r="T66" s="11">
        <f t="shared" si="22"/>
        <v>32</v>
      </c>
      <c r="U66" s="38">
        <f t="shared" si="25"/>
        <v>32.67</v>
      </c>
      <c r="V66" s="38">
        <f t="shared" si="26"/>
        <v>33.880000000000003</v>
      </c>
      <c r="W66" s="38">
        <f t="shared" si="27"/>
        <v>35.090000000000003</v>
      </c>
      <c r="X66" s="38">
        <f t="shared" si="28"/>
        <v>36.299999999999997</v>
      </c>
      <c r="Z66" s="4">
        <f t="shared" si="23"/>
        <v>1000</v>
      </c>
      <c r="AA66" s="4">
        <f t="shared" si="24"/>
        <v>1210</v>
      </c>
    </row>
    <row r="67" spans="1:27" x14ac:dyDescent="0.3">
      <c r="B67" s="125"/>
      <c r="C67" s="3" t="s">
        <v>923</v>
      </c>
      <c r="D67" s="55" t="s">
        <v>921</v>
      </c>
      <c r="E67" s="55" t="s">
        <v>362</v>
      </c>
      <c r="F67" s="55" t="s">
        <v>286</v>
      </c>
      <c r="G67" s="56">
        <v>0</v>
      </c>
      <c r="H67" s="49">
        <f>8+8</f>
        <v>16</v>
      </c>
      <c r="I67" s="69">
        <v>3</v>
      </c>
      <c r="J67" s="77">
        <f>+H67-I67</f>
        <v>13</v>
      </c>
      <c r="K67" s="31">
        <v>255</v>
      </c>
      <c r="L67" s="32">
        <v>44146</v>
      </c>
      <c r="M67" s="33">
        <v>0.21</v>
      </c>
      <c r="N67" s="64">
        <f t="shared" si="16"/>
        <v>308.55</v>
      </c>
      <c r="O67" s="68">
        <f t="shared" si="17"/>
        <v>331.5</v>
      </c>
      <c r="P67" s="68">
        <f t="shared" si="18"/>
        <v>344.25</v>
      </c>
      <c r="Q67" s="68">
        <f t="shared" si="19"/>
        <v>357</v>
      </c>
      <c r="R67" s="11">
        <f t="shared" si="20"/>
        <v>369.75</v>
      </c>
      <c r="S67" s="11">
        <f t="shared" si="29"/>
        <v>382.5</v>
      </c>
      <c r="T67" s="11">
        <f t="shared" si="22"/>
        <v>408</v>
      </c>
      <c r="U67" s="38">
        <f t="shared" si="25"/>
        <v>416.54</v>
      </c>
      <c r="V67" s="38">
        <f t="shared" si="26"/>
        <v>431.97</v>
      </c>
      <c r="W67" s="38">
        <f t="shared" si="27"/>
        <v>447.4</v>
      </c>
      <c r="X67" s="38">
        <f t="shared" si="28"/>
        <v>462.83</v>
      </c>
      <c r="Z67" s="4">
        <f t="shared" si="23"/>
        <v>3315</v>
      </c>
      <c r="AA67" s="4">
        <f t="shared" si="24"/>
        <v>4011.15</v>
      </c>
    </row>
    <row r="68" spans="1:27" x14ac:dyDescent="0.3">
      <c r="A68" s="135"/>
      <c r="C68" s="3" t="s">
        <v>1108</v>
      </c>
      <c r="D68" s="55"/>
      <c r="E68" s="55" t="s">
        <v>443</v>
      </c>
      <c r="F68" s="55" t="s">
        <v>925</v>
      </c>
      <c r="G68" s="56">
        <v>2</v>
      </c>
      <c r="H68" s="49">
        <f>1+3</f>
        <v>4</v>
      </c>
      <c r="I68" s="50">
        <f>2+1</f>
        <v>3</v>
      </c>
      <c r="J68" s="77">
        <f>+H68-I68</f>
        <v>1</v>
      </c>
      <c r="K68" s="31">
        <v>919.2</v>
      </c>
      <c r="L68" s="32">
        <v>43500</v>
      </c>
      <c r="M68" s="33">
        <v>0.21</v>
      </c>
      <c r="N68" s="64">
        <f t="shared" si="16"/>
        <v>1112.232</v>
      </c>
      <c r="O68" s="68">
        <f t="shared" si="17"/>
        <v>1194.96</v>
      </c>
      <c r="P68" s="68">
        <f t="shared" si="18"/>
        <v>1240.92</v>
      </c>
      <c r="Q68" s="68">
        <f t="shared" si="19"/>
        <v>1286.8800000000001</v>
      </c>
      <c r="R68" s="11">
        <f t="shared" si="20"/>
        <v>1332.84</v>
      </c>
      <c r="S68" s="11">
        <f t="shared" si="29"/>
        <v>1378.8000000000002</v>
      </c>
      <c r="T68" s="11">
        <f t="shared" si="22"/>
        <v>1470.72</v>
      </c>
      <c r="U68" s="38">
        <f t="shared" si="25"/>
        <v>1501.51</v>
      </c>
      <c r="V68" s="38">
        <f t="shared" si="26"/>
        <v>1557.12</v>
      </c>
      <c r="W68" s="38">
        <f t="shared" si="27"/>
        <v>1612.74</v>
      </c>
      <c r="X68" s="38">
        <f t="shared" si="28"/>
        <v>1668.35</v>
      </c>
      <c r="Z68" s="4">
        <f t="shared" si="23"/>
        <v>919.2</v>
      </c>
      <c r="AA68" s="4">
        <f t="shared" si="24"/>
        <v>1112.232</v>
      </c>
    </row>
    <row r="69" spans="1:27" x14ac:dyDescent="0.3">
      <c r="A69" s="135"/>
      <c r="C69" s="3" t="s">
        <v>912</v>
      </c>
      <c r="D69" s="55" t="s">
        <v>774</v>
      </c>
      <c r="E69" s="55" t="s">
        <v>70</v>
      </c>
      <c r="F69" s="55" t="s">
        <v>229</v>
      </c>
      <c r="G69" s="56">
        <v>0</v>
      </c>
      <c r="H69" s="49">
        <f>4+2</f>
        <v>6</v>
      </c>
      <c r="I69" s="50">
        <v>4</v>
      </c>
      <c r="J69" s="77">
        <f>+H69-I69</f>
        <v>2</v>
      </c>
      <c r="K69" s="31">
        <v>516.22</v>
      </c>
      <c r="L69" s="32">
        <v>43475</v>
      </c>
      <c r="M69" s="33">
        <v>0.21</v>
      </c>
      <c r="N69" s="64">
        <f t="shared" si="16"/>
        <v>624.62620000000004</v>
      </c>
      <c r="O69" s="68">
        <f t="shared" si="17"/>
        <v>671.09</v>
      </c>
      <c r="P69" s="68">
        <f t="shared" si="18"/>
        <v>696.9</v>
      </c>
      <c r="Q69" s="68">
        <f t="shared" si="19"/>
        <v>722.71</v>
      </c>
      <c r="R69" s="11">
        <f t="shared" si="20"/>
        <v>748.52</v>
      </c>
      <c r="S69" s="11">
        <f>ROUND(K69*(1+$S$3),2)</f>
        <v>774.33</v>
      </c>
      <c r="T69" s="11">
        <f t="shared" si="22"/>
        <v>825.95</v>
      </c>
      <c r="U69" s="38">
        <f t="shared" si="25"/>
        <v>843.25</v>
      </c>
      <c r="V69" s="38">
        <f t="shared" si="26"/>
        <v>874.48</v>
      </c>
      <c r="W69" s="38">
        <f t="shared" si="27"/>
        <v>905.71</v>
      </c>
      <c r="X69" s="38">
        <f t="shared" si="28"/>
        <v>936.94</v>
      </c>
      <c r="Z69" s="4">
        <f t="shared" si="23"/>
        <v>1032.44</v>
      </c>
      <c r="AA69" s="4">
        <f t="shared" si="24"/>
        <v>1249.2524000000001</v>
      </c>
    </row>
    <row r="70" spans="1:27" x14ac:dyDescent="0.3">
      <c r="C70" s="3" t="s">
        <v>1141</v>
      </c>
      <c r="D70" s="55" t="s">
        <v>776</v>
      </c>
      <c r="E70" s="55" t="s">
        <v>70</v>
      </c>
      <c r="F70" s="55" t="s">
        <v>1002</v>
      </c>
      <c r="G70" s="56">
        <v>0</v>
      </c>
      <c r="H70" s="49">
        <v>4</v>
      </c>
      <c r="I70" s="50">
        <f>0+1+2</f>
        <v>3</v>
      </c>
      <c r="J70" s="77">
        <f>+H70-I70</f>
        <v>1</v>
      </c>
      <c r="K70" s="31">
        <v>274</v>
      </c>
      <c r="L70" s="32">
        <v>43595</v>
      </c>
      <c r="M70" s="33">
        <v>0.21</v>
      </c>
      <c r="N70" s="64">
        <f t="shared" si="16"/>
        <v>331.53999999999996</v>
      </c>
      <c r="O70" s="68">
        <f t="shared" si="17"/>
        <v>356.2</v>
      </c>
      <c r="P70" s="68">
        <f t="shared" si="18"/>
        <v>369.9</v>
      </c>
      <c r="Q70" s="68">
        <f t="shared" si="19"/>
        <v>383.6</v>
      </c>
      <c r="R70" s="11">
        <f t="shared" si="20"/>
        <v>397.3</v>
      </c>
      <c r="S70" s="11">
        <f>ROUND(K70*(1+$S$3),2)</f>
        <v>411</v>
      </c>
      <c r="T70" s="11">
        <f t="shared" si="22"/>
        <v>438.4</v>
      </c>
      <c r="U70" s="38">
        <f t="shared" si="25"/>
        <v>447.58</v>
      </c>
      <c r="V70" s="38">
        <f t="shared" si="26"/>
        <v>464.16</v>
      </c>
      <c r="W70" s="38">
        <f t="shared" si="27"/>
        <v>480.73</v>
      </c>
      <c r="X70" s="38">
        <f t="shared" si="28"/>
        <v>497.31</v>
      </c>
      <c r="Z70" s="4">
        <f t="shared" si="23"/>
        <v>274</v>
      </c>
      <c r="AA70" s="4">
        <f t="shared" si="24"/>
        <v>331.53999999999996</v>
      </c>
    </row>
    <row r="71" spans="1:27" x14ac:dyDescent="0.3">
      <c r="A71" s="135"/>
      <c r="B71" s="125"/>
      <c r="C71" s="3" t="s">
        <v>1342</v>
      </c>
      <c r="D71" s="55" t="s">
        <v>606</v>
      </c>
      <c r="E71" s="55" t="s">
        <v>70</v>
      </c>
      <c r="F71" s="55" t="s">
        <v>226</v>
      </c>
      <c r="G71" s="56">
        <v>4</v>
      </c>
      <c r="H71" s="49">
        <f>5+5+10+5+5+5+5+10+10+15+2+10+10</f>
        <v>97</v>
      </c>
      <c r="I71" s="50">
        <f>2+1+2+4+1+5+2+2+2+2+1+3+3+3+1+2+1+2+4+1+2+1+3+2+2+2+3+1+4+2+1+4+1+1+4+2+2+3+2+1+4</f>
        <v>91</v>
      </c>
      <c r="J71" s="77">
        <f>+H71-I71</f>
        <v>6</v>
      </c>
      <c r="K71" s="31">
        <v>285.94</v>
      </c>
      <c r="L71" s="32">
        <v>44230</v>
      </c>
      <c r="M71" s="33">
        <v>0.21</v>
      </c>
      <c r="N71" s="64">
        <f t="shared" si="16"/>
        <v>345.98739999999998</v>
      </c>
      <c r="O71" s="68">
        <f t="shared" si="17"/>
        <v>371.72</v>
      </c>
      <c r="P71" s="68">
        <f t="shared" si="18"/>
        <v>386.02</v>
      </c>
      <c r="Q71" s="68">
        <f t="shared" si="19"/>
        <v>400.32</v>
      </c>
      <c r="R71" s="11">
        <f t="shared" si="20"/>
        <v>414.61</v>
      </c>
      <c r="S71" s="11">
        <f>ROUND(K71*(1+$S$3),2)</f>
        <v>428.91</v>
      </c>
      <c r="T71" s="11">
        <f t="shared" si="22"/>
        <v>457.5</v>
      </c>
      <c r="U71" s="38">
        <f t="shared" si="25"/>
        <v>467.08</v>
      </c>
      <c r="V71" s="38">
        <f t="shared" si="26"/>
        <v>484.38</v>
      </c>
      <c r="W71" s="38">
        <f t="shared" si="27"/>
        <v>501.68</v>
      </c>
      <c r="X71" s="38">
        <f t="shared" si="28"/>
        <v>518.98</v>
      </c>
      <c r="Z71" s="4">
        <f t="shared" si="23"/>
        <v>1715.6399999999999</v>
      </c>
      <c r="AA71" s="4">
        <f t="shared" si="24"/>
        <v>2075.9243999999999</v>
      </c>
    </row>
    <row r="72" spans="1:27" x14ac:dyDescent="0.3">
      <c r="C72" s="5" t="s">
        <v>1591</v>
      </c>
      <c r="D72" s="55" t="s">
        <v>1592</v>
      </c>
      <c r="E72" s="55" t="s">
        <v>1593</v>
      </c>
      <c r="F72" s="55" t="s">
        <v>1594</v>
      </c>
      <c r="G72" s="56">
        <v>0</v>
      </c>
      <c r="H72" s="49">
        <v>2</v>
      </c>
      <c r="I72" s="50">
        <f>0</f>
        <v>0</v>
      </c>
      <c r="J72" s="77">
        <f>+H72-I72</f>
        <v>2</v>
      </c>
      <c r="K72" s="31">
        <v>10059</v>
      </c>
      <c r="L72" s="32">
        <v>44250</v>
      </c>
      <c r="M72" s="33">
        <v>0.21</v>
      </c>
      <c r="N72" s="64">
        <f t="shared" si="16"/>
        <v>12171.39</v>
      </c>
      <c r="O72" s="68">
        <f t="shared" si="17"/>
        <v>13076.7</v>
      </c>
      <c r="P72" s="68">
        <f t="shared" si="18"/>
        <v>13579.65</v>
      </c>
      <c r="Q72" s="68">
        <f t="shared" si="19"/>
        <v>14082.6</v>
      </c>
      <c r="R72" s="11">
        <f t="shared" si="20"/>
        <v>14585.55</v>
      </c>
      <c r="S72" s="11">
        <f>K72*(1+$S$3)</f>
        <v>15088.5</v>
      </c>
      <c r="T72" s="11">
        <f t="shared" si="22"/>
        <v>16094.4</v>
      </c>
      <c r="U72" s="38">
        <f t="shared" si="25"/>
        <v>16431.38</v>
      </c>
      <c r="V72" s="38">
        <f t="shared" si="26"/>
        <v>17039.95</v>
      </c>
      <c r="W72" s="38">
        <f t="shared" si="27"/>
        <v>17648.52</v>
      </c>
      <c r="X72" s="38">
        <f t="shared" si="28"/>
        <v>18257.09</v>
      </c>
      <c r="Z72" s="4">
        <f t="shared" si="23"/>
        <v>20118</v>
      </c>
      <c r="AA72" s="4">
        <f t="shared" si="24"/>
        <v>24342.78</v>
      </c>
    </row>
    <row r="73" spans="1:27" x14ac:dyDescent="0.3">
      <c r="C73" s="5" t="s">
        <v>225</v>
      </c>
      <c r="D73" s="91" t="s">
        <v>1349</v>
      </c>
      <c r="E73" s="55" t="s">
        <v>70</v>
      </c>
      <c r="F73" s="55" t="s">
        <v>282</v>
      </c>
      <c r="G73" s="56">
        <v>0</v>
      </c>
      <c r="H73" s="49">
        <f>4+2+2+1+2+1+1</f>
        <v>13</v>
      </c>
      <c r="I73" s="50">
        <f>1+1+1+1+1+1+1+1+1+2+1+1</f>
        <v>13</v>
      </c>
      <c r="J73" s="77">
        <f>+H73-I73</f>
        <v>0</v>
      </c>
      <c r="K73" s="31">
        <v>15841</v>
      </c>
      <c r="L73" s="32">
        <v>43903</v>
      </c>
      <c r="M73" s="46">
        <v>0.105</v>
      </c>
      <c r="N73" s="64">
        <f t="shared" si="16"/>
        <v>17504.305</v>
      </c>
      <c r="O73" s="68">
        <f t="shared" si="17"/>
        <v>20593.3</v>
      </c>
      <c r="P73" s="68">
        <f t="shared" si="18"/>
        <v>21385.35</v>
      </c>
      <c r="Q73" s="68">
        <f t="shared" si="19"/>
        <v>22177.4</v>
      </c>
      <c r="R73" s="11">
        <f t="shared" si="20"/>
        <v>22969.45</v>
      </c>
      <c r="S73" s="11">
        <f>K73*(1+$S$3)</f>
        <v>23761.5</v>
      </c>
      <c r="T73" s="11">
        <f t="shared" si="22"/>
        <v>25345.599999999999</v>
      </c>
      <c r="U73" s="38">
        <f t="shared" si="25"/>
        <v>23630.81</v>
      </c>
      <c r="V73" s="38">
        <f t="shared" si="26"/>
        <v>24506.03</v>
      </c>
      <c r="W73" s="38">
        <f t="shared" si="27"/>
        <v>25381.24</v>
      </c>
      <c r="X73" s="38">
        <f t="shared" si="28"/>
        <v>26256.46</v>
      </c>
      <c r="Z73" s="4">
        <f t="shared" si="23"/>
        <v>0</v>
      </c>
      <c r="AA73" s="4">
        <f t="shared" si="24"/>
        <v>0</v>
      </c>
    </row>
    <row r="74" spans="1:27" x14ac:dyDescent="0.3">
      <c r="A74" s="135"/>
      <c r="C74" s="5" t="s">
        <v>1221</v>
      </c>
      <c r="D74" s="55"/>
      <c r="E74" s="55" t="s">
        <v>70</v>
      </c>
      <c r="F74" s="55" t="s">
        <v>1222</v>
      </c>
      <c r="G74" s="56">
        <v>20</v>
      </c>
      <c r="H74" s="49">
        <f>9+60+10+2+10</f>
        <v>91</v>
      </c>
      <c r="I74" s="50">
        <f>2+40+1+10+10+2+16+4</f>
        <v>85</v>
      </c>
      <c r="J74" s="77">
        <f>+H74-I74</f>
        <v>6</v>
      </c>
      <c r="K74" s="31">
        <v>81.5</v>
      </c>
      <c r="L74" s="32">
        <v>44230</v>
      </c>
      <c r="M74" s="33">
        <v>0.21</v>
      </c>
      <c r="N74" s="64">
        <f t="shared" si="16"/>
        <v>98.614999999999995</v>
      </c>
      <c r="O74" s="68">
        <f t="shared" si="17"/>
        <v>105.95</v>
      </c>
      <c r="P74" s="68">
        <f t="shared" si="18"/>
        <v>110.03</v>
      </c>
      <c r="Q74" s="68">
        <f t="shared" si="19"/>
        <v>114.1</v>
      </c>
      <c r="R74" s="11">
        <f t="shared" si="20"/>
        <v>118.18</v>
      </c>
      <c r="S74" s="11"/>
      <c r="T74" s="11">
        <f t="shared" si="22"/>
        <v>130.4</v>
      </c>
      <c r="U74" s="38">
        <f t="shared" si="25"/>
        <v>133.13</v>
      </c>
      <c r="V74" s="38">
        <f t="shared" si="26"/>
        <v>138.06</v>
      </c>
      <c r="W74" s="38">
        <f t="shared" si="27"/>
        <v>142.99</v>
      </c>
      <c r="X74" s="38">
        <f t="shared" si="28"/>
        <v>147.91999999999999</v>
      </c>
      <c r="Z74" s="4">
        <f t="shared" si="23"/>
        <v>489</v>
      </c>
      <c r="AA74" s="4">
        <f t="shared" si="24"/>
        <v>591.68999999999994</v>
      </c>
    </row>
    <row r="75" spans="1:27" x14ac:dyDescent="0.3">
      <c r="A75" s="135"/>
      <c r="B75" s="125"/>
      <c r="C75" s="3" t="s">
        <v>227</v>
      </c>
      <c r="D75" s="55" t="s">
        <v>607</v>
      </c>
      <c r="E75" s="55" t="s">
        <v>723</v>
      </c>
      <c r="F75" s="55" t="s">
        <v>1222</v>
      </c>
      <c r="G75" s="56">
        <v>30</v>
      </c>
      <c r="H75" s="49">
        <f>60+30+60+30+30+60+20+60+20+60+20+10+20</f>
        <v>480</v>
      </c>
      <c r="I75" s="50">
        <f>1+358+3+2+4+4+41+5+10+2+1+4+6+10+10+1</f>
        <v>462</v>
      </c>
      <c r="J75" s="77">
        <f>+H75-I75</f>
        <v>18</v>
      </c>
      <c r="K75" s="31">
        <v>81.5</v>
      </c>
      <c r="L75" s="32">
        <v>44230</v>
      </c>
      <c r="M75" s="33">
        <v>0.21</v>
      </c>
      <c r="N75" s="64">
        <f t="shared" si="16"/>
        <v>98.614999999999995</v>
      </c>
      <c r="O75" s="68">
        <f t="shared" si="17"/>
        <v>105.95</v>
      </c>
      <c r="P75" s="68">
        <f t="shared" si="18"/>
        <v>110.03</v>
      </c>
      <c r="Q75" s="68">
        <f t="shared" si="19"/>
        <v>114.1</v>
      </c>
      <c r="R75" s="11">
        <f t="shared" si="20"/>
        <v>118.18</v>
      </c>
      <c r="S75" s="11">
        <f t="shared" ref="S75:S89" si="30">ROUND(K75*(1+$S$3),2)</f>
        <v>122.25</v>
      </c>
      <c r="T75" s="11">
        <f t="shared" si="22"/>
        <v>130.4</v>
      </c>
      <c r="U75" s="38">
        <f t="shared" si="25"/>
        <v>133.13</v>
      </c>
      <c r="V75" s="38">
        <f t="shared" si="26"/>
        <v>138.06</v>
      </c>
      <c r="W75" s="38">
        <f t="shared" si="27"/>
        <v>142.99</v>
      </c>
      <c r="X75" s="38">
        <f t="shared" si="28"/>
        <v>147.91999999999999</v>
      </c>
      <c r="Z75" s="4">
        <f t="shared" si="23"/>
        <v>1467</v>
      </c>
      <c r="AA75" s="4">
        <f t="shared" si="24"/>
        <v>1775.07</v>
      </c>
    </row>
    <row r="76" spans="1:27" x14ac:dyDescent="0.3">
      <c r="A76" s="135"/>
      <c r="B76" s="125"/>
      <c r="C76" s="3" t="s">
        <v>1455</v>
      </c>
      <c r="D76" s="55" t="s">
        <v>788</v>
      </c>
      <c r="E76" s="55" t="s">
        <v>70</v>
      </c>
      <c r="F76" s="55" t="s">
        <v>1110</v>
      </c>
      <c r="G76" s="56">
        <v>50</v>
      </c>
      <c r="H76" s="49">
        <f>20+20+50+10+20+2+40+20+20+20+2000+2000+808+1000+25</f>
        <v>6055</v>
      </c>
      <c r="I76" s="69">
        <f>3960+20+50+150+850+50+100+25+100+100+200+25+50+50</f>
        <v>5730</v>
      </c>
      <c r="J76" s="77">
        <f>+H76-I76</f>
        <v>325</v>
      </c>
      <c r="K76" s="31">
        <v>18.5</v>
      </c>
      <c r="L76" s="32">
        <v>44146</v>
      </c>
      <c r="M76" s="33">
        <v>0.21</v>
      </c>
      <c r="N76" s="64">
        <f t="shared" si="16"/>
        <v>22.384999999999998</v>
      </c>
      <c r="O76" s="68">
        <f t="shared" ref="O76:O131" si="31">ROUND(K76*(1+$O$3),2)</f>
        <v>24.05</v>
      </c>
      <c r="P76" s="68">
        <f t="shared" si="18"/>
        <v>24.98</v>
      </c>
      <c r="Q76" s="68">
        <f t="shared" si="19"/>
        <v>25.9</v>
      </c>
      <c r="R76" s="11">
        <f t="shared" si="20"/>
        <v>26.83</v>
      </c>
      <c r="S76" s="11">
        <f t="shared" si="30"/>
        <v>27.75</v>
      </c>
      <c r="T76" s="11">
        <f t="shared" si="22"/>
        <v>29.6</v>
      </c>
      <c r="U76" s="38">
        <f t="shared" si="25"/>
        <v>30.22</v>
      </c>
      <c r="V76" s="38">
        <f t="shared" si="26"/>
        <v>31.34</v>
      </c>
      <c r="W76" s="38">
        <f t="shared" si="27"/>
        <v>32.46</v>
      </c>
      <c r="X76" s="38">
        <f t="shared" si="28"/>
        <v>33.58</v>
      </c>
      <c r="Z76" s="4">
        <f t="shared" si="23"/>
        <v>6012.5</v>
      </c>
      <c r="AA76" s="4">
        <f t="shared" si="24"/>
        <v>7275.1249999999991</v>
      </c>
    </row>
    <row r="77" spans="1:27" x14ac:dyDescent="0.3">
      <c r="A77" s="135"/>
      <c r="B77" s="125"/>
      <c r="C77" s="3" t="s">
        <v>1513</v>
      </c>
      <c r="D77" s="55" t="s">
        <v>1514</v>
      </c>
      <c r="E77" s="55" t="s">
        <v>273</v>
      </c>
      <c r="F77" s="55" t="s">
        <v>273</v>
      </c>
      <c r="G77" s="56">
        <v>1000</v>
      </c>
      <c r="H77" s="49">
        <f>149+20+250+500+20+2+1000+5400+223+5400+10+50+3600+5400+5400+3600+5400+9000</f>
        <v>45424</v>
      </c>
      <c r="I77" s="50">
        <f>7864+1000+1000+25+200+10+150+1000+25+300+100+750+50+50+430+50+5000+2800+100+1000+150+100+200+100+500+1500+100+500+100+50+150+50+500+500+2000+50+50+20+100+100+500+10+1800+10+710+50+50+750+1800+300+100+50+500+100+200+500+50+100+50</f>
        <v>36354</v>
      </c>
      <c r="J77" s="77">
        <f>+H77-I77</f>
        <v>9070</v>
      </c>
      <c r="K77" s="31">
        <v>12.9</v>
      </c>
      <c r="L77" s="32">
        <v>44249</v>
      </c>
      <c r="M77" s="33">
        <v>0.21</v>
      </c>
      <c r="N77" s="64">
        <f t="shared" si="16"/>
        <v>15.609</v>
      </c>
      <c r="O77" s="68">
        <f t="shared" si="31"/>
        <v>16.77</v>
      </c>
      <c r="P77" s="68">
        <f t="shared" si="18"/>
        <v>17.420000000000002</v>
      </c>
      <c r="Q77" s="68">
        <f t="shared" si="19"/>
        <v>18.059999999999999</v>
      </c>
      <c r="R77" s="11">
        <f t="shared" si="20"/>
        <v>18.71</v>
      </c>
      <c r="S77" s="11">
        <f t="shared" si="30"/>
        <v>19.350000000000001</v>
      </c>
      <c r="T77" s="11">
        <f t="shared" si="22"/>
        <v>20.64</v>
      </c>
      <c r="U77" s="38">
        <f t="shared" si="25"/>
        <v>21.07</v>
      </c>
      <c r="V77" s="38">
        <f t="shared" si="26"/>
        <v>21.85</v>
      </c>
      <c r="W77" s="38">
        <f t="shared" si="27"/>
        <v>22.63</v>
      </c>
      <c r="X77" s="38">
        <f t="shared" si="28"/>
        <v>23.41</v>
      </c>
      <c r="Z77" s="4">
        <f t="shared" si="23"/>
        <v>117003</v>
      </c>
      <c r="AA77" s="4">
        <f t="shared" si="24"/>
        <v>141573.63</v>
      </c>
    </row>
    <row r="78" spans="1:27" x14ac:dyDescent="0.3">
      <c r="A78" s="135"/>
      <c r="B78" s="125"/>
      <c r="C78" s="3" t="s">
        <v>1589</v>
      </c>
      <c r="D78" s="55"/>
      <c r="E78" s="55"/>
      <c r="F78" s="55" t="s">
        <v>266</v>
      </c>
      <c r="G78" s="56">
        <v>0</v>
      </c>
      <c r="H78" s="49">
        <f>20+50</f>
        <v>70</v>
      </c>
      <c r="I78" s="50">
        <f>10+1+9+10</f>
        <v>30</v>
      </c>
      <c r="J78" s="77">
        <f>+H78-I78</f>
        <v>40</v>
      </c>
      <c r="K78" s="31">
        <v>164.3</v>
      </c>
      <c r="L78" s="32">
        <v>44236</v>
      </c>
      <c r="M78" s="33">
        <v>0.21</v>
      </c>
      <c r="N78" s="64">
        <f t="shared" si="16"/>
        <v>198.803</v>
      </c>
      <c r="O78" s="68">
        <f t="shared" si="31"/>
        <v>213.59</v>
      </c>
      <c r="P78" s="68">
        <f t="shared" si="18"/>
        <v>221.81</v>
      </c>
      <c r="Q78" s="68">
        <f t="shared" si="19"/>
        <v>230.02</v>
      </c>
      <c r="R78" s="11">
        <f t="shared" si="20"/>
        <v>238.24</v>
      </c>
      <c r="S78" s="11"/>
      <c r="T78" s="11">
        <f t="shared" si="22"/>
        <v>262.88</v>
      </c>
      <c r="U78" s="38">
        <f t="shared" si="25"/>
        <v>268.38</v>
      </c>
      <c r="V78" s="38">
        <f t="shared" si="26"/>
        <v>278.32</v>
      </c>
      <c r="W78" s="38">
        <f t="shared" si="27"/>
        <v>288.26</v>
      </c>
      <c r="X78" s="38">
        <f t="shared" si="28"/>
        <v>298.2</v>
      </c>
      <c r="Z78" s="4">
        <f t="shared" si="23"/>
        <v>6572</v>
      </c>
      <c r="AA78" s="4">
        <f t="shared" si="24"/>
        <v>7952.12</v>
      </c>
    </row>
    <row r="79" spans="1:27" x14ac:dyDescent="0.3">
      <c r="A79" s="135"/>
      <c r="B79" s="125"/>
      <c r="C79" s="3" t="s">
        <v>1532</v>
      </c>
      <c r="D79" s="55"/>
      <c r="E79" s="55" t="s">
        <v>1473</v>
      </c>
      <c r="F79" s="55" t="s">
        <v>266</v>
      </c>
      <c r="G79" s="56">
        <v>0</v>
      </c>
      <c r="H79" s="49">
        <f>170+100+50+4</f>
        <v>324</v>
      </c>
      <c r="I79" s="50">
        <f>16+1+3+25+2+23+100+3+50+30+1+10+2+1+50</f>
        <v>317</v>
      </c>
      <c r="J79" s="77">
        <f>+H79-I79</f>
        <v>7</v>
      </c>
      <c r="K79" s="31">
        <v>224.03</v>
      </c>
      <c r="L79" s="32">
        <v>44230</v>
      </c>
      <c r="M79" s="33">
        <v>0.21</v>
      </c>
      <c r="N79" s="64">
        <f>+K79*(1+M79)</f>
        <v>271.0763</v>
      </c>
      <c r="O79" s="68">
        <f t="shared" si="31"/>
        <v>291.24</v>
      </c>
      <c r="P79" s="68">
        <f t="shared" si="18"/>
        <v>302.44</v>
      </c>
      <c r="Q79" s="68">
        <f t="shared" si="19"/>
        <v>313.64</v>
      </c>
      <c r="R79" s="11">
        <f t="shared" si="20"/>
        <v>324.83999999999997</v>
      </c>
      <c r="S79" s="11">
        <f t="shared" si="30"/>
        <v>336.05</v>
      </c>
      <c r="T79" s="11">
        <f t="shared" si="22"/>
        <v>358.45</v>
      </c>
      <c r="U79" s="38">
        <f t="shared" si="25"/>
        <v>365.95</v>
      </c>
      <c r="V79" s="38">
        <f t="shared" si="26"/>
        <v>379.51</v>
      </c>
      <c r="W79" s="38">
        <f t="shared" si="27"/>
        <v>393.06</v>
      </c>
      <c r="X79" s="38">
        <f t="shared" si="28"/>
        <v>406.61</v>
      </c>
      <c r="Z79" s="4">
        <f t="shared" si="23"/>
        <v>1568.21</v>
      </c>
      <c r="AA79" s="4">
        <f t="shared" si="24"/>
        <v>1897.5341000000001</v>
      </c>
    </row>
    <row r="80" spans="1:27" x14ac:dyDescent="0.3">
      <c r="A80" s="140"/>
      <c r="B80" s="125"/>
      <c r="C80" s="3" t="s">
        <v>850</v>
      </c>
      <c r="D80" s="55" t="s">
        <v>851</v>
      </c>
      <c r="E80" s="55" t="s">
        <v>155</v>
      </c>
      <c r="F80" s="55" t="s">
        <v>266</v>
      </c>
      <c r="G80" s="56">
        <v>0</v>
      </c>
      <c r="H80" s="49">
        <f>170+41+10+100</f>
        <v>321</v>
      </c>
      <c r="I80" s="50">
        <f>50+50+10+20+75+16+10+10+6+6+2+4+4+45+2</f>
        <v>310</v>
      </c>
      <c r="J80" s="77">
        <f>+H80-I80</f>
        <v>11</v>
      </c>
      <c r="K80" s="31">
        <v>100</v>
      </c>
      <c r="L80" s="32">
        <v>43966</v>
      </c>
      <c r="M80" s="33">
        <v>0.21</v>
      </c>
      <c r="N80" s="64">
        <f t="shared" ref="N80:N84" si="32">+K80*(1+M80)</f>
        <v>121</v>
      </c>
      <c r="O80" s="68">
        <f t="shared" ref="O80:O84" si="33">ROUND(K80*(1+$O$3),2)</f>
        <v>130</v>
      </c>
      <c r="P80" s="68">
        <f t="shared" ref="P80:P84" si="34">ROUND(K80*(1+$P$3),2)</f>
        <v>135</v>
      </c>
      <c r="Q80" s="68">
        <f t="shared" ref="Q80:Q84" si="35">ROUND(K80*(1+$Q$3),2)</f>
        <v>140</v>
      </c>
      <c r="R80" s="11">
        <f t="shared" ref="R80:R84" si="36">ROUND(K80*(1+$R$3),2)</f>
        <v>145</v>
      </c>
      <c r="S80" s="11">
        <f t="shared" ref="S80:S84" si="37">ROUND(K80*(1+$S$3),2)</f>
        <v>150</v>
      </c>
      <c r="T80" s="11">
        <f t="shared" ref="T80:T84" si="38">ROUND(K80*(1+$T$3),2)</f>
        <v>160</v>
      </c>
      <c r="U80" s="38">
        <f t="shared" ref="U80:U84" si="39">ROUND((N80*(1+$U$3)),2)</f>
        <v>163.35</v>
      </c>
      <c r="V80" s="38">
        <f t="shared" ref="V80:V84" si="40">ROUND((N80*(1+$V$3)),2)</f>
        <v>169.4</v>
      </c>
      <c r="W80" s="38">
        <f t="shared" ref="W80:W84" si="41">ROUND((N80*(1+$W$3)),2)</f>
        <v>175.45</v>
      </c>
      <c r="X80" s="38">
        <f t="shared" ref="X80:X84" si="42">ROUND((N80*(1+$X$3)),2)</f>
        <v>181.5</v>
      </c>
      <c r="Z80" s="4">
        <f t="shared" ref="Z80:Z84" si="43">J80*K80</f>
        <v>1100</v>
      </c>
      <c r="AA80" s="4">
        <f t="shared" ref="AA80:AA84" si="44">J80*N80</f>
        <v>1331</v>
      </c>
    </row>
    <row r="81" spans="1:27" x14ac:dyDescent="0.3">
      <c r="C81" s="3" t="s">
        <v>1098</v>
      </c>
      <c r="D81" s="55" t="s">
        <v>1099</v>
      </c>
      <c r="E81" s="55" t="s">
        <v>34</v>
      </c>
      <c r="F81" s="55" t="s">
        <v>265</v>
      </c>
      <c r="G81" s="56">
        <v>2</v>
      </c>
      <c r="H81" s="49">
        <f>2+1+1</f>
        <v>4</v>
      </c>
      <c r="I81" s="50">
        <f>1+1+1+1</f>
        <v>4</v>
      </c>
      <c r="J81" s="77">
        <f>+H81-I81</f>
        <v>0</v>
      </c>
      <c r="K81" s="31">
        <v>960</v>
      </c>
      <c r="L81" s="32">
        <v>43966</v>
      </c>
      <c r="M81" s="33">
        <v>0.21</v>
      </c>
      <c r="N81" s="64">
        <f t="shared" si="32"/>
        <v>1161.5999999999999</v>
      </c>
      <c r="O81" s="68">
        <f t="shared" si="33"/>
        <v>1248</v>
      </c>
      <c r="P81" s="68">
        <f t="shared" si="34"/>
        <v>1296</v>
      </c>
      <c r="Q81" s="68">
        <f t="shared" si="35"/>
        <v>1344</v>
      </c>
      <c r="R81" s="11">
        <f t="shared" si="36"/>
        <v>1392</v>
      </c>
      <c r="S81" s="11">
        <f t="shared" si="37"/>
        <v>1440</v>
      </c>
      <c r="T81" s="11">
        <f t="shared" si="38"/>
        <v>1536</v>
      </c>
      <c r="U81" s="38">
        <f t="shared" si="39"/>
        <v>1568.16</v>
      </c>
      <c r="V81" s="38">
        <f t="shared" si="40"/>
        <v>1626.24</v>
      </c>
      <c r="W81" s="38">
        <f t="shared" si="41"/>
        <v>1684.32</v>
      </c>
      <c r="X81" s="38">
        <f t="shared" si="42"/>
        <v>1742.4</v>
      </c>
      <c r="Z81" s="4">
        <f t="shared" si="43"/>
        <v>0</v>
      </c>
      <c r="AA81" s="4">
        <f t="shared" si="44"/>
        <v>0</v>
      </c>
    </row>
    <row r="82" spans="1:27" x14ac:dyDescent="0.3">
      <c r="C82" s="3" t="s">
        <v>1100</v>
      </c>
      <c r="D82" s="55" t="s">
        <v>1101</v>
      </c>
      <c r="E82" s="55" t="s">
        <v>34</v>
      </c>
      <c r="F82" s="55"/>
      <c r="G82" s="56">
        <v>2</v>
      </c>
      <c r="H82" s="49">
        <f>1+1+1</f>
        <v>3</v>
      </c>
      <c r="I82" s="50">
        <f>1+1</f>
        <v>2</v>
      </c>
      <c r="J82" s="77">
        <f>+H82-I82</f>
        <v>1</v>
      </c>
      <c r="K82" s="31">
        <v>960</v>
      </c>
      <c r="L82" s="32">
        <v>43966</v>
      </c>
      <c r="M82" s="33">
        <v>0.21</v>
      </c>
      <c r="N82" s="64">
        <f t="shared" si="32"/>
        <v>1161.5999999999999</v>
      </c>
      <c r="O82" s="68">
        <f t="shared" si="33"/>
        <v>1248</v>
      </c>
      <c r="P82" s="68">
        <f t="shared" si="34"/>
        <v>1296</v>
      </c>
      <c r="Q82" s="68">
        <f t="shared" si="35"/>
        <v>1344</v>
      </c>
      <c r="R82" s="11">
        <f t="shared" si="36"/>
        <v>1392</v>
      </c>
      <c r="S82" s="11">
        <f t="shared" si="37"/>
        <v>1440</v>
      </c>
      <c r="T82" s="11">
        <f t="shared" si="38"/>
        <v>1536</v>
      </c>
      <c r="U82" s="38">
        <f t="shared" si="39"/>
        <v>1568.16</v>
      </c>
      <c r="V82" s="38">
        <f t="shared" si="40"/>
        <v>1626.24</v>
      </c>
      <c r="W82" s="38">
        <f t="shared" si="41"/>
        <v>1684.32</v>
      </c>
      <c r="X82" s="38">
        <f t="shared" si="42"/>
        <v>1742.4</v>
      </c>
      <c r="Z82" s="4">
        <f t="shared" si="43"/>
        <v>960</v>
      </c>
      <c r="AA82" s="4">
        <f t="shared" si="44"/>
        <v>1161.5999999999999</v>
      </c>
    </row>
    <row r="83" spans="1:27" x14ac:dyDescent="0.3">
      <c r="C83" s="3" t="s">
        <v>1162</v>
      </c>
      <c r="D83" s="55" t="s">
        <v>1163</v>
      </c>
      <c r="E83" s="55" t="s">
        <v>34</v>
      </c>
      <c r="F83" s="55"/>
      <c r="G83" s="56">
        <v>2</v>
      </c>
      <c r="H83" s="49">
        <v>3</v>
      </c>
      <c r="I83" s="50">
        <f>1+1+1</f>
        <v>3</v>
      </c>
      <c r="J83" s="77">
        <f>+H83-I83</f>
        <v>0</v>
      </c>
      <c r="K83" s="31">
        <v>1200</v>
      </c>
      <c r="L83" s="32">
        <v>43966</v>
      </c>
      <c r="M83" s="33">
        <v>0.21</v>
      </c>
      <c r="N83" s="64">
        <f t="shared" si="32"/>
        <v>1452</v>
      </c>
      <c r="O83" s="68">
        <f t="shared" si="33"/>
        <v>1560</v>
      </c>
      <c r="P83" s="68">
        <f t="shared" si="34"/>
        <v>1620</v>
      </c>
      <c r="Q83" s="68">
        <f t="shared" si="35"/>
        <v>1680</v>
      </c>
      <c r="R83" s="11">
        <f t="shared" si="36"/>
        <v>1740</v>
      </c>
      <c r="S83" s="11">
        <f t="shared" si="37"/>
        <v>1800</v>
      </c>
      <c r="T83" s="11">
        <f t="shared" si="38"/>
        <v>1920</v>
      </c>
      <c r="U83" s="38">
        <f t="shared" si="39"/>
        <v>1960.2</v>
      </c>
      <c r="V83" s="38">
        <f t="shared" si="40"/>
        <v>2032.8</v>
      </c>
      <c r="W83" s="38">
        <f t="shared" si="41"/>
        <v>2105.4</v>
      </c>
      <c r="X83" s="38">
        <f t="shared" si="42"/>
        <v>2178</v>
      </c>
      <c r="Z83" s="4">
        <f t="shared" si="43"/>
        <v>0</v>
      </c>
      <c r="AA83" s="4">
        <f t="shared" si="44"/>
        <v>0</v>
      </c>
    </row>
    <row r="84" spans="1:27" x14ac:dyDescent="0.3">
      <c r="C84" s="3" t="s">
        <v>799</v>
      </c>
      <c r="D84" s="55" t="s">
        <v>1416</v>
      </c>
      <c r="E84" s="55" t="s">
        <v>829</v>
      </c>
      <c r="F84" s="55" t="s">
        <v>1121</v>
      </c>
      <c r="G84" s="56">
        <v>2</v>
      </c>
      <c r="H84" s="49">
        <f>2+3+1+4</f>
        <v>10</v>
      </c>
      <c r="I84" s="50">
        <f>1+1+1+1+1+1+1</f>
        <v>7</v>
      </c>
      <c r="J84" s="77">
        <f>+H84-I84</f>
        <v>3</v>
      </c>
      <c r="K84" s="31">
        <v>960</v>
      </c>
      <c r="L84" s="32">
        <v>43966</v>
      </c>
      <c r="M84" s="33">
        <v>0.21</v>
      </c>
      <c r="N84" s="64">
        <f t="shared" si="32"/>
        <v>1161.5999999999999</v>
      </c>
      <c r="O84" s="68">
        <f t="shared" si="33"/>
        <v>1248</v>
      </c>
      <c r="P84" s="68">
        <f t="shared" si="34"/>
        <v>1296</v>
      </c>
      <c r="Q84" s="68">
        <f t="shared" si="35"/>
        <v>1344</v>
      </c>
      <c r="R84" s="11">
        <f t="shared" si="36"/>
        <v>1392</v>
      </c>
      <c r="S84" s="11">
        <f t="shared" si="37"/>
        <v>1440</v>
      </c>
      <c r="T84" s="11">
        <f t="shared" si="38"/>
        <v>1536</v>
      </c>
      <c r="U84" s="38">
        <f t="shared" si="39"/>
        <v>1568.16</v>
      </c>
      <c r="V84" s="38">
        <f t="shared" si="40"/>
        <v>1626.24</v>
      </c>
      <c r="W84" s="38">
        <f t="shared" si="41"/>
        <v>1684.32</v>
      </c>
      <c r="X84" s="38">
        <f t="shared" si="42"/>
        <v>1742.4</v>
      </c>
      <c r="Z84" s="4">
        <f t="shared" si="43"/>
        <v>2880</v>
      </c>
      <c r="AA84" s="4">
        <f t="shared" si="44"/>
        <v>3484.7999999999997</v>
      </c>
    </row>
    <row r="85" spans="1:27" x14ac:dyDescent="0.3">
      <c r="C85" s="3" t="s">
        <v>744</v>
      </c>
      <c r="D85" s="55" t="s">
        <v>1417</v>
      </c>
      <c r="E85" s="55" t="s">
        <v>829</v>
      </c>
      <c r="F85" s="55"/>
      <c r="G85" s="56">
        <v>4</v>
      </c>
      <c r="H85" s="49">
        <f>5+4+2</f>
        <v>11</v>
      </c>
      <c r="I85" s="50">
        <f>1+2+2</f>
        <v>5</v>
      </c>
      <c r="J85" s="77">
        <f>+H85-I85</f>
        <v>6</v>
      </c>
      <c r="K85" s="31">
        <v>960</v>
      </c>
      <c r="L85" s="32">
        <v>43966</v>
      </c>
      <c r="M85" s="33">
        <v>0.21</v>
      </c>
      <c r="N85" s="64">
        <f t="shared" si="16"/>
        <v>1161.5999999999999</v>
      </c>
      <c r="O85" s="68">
        <f t="shared" si="31"/>
        <v>1248</v>
      </c>
      <c r="P85" s="68">
        <f t="shared" si="18"/>
        <v>1296</v>
      </c>
      <c r="Q85" s="68">
        <f t="shared" si="19"/>
        <v>1344</v>
      </c>
      <c r="R85" s="11">
        <f t="shared" si="20"/>
        <v>1392</v>
      </c>
      <c r="S85" s="11">
        <f t="shared" si="30"/>
        <v>1440</v>
      </c>
      <c r="T85" s="11">
        <f t="shared" si="22"/>
        <v>1536</v>
      </c>
      <c r="U85" s="38">
        <f t="shared" si="25"/>
        <v>1568.16</v>
      </c>
      <c r="V85" s="38">
        <f t="shared" si="26"/>
        <v>1626.24</v>
      </c>
      <c r="W85" s="38">
        <f t="shared" si="27"/>
        <v>1684.32</v>
      </c>
      <c r="X85" s="38">
        <f t="shared" si="28"/>
        <v>1742.4</v>
      </c>
      <c r="Z85" s="4">
        <f t="shared" si="23"/>
        <v>5760</v>
      </c>
      <c r="AA85" s="4">
        <f t="shared" si="24"/>
        <v>6969.5999999999995</v>
      </c>
    </row>
    <row r="86" spans="1:27" x14ac:dyDescent="0.3">
      <c r="B86" s="125"/>
      <c r="C86" s="3" t="s">
        <v>745</v>
      </c>
      <c r="D86" s="55"/>
      <c r="E86" s="55"/>
      <c r="F86" s="55"/>
      <c r="G86" s="56">
        <v>0</v>
      </c>
      <c r="H86" s="49">
        <f>7</f>
        <v>7</v>
      </c>
      <c r="I86" s="50">
        <f>1</f>
        <v>1</v>
      </c>
      <c r="J86" s="77">
        <f>+H86-I86</f>
        <v>6</v>
      </c>
      <c r="K86" s="31">
        <v>691.81</v>
      </c>
      <c r="L86" s="32">
        <v>43854</v>
      </c>
      <c r="M86" s="33">
        <v>0.21</v>
      </c>
      <c r="N86" s="64">
        <f t="shared" si="16"/>
        <v>837.09009999999989</v>
      </c>
      <c r="O86" s="68">
        <f t="shared" si="31"/>
        <v>899.35</v>
      </c>
      <c r="P86" s="68">
        <f t="shared" si="18"/>
        <v>933.94</v>
      </c>
      <c r="Q86" s="68">
        <f t="shared" si="19"/>
        <v>968.53</v>
      </c>
      <c r="R86" s="11">
        <f t="shared" si="20"/>
        <v>1003.12</v>
      </c>
      <c r="S86" s="11">
        <f t="shared" si="30"/>
        <v>1037.72</v>
      </c>
      <c r="T86" s="11">
        <f t="shared" si="22"/>
        <v>1106.9000000000001</v>
      </c>
      <c r="U86" s="38">
        <f t="shared" si="25"/>
        <v>1130.07</v>
      </c>
      <c r="V86" s="38">
        <f t="shared" si="26"/>
        <v>1171.93</v>
      </c>
      <c r="W86" s="38">
        <f t="shared" si="27"/>
        <v>1213.78</v>
      </c>
      <c r="X86" s="38">
        <f t="shared" si="28"/>
        <v>1255.6400000000001</v>
      </c>
      <c r="Z86" s="4">
        <f t="shared" si="23"/>
        <v>4150.8599999999997</v>
      </c>
      <c r="AA86" s="4">
        <f t="shared" si="24"/>
        <v>5022.5405999999994</v>
      </c>
    </row>
    <row r="87" spans="1:27" x14ac:dyDescent="0.3">
      <c r="C87" s="3" t="s">
        <v>945</v>
      </c>
      <c r="D87" s="55"/>
      <c r="E87" s="55"/>
      <c r="F87" s="55" t="s">
        <v>925</v>
      </c>
      <c r="G87" s="56">
        <v>1</v>
      </c>
      <c r="H87" s="49">
        <f>1</f>
        <v>1</v>
      </c>
      <c r="I87" s="50">
        <f>0</f>
        <v>0</v>
      </c>
      <c r="J87" s="77">
        <f>+H87-I87</f>
        <v>1</v>
      </c>
      <c r="K87" s="31">
        <v>70000</v>
      </c>
      <c r="L87" s="32">
        <v>43122</v>
      </c>
      <c r="M87" s="46">
        <v>0.105</v>
      </c>
      <c r="N87" s="64">
        <f t="shared" si="16"/>
        <v>77350</v>
      </c>
      <c r="O87" s="68">
        <f t="shared" si="31"/>
        <v>91000</v>
      </c>
      <c r="P87" s="68">
        <f t="shared" si="18"/>
        <v>94500</v>
      </c>
      <c r="Q87" s="68">
        <f t="shared" si="19"/>
        <v>98000</v>
      </c>
      <c r="R87" s="11">
        <f t="shared" si="20"/>
        <v>101500</v>
      </c>
      <c r="S87" s="11">
        <f t="shared" si="30"/>
        <v>105000</v>
      </c>
      <c r="T87" s="11">
        <f t="shared" si="22"/>
        <v>112000</v>
      </c>
      <c r="U87" s="38">
        <f t="shared" si="25"/>
        <v>104422.5</v>
      </c>
      <c r="V87" s="38">
        <f t="shared" si="26"/>
        <v>108290</v>
      </c>
      <c r="W87" s="38">
        <f t="shared" si="27"/>
        <v>112157.5</v>
      </c>
      <c r="X87" s="38">
        <f t="shared" si="28"/>
        <v>116025</v>
      </c>
      <c r="Z87" s="4">
        <f t="shared" si="23"/>
        <v>70000</v>
      </c>
      <c r="AA87" s="4">
        <f t="shared" si="24"/>
        <v>77350</v>
      </c>
    </row>
    <row r="88" spans="1:27" x14ac:dyDescent="0.3">
      <c r="C88" s="3" t="s">
        <v>1030</v>
      </c>
      <c r="D88" s="55"/>
      <c r="E88" s="55" t="s">
        <v>924</v>
      </c>
      <c r="F88" s="55" t="s">
        <v>925</v>
      </c>
      <c r="G88" s="56"/>
      <c r="H88" s="49">
        <f>2+1+1</f>
        <v>4</v>
      </c>
      <c r="I88" s="50">
        <f>0</f>
        <v>0</v>
      </c>
      <c r="J88" s="77">
        <f>+H88-I88</f>
        <v>4</v>
      </c>
      <c r="K88" s="31">
        <v>60000</v>
      </c>
      <c r="L88" s="32">
        <v>43122</v>
      </c>
      <c r="M88" s="46">
        <v>0.105</v>
      </c>
      <c r="N88" s="64">
        <f t="shared" si="16"/>
        <v>66300</v>
      </c>
      <c r="O88" s="68">
        <f t="shared" si="31"/>
        <v>78000</v>
      </c>
      <c r="P88" s="68">
        <f t="shared" si="18"/>
        <v>81000</v>
      </c>
      <c r="Q88" s="68">
        <f t="shared" si="19"/>
        <v>84000</v>
      </c>
      <c r="R88" s="11">
        <f t="shared" si="20"/>
        <v>87000</v>
      </c>
      <c r="S88" s="11">
        <f t="shared" si="30"/>
        <v>90000</v>
      </c>
      <c r="T88" s="11">
        <f t="shared" si="22"/>
        <v>96000</v>
      </c>
      <c r="U88" s="38">
        <f t="shared" si="25"/>
        <v>89505</v>
      </c>
      <c r="V88" s="38">
        <f t="shared" si="26"/>
        <v>92820</v>
      </c>
      <c r="W88" s="38">
        <f t="shared" si="27"/>
        <v>96135</v>
      </c>
      <c r="X88" s="38">
        <f t="shared" si="28"/>
        <v>99450</v>
      </c>
      <c r="Z88" s="4">
        <f t="shared" si="23"/>
        <v>240000</v>
      </c>
      <c r="AA88" s="4">
        <f t="shared" si="24"/>
        <v>265200</v>
      </c>
    </row>
    <row r="89" spans="1:27" x14ac:dyDescent="0.3">
      <c r="C89" s="3" t="s">
        <v>844</v>
      </c>
      <c r="D89" s="55" t="s">
        <v>944</v>
      </c>
      <c r="E89" s="55"/>
      <c r="F89" s="55" t="s">
        <v>925</v>
      </c>
      <c r="G89" s="56"/>
      <c r="H89" s="49">
        <f>1+1</f>
        <v>2</v>
      </c>
      <c r="I89" s="50">
        <f>0</f>
        <v>0</v>
      </c>
      <c r="J89" s="77">
        <f>+H89-I89</f>
        <v>2</v>
      </c>
      <c r="K89" s="31">
        <v>60000</v>
      </c>
      <c r="L89" s="32">
        <v>43122</v>
      </c>
      <c r="M89" s="46">
        <v>0.105</v>
      </c>
      <c r="N89" s="64">
        <f t="shared" si="16"/>
        <v>66300</v>
      </c>
      <c r="O89" s="68">
        <f t="shared" si="31"/>
        <v>78000</v>
      </c>
      <c r="P89" s="68">
        <f t="shared" si="18"/>
        <v>81000</v>
      </c>
      <c r="Q89" s="68">
        <f t="shared" si="19"/>
        <v>84000</v>
      </c>
      <c r="R89" s="11">
        <f t="shared" si="20"/>
        <v>87000</v>
      </c>
      <c r="S89" s="11">
        <f t="shared" si="30"/>
        <v>90000</v>
      </c>
      <c r="T89" s="11">
        <f t="shared" si="22"/>
        <v>96000</v>
      </c>
      <c r="U89" s="38">
        <f t="shared" si="25"/>
        <v>89505</v>
      </c>
      <c r="V89" s="38">
        <f t="shared" si="26"/>
        <v>92820</v>
      </c>
      <c r="W89" s="38">
        <f t="shared" si="27"/>
        <v>96135</v>
      </c>
      <c r="X89" s="38">
        <f t="shared" si="28"/>
        <v>99450</v>
      </c>
      <c r="Z89" s="4">
        <f t="shared" si="23"/>
        <v>120000</v>
      </c>
      <c r="AA89" s="4">
        <f t="shared" si="24"/>
        <v>132600</v>
      </c>
    </row>
    <row r="90" spans="1:27" x14ac:dyDescent="0.3">
      <c r="C90" s="3" t="s">
        <v>844</v>
      </c>
      <c r="D90" s="55"/>
      <c r="E90" s="55"/>
      <c r="F90" s="55" t="s">
        <v>260</v>
      </c>
      <c r="G90" s="56"/>
      <c r="H90" s="49">
        <f>2</f>
        <v>2</v>
      </c>
      <c r="I90" s="50">
        <f>1</f>
        <v>1</v>
      </c>
      <c r="J90" s="77">
        <f>+H90-I90</f>
        <v>1</v>
      </c>
      <c r="K90" s="31">
        <v>60000</v>
      </c>
      <c r="L90" s="32">
        <v>43122</v>
      </c>
      <c r="M90" s="46">
        <v>0.105</v>
      </c>
      <c r="N90" s="64">
        <f t="shared" si="16"/>
        <v>66300</v>
      </c>
      <c r="O90" s="68">
        <f t="shared" si="31"/>
        <v>78000</v>
      </c>
      <c r="P90" s="68">
        <f t="shared" si="18"/>
        <v>81000</v>
      </c>
      <c r="Q90" s="68">
        <f t="shared" si="19"/>
        <v>84000</v>
      </c>
      <c r="R90" s="11">
        <f t="shared" si="20"/>
        <v>87000</v>
      </c>
      <c r="S90" s="11">
        <f>K90*(1+$S$3)</f>
        <v>90000</v>
      </c>
      <c r="T90" s="11">
        <f t="shared" si="22"/>
        <v>96000</v>
      </c>
      <c r="U90" s="38">
        <f t="shared" si="25"/>
        <v>89505</v>
      </c>
      <c r="V90" s="38">
        <f t="shared" si="26"/>
        <v>92820</v>
      </c>
      <c r="W90" s="38">
        <f t="shared" si="27"/>
        <v>96135</v>
      </c>
      <c r="X90" s="38">
        <f t="shared" si="28"/>
        <v>99450</v>
      </c>
      <c r="Z90" s="4">
        <f t="shared" si="23"/>
        <v>60000</v>
      </c>
      <c r="AA90" s="4">
        <f t="shared" si="24"/>
        <v>66300</v>
      </c>
    </row>
    <row r="91" spans="1:27" x14ac:dyDescent="0.3">
      <c r="A91" s="135"/>
      <c r="B91" s="125"/>
      <c r="C91" s="3" t="s">
        <v>915</v>
      </c>
      <c r="D91" s="55" t="s">
        <v>916</v>
      </c>
      <c r="E91" s="55" t="s">
        <v>70</v>
      </c>
      <c r="F91" s="55" t="s">
        <v>1029</v>
      </c>
      <c r="G91" s="56">
        <v>5</v>
      </c>
      <c r="H91" s="49">
        <f>5+5+5+1</f>
        <v>16</v>
      </c>
      <c r="I91" s="50">
        <f>1+3+1+1+4</f>
        <v>10</v>
      </c>
      <c r="J91" s="77">
        <f>+H91-I91</f>
        <v>6</v>
      </c>
      <c r="K91" s="31">
        <v>351.7</v>
      </c>
      <c r="L91" s="32">
        <v>44146</v>
      </c>
      <c r="M91" s="33">
        <v>0.21</v>
      </c>
      <c r="N91" s="64">
        <f t="shared" si="16"/>
        <v>425.55699999999996</v>
      </c>
      <c r="O91" s="68">
        <f t="shared" si="31"/>
        <v>457.21</v>
      </c>
      <c r="P91" s="68">
        <f t="shared" si="18"/>
        <v>474.8</v>
      </c>
      <c r="Q91" s="68">
        <f t="shared" si="19"/>
        <v>492.38</v>
      </c>
      <c r="R91" s="11">
        <f t="shared" si="20"/>
        <v>509.97</v>
      </c>
      <c r="S91" s="11"/>
      <c r="T91" s="11">
        <f t="shared" si="22"/>
        <v>562.72</v>
      </c>
      <c r="U91" s="38">
        <f t="shared" si="25"/>
        <v>574.5</v>
      </c>
      <c r="V91" s="38">
        <f t="shared" si="26"/>
        <v>595.78</v>
      </c>
      <c r="W91" s="38">
        <f t="shared" si="27"/>
        <v>617.05999999999995</v>
      </c>
      <c r="X91" s="38">
        <f t="shared" si="28"/>
        <v>638.34</v>
      </c>
      <c r="Z91" s="4">
        <f t="shared" si="23"/>
        <v>2110.1999999999998</v>
      </c>
      <c r="AA91" s="4">
        <f t="shared" si="24"/>
        <v>2553.3419999999996</v>
      </c>
    </row>
    <row r="92" spans="1:27" x14ac:dyDescent="0.3">
      <c r="A92" s="135"/>
      <c r="B92" s="125"/>
      <c r="C92" s="3" t="s">
        <v>113</v>
      </c>
      <c r="D92" s="55" t="s">
        <v>552</v>
      </c>
      <c r="E92" s="55" t="s">
        <v>70</v>
      </c>
      <c r="F92" s="55" t="s">
        <v>249</v>
      </c>
      <c r="G92" s="56">
        <v>5</v>
      </c>
      <c r="H92" s="49">
        <v>5</v>
      </c>
      <c r="I92" s="50">
        <f>2</f>
        <v>2</v>
      </c>
      <c r="J92" s="77">
        <f>+H92-I92</f>
        <v>3</v>
      </c>
      <c r="K92" s="31">
        <v>351.7</v>
      </c>
      <c r="L92" s="32">
        <v>44146</v>
      </c>
      <c r="M92" s="33">
        <v>0.21</v>
      </c>
      <c r="N92" s="64">
        <f t="shared" si="16"/>
        <v>425.55699999999996</v>
      </c>
      <c r="O92" s="68">
        <f t="shared" si="31"/>
        <v>457.21</v>
      </c>
      <c r="P92" s="68">
        <f t="shared" si="18"/>
        <v>474.8</v>
      </c>
      <c r="Q92" s="68">
        <f t="shared" si="19"/>
        <v>492.38</v>
      </c>
      <c r="R92" s="11">
        <f t="shared" si="20"/>
        <v>509.97</v>
      </c>
      <c r="S92" s="11">
        <f t="shared" ref="S92:S99" si="45">ROUND(K92*(1+$S$3),2)</f>
        <v>527.54999999999995</v>
      </c>
      <c r="T92" s="11">
        <f t="shared" si="22"/>
        <v>562.72</v>
      </c>
      <c r="U92" s="38">
        <f t="shared" si="25"/>
        <v>574.5</v>
      </c>
      <c r="V92" s="38">
        <f t="shared" si="26"/>
        <v>595.78</v>
      </c>
      <c r="W92" s="38">
        <f t="shared" si="27"/>
        <v>617.05999999999995</v>
      </c>
      <c r="X92" s="38">
        <f t="shared" si="28"/>
        <v>638.34</v>
      </c>
      <c r="Z92" s="4">
        <f t="shared" si="23"/>
        <v>1055.0999999999999</v>
      </c>
      <c r="AA92" s="4">
        <f t="shared" si="24"/>
        <v>1276.6709999999998</v>
      </c>
    </row>
    <row r="93" spans="1:27" x14ac:dyDescent="0.3">
      <c r="A93" s="135"/>
      <c r="B93" s="125"/>
      <c r="C93" s="3" t="s">
        <v>114</v>
      </c>
      <c r="D93" s="55" t="s">
        <v>569</v>
      </c>
      <c r="E93" s="55" t="s">
        <v>70</v>
      </c>
      <c r="F93" s="55" t="s">
        <v>249</v>
      </c>
      <c r="G93" s="56">
        <v>5</v>
      </c>
      <c r="H93" s="49">
        <f>20+5+5+5+5+5+82</f>
        <v>127</v>
      </c>
      <c r="I93" s="50">
        <f>2+3+2+5+2+5+5+3+5+1+6+4+3+5+1+5+2</f>
        <v>59</v>
      </c>
      <c r="J93" s="77">
        <f>+H93-I93</f>
        <v>68</v>
      </c>
      <c r="K93" s="31">
        <v>351.7</v>
      </c>
      <c r="L93" s="32">
        <v>44146</v>
      </c>
      <c r="M93" s="33">
        <v>0.21</v>
      </c>
      <c r="N93" s="64">
        <f t="shared" si="16"/>
        <v>425.55699999999996</v>
      </c>
      <c r="O93" s="68">
        <f t="shared" si="31"/>
        <v>457.21</v>
      </c>
      <c r="P93" s="68">
        <f t="shared" si="18"/>
        <v>474.8</v>
      </c>
      <c r="Q93" s="68">
        <f t="shared" si="19"/>
        <v>492.38</v>
      </c>
      <c r="R93" s="11">
        <f t="shared" si="20"/>
        <v>509.97</v>
      </c>
      <c r="S93" s="11">
        <f t="shared" si="45"/>
        <v>527.54999999999995</v>
      </c>
      <c r="T93" s="11">
        <f t="shared" si="22"/>
        <v>562.72</v>
      </c>
      <c r="U93" s="38">
        <f t="shared" si="25"/>
        <v>574.5</v>
      </c>
      <c r="V93" s="38">
        <f t="shared" si="26"/>
        <v>595.78</v>
      </c>
      <c r="W93" s="38">
        <f t="shared" si="27"/>
        <v>617.05999999999995</v>
      </c>
      <c r="X93" s="38">
        <f t="shared" si="28"/>
        <v>638.34</v>
      </c>
      <c r="Z93" s="4">
        <f t="shared" si="23"/>
        <v>23915.599999999999</v>
      </c>
      <c r="AA93" s="4">
        <f t="shared" si="24"/>
        <v>28937.875999999997</v>
      </c>
    </row>
    <row r="94" spans="1:27" x14ac:dyDescent="0.3">
      <c r="A94" s="135"/>
      <c r="B94" s="125"/>
      <c r="C94" s="3" t="s">
        <v>115</v>
      </c>
      <c r="D94" s="55" t="s">
        <v>206</v>
      </c>
      <c r="E94" s="55" t="s">
        <v>70</v>
      </c>
      <c r="F94" s="55" t="s">
        <v>249</v>
      </c>
      <c r="G94" s="56">
        <v>5</v>
      </c>
      <c r="H94" s="49">
        <v>6</v>
      </c>
      <c r="I94" s="50">
        <f>2+2+2</f>
        <v>6</v>
      </c>
      <c r="J94" s="77">
        <f>+H94-I94</f>
        <v>0</v>
      </c>
      <c r="K94" s="31">
        <v>351.7</v>
      </c>
      <c r="L94" s="32">
        <v>44146</v>
      </c>
      <c r="M94" s="33">
        <v>0.21</v>
      </c>
      <c r="N94" s="64">
        <f t="shared" si="16"/>
        <v>425.55699999999996</v>
      </c>
      <c r="O94" s="68">
        <f t="shared" si="31"/>
        <v>457.21</v>
      </c>
      <c r="P94" s="68">
        <f t="shared" si="18"/>
        <v>474.8</v>
      </c>
      <c r="Q94" s="68">
        <f t="shared" si="19"/>
        <v>492.38</v>
      </c>
      <c r="R94" s="11">
        <f t="shared" si="20"/>
        <v>509.97</v>
      </c>
      <c r="S94" s="11">
        <f t="shared" si="45"/>
        <v>527.54999999999995</v>
      </c>
      <c r="T94" s="11">
        <f t="shared" si="22"/>
        <v>562.72</v>
      </c>
      <c r="U94" s="38">
        <f t="shared" si="25"/>
        <v>574.5</v>
      </c>
      <c r="V94" s="38">
        <f t="shared" si="26"/>
        <v>595.78</v>
      </c>
      <c r="W94" s="38">
        <f t="shared" si="27"/>
        <v>617.05999999999995</v>
      </c>
      <c r="X94" s="38">
        <f t="shared" si="28"/>
        <v>638.34</v>
      </c>
      <c r="Z94" s="4">
        <f t="shared" si="23"/>
        <v>0</v>
      </c>
      <c r="AA94" s="4">
        <f t="shared" si="24"/>
        <v>0</v>
      </c>
    </row>
    <row r="95" spans="1:27" x14ac:dyDescent="0.3">
      <c r="A95" s="135"/>
      <c r="B95" s="125"/>
      <c r="C95" s="3" t="s">
        <v>1265</v>
      </c>
      <c r="D95" s="55"/>
      <c r="E95" s="55" t="s">
        <v>362</v>
      </c>
      <c r="F95" s="55" t="s">
        <v>219</v>
      </c>
      <c r="G95" s="56">
        <v>20</v>
      </c>
      <c r="H95" s="49">
        <f>100</f>
        <v>100</v>
      </c>
      <c r="I95" s="50">
        <f>10+10+10</f>
        <v>30</v>
      </c>
      <c r="J95" s="77">
        <f>+H95-I95</f>
        <v>70</v>
      </c>
      <c r="K95" s="31">
        <v>39.15</v>
      </c>
      <c r="L95" s="32">
        <v>44146</v>
      </c>
      <c r="M95" s="33">
        <v>0.21</v>
      </c>
      <c r="N95" s="64">
        <f t="shared" si="16"/>
        <v>47.371499999999997</v>
      </c>
      <c r="O95" s="68">
        <f t="shared" si="31"/>
        <v>50.9</v>
      </c>
      <c r="P95" s="68">
        <f t="shared" si="18"/>
        <v>52.85</v>
      </c>
      <c r="Q95" s="68">
        <f t="shared" si="19"/>
        <v>54.81</v>
      </c>
      <c r="R95" s="11">
        <f t="shared" si="20"/>
        <v>56.77</v>
      </c>
      <c r="S95" s="11"/>
      <c r="T95" s="11">
        <f t="shared" si="22"/>
        <v>62.64</v>
      </c>
      <c r="U95" s="38">
        <f t="shared" si="25"/>
        <v>63.95</v>
      </c>
      <c r="V95" s="38">
        <f t="shared" si="26"/>
        <v>66.319999999999993</v>
      </c>
      <c r="W95" s="38">
        <f t="shared" si="27"/>
        <v>68.69</v>
      </c>
      <c r="X95" s="38">
        <f t="shared" si="28"/>
        <v>71.06</v>
      </c>
      <c r="Z95" s="4">
        <f t="shared" si="23"/>
        <v>2740.5</v>
      </c>
      <c r="AA95" s="4">
        <f t="shared" si="24"/>
        <v>3316.0049999999997</v>
      </c>
    </row>
    <row r="96" spans="1:27" x14ac:dyDescent="0.3">
      <c r="A96" s="135"/>
      <c r="B96" s="125"/>
      <c r="C96" s="3" t="s">
        <v>1264</v>
      </c>
      <c r="D96" s="118" t="s">
        <v>1262</v>
      </c>
      <c r="E96" s="55" t="s">
        <v>362</v>
      </c>
      <c r="F96" s="55" t="s">
        <v>219</v>
      </c>
      <c r="G96" s="56">
        <v>20</v>
      </c>
      <c r="H96" s="49">
        <f>203+10+100+100+100+100</f>
        <v>613</v>
      </c>
      <c r="I96" s="50">
        <f>5+24+1+20+6+10+20+5+30+82+90+10+10+30+65+5+100+50+20+20</f>
        <v>603</v>
      </c>
      <c r="J96" s="77">
        <f>+H96-I96</f>
        <v>10</v>
      </c>
      <c r="K96" s="31">
        <v>46.68</v>
      </c>
      <c r="L96" s="32">
        <v>44146</v>
      </c>
      <c r="M96" s="33">
        <v>0.21</v>
      </c>
      <c r="N96" s="64">
        <f t="shared" si="16"/>
        <v>56.482799999999997</v>
      </c>
      <c r="O96" s="68">
        <f t="shared" si="31"/>
        <v>60.68</v>
      </c>
      <c r="P96" s="68">
        <f t="shared" si="18"/>
        <v>63.02</v>
      </c>
      <c r="Q96" s="68">
        <f t="shared" si="19"/>
        <v>65.349999999999994</v>
      </c>
      <c r="R96" s="11">
        <f t="shared" si="20"/>
        <v>67.69</v>
      </c>
      <c r="S96" s="11">
        <f t="shared" si="45"/>
        <v>70.02</v>
      </c>
      <c r="T96" s="11">
        <f t="shared" si="22"/>
        <v>74.69</v>
      </c>
      <c r="U96" s="38">
        <f t="shared" si="25"/>
        <v>76.25</v>
      </c>
      <c r="V96" s="38">
        <f t="shared" si="26"/>
        <v>79.08</v>
      </c>
      <c r="W96" s="38">
        <f t="shared" si="27"/>
        <v>81.900000000000006</v>
      </c>
      <c r="X96" s="38">
        <f t="shared" si="28"/>
        <v>84.72</v>
      </c>
      <c r="Z96" s="4">
        <f t="shared" si="23"/>
        <v>466.8</v>
      </c>
      <c r="AA96" s="4">
        <f t="shared" si="24"/>
        <v>564.82799999999997</v>
      </c>
    </row>
    <row r="97" spans="1:27" x14ac:dyDescent="0.3">
      <c r="A97" s="135"/>
      <c r="B97" s="125"/>
      <c r="C97" s="3" t="s">
        <v>1504</v>
      </c>
      <c r="D97" s="55" t="s">
        <v>804</v>
      </c>
      <c r="E97" s="55" t="s">
        <v>70</v>
      </c>
      <c r="F97" s="55" t="s">
        <v>228</v>
      </c>
      <c r="G97" s="56">
        <v>0</v>
      </c>
      <c r="H97" s="49">
        <f>43+20+10</f>
        <v>73</v>
      </c>
      <c r="I97" s="50">
        <f>5+10+1+14+9+10+6+11+3</f>
        <v>69</v>
      </c>
      <c r="J97" s="77">
        <f>+H97-I97</f>
        <v>4</v>
      </c>
      <c r="K97" s="31">
        <v>104.3</v>
      </c>
      <c r="L97" s="32">
        <v>44056</v>
      </c>
      <c r="M97" s="33">
        <v>0.21</v>
      </c>
      <c r="N97" s="64">
        <f t="shared" si="16"/>
        <v>126.20299999999999</v>
      </c>
      <c r="O97" s="68">
        <f t="shared" si="31"/>
        <v>135.59</v>
      </c>
      <c r="P97" s="68">
        <f t="shared" si="18"/>
        <v>140.81</v>
      </c>
      <c r="Q97" s="68">
        <f t="shared" si="19"/>
        <v>146.02000000000001</v>
      </c>
      <c r="R97" s="11">
        <f t="shared" si="20"/>
        <v>151.24</v>
      </c>
      <c r="S97" s="11">
        <f t="shared" si="45"/>
        <v>156.44999999999999</v>
      </c>
      <c r="T97" s="11">
        <f t="shared" si="22"/>
        <v>166.88</v>
      </c>
      <c r="U97" s="38">
        <f t="shared" si="25"/>
        <v>170.37</v>
      </c>
      <c r="V97" s="38">
        <f t="shared" si="26"/>
        <v>176.68</v>
      </c>
      <c r="W97" s="38">
        <f t="shared" si="27"/>
        <v>182.99</v>
      </c>
      <c r="X97" s="38">
        <f t="shared" si="28"/>
        <v>189.3</v>
      </c>
      <c r="Z97" s="4">
        <f t="shared" si="23"/>
        <v>417.2</v>
      </c>
      <c r="AA97" s="4">
        <f t="shared" si="24"/>
        <v>504.81199999999995</v>
      </c>
    </row>
    <row r="98" spans="1:27" x14ac:dyDescent="0.3">
      <c r="A98" s="135"/>
      <c r="B98" s="125"/>
      <c r="C98" s="3" t="s">
        <v>679</v>
      </c>
      <c r="D98" s="55" t="s">
        <v>680</v>
      </c>
      <c r="E98" s="55" t="s">
        <v>362</v>
      </c>
      <c r="F98" s="55" t="s">
        <v>219</v>
      </c>
      <c r="G98" s="56">
        <v>100</v>
      </c>
      <c r="H98" s="49">
        <f>100+200+100+240+100+100+10+100+100+100+100+8+100+100+100+100</f>
        <v>1658</v>
      </c>
      <c r="I98" s="50">
        <f>50+40+2+40+10+20+40+20+123+55+20+60+10+10+10+100+114+5+5+6+10+3+10+20+20+47+20+50+10+20+60+140+40+20+48+20+10+50+120+20+20+60+40+20+10</f>
        <v>1628</v>
      </c>
      <c r="J98" s="77">
        <f>+H98-I98</f>
        <v>30</v>
      </c>
      <c r="K98" s="31">
        <v>25.83</v>
      </c>
      <c r="L98" s="32">
        <v>44246</v>
      </c>
      <c r="M98" s="33">
        <v>0.21</v>
      </c>
      <c r="N98" s="64">
        <f t="shared" si="16"/>
        <v>31.254299999999997</v>
      </c>
      <c r="O98" s="68">
        <f t="shared" si="31"/>
        <v>33.58</v>
      </c>
      <c r="P98" s="68">
        <f t="shared" si="18"/>
        <v>34.869999999999997</v>
      </c>
      <c r="Q98" s="68">
        <f t="shared" si="19"/>
        <v>36.159999999999997</v>
      </c>
      <c r="R98" s="11">
        <f t="shared" si="20"/>
        <v>37.450000000000003</v>
      </c>
      <c r="S98" s="11">
        <f t="shared" si="45"/>
        <v>38.75</v>
      </c>
      <c r="T98" s="11">
        <f t="shared" si="22"/>
        <v>41.33</v>
      </c>
      <c r="U98" s="38">
        <f t="shared" si="25"/>
        <v>42.19</v>
      </c>
      <c r="V98" s="38">
        <f t="shared" si="26"/>
        <v>43.76</v>
      </c>
      <c r="W98" s="38">
        <f t="shared" si="27"/>
        <v>45.32</v>
      </c>
      <c r="X98" s="38">
        <f t="shared" si="28"/>
        <v>46.88</v>
      </c>
      <c r="Z98" s="4">
        <f t="shared" si="23"/>
        <v>774.9</v>
      </c>
      <c r="AA98" s="4">
        <f t="shared" si="24"/>
        <v>937.62899999999991</v>
      </c>
    </row>
    <row r="99" spans="1:27" x14ac:dyDescent="0.3">
      <c r="A99" s="140"/>
      <c r="B99" s="125"/>
      <c r="C99" s="3" t="s">
        <v>881</v>
      </c>
      <c r="D99" s="55"/>
      <c r="E99" s="55" t="s">
        <v>437</v>
      </c>
      <c r="F99" s="55" t="s">
        <v>219</v>
      </c>
      <c r="G99" s="56">
        <v>0</v>
      </c>
      <c r="H99" s="49">
        <f>12+100+10+100</f>
        <v>222</v>
      </c>
      <c r="I99" s="50">
        <f>0+20+92+30+10</f>
        <v>152</v>
      </c>
      <c r="J99" s="77">
        <f>+H99-I99</f>
        <v>70</v>
      </c>
      <c r="K99" s="31">
        <v>6.15</v>
      </c>
      <c r="L99" s="32">
        <v>44146</v>
      </c>
      <c r="M99" s="33">
        <v>0.21</v>
      </c>
      <c r="N99" s="64">
        <f t="shared" si="16"/>
        <v>7.4415000000000004</v>
      </c>
      <c r="O99" s="68">
        <f t="shared" si="31"/>
        <v>8</v>
      </c>
      <c r="P99" s="68">
        <f t="shared" si="18"/>
        <v>8.3000000000000007</v>
      </c>
      <c r="Q99" s="68">
        <f t="shared" si="19"/>
        <v>8.61</v>
      </c>
      <c r="R99" s="11">
        <f t="shared" si="20"/>
        <v>8.92</v>
      </c>
      <c r="S99" s="11">
        <f t="shared" si="45"/>
        <v>9.23</v>
      </c>
      <c r="T99" s="11">
        <f t="shared" si="22"/>
        <v>9.84</v>
      </c>
      <c r="U99" s="38">
        <f t="shared" si="25"/>
        <v>10.050000000000001</v>
      </c>
      <c r="V99" s="38">
        <f t="shared" si="26"/>
        <v>10.42</v>
      </c>
      <c r="W99" s="38">
        <f t="shared" si="27"/>
        <v>10.79</v>
      </c>
      <c r="X99" s="38">
        <f t="shared" si="28"/>
        <v>11.16</v>
      </c>
      <c r="Z99" s="4">
        <f t="shared" si="23"/>
        <v>430.5</v>
      </c>
      <c r="AA99" s="4">
        <f t="shared" si="24"/>
        <v>520.90500000000009</v>
      </c>
    </row>
    <row r="100" spans="1:27" x14ac:dyDescent="0.3">
      <c r="A100" s="135"/>
      <c r="B100" s="125"/>
      <c r="C100" s="3" t="s">
        <v>1407</v>
      </c>
      <c r="D100" s="55" t="s">
        <v>766</v>
      </c>
      <c r="E100" s="55" t="s">
        <v>362</v>
      </c>
      <c r="F100" s="55" t="s">
        <v>729</v>
      </c>
      <c r="G100" s="56">
        <v>0</v>
      </c>
      <c r="H100" s="49">
        <v>10</v>
      </c>
      <c r="I100" s="50">
        <f>0</f>
        <v>0</v>
      </c>
      <c r="J100" s="77">
        <f>+H100-I100</f>
        <v>10</v>
      </c>
      <c r="K100" s="31">
        <v>161</v>
      </c>
      <c r="L100" s="32">
        <v>44146</v>
      </c>
      <c r="M100" s="33">
        <v>0.21</v>
      </c>
      <c r="N100" s="64">
        <f t="shared" ref="N100:N106" si="46">+K100*(1+M100)</f>
        <v>194.81</v>
      </c>
      <c r="O100" s="68"/>
      <c r="P100" s="68"/>
      <c r="Q100" s="68"/>
      <c r="R100" s="11"/>
      <c r="S100" s="11"/>
      <c r="T100" s="11">
        <f t="shared" si="22"/>
        <v>257.60000000000002</v>
      </c>
      <c r="U100" s="38">
        <f t="shared" ref="U100:U107" si="47">ROUND((N100*(1+$U$3)),2)</f>
        <v>262.99</v>
      </c>
      <c r="V100" s="38">
        <f t="shared" ref="V100:V107" si="48">ROUND((N100*(1+$V$3)),2)</f>
        <v>272.73</v>
      </c>
      <c r="W100" s="38">
        <f t="shared" ref="W100:W107" si="49">ROUND((N100*(1+$W$3)),2)</f>
        <v>282.47000000000003</v>
      </c>
      <c r="X100" s="38">
        <f t="shared" ref="X100:X107" si="50">ROUND((N100*(1+$X$3)),2)</f>
        <v>292.22000000000003</v>
      </c>
      <c r="Z100" s="4">
        <f t="shared" si="23"/>
        <v>1610</v>
      </c>
      <c r="AA100" s="4">
        <f t="shared" ref="AA100:AA107" si="51">J100*N100</f>
        <v>1948.1</v>
      </c>
    </row>
    <row r="101" spans="1:27" x14ac:dyDescent="0.3">
      <c r="A101" s="135"/>
      <c r="B101" s="125"/>
      <c r="C101" s="3" t="s">
        <v>1326</v>
      </c>
      <c r="D101" s="55"/>
      <c r="E101" s="55" t="s">
        <v>362</v>
      </c>
      <c r="F101" s="55" t="s">
        <v>1406</v>
      </c>
      <c r="G101" s="56">
        <v>30</v>
      </c>
      <c r="H101" s="49">
        <f>30+30+30+30+60+60+30</f>
        <v>270</v>
      </c>
      <c r="I101" s="50">
        <f>0+1+29+30+30+30+30+30+40+50</f>
        <v>270</v>
      </c>
      <c r="J101" s="77">
        <f>+H101-I101</f>
        <v>0</v>
      </c>
      <c r="K101" s="31">
        <v>80</v>
      </c>
      <c r="L101" s="32">
        <v>44239</v>
      </c>
      <c r="M101" s="33">
        <v>0.21</v>
      </c>
      <c r="N101" s="64">
        <f t="shared" si="46"/>
        <v>96.8</v>
      </c>
      <c r="O101" s="68"/>
      <c r="P101" s="68"/>
      <c r="Q101" s="68"/>
      <c r="R101" s="11"/>
      <c r="S101" s="11"/>
      <c r="T101" s="11">
        <f t="shared" si="22"/>
        <v>128</v>
      </c>
      <c r="U101" s="38">
        <f t="shared" si="47"/>
        <v>130.68</v>
      </c>
      <c r="V101" s="38">
        <f t="shared" si="48"/>
        <v>135.52000000000001</v>
      </c>
      <c r="W101" s="38">
        <f t="shared" si="49"/>
        <v>140.36000000000001</v>
      </c>
      <c r="X101" s="38">
        <f t="shared" si="50"/>
        <v>145.19999999999999</v>
      </c>
      <c r="Z101" s="4"/>
      <c r="AA101" s="4">
        <f t="shared" si="51"/>
        <v>0</v>
      </c>
    </row>
    <row r="102" spans="1:27" x14ac:dyDescent="0.3">
      <c r="A102" s="135"/>
      <c r="B102" s="125"/>
      <c r="C102" s="3" t="s">
        <v>767</v>
      </c>
      <c r="D102" s="55" t="s">
        <v>768</v>
      </c>
      <c r="E102" s="55" t="s">
        <v>362</v>
      </c>
      <c r="F102" s="55" t="s">
        <v>769</v>
      </c>
      <c r="G102" s="56">
        <v>0</v>
      </c>
      <c r="H102" s="49">
        <f>15+34</f>
        <v>49</v>
      </c>
      <c r="I102" s="50">
        <f>4</f>
        <v>4</v>
      </c>
      <c r="J102" s="77">
        <f>+H102-I102</f>
        <v>45</v>
      </c>
      <c r="K102" s="31">
        <v>110</v>
      </c>
      <c r="L102" s="32">
        <v>44146</v>
      </c>
      <c r="M102" s="33">
        <v>0.21</v>
      </c>
      <c r="N102" s="64">
        <f t="shared" si="46"/>
        <v>133.1</v>
      </c>
      <c r="O102" s="68"/>
      <c r="P102" s="68"/>
      <c r="Q102" s="68"/>
      <c r="R102" s="11"/>
      <c r="S102" s="11"/>
      <c r="T102" s="11">
        <f t="shared" si="22"/>
        <v>176</v>
      </c>
      <c r="U102" s="38">
        <f t="shared" si="47"/>
        <v>179.69</v>
      </c>
      <c r="V102" s="38">
        <f t="shared" si="48"/>
        <v>186.34</v>
      </c>
      <c r="W102" s="38">
        <f t="shared" si="49"/>
        <v>193</v>
      </c>
      <c r="X102" s="38">
        <f t="shared" si="50"/>
        <v>199.65</v>
      </c>
      <c r="Z102" s="4">
        <f t="shared" si="23"/>
        <v>4950</v>
      </c>
      <c r="AA102" s="4">
        <f t="shared" si="51"/>
        <v>5989.5</v>
      </c>
    </row>
    <row r="103" spans="1:27" x14ac:dyDescent="0.3">
      <c r="A103" s="135"/>
      <c r="B103" s="125"/>
      <c r="C103" s="3" t="s">
        <v>1546</v>
      </c>
      <c r="D103" s="55" t="s">
        <v>1453</v>
      </c>
      <c r="E103" s="55" t="s">
        <v>362</v>
      </c>
      <c r="F103" s="55" t="s">
        <v>1402</v>
      </c>
      <c r="G103" s="56">
        <v>30</v>
      </c>
      <c r="H103" s="49">
        <f>30+30+30+30+30+30</f>
        <v>180</v>
      </c>
      <c r="I103" s="50">
        <f>10+20+20+10+20+10+20+10+20</f>
        <v>140</v>
      </c>
      <c r="J103" s="77">
        <f>+H103-I103</f>
        <v>40</v>
      </c>
      <c r="K103" s="31">
        <v>153.15</v>
      </c>
      <c r="L103" s="32">
        <v>44250</v>
      </c>
      <c r="M103" s="33">
        <v>0.21</v>
      </c>
      <c r="N103" s="64">
        <f t="shared" si="46"/>
        <v>185.3115</v>
      </c>
      <c r="O103" s="68"/>
      <c r="P103" s="68"/>
      <c r="Q103" s="68"/>
      <c r="R103" s="11"/>
      <c r="S103" s="11"/>
      <c r="T103" s="11">
        <f t="shared" si="22"/>
        <v>245.04</v>
      </c>
      <c r="U103" s="38">
        <f t="shared" si="47"/>
        <v>250.17</v>
      </c>
      <c r="V103" s="38">
        <f t="shared" si="48"/>
        <v>259.44</v>
      </c>
      <c r="W103" s="38">
        <f t="shared" si="49"/>
        <v>268.7</v>
      </c>
      <c r="X103" s="38">
        <f t="shared" si="50"/>
        <v>277.97000000000003</v>
      </c>
      <c r="Z103" s="4">
        <f t="shared" si="23"/>
        <v>6126</v>
      </c>
      <c r="AA103" s="4">
        <f t="shared" si="51"/>
        <v>7412.46</v>
      </c>
    </row>
    <row r="104" spans="1:27" x14ac:dyDescent="0.3">
      <c r="A104" s="135"/>
      <c r="B104" s="125"/>
      <c r="C104" s="3" t="s">
        <v>1557</v>
      </c>
      <c r="D104" s="55" t="s">
        <v>1558</v>
      </c>
      <c r="E104" s="55"/>
      <c r="F104" s="55" t="s">
        <v>1559</v>
      </c>
      <c r="G104" s="56"/>
      <c r="H104" s="49">
        <f>30</f>
        <v>30</v>
      </c>
      <c r="I104" s="50">
        <f>20</f>
        <v>20</v>
      </c>
      <c r="J104" s="77">
        <f>+H104-I104</f>
        <v>10</v>
      </c>
      <c r="K104" s="31">
        <v>250</v>
      </c>
      <c r="L104" s="32">
        <v>44230</v>
      </c>
      <c r="M104" s="33">
        <v>0.21</v>
      </c>
      <c r="N104" s="64">
        <f t="shared" si="46"/>
        <v>302.5</v>
      </c>
      <c r="O104" s="68"/>
      <c r="P104" s="68"/>
      <c r="Q104" s="68"/>
      <c r="R104" s="11"/>
      <c r="S104" s="11"/>
      <c r="T104" s="11">
        <f t="shared" si="22"/>
        <v>400</v>
      </c>
      <c r="U104" s="38"/>
      <c r="V104" s="38"/>
      <c r="W104" s="38"/>
      <c r="X104" s="38"/>
      <c r="Z104" s="4">
        <f t="shared" si="23"/>
        <v>2500</v>
      </c>
      <c r="AA104" s="4"/>
    </row>
    <row r="105" spans="1:27" x14ac:dyDescent="0.3">
      <c r="A105" s="135"/>
      <c r="B105" s="125"/>
      <c r="C105" s="3" t="s">
        <v>1326</v>
      </c>
      <c r="D105" s="55"/>
      <c r="E105" s="55" t="s">
        <v>362</v>
      </c>
      <c r="F105" s="55" t="s">
        <v>1509</v>
      </c>
      <c r="G105" s="56">
        <v>30</v>
      </c>
      <c r="H105" s="49">
        <f>60+40</f>
        <v>100</v>
      </c>
      <c r="I105" s="50">
        <f>0+20+30</f>
        <v>50</v>
      </c>
      <c r="J105" s="77">
        <f>+H105-I105</f>
        <v>50</v>
      </c>
      <c r="K105" s="31">
        <v>80</v>
      </c>
      <c r="L105" s="32">
        <v>44239</v>
      </c>
      <c r="M105" s="33">
        <v>0.21</v>
      </c>
      <c r="N105" s="64">
        <f t="shared" si="46"/>
        <v>96.8</v>
      </c>
      <c r="O105" s="68"/>
      <c r="P105" s="68"/>
      <c r="Q105" s="68"/>
      <c r="R105" s="11"/>
      <c r="S105" s="11"/>
      <c r="T105" s="11">
        <f t="shared" si="22"/>
        <v>128</v>
      </c>
      <c r="U105" s="38">
        <f t="shared" si="47"/>
        <v>130.68</v>
      </c>
      <c r="V105" s="38">
        <f t="shared" si="48"/>
        <v>135.52000000000001</v>
      </c>
      <c r="W105" s="38">
        <f t="shared" si="49"/>
        <v>140.36000000000001</v>
      </c>
      <c r="X105" s="38">
        <f t="shared" si="50"/>
        <v>145.19999999999999</v>
      </c>
      <c r="Z105" s="4">
        <f t="shared" si="23"/>
        <v>4000</v>
      </c>
      <c r="AA105" s="4">
        <f t="shared" si="51"/>
        <v>4840</v>
      </c>
    </row>
    <row r="106" spans="1:27" x14ac:dyDescent="0.3">
      <c r="A106" s="135"/>
      <c r="B106" s="125"/>
      <c r="C106" s="3" t="s">
        <v>1228</v>
      </c>
      <c r="D106" s="55">
        <v>3833</v>
      </c>
      <c r="E106" s="55" t="s">
        <v>70</v>
      </c>
      <c r="F106" s="55" t="s">
        <v>229</v>
      </c>
      <c r="G106" s="56">
        <v>3</v>
      </c>
      <c r="H106" s="49">
        <f>10</f>
        <v>10</v>
      </c>
      <c r="I106" s="50">
        <f>6+4</f>
        <v>10</v>
      </c>
      <c r="J106" s="77">
        <f>+H106-I106</f>
        <v>0</v>
      </c>
      <c r="K106" s="31">
        <v>498</v>
      </c>
      <c r="L106" s="32">
        <v>44146</v>
      </c>
      <c r="M106" s="33">
        <v>0.21</v>
      </c>
      <c r="N106" s="64">
        <f t="shared" si="46"/>
        <v>602.57999999999993</v>
      </c>
      <c r="O106" s="68"/>
      <c r="P106" s="68"/>
      <c r="Q106" s="68"/>
      <c r="R106" s="11"/>
      <c r="S106" s="11"/>
      <c r="T106" s="11">
        <f t="shared" si="22"/>
        <v>796.8</v>
      </c>
      <c r="U106" s="38">
        <f t="shared" si="47"/>
        <v>813.48</v>
      </c>
      <c r="V106" s="38">
        <f t="shared" si="48"/>
        <v>843.61</v>
      </c>
      <c r="W106" s="38">
        <f t="shared" si="49"/>
        <v>873.74</v>
      </c>
      <c r="X106" s="38">
        <f t="shared" si="50"/>
        <v>903.87</v>
      </c>
      <c r="Z106" s="4">
        <f t="shared" si="23"/>
        <v>0</v>
      </c>
      <c r="AA106" s="4">
        <f t="shared" si="51"/>
        <v>0</v>
      </c>
    </row>
    <row r="107" spans="1:27" x14ac:dyDescent="0.3">
      <c r="A107" s="135"/>
      <c r="B107" s="125"/>
      <c r="C107" s="3" t="s">
        <v>1580</v>
      </c>
      <c r="D107" s="55"/>
      <c r="E107" s="55" t="s">
        <v>362</v>
      </c>
      <c r="F107" s="55" t="s">
        <v>1581</v>
      </c>
      <c r="G107" s="56"/>
      <c r="H107" s="49">
        <f>10+10</f>
        <v>20</v>
      </c>
      <c r="I107" s="50">
        <f>10</f>
        <v>10</v>
      </c>
      <c r="J107" s="77">
        <f>+H107-I107</f>
        <v>10</v>
      </c>
      <c r="K107" s="31">
        <v>312.37</v>
      </c>
      <c r="L107" s="32">
        <v>44230</v>
      </c>
      <c r="M107" s="33">
        <v>0.21</v>
      </c>
      <c r="N107" s="64">
        <f>+K107*(1+M107)</f>
        <v>377.96769999999998</v>
      </c>
      <c r="O107" s="68"/>
      <c r="P107" s="68"/>
      <c r="Q107" s="68"/>
      <c r="R107" s="11"/>
      <c r="S107" s="11"/>
      <c r="T107" s="11">
        <f t="shared" si="22"/>
        <v>499.79</v>
      </c>
      <c r="U107" s="38">
        <f t="shared" si="47"/>
        <v>510.26</v>
      </c>
      <c r="V107" s="38">
        <f t="shared" si="48"/>
        <v>529.15</v>
      </c>
      <c r="W107" s="38">
        <f t="shared" si="49"/>
        <v>548.04999999999995</v>
      </c>
      <c r="X107" s="38">
        <f t="shared" si="50"/>
        <v>566.95000000000005</v>
      </c>
      <c r="Z107" s="4">
        <f t="shared" si="23"/>
        <v>3123.7</v>
      </c>
      <c r="AA107" s="4">
        <f t="shared" si="51"/>
        <v>3779.6769999999997</v>
      </c>
    </row>
    <row r="108" spans="1:27" x14ac:dyDescent="0.3">
      <c r="A108" s="135"/>
      <c r="C108" s="5" t="s">
        <v>953</v>
      </c>
      <c r="D108" s="55"/>
      <c r="E108" s="55" t="s">
        <v>443</v>
      </c>
      <c r="F108" s="55" t="s">
        <v>233</v>
      </c>
      <c r="G108" s="56">
        <v>0</v>
      </c>
      <c r="H108" s="49">
        <v>1</v>
      </c>
      <c r="I108" s="50">
        <f>0</f>
        <v>0</v>
      </c>
      <c r="J108" s="77">
        <f>+H108-I108</f>
        <v>1</v>
      </c>
      <c r="K108" s="31">
        <v>18850</v>
      </c>
      <c r="L108" s="32">
        <v>42628</v>
      </c>
      <c r="M108" s="33">
        <v>0.21</v>
      </c>
      <c r="N108" s="64">
        <f t="shared" si="16"/>
        <v>22808.5</v>
      </c>
      <c r="O108" s="68"/>
      <c r="P108" s="68"/>
      <c r="Q108" s="68"/>
      <c r="R108" s="11"/>
      <c r="S108" s="11"/>
      <c r="T108" s="11">
        <f t="shared" si="22"/>
        <v>30160</v>
      </c>
      <c r="U108" s="38">
        <f t="shared" si="25"/>
        <v>30791.48</v>
      </c>
      <c r="V108" s="38">
        <f t="shared" si="26"/>
        <v>31931.9</v>
      </c>
      <c r="W108" s="38">
        <f t="shared" si="27"/>
        <v>33072.33</v>
      </c>
      <c r="X108" s="38">
        <f t="shared" si="28"/>
        <v>34212.75</v>
      </c>
      <c r="Z108" s="4">
        <f t="shared" si="23"/>
        <v>18850</v>
      </c>
      <c r="AA108" s="4">
        <f t="shared" si="24"/>
        <v>22808.5</v>
      </c>
    </row>
    <row r="109" spans="1:27" x14ac:dyDescent="0.3">
      <c r="A109" s="135"/>
      <c r="B109" s="125"/>
      <c r="C109" s="3" t="s">
        <v>42</v>
      </c>
      <c r="D109" s="84" t="s">
        <v>1061</v>
      </c>
      <c r="E109" s="55" t="s">
        <v>1275</v>
      </c>
      <c r="F109" s="55" t="s">
        <v>1110</v>
      </c>
      <c r="G109" s="56">
        <v>1000</v>
      </c>
      <c r="H109" s="49">
        <f>1000+1500+300+200+500+500+500+1000+1000+1000+1000</f>
        <v>8500</v>
      </c>
      <c r="I109" s="50">
        <f>1000+800+500+200+300+250+1+100+100+200+49+200+150+50+100+50+200+250+750+150+500+600+925+75+350+250+250+100</f>
        <v>8450</v>
      </c>
      <c r="J109" s="77">
        <f>+H109-I109</f>
        <v>50</v>
      </c>
      <c r="K109" s="31">
        <v>22.1</v>
      </c>
      <c r="L109" s="32">
        <v>44186</v>
      </c>
      <c r="M109" s="33">
        <v>0.21</v>
      </c>
      <c r="N109" s="64">
        <f t="shared" si="16"/>
        <v>26.741</v>
      </c>
      <c r="O109" s="68">
        <f t="shared" si="31"/>
        <v>28.73</v>
      </c>
      <c r="P109" s="68">
        <f t="shared" si="18"/>
        <v>29.84</v>
      </c>
      <c r="Q109" s="68">
        <f t="shared" si="19"/>
        <v>30.94</v>
      </c>
      <c r="R109" s="11">
        <f t="shared" si="20"/>
        <v>32.049999999999997</v>
      </c>
      <c r="S109" s="11">
        <f t="shared" ref="S109:S129" si="52">ROUND(K109*(1+$S$3),2)</f>
        <v>33.15</v>
      </c>
      <c r="T109" s="11">
        <f t="shared" si="22"/>
        <v>35.36</v>
      </c>
      <c r="U109" s="38">
        <f t="shared" si="25"/>
        <v>36.1</v>
      </c>
      <c r="V109" s="38">
        <f t="shared" si="26"/>
        <v>37.44</v>
      </c>
      <c r="W109" s="38">
        <f t="shared" si="27"/>
        <v>38.770000000000003</v>
      </c>
      <c r="X109" s="38">
        <f t="shared" si="28"/>
        <v>40.11</v>
      </c>
      <c r="Z109" s="4">
        <f t="shared" si="23"/>
        <v>1105</v>
      </c>
      <c r="AA109" s="4">
        <f t="shared" si="24"/>
        <v>1337.05</v>
      </c>
    </row>
    <row r="110" spans="1:27" x14ac:dyDescent="0.3">
      <c r="A110" s="135"/>
      <c r="B110" s="125"/>
      <c r="C110" s="3" t="s">
        <v>1585</v>
      </c>
      <c r="D110" s="143" t="s">
        <v>1586</v>
      </c>
      <c r="E110" s="55"/>
      <c r="F110" s="55"/>
      <c r="G110" s="56"/>
      <c r="H110" s="49">
        <f>500</f>
        <v>500</v>
      </c>
      <c r="I110" s="50"/>
      <c r="J110" s="77">
        <f>+H110-I110</f>
        <v>500</v>
      </c>
      <c r="K110" s="31">
        <v>10</v>
      </c>
      <c r="L110" s="32">
        <v>44238</v>
      </c>
      <c r="M110" s="33">
        <v>0.21</v>
      </c>
      <c r="N110" s="64">
        <f>+K110*(1+M110)</f>
        <v>12.1</v>
      </c>
      <c r="O110" s="68"/>
      <c r="P110" s="68"/>
      <c r="Q110" s="68"/>
      <c r="R110" s="11"/>
      <c r="S110" s="11"/>
      <c r="T110" s="11">
        <f t="shared" si="22"/>
        <v>16</v>
      </c>
      <c r="U110" s="38">
        <f t="shared" si="25"/>
        <v>16.34</v>
      </c>
      <c r="V110" s="38">
        <f t="shared" si="26"/>
        <v>16.940000000000001</v>
      </c>
      <c r="W110" s="38">
        <f t="shared" si="27"/>
        <v>17.55</v>
      </c>
      <c r="X110" s="38">
        <f t="shared" si="28"/>
        <v>18.149999999999999</v>
      </c>
      <c r="Z110" s="4"/>
      <c r="AA110" s="4">
        <f t="shared" si="24"/>
        <v>6050</v>
      </c>
    </row>
    <row r="111" spans="1:27" x14ac:dyDescent="0.3">
      <c r="C111" s="3" t="s">
        <v>30</v>
      </c>
      <c r="D111" s="55"/>
      <c r="E111" s="55" t="s">
        <v>370</v>
      </c>
      <c r="F111" s="55" t="s">
        <v>359</v>
      </c>
      <c r="G111" s="56">
        <v>2</v>
      </c>
      <c r="H111" s="49">
        <f>2+2+2</f>
        <v>6</v>
      </c>
      <c r="I111" s="50">
        <v>2</v>
      </c>
      <c r="J111" s="77">
        <f>+H111-I111</f>
        <v>4</v>
      </c>
      <c r="K111" s="31">
        <v>1130</v>
      </c>
      <c r="L111" s="141">
        <v>44044</v>
      </c>
      <c r="M111" s="33">
        <v>0.21</v>
      </c>
      <c r="N111" s="64">
        <f t="shared" si="16"/>
        <v>1367.3</v>
      </c>
      <c r="O111" s="68">
        <f t="shared" si="31"/>
        <v>1469</v>
      </c>
      <c r="P111" s="68">
        <f t="shared" si="18"/>
        <v>1525.5</v>
      </c>
      <c r="Q111" s="68">
        <f t="shared" si="19"/>
        <v>1582</v>
      </c>
      <c r="R111" s="11">
        <f t="shared" si="20"/>
        <v>1638.5</v>
      </c>
      <c r="S111" s="11">
        <f t="shared" si="52"/>
        <v>1695</v>
      </c>
      <c r="T111" s="11">
        <f t="shared" si="22"/>
        <v>1808</v>
      </c>
      <c r="U111" s="38">
        <f t="shared" si="25"/>
        <v>1845.86</v>
      </c>
      <c r="V111" s="38">
        <f t="shared" si="26"/>
        <v>1914.22</v>
      </c>
      <c r="W111" s="38">
        <f t="shared" si="27"/>
        <v>1982.59</v>
      </c>
      <c r="X111" s="38">
        <f t="shared" si="28"/>
        <v>2050.9499999999998</v>
      </c>
      <c r="Z111" s="4">
        <f t="shared" si="23"/>
        <v>4520</v>
      </c>
      <c r="AA111" s="4">
        <f t="shared" si="24"/>
        <v>5469.2</v>
      </c>
    </row>
    <row r="112" spans="1:27" x14ac:dyDescent="0.3">
      <c r="C112" s="3" t="s">
        <v>1070</v>
      </c>
      <c r="D112" s="55" t="s">
        <v>1068</v>
      </c>
      <c r="E112" s="55" t="s">
        <v>34</v>
      </c>
      <c r="F112" s="55" t="s">
        <v>359</v>
      </c>
      <c r="G112" s="56">
        <v>2</v>
      </c>
      <c r="H112" s="49">
        <f>1+2</f>
        <v>3</v>
      </c>
      <c r="I112" s="50">
        <f>1+2</f>
        <v>3</v>
      </c>
      <c r="J112" s="77">
        <f>+H112-I112</f>
        <v>0</v>
      </c>
      <c r="K112" s="31">
        <v>1130</v>
      </c>
      <c r="L112" s="32">
        <v>44044</v>
      </c>
      <c r="M112" s="33">
        <v>0.21</v>
      </c>
      <c r="N112" s="64">
        <f t="shared" si="16"/>
        <v>1367.3</v>
      </c>
      <c r="O112" s="68"/>
      <c r="P112" s="68"/>
      <c r="Q112" s="68"/>
      <c r="R112" s="11"/>
      <c r="S112" s="11"/>
      <c r="T112" s="11">
        <f t="shared" si="22"/>
        <v>1808</v>
      </c>
      <c r="U112" s="38">
        <f t="shared" si="25"/>
        <v>1845.86</v>
      </c>
      <c r="V112" s="38">
        <f t="shared" si="26"/>
        <v>1914.22</v>
      </c>
      <c r="W112" s="38">
        <f t="shared" si="27"/>
        <v>1982.59</v>
      </c>
      <c r="X112" s="38">
        <f t="shared" si="28"/>
        <v>2050.9499999999998</v>
      </c>
      <c r="Z112" s="4">
        <f t="shared" ref="Z112:Z117" si="53">J112*K112</f>
        <v>0</v>
      </c>
      <c r="AA112" s="4">
        <f t="shared" ref="AA112:AA117" si="54">J112*N112</f>
        <v>0</v>
      </c>
    </row>
    <row r="113" spans="1:27" x14ac:dyDescent="0.3">
      <c r="C113" s="3" t="s">
        <v>1069</v>
      </c>
      <c r="D113" s="55"/>
      <c r="E113" s="55" t="s">
        <v>34</v>
      </c>
      <c r="F113" s="55" t="s">
        <v>359</v>
      </c>
      <c r="G113" s="56">
        <v>2</v>
      </c>
      <c r="H113" s="49">
        <f>1+4+2+3</f>
        <v>10</v>
      </c>
      <c r="I113" s="50">
        <f>1+2+2</f>
        <v>5</v>
      </c>
      <c r="J113" s="77">
        <f>+H113-I113</f>
        <v>5</v>
      </c>
      <c r="K113" s="31">
        <v>1130</v>
      </c>
      <c r="L113" s="32">
        <v>44044</v>
      </c>
      <c r="M113" s="33">
        <v>0.21</v>
      </c>
      <c r="N113" s="64">
        <f t="shared" si="16"/>
        <v>1367.3</v>
      </c>
      <c r="O113" s="68"/>
      <c r="P113" s="68"/>
      <c r="Q113" s="68"/>
      <c r="R113" s="11"/>
      <c r="S113" s="11"/>
      <c r="T113" s="11">
        <f t="shared" si="22"/>
        <v>1808</v>
      </c>
      <c r="U113" s="38">
        <f t="shared" si="25"/>
        <v>1845.86</v>
      </c>
      <c r="V113" s="38">
        <f t="shared" si="26"/>
        <v>1914.22</v>
      </c>
      <c r="W113" s="38">
        <f t="shared" si="27"/>
        <v>1982.59</v>
      </c>
      <c r="X113" s="38">
        <f t="shared" si="28"/>
        <v>2050.9499999999998</v>
      </c>
      <c r="Z113" s="4">
        <f t="shared" si="53"/>
        <v>5650</v>
      </c>
      <c r="AA113" s="4">
        <f t="shared" si="54"/>
        <v>6836.5</v>
      </c>
    </row>
    <row r="114" spans="1:27" x14ac:dyDescent="0.3">
      <c r="C114" s="3" t="s">
        <v>1071</v>
      </c>
      <c r="D114" s="55"/>
      <c r="E114" s="55" t="s">
        <v>34</v>
      </c>
      <c r="F114" s="55" t="s">
        <v>359</v>
      </c>
      <c r="G114" s="56">
        <v>2</v>
      </c>
      <c r="H114" s="49">
        <v>2</v>
      </c>
      <c r="I114" s="50">
        <v>1</v>
      </c>
      <c r="J114" s="77">
        <f>+H114-I114</f>
        <v>1</v>
      </c>
      <c r="K114" s="31">
        <v>1130</v>
      </c>
      <c r="L114" s="32">
        <v>44044</v>
      </c>
      <c r="M114" s="33">
        <v>0.21</v>
      </c>
      <c r="N114" s="64">
        <f t="shared" si="16"/>
        <v>1367.3</v>
      </c>
      <c r="O114" s="68"/>
      <c r="P114" s="68"/>
      <c r="Q114" s="68"/>
      <c r="R114" s="11"/>
      <c r="S114" s="11"/>
      <c r="T114" s="11">
        <f t="shared" si="22"/>
        <v>1808</v>
      </c>
      <c r="U114" s="38">
        <f t="shared" si="25"/>
        <v>1845.86</v>
      </c>
      <c r="V114" s="38">
        <f t="shared" si="26"/>
        <v>1914.22</v>
      </c>
      <c r="W114" s="38">
        <f t="shared" si="27"/>
        <v>1982.59</v>
      </c>
      <c r="X114" s="38">
        <f t="shared" si="28"/>
        <v>2050.9499999999998</v>
      </c>
      <c r="Z114" s="4">
        <f t="shared" si="53"/>
        <v>1130</v>
      </c>
      <c r="AA114" s="4">
        <f t="shared" si="54"/>
        <v>1367.3</v>
      </c>
    </row>
    <row r="115" spans="1:27" x14ac:dyDescent="0.3">
      <c r="C115" s="3" t="s">
        <v>1072</v>
      </c>
      <c r="D115" s="55"/>
      <c r="E115" s="55" t="s">
        <v>34</v>
      </c>
      <c r="F115" s="55" t="s">
        <v>359</v>
      </c>
      <c r="G115" s="56">
        <v>2</v>
      </c>
      <c r="H115" s="49">
        <f>1+2+1</f>
        <v>4</v>
      </c>
      <c r="I115" s="50">
        <f>1+1+1</f>
        <v>3</v>
      </c>
      <c r="J115" s="77">
        <f>+H115-I115</f>
        <v>1</v>
      </c>
      <c r="K115" s="31">
        <v>1130</v>
      </c>
      <c r="L115" s="32">
        <v>44044</v>
      </c>
      <c r="M115" s="33">
        <v>0.21</v>
      </c>
      <c r="N115" s="64">
        <f t="shared" si="16"/>
        <v>1367.3</v>
      </c>
      <c r="O115" s="68"/>
      <c r="P115" s="68"/>
      <c r="Q115" s="68"/>
      <c r="R115" s="11"/>
      <c r="S115" s="11"/>
      <c r="T115" s="11">
        <f t="shared" si="22"/>
        <v>1808</v>
      </c>
      <c r="U115" s="38">
        <f t="shared" si="25"/>
        <v>1845.86</v>
      </c>
      <c r="V115" s="38">
        <f t="shared" si="26"/>
        <v>1914.22</v>
      </c>
      <c r="W115" s="38">
        <f t="shared" si="27"/>
        <v>1982.59</v>
      </c>
      <c r="X115" s="38">
        <f t="shared" si="28"/>
        <v>2050.9499999999998</v>
      </c>
      <c r="Z115" s="4">
        <f t="shared" si="53"/>
        <v>1130</v>
      </c>
      <c r="AA115" s="4">
        <f t="shared" si="54"/>
        <v>1367.3</v>
      </c>
    </row>
    <row r="116" spans="1:27" x14ac:dyDescent="0.3">
      <c r="C116" s="3" t="s">
        <v>1074</v>
      </c>
      <c r="D116" s="55"/>
      <c r="E116" s="55" t="s">
        <v>34</v>
      </c>
      <c r="F116" s="55" t="s">
        <v>359</v>
      </c>
      <c r="G116" s="56">
        <v>2</v>
      </c>
      <c r="H116" s="49">
        <v>2</v>
      </c>
      <c r="I116" s="50">
        <f>1</f>
        <v>1</v>
      </c>
      <c r="J116" s="77">
        <f>+H116-I116</f>
        <v>1</v>
      </c>
      <c r="K116" s="31">
        <v>1130</v>
      </c>
      <c r="L116" s="32">
        <v>44044</v>
      </c>
      <c r="M116" s="33">
        <v>0.21</v>
      </c>
      <c r="N116" s="64">
        <f t="shared" si="16"/>
        <v>1367.3</v>
      </c>
      <c r="O116" s="68"/>
      <c r="P116" s="68"/>
      <c r="Q116" s="68"/>
      <c r="R116" s="11"/>
      <c r="S116" s="11"/>
      <c r="T116" s="11">
        <f t="shared" si="22"/>
        <v>1808</v>
      </c>
      <c r="U116" s="38">
        <f t="shared" si="25"/>
        <v>1845.86</v>
      </c>
      <c r="V116" s="38">
        <f t="shared" si="26"/>
        <v>1914.22</v>
      </c>
      <c r="W116" s="38">
        <f t="shared" si="27"/>
        <v>1982.59</v>
      </c>
      <c r="X116" s="38">
        <f t="shared" si="28"/>
        <v>2050.9499999999998</v>
      </c>
      <c r="Z116" s="4">
        <f t="shared" si="53"/>
        <v>1130</v>
      </c>
      <c r="AA116" s="4">
        <f t="shared" si="54"/>
        <v>1367.3</v>
      </c>
    </row>
    <row r="117" spans="1:27" x14ac:dyDescent="0.3">
      <c r="C117" s="3" t="s">
        <v>1073</v>
      </c>
      <c r="D117" s="55"/>
      <c r="E117" s="55" t="s">
        <v>34</v>
      </c>
      <c r="F117" s="55" t="s">
        <v>359</v>
      </c>
      <c r="G117" s="56">
        <v>2</v>
      </c>
      <c r="H117" s="49">
        <v>1</v>
      </c>
      <c r="I117" s="50">
        <f>1</f>
        <v>1</v>
      </c>
      <c r="J117" s="77">
        <f>+H117-I117</f>
        <v>0</v>
      </c>
      <c r="K117" s="31">
        <v>1130</v>
      </c>
      <c r="L117" s="32">
        <v>44044</v>
      </c>
      <c r="M117" s="33">
        <v>0.21</v>
      </c>
      <c r="N117" s="64">
        <f t="shared" si="16"/>
        <v>1367.3</v>
      </c>
      <c r="O117" s="68"/>
      <c r="P117" s="68"/>
      <c r="Q117" s="68"/>
      <c r="R117" s="11"/>
      <c r="S117" s="11"/>
      <c r="T117" s="11">
        <f t="shared" si="22"/>
        <v>1808</v>
      </c>
      <c r="U117" s="38">
        <f t="shared" si="25"/>
        <v>1845.86</v>
      </c>
      <c r="V117" s="38">
        <f t="shared" si="26"/>
        <v>1914.22</v>
      </c>
      <c r="W117" s="38">
        <f t="shared" si="27"/>
        <v>1982.59</v>
      </c>
      <c r="X117" s="38">
        <f t="shared" si="28"/>
        <v>2050.9499999999998</v>
      </c>
      <c r="Z117" s="4">
        <f t="shared" si="53"/>
        <v>0</v>
      </c>
      <c r="AA117" s="4">
        <f t="shared" si="54"/>
        <v>0</v>
      </c>
    </row>
    <row r="118" spans="1:27" x14ac:dyDescent="0.3">
      <c r="C118" s="3" t="s">
        <v>739</v>
      </c>
      <c r="D118" s="55"/>
      <c r="E118" s="55" t="s">
        <v>829</v>
      </c>
      <c r="F118" s="55" t="s">
        <v>1180</v>
      </c>
      <c r="G118" s="56">
        <v>2</v>
      </c>
      <c r="H118" s="49">
        <v>4</v>
      </c>
      <c r="I118" s="50">
        <f>2+1</f>
        <v>3</v>
      </c>
      <c r="J118" s="77">
        <f>+H118-I118</f>
        <v>1</v>
      </c>
      <c r="K118" s="31">
        <v>780</v>
      </c>
      <c r="L118" s="32">
        <v>44044</v>
      </c>
      <c r="M118" s="33">
        <v>0.21</v>
      </c>
      <c r="N118" s="64">
        <f t="shared" si="16"/>
        <v>943.8</v>
      </c>
      <c r="O118" s="68">
        <f t="shared" si="31"/>
        <v>1014</v>
      </c>
      <c r="P118" s="68">
        <f t="shared" si="18"/>
        <v>1053</v>
      </c>
      <c r="Q118" s="68">
        <f t="shared" si="19"/>
        <v>1092</v>
      </c>
      <c r="R118" s="11">
        <f t="shared" si="20"/>
        <v>1131</v>
      </c>
      <c r="S118" s="11">
        <f t="shared" si="52"/>
        <v>1170</v>
      </c>
      <c r="T118" s="11">
        <f t="shared" si="22"/>
        <v>1248</v>
      </c>
      <c r="U118" s="38">
        <f t="shared" si="25"/>
        <v>1274.1300000000001</v>
      </c>
      <c r="V118" s="38">
        <f t="shared" si="26"/>
        <v>1321.32</v>
      </c>
      <c r="W118" s="38">
        <f t="shared" si="27"/>
        <v>1368.51</v>
      </c>
      <c r="X118" s="38">
        <f t="shared" si="28"/>
        <v>1415.7</v>
      </c>
      <c r="Z118" s="4">
        <f t="shared" si="23"/>
        <v>780</v>
      </c>
      <c r="AA118" s="4">
        <f t="shared" si="24"/>
        <v>943.8</v>
      </c>
    </row>
    <row r="119" spans="1:27" x14ac:dyDescent="0.3">
      <c r="C119" s="3" t="s">
        <v>740</v>
      </c>
      <c r="D119" s="55"/>
      <c r="E119" s="55" t="s">
        <v>370</v>
      </c>
      <c r="F119" s="55"/>
      <c r="G119" s="56">
        <v>2</v>
      </c>
      <c r="H119" s="49">
        <f>1</f>
        <v>1</v>
      </c>
      <c r="I119" s="50">
        <v>1</v>
      </c>
      <c r="J119" s="77">
        <f>+H119-I119</f>
        <v>0</v>
      </c>
      <c r="K119" s="31">
        <v>780</v>
      </c>
      <c r="L119" s="32">
        <v>44044</v>
      </c>
      <c r="M119" s="33">
        <v>0.21</v>
      </c>
      <c r="N119" s="64">
        <f t="shared" si="16"/>
        <v>943.8</v>
      </c>
      <c r="O119" s="68"/>
      <c r="P119" s="68"/>
      <c r="Q119" s="68"/>
      <c r="R119" s="11"/>
      <c r="S119" s="11"/>
      <c r="T119" s="11">
        <f t="shared" si="22"/>
        <v>1248</v>
      </c>
      <c r="U119" s="38">
        <f t="shared" si="25"/>
        <v>1274.1300000000001</v>
      </c>
      <c r="V119" s="38">
        <f t="shared" si="26"/>
        <v>1321.32</v>
      </c>
      <c r="W119" s="38">
        <f t="shared" si="27"/>
        <v>1368.51</v>
      </c>
      <c r="X119" s="38">
        <f t="shared" si="28"/>
        <v>1415.7</v>
      </c>
      <c r="Z119" s="4">
        <f t="shared" si="23"/>
        <v>0</v>
      </c>
      <c r="AA119" s="4">
        <f t="shared" si="24"/>
        <v>0</v>
      </c>
    </row>
    <row r="120" spans="1:27" x14ac:dyDescent="0.3">
      <c r="C120" s="3" t="s">
        <v>358</v>
      </c>
      <c r="D120" s="55"/>
      <c r="E120" s="55" t="s">
        <v>370</v>
      </c>
      <c r="F120" s="55" t="s">
        <v>196</v>
      </c>
      <c r="G120" s="56">
        <v>2</v>
      </c>
      <c r="H120" s="49">
        <v>5</v>
      </c>
      <c r="I120" s="50">
        <f>2+1+1</f>
        <v>4</v>
      </c>
      <c r="J120" s="77">
        <f>+H120-I120</f>
        <v>1</v>
      </c>
      <c r="K120" s="31">
        <v>780</v>
      </c>
      <c r="L120" s="32">
        <v>44044</v>
      </c>
      <c r="M120" s="33">
        <v>0.21</v>
      </c>
      <c r="N120" s="64">
        <f t="shared" si="16"/>
        <v>943.8</v>
      </c>
      <c r="O120" s="68">
        <f t="shared" si="31"/>
        <v>1014</v>
      </c>
      <c r="P120" s="68">
        <f t="shared" si="18"/>
        <v>1053</v>
      </c>
      <c r="Q120" s="68">
        <f t="shared" si="19"/>
        <v>1092</v>
      </c>
      <c r="R120" s="11">
        <f t="shared" si="20"/>
        <v>1131</v>
      </c>
      <c r="S120" s="11">
        <f t="shared" si="52"/>
        <v>1170</v>
      </c>
      <c r="T120" s="11">
        <f t="shared" si="22"/>
        <v>1248</v>
      </c>
      <c r="U120" s="38">
        <f t="shared" si="25"/>
        <v>1274.1300000000001</v>
      </c>
      <c r="V120" s="38">
        <f t="shared" si="26"/>
        <v>1321.32</v>
      </c>
      <c r="W120" s="38">
        <f t="shared" si="27"/>
        <v>1368.51</v>
      </c>
      <c r="X120" s="38">
        <f t="shared" si="28"/>
        <v>1415.7</v>
      </c>
      <c r="Z120" s="4">
        <f t="shared" si="23"/>
        <v>780</v>
      </c>
      <c r="AA120" s="4">
        <f t="shared" si="24"/>
        <v>943.8</v>
      </c>
    </row>
    <row r="121" spans="1:27" x14ac:dyDescent="0.3">
      <c r="C121" s="3" t="s">
        <v>1181</v>
      </c>
      <c r="D121" s="55"/>
      <c r="E121" s="55" t="s">
        <v>829</v>
      </c>
      <c r="F121" s="55" t="s">
        <v>1180</v>
      </c>
      <c r="G121" s="56">
        <v>2</v>
      </c>
      <c r="H121" s="49">
        <v>4</v>
      </c>
      <c r="I121" s="50">
        <v>1</v>
      </c>
      <c r="J121" s="77">
        <f>+H121-I121</f>
        <v>3</v>
      </c>
      <c r="K121" s="31">
        <v>780</v>
      </c>
      <c r="L121" s="32">
        <v>44044</v>
      </c>
      <c r="M121" s="33">
        <v>0.21</v>
      </c>
      <c r="N121" s="64">
        <f t="shared" si="16"/>
        <v>943.8</v>
      </c>
      <c r="O121" s="68"/>
      <c r="P121" s="68"/>
      <c r="Q121" s="68"/>
      <c r="R121" s="11"/>
      <c r="S121" s="11"/>
      <c r="T121" s="11">
        <f t="shared" si="22"/>
        <v>1248</v>
      </c>
      <c r="U121" s="38">
        <f t="shared" si="25"/>
        <v>1274.1300000000001</v>
      </c>
      <c r="V121" s="38">
        <f t="shared" si="26"/>
        <v>1321.32</v>
      </c>
      <c r="W121" s="38">
        <f t="shared" si="27"/>
        <v>1368.51</v>
      </c>
      <c r="X121" s="38">
        <f t="shared" si="28"/>
        <v>1415.7</v>
      </c>
      <c r="Z121" s="4">
        <f t="shared" si="23"/>
        <v>2340</v>
      </c>
      <c r="AA121" s="4">
        <f t="shared" si="24"/>
        <v>2831.3999999999996</v>
      </c>
    </row>
    <row r="122" spans="1:27" x14ac:dyDescent="0.3">
      <c r="C122" s="3" t="s">
        <v>741</v>
      </c>
      <c r="D122" s="55"/>
      <c r="E122" s="55" t="s">
        <v>370</v>
      </c>
      <c r="F122" s="55"/>
      <c r="G122" s="56">
        <v>2</v>
      </c>
      <c r="H122" s="49">
        <v>2</v>
      </c>
      <c r="I122" s="50">
        <f>1</f>
        <v>1</v>
      </c>
      <c r="J122" s="77">
        <f>+H122-I122</f>
        <v>1</v>
      </c>
      <c r="K122" s="31">
        <v>780</v>
      </c>
      <c r="L122" s="32">
        <v>44044</v>
      </c>
      <c r="M122" s="33">
        <v>0.21</v>
      </c>
      <c r="N122" s="64">
        <f t="shared" si="16"/>
        <v>943.8</v>
      </c>
      <c r="O122" s="68">
        <f t="shared" si="31"/>
        <v>1014</v>
      </c>
      <c r="P122" s="68">
        <f t="shared" si="18"/>
        <v>1053</v>
      </c>
      <c r="Q122" s="68">
        <f t="shared" si="19"/>
        <v>1092</v>
      </c>
      <c r="R122" s="11">
        <f t="shared" si="20"/>
        <v>1131</v>
      </c>
      <c r="S122" s="11">
        <f t="shared" si="52"/>
        <v>1170</v>
      </c>
      <c r="T122" s="11">
        <f t="shared" si="22"/>
        <v>1248</v>
      </c>
      <c r="U122" s="38">
        <f t="shared" si="25"/>
        <v>1274.1300000000001</v>
      </c>
      <c r="V122" s="38">
        <f t="shared" si="26"/>
        <v>1321.32</v>
      </c>
      <c r="W122" s="38">
        <f t="shared" si="27"/>
        <v>1368.51</v>
      </c>
      <c r="X122" s="38">
        <f t="shared" si="28"/>
        <v>1415.7</v>
      </c>
      <c r="Z122" s="4">
        <f t="shared" si="23"/>
        <v>780</v>
      </c>
      <c r="AA122" s="4">
        <f t="shared" si="24"/>
        <v>943.8</v>
      </c>
    </row>
    <row r="123" spans="1:27" x14ac:dyDescent="0.3">
      <c r="C123" s="3" t="s">
        <v>742</v>
      </c>
      <c r="D123" s="55"/>
      <c r="E123" s="55" t="s">
        <v>370</v>
      </c>
      <c r="F123" s="55" t="s">
        <v>304</v>
      </c>
      <c r="G123" s="56">
        <v>2</v>
      </c>
      <c r="H123" s="49">
        <f>8+2</f>
        <v>10</v>
      </c>
      <c r="I123" s="50">
        <f>3+2+1+1+2</f>
        <v>9</v>
      </c>
      <c r="J123" s="77">
        <f>+H123-I123</f>
        <v>1</v>
      </c>
      <c r="K123" s="31">
        <v>780</v>
      </c>
      <c r="L123" s="32">
        <v>44044</v>
      </c>
      <c r="M123" s="33">
        <v>0.21</v>
      </c>
      <c r="N123" s="64">
        <f t="shared" si="16"/>
        <v>943.8</v>
      </c>
      <c r="O123" s="68">
        <f t="shared" si="31"/>
        <v>1014</v>
      </c>
      <c r="P123" s="68">
        <f t="shared" si="18"/>
        <v>1053</v>
      </c>
      <c r="Q123" s="68">
        <f t="shared" si="19"/>
        <v>1092</v>
      </c>
      <c r="R123" s="11">
        <f t="shared" si="20"/>
        <v>1131</v>
      </c>
      <c r="S123" s="11">
        <f t="shared" si="52"/>
        <v>1170</v>
      </c>
      <c r="T123" s="11">
        <f t="shared" si="22"/>
        <v>1248</v>
      </c>
      <c r="U123" s="38">
        <f t="shared" si="25"/>
        <v>1274.1300000000001</v>
      </c>
      <c r="V123" s="38">
        <f t="shared" si="26"/>
        <v>1321.32</v>
      </c>
      <c r="W123" s="38">
        <f t="shared" si="27"/>
        <v>1368.51</v>
      </c>
      <c r="X123" s="38">
        <f t="shared" si="28"/>
        <v>1415.7</v>
      </c>
      <c r="Z123" s="4">
        <f t="shared" si="23"/>
        <v>780</v>
      </c>
      <c r="AA123" s="4">
        <f t="shared" si="24"/>
        <v>943.8</v>
      </c>
    </row>
    <row r="124" spans="1:27" x14ac:dyDescent="0.3">
      <c r="C124" s="3" t="s">
        <v>742</v>
      </c>
      <c r="D124" s="55"/>
      <c r="E124" s="55" t="s">
        <v>829</v>
      </c>
      <c r="F124" s="55" t="s">
        <v>1180</v>
      </c>
      <c r="G124" s="56">
        <v>2</v>
      </c>
      <c r="H124" s="49">
        <v>4</v>
      </c>
      <c r="I124" s="50">
        <v>2</v>
      </c>
      <c r="J124" s="77">
        <f>+H124-I124</f>
        <v>2</v>
      </c>
      <c r="K124" s="31">
        <v>780</v>
      </c>
      <c r="L124" s="32">
        <v>44044</v>
      </c>
      <c r="M124" s="33">
        <v>0.21</v>
      </c>
      <c r="N124" s="64">
        <f t="shared" si="16"/>
        <v>943.8</v>
      </c>
      <c r="O124" s="68">
        <f t="shared" si="31"/>
        <v>1014</v>
      </c>
      <c r="P124" s="68">
        <f t="shared" si="18"/>
        <v>1053</v>
      </c>
      <c r="Q124" s="68">
        <f t="shared" si="19"/>
        <v>1092</v>
      </c>
      <c r="R124" s="11">
        <f t="shared" si="20"/>
        <v>1131</v>
      </c>
      <c r="S124" s="11">
        <f t="shared" si="52"/>
        <v>1170</v>
      </c>
      <c r="T124" s="11">
        <f t="shared" si="22"/>
        <v>1248</v>
      </c>
      <c r="U124" s="38">
        <f t="shared" si="25"/>
        <v>1274.1300000000001</v>
      </c>
      <c r="V124" s="38">
        <f t="shared" si="26"/>
        <v>1321.32</v>
      </c>
      <c r="W124" s="38">
        <f t="shared" si="27"/>
        <v>1368.51</v>
      </c>
      <c r="X124" s="38">
        <f t="shared" si="28"/>
        <v>1415.7</v>
      </c>
      <c r="Z124" s="4">
        <f t="shared" si="23"/>
        <v>1560</v>
      </c>
      <c r="AA124" s="4">
        <f t="shared" si="24"/>
        <v>1887.6</v>
      </c>
    </row>
    <row r="125" spans="1:27" x14ac:dyDescent="0.3">
      <c r="A125" s="135"/>
      <c r="B125" s="125"/>
      <c r="C125" s="3" t="s">
        <v>1040</v>
      </c>
      <c r="D125" s="55"/>
      <c r="E125" s="55" t="s">
        <v>70</v>
      </c>
      <c r="F125" s="55" t="s">
        <v>222</v>
      </c>
      <c r="G125" s="56">
        <v>0</v>
      </c>
      <c r="H125" s="49">
        <v>1</v>
      </c>
      <c r="I125" s="50">
        <f>0</f>
        <v>0</v>
      </c>
      <c r="J125" s="77">
        <f>+H125-I125</f>
        <v>1</v>
      </c>
      <c r="K125" s="31">
        <v>480.01</v>
      </c>
      <c r="L125" s="32">
        <v>43481</v>
      </c>
      <c r="M125" s="33">
        <v>0.21</v>
      </c>
      <c r="N125" s="64">
        <f t="shared" si="16"/>
        <v>580.81209999999999</v>
      </c>
      <c r="O125" s="68">
        <f t="shared" si="31"/>
        <v>624.01</v>
      </c>
      <c r="P125" s="68">
        <f t="shared" si="18"/>
        <v>648.01</v>
      </c>
      <c r="Q125" s="68">
        <f t="shared" si="19"/>
        <v>672.01</v>
      </c>
      <c r="R125" s="11">
        <f t="shared" si="20"/>
        <v>696.01</v>
      </c>
      <c r="S125" s="11">
        <f t="shared" si="52"/>
        <v>720.02</v>
      </c>
      <c r="T125" s="11">
        <f t="shared" si="22"/>
        <v>768.02</v>
      </c>
      <c r="U125" s="38">
        <f t="shared" si="25"/>
        <v>784.1</v>
      </c>
      <c r="V125" s="38">
        <f t="shared" si="26"/>
        <v>813.14</v>
      </c>
      <c r="W125" s="38">
        <f t="shared" si="27"/>
        <v>842.18</v>
      </c>
      <c r="X125" s="38">
        <f t="shared" si="28"/>
        <v>871.22</v>
      </c>
      <c r="Z125" s="4">
        <f t="shared" si="23"/>
        <v>480.01</v>
      </c>
      <c r="AA125" s="4">
        <f t="shared" si="24"/>
        <v>580.81209999999999</v>
      </c>
    </row>
    <row r="126" spans="1:27" x14ac:dyDescent="0.3">
      <c r="A126" s="135"/>
      <c r="B126" s="125"/>
      <c r="C126" s="3" t="s">
        <v>1041</v>
      </c>
      <c r="D126" s="55"/>
      <c r="E126" s="55" t="s">
        <v>70</v>
      </c>
      <c r="F126" s="55" t="s">
        <v>222</v>
      </c>
      <c r="G126" s="56">
        <v>0</v>
      </c>
      <c r="H126" s="49">
        <v>1</v>
      </c>
      <c r="I126" s="50">
        <f>0</f>
        <v>0</v>
      </c>
      <c r="J126" s="77">
        <f>+H126-I126</f>
        <v>1</v>
      </c>
      <c r="K126" s="31">
        <v>480.01</v>
      </c>
      <c r="L126" s="32">
        <v>43481</v>
      </c>
      <c r="M126" s="33">
        <v>0.21</v>
      </c>
      <c r="N126" s="64">
        <f t="shared" si="16"/>
        <v>580.81209999999999</v>
      </c>
      <c r="O126" s="68">
        <f t="shared" si="31"/>
        <v>624.01</v>
      </c>
      <c r="P126" s="68">
        <f t="shared" si="18"/>
        <v>648.01</v>
      </c>
      <c r="Q126" s="68">
        <f t="shared" si="19"/>
        <v>672.01</v>
      </c>
      <c r="R126" s="11">
        <f t="shared" si="20"/>
        <v>696.01</v>
      </c>
      <c r="S126" s="11">
        <f t="shared" si="52"/>
        <v>720.02</v>
      </c>
      <c r="T126" s="11">
        <f t="shared" si="22"/>
        <v>768.02</v>
      </c>
      <c r="U126" s="38">
        <f t="shared" si="25"/>
        <v>784.1</v>
      </c>
      <c r="V126" s="38">
        <f t="shared" si="26"/>
        <v>813.14</v>
      </c>
      <c r="W126" s="38">
        <f t="shared" si="27"/>
        <v>842.18</v>
      </c>
      <c r="X126" s="38">
        <f t="shared" si="28"/>
        <v>871.22</v>
      </c>
      <c r="Z126" s="4">
        <f t="shared" si="23"/>
        <v>480.01</v>
      </c>
      <c r="AA126" s="4">
        <f t="shared" si="24"/>
        <v>580.81209999999999</v>
      </c>
    </row>
    <row r="127" spans="1:27" x14ac:dyDescent="0.3">
      <c r="C127" s="3" t="s">
        <v>1142</v>
      </c>
      <c r="D127" s="55" t="s">
        <v>777</v>
      </c>
      <c r="E127" s="55" t="s">
        <v>70</v>
      </c>
      <c r="F127" s="55" t="s">
        <v>269</v>
      </c>
      <c r="G127" s="56">
        <v>2</v>
      </c>
      <c r="H127" s="49">
        <f>6+5</f>
        <v>11</v>
      </c>
      <c r="I127" s="50">
        <f>1+1+2+1+3</f>
        <v>8</v>
      </c>
      <c r="J127" s="77">
        <f>+H127-I127</f>
        <v>3</v>
      </c>
      <c r="K127" s="31">
        <v>164.57</v>
      </c>
      <c r="L127" s="32">
        <v>44119</v>
      </c>
      <c r="M127" s="33">
        <v>0.21</v>
      </c>
      <c r="N127" s="64">
        <f t="shared" si="16"/>
        <v>199.12969999999999</v>
      </c>
      <c r="O127" s="68">
        <f t="shared" si="31"/>
        <v>213.94</v>
      </c>
      <c r="P127" s="68">
        <f t="shared" si="18"/>
        <v>222.17</v>
      </c>
      <c r="Q127" s="68">
        <f t="shared" si="19"/>
        <v>230.4</v>
      </c>
      <c r="R127" s="11">
        <f t="shared" si="20"/>
        <v>238.63</v>
      </c>
      <c r="S127" s="11">
        <f t="shared" si="52"/>
        <v>246.86</v>
      </c>
      <c r="T127" s="11">
        <f t="shared" si="22"/>
        <v>263.31</v>
      </c>
      <c r="U127" s="38">
        <f t="shared" si="25"/>
        <v>268.83</v>
      </c>
      <c r="V127" s="38">
        <f t="shared" si="26"/>
        <v>278.77999999999997</v>
      </c>
      <c r="W127" s="38">
        <f t="shared" si="27"/>
        <v>288.74</v>
      </c>
      <c r="X127" s="38">
        <f t="shared" si="28"/>
        <v>298.69</v>
      </c>
      <c r="Z127" s="4">
        <f t="shared" si="23"/>
        <v>493.71</v>
      </c>
      <c r="AA127" s="4">
        <f t="shared" si="24"/>
        <v>597.38909999999998</v>
      </c>
    </row>
    <row r="128" spans="1:27" x14ac:dyDescent="0.3">
      <c r="C128" s="130" t="s">
        <v>1143</v>
      </c>
      <c r="D128" s="55" t="s">
        <v>778</v>
      </c>
      <c r="E128" s="55" t="s">
        <v>70</v>
      </c>
      <c r="F128" s="55" t="s">
        <v>269</v>
      </c>
      <c r="G128" s="56">
        <v>5</v>
      </c>
      <c r="H128" s="49">
        <v>6</v>
      </c>
      <c r="I128" s="50">
        <f>1+2+1</f>
        <v>4</v>
      </c>
      <c r="J128" s="77">
        <f>+H128-I128</f>
        <v>2</v>
      </c>
      <c r="K128" s="31">
        <v>725</v>
      </c>
      <c r="L128" s="32">
        <v>43737</v>
      </c>
      <c r="M128" s="33">
        <v>0.21</v>
      </c>
      <c r="N128" s="64">
        <f t="shared" si="16"/>
        <v>877.25</v>
      </c>
      <c r="O128" s="68">
        <f t="shared" si="31"/>
        <v>942.5</v>
      </c>
      <c r="P128" s="68">
        <f t="shared" si="18"/>
        <v>978.75</v>
      </c>
      <c r="Q128" s="68">
        <f t="shared" si="19"/>
        <v>1015</v>
      </c>
      <c r="R128" s="11">
        <f t="shared" si="20"/>
        <v>1051.25</v>
      </c>
      <c r="S128" s="11">
        <f t="shared" si="52"/>
        <v>1087.5</v>
      </c>
      <c r="T128" s="11">
        <f t="shared" si="22"/>
        <v>1160</v>
      </c>
      <c r="U128" s="38">
        <f t="shared" si="25"/>
        <v>1184.29</v>
      </c>
      <c r="V128" s="38">
        <f t="shared" si="26"/>
        <v>1228.1500000000001</v>
      </c>
      <c r="W128" s="38">
        <f t="shared" si="27"/>
        <v>1272.01</v>
      </c>
      <c r="X128" s="38">
        <f t="shared" si="28"/>
        <v>1315.88</v>
      </c>
      <c r="Z128" s="4">
        <f t="shared" si="23"/>
        <v>1450</v>
      </c>
      <c r="AA128" s="4">
        <f t="shared" si="24"/>
        <v>1754.5</v>
      </c>
    </row>
    <row r="129" spans="1:27" x14ac:dyDescent="0.3">
      <c r="C129" s="3" t="s">
        <v>1144</v>
      </c>
      <c r="D129" s="55" t="s">
        <v>119</v>
      </c>
      <c r="E129" s="55" t="s">
        <v>70</v>
      </c>
      <c r="F129" s="55" t="s">
        <v>222</v>
      </c>
      <c r="G129" s="56">
        <v>5</v>
      </c>
      <c r="H129" s="49">
        <v>9</v>
      </c>
      <c r="I129" s="50">
        <v>1</v>
      </c>
      <c r="J129" s="77">
        <f>+H129-I129</f>
        <v>8</v>
      </c>
      <c r="K129" s="31">
        <v>395.47</v>
      </c>
      <c r="L129" s="32">
        <v>43854</v>
      </c>
      <c r="M129" s="33">
        <v>0.21</v>
      </c>
      <c r="N129" s="64">
        <f t="shared" si="16"/>
        <v>478.51870000000002</v>
      </c>
      <c r="O129" s="68">
        <f t="shared" si="31"/>
        <v>514.11</v>
      </c>
      <c r="P129" s="68">
        <f t="shared" si="18"/>
        <v>533.88</v>
      </c>
      <c r="Q129" s="68">
        <f t="shared" si="19"/>
        <v>553.66</v>
      </c>
      <c r="R129" s="11">
        <f t="shared" si="20"/>
        <v>573.42999999999995</v>
      </c>
      <c r="S129" s="11">
        <f t="shared" si="52"/>
        <v>593.21</v>
      </c>
      <c r="T129" s="11">
        <f t="shared" si="22"/>
        <v>632.75</v>
      </c>
      <c r="U129" s="38">
        <f t="shared" si="25"/>
        <v>646</v>
      </c>
      <c r="V129" s="38">
        <f t="shared" si="26"/>
        <v>669.93</v>
      </c>
      <c r="W129" s="38">
        <f t="shared" si="27"/>
        <v>693.85</v>
      </c>
      <c r="X129" s="38">
        <f t="shared" si="28"/>
        <v>717.78</v>
      </c>
      <c r="Z129" s="4">
        <f t="shared" si="23"/>
        <v>3163.76</v>
      </c>
      <c r="AA129" s="4">
        <f t="shared" si="24"/>
        <v>3828.1496000000002</v>
      </c>
    </row>
    <row r="130" spans="1:27" x14ac:dyDescent="0.3">
      <c r="A130" s="135"/>
      <c r="C130" s="3" t="s">
        <v>1579</v>
      </c>
      <c r="D130" s="55" t="s">
        <v>966</v>
      </c>
      <c r="E130" s="55" t="s">
        <v>362</v>
      </c>
      <c r="F130" s="55" t="s">
        <v>1533</v>
      </c>
      <c r="G130" s="56">
        <v>5</v>
      </c>
      <c r="H130" s="49">
        <f>10+20+10+5+10+10+10+10+12+10+5</f>
        <v>112</v>
      </c>
      <c r="I130" s="50">
        <f>3+20+1+5+1+9+1+3+2+2+8+8+4+4+4+4+12+16+1</f>
        <v>108</v>
      </c>
      <c r="J130" s="77">
        <f>+H130-I130</f>
        <v>4</v>
      </c>
      <c r="K130" s="31">
        <v>140.97</v>
      </c>
      <c r="L130" s="32">
        <v>44230</v>
      </c>
      <c r="M130" s="33">
        <v>0.21</v>
      </c>
      <c r="N130" s="64">
        <f t="shared" si="16"/>
        <v>170.5737</v>
      </c>
      <c r="O130" s="68">
        <f t="shared" si="31"/>
        <v>183.26</v>
      </c>
      <c r="P130" s="68">
        <f t="shared" si="18"/>
        <v>190.31</v>
      </c>
      <c r="Q130" s="68">
        <f t="shared" si="19"/>
        <v>197.36</v>
      </c>
      <c r="R130" s="11">
        <f t="shared" si="20"/>
        <v>204.41</v>
      </c>
      <c r="S130" s="11">
        <f t="shared" ref="S130:S135" si="55">ROUND(K130*(1+$S$3),2)</f>
        <v>211.46</v>
      </c>
      <c r="T130" s="11">
        <f t="shared" si="22"/>
        <v>225.55</v>
      </c>
      <c r="U130" s="38">
        <f t="shared" si="25"/>
        <v>230.27</v>
      </c>
      <c r="V130" s="38">
        <f t="shared" si="26"/>
        <v>238.8</v>
      </c>
      <c r="W130" s="38">
        <f t="shared" si="27"/>
        <v>247.33</v>
      </c>
      <c r="X130" s="38">
        <f t="shared" si="28"/>
        <v>255.86</v>
      </c>
      <c r="Z130" s="4">
        <f t="shared" si="23"/>
        <v>563.88</v>
      </c>
      <c r="AA130" s="4">
        <f t="shared" si="24"/>
        <v>682.29480000000001</v>
      </c>
    </row>
    <row r="131" spans="1:27" x14ac:dyDescent="0.3">
      <c r="A131" s="135"/>
      <c r="B131" s="125"/>
      <c r="C131" s="3" t="s">
        <v>316</v>
      </c>
      <c r="D131" s="55" t="s">
        <v>453</v>
      </c>
      <c r="E131" s="55" t="s">
        <v>362</v>
      </c>
      <c r="F131" s="55" t="s">
        <v>219</v>
      </c>
      <c r="G131" s="56">
        <v>100</v>
      </c>
      <c r="H131" s="49">
        <f>363+200+100+100+22</f>
        <v>785</v>
      </c>
      <c r="I131" s="50">
        <f>100+50+13+50+10+20+15+50+10+50+23+100+50+37+10+5+10+20+10</f>
        <v>633</v>
      </c>
      <c r="J131" s="77">
        <f>+H131-I131</f>
        <v>152</v>
      </c>
      <c r="K131" s="31">
        <v>6.75</v>
      </c>
      <c r="L131" s="32">
        <v>44250</v>
      </c>
      <c r="M131" s="33">
        <v>0.21</v>
      </c>
      <c r="N131" s="64">
        <f t="shared" si="16"/>
        <v>8.1675000000000004</v>
      </c>
      <c r="O131" s="68">
        <f t="shared" si="31"/>
        <v>8.7799999999999994</v>
      </c>
      <c r="P131" s="68">
        <f t="shared" si="18"/>
        <v>9.11</v>
      </c>
      <c r="Q131" s="68">
        <f t="shared" si="19"/>
        <v>9.4499999999999993</v>
      </c>
      <c r="R131" s="11">
        <f t="shared" si="20"/>
        <v>9.7899999999999991</v>
      </c>
      <c r="S131" s="11">
        <f t="shared" si="55"/>
        <v>10.130000000000001</v>
      </c>
      <c r="T131" s="11">
        <f t="shared" si="22"/>
        <v>10.8</v>
      </c>
      <c r="U131" s="38">
        <f t="shared" si="25"/>
        <v>11.03</v>
      </c>
      <c r="V131" s="38">
        <f t="shared" si="26"/>
        <v>11.43</v>
      </c>
      <c r="W131" s="38">
        <f t="shared" si="27"/>
        <v>11.84</v>
      </c>
      <c r="X131" s="38">
        <f t="shared" si="28"/>
        <v>12.25</v>
      </c>
      <c r="Z131" s="4">
        <f t="shared" si="23"/>
        <v>1026</v>
      </c>
      <c r="AA131" s="4">
        <f t="shared" si="24"/>
        <v>1241.46</v>
      </c>
    </row>
    <row r="132" spans="1:27" x14ac:dyDescent="0.3">
      <c r="A132" s="135"/>
      <c r="B132" s="125"/>
      <c r="C132" s="3" t="s">
        <v>317</v>
      </c>
      <c r="D132" s="55" t="s">
        <v>828</v>
      </c>
      <c r="E132" s="55" t="s">
        <v>362</v>
      </c>
      <c r="F132" s="55" t="s">
        <v>219</v>
      </c>
      <c r="G132" s="56">
        <v>100</v>
      </c>
      <c r="H132" s="49">
        <f>300+300+200+200+15+300+200</f>
        <v>1515</v>
      </c>
      <c r="I132" s="50">
        <f>50+30+118+100+2+50+100+50+10+20+5+10+10+20+20+100+50+200+50+20+100+100+100+10+20+10+20</f>
        <v>1375</v>
      </c>
      <c r="J132" s="77">
        <f>+H132-I132</f>
        <v>140</v>
      </c>
      <c r="K132" s="31">
        <v>6.75</v>
      </c>
      <c r="L132" s="32">
        <v>44250</v>
      </c>
      <c r="M132" s="33">
        <v>0.21</v>
      </c>
      <c r="N132" s="64">
        <f t="shared" ref="N132:N184" si="56">+K132*(1+M132)</f>
        <v>8.1675000000000004</v>
      </c>
      <c r="O132" s="68">
        <f t="shared" ref="O132:O159" si="57">ROUND(K132*(1+$O$3),2)</f>
        <v>8.7799999999999994</v>
      </c>
      <c r="P132" s="68">
        <f t="shared" ref="P132:P184" si="58">ROUND(K132*(1+$P$3),2)</f>
        <v>9.11</v>
      </c>
      <c r="Q132" s="68">
        <f t="shared" ref="Q132:Q184" si="59">ROUND(K132*(1+$Q$3),2)</f>
        <v>9.4499999999999993</v>
      </c>
      <c r="R132" s="11">
        <f t="shared" ref="R132:R184" si="60">ROUND(K132*(1+$R$3),2)</f>
        <v>9.7899999999999991</v>
      </c>
      <c r="S132" s="11">
        <f t="shared" si="55"/>
        <v>10.130000000000001</v>
      </c>
      <c r="T132" s="11">
        <f t="shared" ref="T132:T184" si="61">ROUND(K132*(1+$T$3),2)</f>
        <v>10.8</v>
      </c>
      <c r="U132" s="38">
        <f t="shared" si="25"/>
        <v>11.03</v>
      </c>
      <c r="V132" s="38">
        <f t="shared" si="26"/>
        <v>11.43</v>
      </c>
      <c r="W132" s="38">
        <f t="shared" si="27"/>
        <v>11.84</v>
      </c>
      <c r="X132" s="38">
        <f t="shared" si="28"/>
        <v>12.25</v>
      </c>
      <c r="Z132" s="4">
        <f t="shared" ref="Z132:Z185" si="62">J132*K132</f>
        <v>945</v>
      </c>
      <c r="AA132" s="4">
        <f t="shared" ref="AA132:AA185" si="63">J132*N132</f>
        <v>1143.45</v>
      </c>
    </row>
    <row r="133" spans="1:27" x14ac:dyDescent="0.3">
      <c r="A133" s="135"/>
      <c r="B133" s="125"/>
      <c r="C133" s="3" t="s">
        <v>318</v>
      </c>
      <c r="D133" s="55" t="s">
        <v>608</v>
      </c>
      <c r="E133" s="55" t="s">
        <v>362</v>
      </c>
      <c r="F133" s="55" t="s">
        <v>219</v>
      </c>
      <c r="G133" s="56">
        <v>100</v>
      </c>
      <c r="H133" s="49">
        <f>200+200+300+200+200+200+200+200+100+200+300+200+200</f>
        <v>2700</v>
      </c>
      <c r="I133" s="50">
        <f>1900+50+30+50+100+10+20+50+25+50+15+50+5+10+50+20+65</f>
        <v>2500</v>
      </c>
      <c r="J133" s="77">
        <f>+H133-I133</f>
        <v>200</v>
      </c>
      <c r="K133" s="31">
        <v>6.75</v>
      </c>
      <c r="L133" s="32">
        <v>44250</v>
      </c>
      <c r="M133" s="136">
        <v>0.21</v>
      </c>
      <c r="N133" s="64">
        <f t="shared" si="56"/>
        <v>8.1675000000000004</v>
      </c>
      <c r="O133" s="68">
        <f t="shared" si="57"/>
        <v>8.7799999999999994</v>
      </c>
      <c r="P133" s="68">
        <f t="shared" si="58"/>
        <v>9.11</v>
      </c>
      <c r="Q133" s="68">
        <f t="shared" si="59"/>
        <v>9.4499999999999993</v>
      </c>
      <c r="R133" s="11">
        <f t="shared" si="60"/>
        <v>9.7899999999999991</v>
      </c>
      <c r="S133" s="11">
        <f t="shared" si="55"/>
        <v>10.130000000000001</v>
      </c>
      <c r="T133" s="11">
        <f t="shared" si="61"/>
        <v>10.8</v>
      </c>
      <c r="U133" s="38">
        <f t="shared" si="25"/>
        <v>11.03</v>
      </c>
      <c r="V133" s="38">
        <f t="shared" si="26"/>
        <v>11.43</v>
      </c>
      <c r="W133" s="38">
        <f t="shared" si="27"/>
        <v>11.84</v>
      </c>
      <c r="X133" s="38">
        <f t="shared" si="28"/>
        <v>12.25</v>
      </c>
      <c r="Z133" s="4">
        <f t="shared" si="62"/>
        <v>1350</v>
      </c>
      <c r="AA133" s="4">
        <f t="shared" si="63"/>
        <v>1633.5</v>
      </c>
    </row>
    <row r="134" spans="1:27" x14ac:dyDescent="0.3">
      <c r="A134" s="135"/>
      <c r="B134" s="125"/>
      <c r="C134" s="3" t="s">
        <v>319</v>
      </c>
      <c r="D134" s="55" t="s">
        <v>609</v>
      </c>
      <c r="E134" s="55" t="s">
        <v>362</v>
      </c>
      <c r="F134" s="55" t="s">
        <v>219</v>
      </c>
      <c r="G134" s="56">
        <v>100</v>
      </c>
      <c r="H134" s="49">
        <f>68+200+200+1+200+200+200+200+30+200+100</f>
        <v>1599</v>
      </c>
      <c r="I134" s="50">
        <f>20+5+40+3+50+15+10+50+200+50+50+100+40+10+26+50+50+100+10+50+50+20+50+100+150+50+100+25</f>
        <v>1474</v>
      </c>
      <c r="J134" s="77">
        <f>+H134-I134</f>
        <v>125</v>
      </c>
      <c r="K134" s="31">
        <v>6.75</v>
      </c>
      <c r="L134" s="32">
        <v>44250</v>
      </c>
      <c r="M134" s="33">
        <v>0.21</v>
      </c>
      <c r="N134" s="64">
        <f t="shared" si="56"/>
        <v>8.1675000000000004</v>
      </c>
      <c r="O134" s="68">
        <f t="shared" si="57"/>
        <v>8.7799999999999994</v>
      </c>
      <c r="P134" s="68">
        <f t="shared" si="58"/>
        <v>9.11</v>
      </c>
      <c r="Q134" s="68">
        <f t="shared" si="59"/>
        <v>9.4499999999999993</v>
      </c>
      <c r="R134" s="11">
        <f t="shared" si="60"/>
        <v>9.7899999999999991</v>
      </c>
      <c r="S134" s="11">
        <f t="shared" si="55"/>
        <v>10.130000000000001</v>
      </c>
      <c r="T134" s="11">
        <f t="shared" si="61"/>
        <v>10.8</v>
      </c>
      <c r="U134" s="38">
        <f t="shared" si="25"/>
        <v>11.03</v>
      </c>
      <c r="V134" s="38">
        <f t="shared" si="26"/>
        <v>11.43</v>
      </c>
      <c r="W134" s="38">
        <f t="shared" si="27"/>
        <v>11.84</v>
      </c>
      <c r="X134" s="38">
        <f t="shared" si="28"/>
        <v>12.25</v>
      </c>
      <c r="Z134" s="4">
        <f t="shared" si="62"/>
        <v>843.75</v>
      </c>
      <c r="AA134" s="4">
        <f t="shared" si="63"/>
        <v>1020.9375</v>
      </c>
    </row>
    <row r="135" spans="1:27" x14ac:dyDescent="0.3">
      <c r="A135" s="135"/>
      <c r="B135" s="125"/>
      <c r="C135" s="3" t="s">
        <v>234</v>
      </c>
      <c r="D135" s="55" t="s">
        <v>492</v>
      </c>
      <c r="E135" s="55" t="s">
        <v>362</v>
      </c>
      <c r="F135" s="55" t="s">
        <v>223</v>
      </c>
      <c r="G135" s="56">
        <v>1</v>
      </c>
      <c r="H135" s="49">
        <f>12+12+12+12+24+12+12+12+6+12+12+4+6+12+6+6+4+12+12+24+24+18+12+12</f>
        <v>290</v>
      </c>
      <c r="I135" s="50">
        <f>12+6+6+6+15+3+7+6+6+6+6+6+5+2+2+6+2+10+2+4+8+5+4+9+6+10+6+10+2+10+4+8+4+10+8+10+3+4+9+4+10+3+10+6</f>
        <v>281</v>
      </c>
      <c r="J135" s="77">
        <f>+H135-I135</f>
        <v>9</v>
      </c>
      <c r="K135" s="31">
        <v>386</v>
      </c>
      <c r="L135" s="32">
        <v>44155</v>
      </c>
      <c r="M135" s="33">
        <v>0.21</v>
      </c>
      <c r="N135" s="64">
        <f t="shared" si="56"/>
        <v>467.06</v>
      </c>
      <c r="O135" s="68">
        <f t="shared" si="57"/>
        <v>501.8</v>
      </c>
      <c r="P135" s="68">
        <f t="shared" si="58"/>
        <v>521.1</v>
      </c>
      <c r="Q135" s="68">
        <f t="shared" si="59"/>
        <v>540.4</v>
      </c>
      <c r="R135" s="11">
        <f t="shared" si="60"/>
        <v>559.70000000000005</v>
      </c>
      <c r="S135" s="11">
        <f t="shared" si="55"/>
        <v>579</v>
      </c>
      <c r="T135" s="11">
        <f t="shared" si="61"/>
        <v>617.6</v>
      </c>
      <c r="U135" s="38">
        <f t="shared" si="25"/>
        <v>630.53</v>
      </c>
      <c r="V135" s="38">
        <f t="shared" si="26"/>
        <v>653.88</v>
      </c>
      <c r="W135" s="38">
        <f t="shared" si="27"/>
        <v>677.24</v>
      </c>
      <c r="X135" s="38">
        <f t="shared" si="28"/>
        <v>700.59</v>
      </c>
      <c r="Z135" s="4">
        <f t="shared" si="62"/>
        <v>3474</v>
      </c>
      <c r="AA135" s="4">
        <f t="shared" si="63"/>
        <v>4203.54</v>
      </c>
    </row>
    <row r="136" spans="1:27" x14ac:dyDescent="0.3">
      <c r="B136" s="125"/>
      <c r="C136" s="5" t="s">
        <v>989</v>
      </c>
      <c r="D136" s="55" t="s">
        <v>994</v>
      </c>
      <c r="E136" s="55" t="s">
        <v>924</v>
      </c>
      <c r="F136" s="55" t="s">
        <v>990</v>
      </c>
      <c r="G136" s="56">
        <v>12</v>
      </c>
      <c r="H136" s="49">
        <f>2+1+1</f>
        <v>4</v>
      </c>
      <c r="I136" s="50">
        <v>3</v>
      </c>
      <c r="J136" s="77">
        <f>+H136-I136</f>
        <v>1</v>
      </c>
      <c r="K136" s="31">
        <v>6000</v>
      </c>
      <c r="L136" s="32">
        <v>43201</v>
      </c>
      <c r="M136" s="46">
        <v>0.105</v>
      </c>
      <c r="N136" s="64">
        <f t="shared" si="56"/>
        <v>6630</v>
      </c>
      <c r="O136" s="68">
        <f t="shared" si="57"/>
        <v>7800</v>
      </c>
      <c r="P136" s="68">
        <f t="shared" si="58"/>
        <v>8100</v>
      </c>
      <c r="Q136" s="68">
        <f t="shared" si="59"/>
        <v>8400</v>
      </c>
      <c r="R136" s="11">
        <f t="shared" si="60"/>
        <v>8700</v>
      </c>
      <c r="S136" s="11">
        <f>K136*(1+$S$3)</f>
        <v>9000</v>
      </c>
      <c r="T136" s="11">
        <f t="shared" si="61"/>
        <v>9600</v>
      </c>
      <c r="U136" s="38">
        <f t="shared" si="25"/>
        <v>8950.5</v>
      </c>
      <c r="V136" s="38">
        <f t="shared" si="26"/>
        <v>9282</v>
      </c>
      <c r="W136" s="38">
        <f t="shared" si="27"/>
        <v>9613.5</v>
      </c>
      <c r="X136" s="38">
        <f t="shared" si="28"/>
        <v>9945</v>
      </c>
      <c r="Z136" s="4">
        <f t="shared" si="62"/>
        <v>6000</v>
      </c>
      <c r="AA136" s="4">
        <f t="shared" si="63"/>
        <v>6630</v>
      </c>
    </row>
    <row r="137" spans="1:27" x14ac:dyDescent="0.3">
      <c r="B137" s="125"/>
      <c r="C137" s="5" t="s">
        <v>1119</v>
      </c>
      <c r="D137" s="55" t="s">
        <v>1120</v>
      </c>
      <c r="E137" s="55" t="s">
        <v>1132</v>
      </c>
      <c r="F137" s="55"/>
      <c r="G137" s="56"/>
      <c r="H137" s="49">
        <f>4+1+2+2</f>
        <v>9</v>
      </c>
      <c r="I137" s="50">
        <f>1+1</f>
        <v>2</v>
      </c>
      <c r="J137" s="77">
        <f>+H137-I137</f>
        <v>7</v>
      </c>
      <c r="K137" s="31">
        <v>12900</v>
      </c>
      <c r="L137" s="32">
        <v>43871</v>
      </c>
      <c r="M137" s="46">
        <v>0.105</v>
      </c>
      <c r="N137" s="64">
        <f t="shared" si="56"/>
        <v>14254.5</v>
      </c>
      <c r="O137" s="68">
        <f t="shared" si="57"/>
        <v>16770</v>
      </c>
      <c r="P137" s="68">
        <f t="shared" si="58"/>
        <v>17415</v>
      </c>
      <c r="Q137" s="68">
        <f t="shared" si="59"/>
        <v>18060</v>
      </c>
      <c r="R137" s="11">
        <f t="shared" si="60"/>
        <v>18705</v>
      </c>
      <c r="S137" s="11">
        <f>K137*(1+$S$3)</f>
        <v>19350</v>
      </c>
      <c r="T137" s="11">
        <f t="shared" si="61"/>
        <v>20640</v>
      </c>
      <c r="U137" s="38">
        <f t="shared" si="25"/>
        <v>19243.580000000002</v>
      </c>
      <c r="V137" s="38">
        <f t="shared" si="26"/>
        <v>19956.3</v>
      </c>
      <c r="W137" s="38">
        <f t="shared" si="27"/>
        <v>20669.03</v>
      </c>
      <c r="X137" s="38">
        <f t="shared" si="28"/>
        <v>21381.75</v>
      </c>
      <c r="Z137" s="4">
        <f t="shared" si="62"/>
        <v>90300</v>
      </c>
      <c r="AA137" s="4">
        <f t="shared" si="63"/>
        <v>99781.5</v>
      </c>
    </row>
    <row r="138" spans="1:27" x14ac:dyDescent="0.3">
      <c r="B138" s="125"/>
      <c r="C138" s="5" t="s">
        <v>1119</v>
      </c>
      <c r="D138" s="55" t="s">
        <v>1229</v>
      </c>
      <c r="E138" s="55" t="s">
        <v>34</v>
      </c>
      <c r="F138" s="55" t="s">
        <v>1316</v>
      </c>
      <c r="G138" s="56"/>
      <c r="H138" s="49">
        <f>3+1+1+2</f>
        <v>7</v>
      </c>
      <c r="I138" s="50"/>
      <c r="J138" s="77">
        <f>+H138-I138</f>
        <v>7</v>
      </c>
      <c r="K138" s="31">
        <v>12900</v>
      </c>
      <c r="L138" s="32">
        <v>43871</v>
      </c>
      <c r="M138" s="46">
        <v>0.105</v>
      </c>
      <c r="N138" s="64">
        <f t="shared" si="56"/>
        <v>14254.5</v>
      </c>
      <c r="O138" s="68">
        <f t="shared" si="57"/>
        <v>16770</v>
      </c>
      <c r="P138" s="68">
        <f t="shared" si="58"/>
        <v>17415</v>
      </c>
      <c r="Q138" s="68">
        <f t="shared" si="59"/>
        <v>18060</v>
      </c>
      <c r="R138" s="11">
        <f t="shared" si="60"/>
        <v>18705</v>
      </c>
      <c r="S138" s="11"/>
      <c r="T138" s="11">
        <f t="shared" si="61"/>
        <v>20640</v>
      </c>
      <c r="U138" s="38">
        <f t="shared" si="25"/>
        <v>19243.580000000002</v>
      </c>
      <c r="V138" s="38">
        <f t="shared" si="26"/>
        <v>19956.3</v>
      </c>
      <c r="W138" s="38">
        <f t="shared" si="27"/>
        <v>20669.03</v>
      </c>
      <c r="X138" s="38">
        <f t="shared" si="28"/>
        <v>21381.75</v>
      </c>
      <c r="Z138" s="4">
        <f t="shared" si="62"/>
        <v>90300</v>
      </c>
      <c r="AA138" s="4">
        <f t="shared" si="63"/>
        <v>99781.5</v>
      </c>
    </row>
    <row r="139" spans="1:27" x14ac:dyDescent="0.3">
      <c r="A139" s="135"/>
      <c r="B139" s="125"/>
      <c r="C139" s="3" t="s">
        <v>1481</v>
      </c>
      <c r="D139" s="55" t="s">
        <v>610</v>
      </c>
      <c r="E139" s="55" t="s">
        <v>1275</v>
      </c>
      <c r="F139" s="55"/>
      <c r="G139" s="56">
        <v>300</v>
      </c>
      <c r="H139" s="49">
        <v>65</v>
      </c>
      <c r="I139" s="50">
        <f>2+2</f>
        <v>4</v>
      </c>
      <c r="J139" s="77">
        <f>+H139-I139</f>
        <v>61</v>
      </c>
      <c r="K139" s="31">
        <v>89</v>
      </c>
      <c r="L139" s="32">
        <v>44231</v>
      </c>
      <c r="M139" s="33">
        <v>0.21</v>
      </c>
      <c r="N139" s="64">
        <f t="shared" si="56"/>
        <v>107.69</v>
      </c>
      <c r="O139" s="68">
        <f t="shared" si="57"/>
        <v>115.7</v>
      </c>
      <c r="P139" s="68">
        <f t="shared" si="58"/>
        <v>120.15</v>
      </c>
      <c r="Q139" s="68">
        <f t="shared" si="59"/>
        <v>124.6</v>
      </c>
      <c r="R139" s="11">
        <f t="shared" si="60"/>
        <v>129.05000000000001</v>
      </c>
      <c r="S139" s="11">
        <f t="shared" ref="S139:S163" si="64">ROUND(K139*(1+$S$3),2)</f>
        <v>133.5</v>
      </c>
      <c r="T139" s="11">
        <f t="shared" si="61"/>
        <v>142.4</v>
      </c>
      <c r="U139" s="38">
        <f t="shared" si="25"/>
        <v>145.38</v>
      </c>
      <c r="V139" s="38">
        <f t="shared" si="26"/>
        <v>150.77000000000001</v>
      </c>
      <c r="W139" s="38">
        <f t="shared" si="27"/>
        <v>156.15</v>
      </c>
      <c r="X139" s="38">
        <f t="shared" si="28"/>
        <v>161.54</v>
      </c>
      <c r="Z139" s="4">
        <f t="shared" si="62"/>
        <v>5429</v>
      </c>
      <c r="AA139" s="4">
        <f t="shared" si="63"/>
        <v>6569.09</v>
      </c>
    </row>
    <row r="140" spans="1:27" x14ac:dyDescent="0.3">
      <c r="A140" s="135"/>
      <c r="B140" s="125"/>
      <c r="C140" s="3" t="s">
        <v>1483</v>
      </c>
      <c r="D140" s="55"/>
      <c r="E140" s="55"/>
      <c r="F140" s="55" t="s">
        <v>1482</v>
      </c>
      <c r="G140" s="83"/>
      <c r="H140" s="49">
        <f>100+20</f>
        <v>120</v>
      </c>
      <c r="I140" s="50">
        <f>20+50+5+30+15</f>
        <v>120</v>
      </c>
      <c r="J140" s="77">
        <f>+H140-I140</f>
        <v>0</v>
      </c>
      <c r="K140" s="31">
        <v>117</v>
      </c>
      <c r="L140" s="32">
        <v>44148</v>
      </c>
      <c r="M140" s="33">
        <v>0.21</v>
      </c>
      <c r="N140" s="64">
        <f t="shared" si="56"/>
        <v>141.57</v>
      </c>
      <c r="O140" s="68">
        <f t="shared" si="57"/>
        <v>152.1</v>
      </c>
      <c r="P140" s="68">
        <f t="shared" si="58"/>
        <v>157.94999999999999</v>
      </c>
      <c r="Q140" s="68">
        <f t="shared" si="59"/>
        <v>163.80000000000001</v>
      </c>
      <c r="R140" s="11">
        <f t="shared" si="60"/>
        <v>169.65</v>
      </c>
      <c r="S140" s="11"/>
      <c r="T140" s="11">
        <f t="shared" si="61"/>
        <v>187.2</v>
      </c>
      <c r="U140" s="38">
        <f t="shared" si="25"/>
        <v>191.12</v>
      </c>
      <c r="V140" s="38">
        <f t="shared" si="26"/>
        <v>198.2</v>
      </c>
      <c r="W140" s="38">
        <f t="shared" si="27"/>
        <v>205.28</v>
      </c>
      <c r="X140" s="38">
        <f t="shared" si="28"/>
        <v>212.36</v>
      </c>
      <c r="Z140" s="4">
        <f t="shared" si="62"/>
        <v>0</v>
      </c>
      <c r="AA140" s="4">
        <f t="shared" si="63"/>
        <v>0</v>
      </c>
    </row>
    <row r="141" spans="1:27" x14ac:dyDescent="0.3">
      <c r="A141" s="135"/>
      <c r="B141" s="125"/>
      <c r="C141" s="3" t="s">
        <v>1547</v>
      </c>
      <c r="D141" s="55"/>
      <c r="E141" s="55"/>
      <c r="F141" s="55" t="s">
        <v>1275</v>
      </c>
      <c r="G141" s="83">
        <v>0</v>
      </c>
      <c r="H141" s="49">
        <v>1000</v>
      </c>
      <c r="I141" s="50"/>
      <c r="J141" s="77">
        <f>+H141-I141</f>
        <v>1000</v>
      </c>
      <c r="K141" s="31">
        <v>121</v>
      </c>
      <c r="L141" s="32">
        <v>44246</v>
      </c>
      <c r="M141" s="33">
        <v>0.21</v>
      </c>
      <c r="N141" s="64">
        <f>+K141*(1+M141)</f>
        <v>146.41</v>
      </c>
      <c r="O141" s="68">
        <f t="shared" si="57"/>
        <v>157.30000000000001</v>
      </c>
      <c r="P141" s="68">
        <f t="shared" si="58"/>
        <v>163.35</v>
      </c>
      <c r="Q141" s="68">
        <f t="shared" si="59"/>
        <v>169.4</v>
      </c>
      <c r="R141" s="11">
        <f t="shared" si="60"/>
        <v>175.45</v>
      </c>
      <c r="S141" s="11"/>
      <c r="T141" s="11">
        <f t="shared" si="61"/>
        <v>193.6</v>
      </c>
      <c r="U141" s="38">
        <f t="shared" si="25"/>
        <v>197.65</v>
      </c>
      <c r="V141" s="38">
        <f t="shared" si="26"/>
        <v>204.97</v>
      </c>
      <c r="W141" s="38">
        <f t="shared" si="27"/>
        <v>212.29</v>
      </c>
      <c r="X141" s="38">
        <f t="shared" si="28"/>
        <v>219.62</v>
      </c>
      <c r="Z141" s="4"/>
      <c r="AA141" s="4">
        <f t="shared" si="63"/>
        <v>146410</v>
      </c>
    </row>
    <row r="142" spans="1:27" x14ac:dyDescent="0.3">
      <c r="B142" s="125"/>
      <c r="C142" s="3" t="s">
        <v>442</v>
      </c>
      <c r="D142" s="91" t="s">
        <v>779</v>
      </c>
      <c r="E142" s="55" t="s">
        <v>70</v>
      </c>
      <c r="F142" s="55" t="s">
        <v>315</v>
      </c>
      <c r="G142" s="56">
        <v>5</v>
      </c>
      <c r="H142" s="49">
        <f>40+10</f>
        <v>50</v>
      </c>
      <c r="I142" s="50">
        <f>6+2+6+26+6</f>
        <v>46</v>
      </c>
      <c r="J142" s="77">
        <f>+H142-I142</f>
        <v>4</v>
      </c>
      <c r="K142" s="31">
        <v>406</v>
      </c>
      <c r="L142" s="32">
        <v>44141</v>
      </c>
      <c r="M142" s="33">
        <v>0.21</v>
      </c>
      <c r="N142" s="64">
        <f t="shared" si="56"/>
        <v>491.26</v>
      </c>
      <c r="O142" s="68">
        <f t="shared" si="57"/>
        <v>527.79999999999995</v>
      </c>
      <c r="P142" s="68">
        <f t="shared" si="58"/>
        <v>548.1</v>
      </c>
      <c r="Q142" s="68">
        <f t="shared" si="59"/>
        <v>568.4</v>
      </c>
      <c r="R142" s="11">
        <f t="shared" si="60"/>
        <v>588.70000000000005</v>
      </c>
      <c r="S142" s="11">
        <f t="shared" si="64"/>
        <v>609</v>
      </c>
      <c r="T142" s="11">
        <f t="shared" si="61"/>
        <v>649.6</v>
      </c>
      <c r="U142" s="38">
        <f t="shared" si="25"/>
        <v>663.2</v>
      </c>
      <c r="V142" s="38">
        <f t="shared" si="26"/>
        <v>687.76</v>
      </c>
      <c r="W142" s="38">
        <f t="shared" si="27"/>
        <v>712.33</v>
      </c>
      <c r="X142" s="38">
        <f t="shared" si="28"/>
        <v>736.89</v>
      </c>
      <c r="Z142" s="4">
        <f t="shared" si="62"/>
        <v>1624</v>
      </c>
      <c r="AA142" s="4">
        <f t="shared" si="63"/>
        <v>1965.04</v>
      </c>
    </row>
    <row r="143" spans="1:27" x14ac:dyDescent="0.3">
      <c r="A143" s="135"/>
      <c r="C143" s="3" t="s">
        <v>1174</v>
      </c>
      <c r="D143" s="118">
        <v>1706</v>
      </c>
      <c r="E143" s="55" t="s">
        <v>70</v>
      </c>
      <c r="F143" s="55" t="s">
        <v>232</v>
      </c>
      <c r="G143" s="56">
        <v>0</v>
      </c>
      <c r="H143" s="49">
        <v>10</v>
      </c>
      <c r="I143" s="50">
        <f>1+6</f>
        <v>7</v>
      </c>
      <c r="J143" s="77">
        <f>+H143-I143</f>
        <v>3</v>
      </c>
      <c r="K143" s="31">
        <v>22.8</v>
      </c>
      <c r="L143" s="32">
        <v>43902</v>
      </c>
      <c r="M143" s="33">
        <v>0.21</v>
      </c>
      <c r="N143" s="64">
        <f t="shared" si="56"/>
        <v>27.588000000000001</v>
      </c>
      <c r="O143" s="68">
        <f t="shared" si="57"/>
        <v>29.64</v>
      </c>
      <c r="P143" s="68">
        <f t="shared" si="58"/>
        <v>30.78</v>
      </c>
      <c r="Q143" s="68">
        <f t="shared" si="59"/>
        <v>31.92</v>
      </c>
      <c r="R143" s="11">
        <f t="shared" si="60"/>
        <v>33.06</v>
      </c>
      <c r="S143" s="11"/>
      <c r="T143" s="11">
        <f t="shared" si="61"/>
        <v>36.479999999999997</v>
      </c>
      <c r="U143" s="38">
        <f t="shared" ref="U143:U188" si="65">ROUND((N143*(1+$U$3)),2)</f>
        <v>37.24</v>
      </c>
      <c r="V143" s="38">
        <f t="shared" ref="V143:V188" si="66">ROUND((N143*(1+$V$3)),2)</f>
        <v>38.619999999999997</v>
      </c>
      <c r="W143" s="38">
        <f t="shared" ref="W143:W188" si="67">ROUND((N143*(1+$W$3)),2)</f>
        <v>40</v>
      </c>
      <c r="X143" s="38">
        <f t="shared" si="28"/>
        <v>41.38</v>
      </c>
      <c r="Z143" s="4">
        <f t="shared" si="62"/>
        <v>68.400000000000006</v>
      </c>
      <c r="AA143" s="4">
        <f t="shared" si="63"/>
        <v>82.76400000000001</v>
      </c>
    </row>
    <row r="144" spans="1:27" x14ac:dyDescent="0.3">
      <c r="A144" s="135"/>
      <c r="B144" s="125"/>
      <c r="C144" s="3" t="s">
        <v>235</v>
      </c>
      <c r="D144" s="55" t="s">
        <v>493</v>
      </c>
      <c r="E144" s="55" t="s">
        <v>362</v>
      </c>
      <c r="F144" s="55" t="s">
        <v>728</v>
      </c>
      <c r="G144" s="56">
        <v>30</v>
      </c>
      <c r="H144" s="49">
        <f>55+90+7+5+1+2+12+10</f>
        <v>182</v>
      </c>
      <c r="I144" s="50">
        <f>73+6+4+2+15+3+10+5+5+3+5+10+1+2+3+10+1+2+10+2</f>
        <v>172</v>
      </c>
      <c r="J144" s="77">
        <f>+H144-I144</f>
        <v>10</v>
      </c>
      <c r="K144" s="31">
        <v>36</v>
      </c>
      <c r="L144" s="32">
        <v>44146</v>
      </c>
      <c r="M144" s="33">
        <v>0.21</v>
      </c>
      <c r="N144" s="64">
        <f t="shared" si="56"/>
        <v>43.56</v>
      </c>
      <c r="O144" s="68">
        <f t="shared" si="57"/>
        <v>46.8</v>
      </c>
      <c r="P144" s="68">
        <f t="shared" si="58"/>
        <v>48.6</v>
      </c>
      <c r="Q144" s="68">
        <f t="shared" si="59"/>
        <v>50.4</v>
      </c>
      <c r="R144" s="11">
        <f t="shared" si="60"/>
        <v>52.2</v>
      </c>
      <c r="S144" s="11">
        <f t="shared" si="64"/>
        <v>54</v>
      </c>
      <c r="T144" s="11">
        <f t="shared" si="61"/>
        <v>57.6</v>
      </c>
      <c r="U144" s="38">
        <f t="shared" si="65"/>
        <v>58.81</v>
      </c>
      <c r="V144" s="38">
        <f t="shared" si="66"/>
        <v>60.98</v>
      </c>
      <c r="W144" s="38">
        <f t="shared" si="67"/>
        <v>63.16</v>
      </c>
      <c r="X144" s="38">
        <f t="shared" ref="X144:X189" si="68">ROUND((N144*(1+$X$3)),2)</f>
        <v>65.34</v>
      </c>
      <c r="Z144" s="4">
        <f t="shared" si="62"/>
        <v>360</v>
      </c>
      <c r="AA144" s="4">
        <f t="shared" si="63"/>
        <v>435.6</v>
      </c>
    </row>
    <row r="145" spans="1:27" x14ac:dyDescent="0.3">
      <c r="A145" s="135"/>
      <c r="B145" s="125"/>
      <c r="C145" s="3" t="s">
        <v>236</v>
      </c>
      <c r="D145" s="55" t="s">
        <v>148</v>
      </c>
      <c r="E145" s="55" t="s">
        <v>362</v>
      </c>
      <c r="F145" s="55" t="s">
        <v>1370</v>
      </c>
      <c r="G145" s="56">
        <v>30</v>
      </c>
      <c r="H145" s="49">
        <f>50+50+9+16+2</f>
        <v>127</v>
      </c>
      <c r="I145" s="50">
        <f>26+2+1+3+10+5+10+5+3+5+11+2+4+1+1+1+17+2</f>
        <v>109</v>
      </c>
      <c r="J145" s="77">
        <f>+H145-I145</f>
        <v>18</v>
      </c>
      <c r="K145" s="31">
        <v>36</v>
      </c>
      <c r="L145" s="32">
        <v>44146</v>
      </c>
      <c r="M145" s="33">
        <v>0.21</v>
      </c>
      <c r="N145" s="64">
        <f t="shared" si="56"/>
        <v>43.56</v>
      </c>
      <c r="O145" s="68">
        <f t="shared" si="57"/>
        <v>46.8</v>
      </c>
      <c r="P145" s="68">
        <f t="shared" si="58"/>
        <v>48.6</v>
      </c>
      <c r="Q145" s="68">
        <f t="shared" si="59"/>
        <v>50.4</v>
      </c>
      <c r="R145" s="11">
        <f t="shared" si="60"/>
        <v>52.2</v>
      </c>
      <c r="S145" s="11">
        <f t="shared" si="64"/>
        <v>54</v>
      </c>
      <c r="T145" s="11">
        <f t="shared" si="61"/>
        <v>57.6</v>
      </c>
      <c r="U145" s="38">
        <f t="shared" si="65"/>
        <v>58.81</v>
      </c>
      <c r="V145" s="38">
        <f t="shared" si="66"/>
        <v>60.98</v>
      </c>
      <c r="W145" s="38">
        <f t="shared" si="67"/>
        <v>63.16</v>
      </c>
      <c r="X145" s="38">
        <f t="shared" si="68"/>
        <v>65.34</v>
      </c>
      <c r="Z145" s="4">
        <f t="shared" si="62"/>
        <v>648</v>
      </c>
      <c r="AA145" s="4">
        <f t="shared" si="63"/>
        <v>784.08</v>
      </c>
    </row>
    <row r="146" spans="1:27" x14ac:dyDescent="0.3">
      <c r="A146" s="135"/>
      <c r="B146" s="125"/>
      <c r="C146" s="3" t="s">
        <v>237</v>
      </c>
      <c r="D146" s="55" t="s">
        <v>149</v>
      </c>
      <c r="E146" s="55" t="s">
        <v>362</v>
      </c>
      <c r="F146" s="55" t="s">
        <v>1371</v>
      </c>
      <c r="G146" s="56">
        <v>30</v>
      </c>
      <c r="H146" s="49">
        <f>38+10+50+10</f>
        <v>108</v>
      </c>
      <c r="I146" s="50">
        <f>17+2+1+3+10+6+5+5+3+5+1+2+18+1+1+1+2+13+2</f>
        <v>98</v>
      </c>
      <c r="J146" s="77">
        <f>+H146-I146</f>
        <v>10</v>
      </c>
      <c r="K146" s="31">
        <v>36</v>
      </c>
      <c r="L146" s="32">
        <v>44146</v>
      </c>
      <c r="M146" s="33">
        <v>0.21</v>
      </c>
      <c r="N146" s="64">
        <f t="shared" si="56"/>
        <v>43.56</v>
      </c>
      <c r="O146" s="68">
        <f t="shared" si="57"/>
        <v>46.8</v>
      </c>
      <c r="P146" s="68">
        <f t="shared" si="58"/>
        <v>48.6</v>
      </c>
      <c r="Q146" s="68">
        <f t="shared" si="59"/>
        <v>50.4</v>
      </c>
      <c r="R146" s="11">
        <f t="shared" si="60"/>
        <v>52.2</v>
      </c>
      <c r="S146" s="11">
        <f t="shared" si="64"/>
        <v>54</v>
      </c>
      <c r="T146" s="11">
        <f t="shared" si="61"/>
        <v>57.6</v>
      </c>
      <c r="U146" s="38">
        <f t="shared" si="65"/>
        <v>58.81</v>
      </c>
      <c r="V146" s="38">
        <f t="shared" si="66"/>
        <v>60.98</v>
      </c>
      <c r="W146" s="38">
        <f t="shared" si="67"/>
        <v>63.16</v>
      </c>
      <c r="X146" s="38">
        <f t="shared" si="68"/>
        <v>65.34</v>
      </c>
      <c r="Z146" s="4">
        <f t="shared" si="62"/>
        <v>360</v>
      </c>
      <c r="AA146" s="4">
        <f t="shared" si="63"/>
        <v>435.6</v>
      </c>
    </row>
    <row r="147" spans="1:27" x14ac:dyDescent="0.3">
      <c r="A147" s="135"/>
      <c r="B147" s="125"/>
      <c r="C147" s="3" t="s">
        <v>238</v>
      </c>
      <c r="D147" s="55" t="s">
        <v>150</v>
      </c>
      <c r="E147" s="55" t="s">
        <v>362</v>
      </c>
      <c r="F147" s="55" t="s">
        <v>728</v>
      </c>
      <c r="G147" s="56">
        <v>30</v>
      </c>
      <c r="H147" s="49">
        <f>24+100+9</f>
        <v>133</v>
      </c>
      <c r="I147" s="50">
        <f>22+4+2+1+10+3+10+5+5+3+5+1+2+9+1+1+1+2+13+2</f>
        <v>102</v>
      </c>
      <c r="J147" s="77">
        <f>+H147-I147</f>
        <v>31</v>
      </c>
      <c r="K147" s="31">
        <v>36</v>
      </c>
      <c r="L147" s="32">
        <v>44146</v>
      </c>
      <c r="M147" s="33">
        <v>0.21</v>
      </c>
      <c r="N147" s="64">
        <f t="shared" si="56"/>
        <v>43.56</v>
      </c>
      <c r="O147" s="68">
        <f t="shared" si="57"/>
        <v>46.8</v>
      </c>
      <c r="P147" s="68">
        <f t="shared" si="58"/>
        <v>48.6</v>
      </c>
      <c r="Q147" s="68">
        <f t="shared" si="59"/>
        <v>50.4</v>
      </c>
      <c r="R147" s="11">
        <f t="shared" si="60"/>
        <v>52.2</v>
      </c>
      <c r="S147" s="11">
        <f t="shared" si="64"/>
        <v>54</v>
      </c>
      <c r="T147" s="11">
        <f t="shared" si="61"/>
        <v>57.6</v>
      </c>
      <c r="U147" s="38">
        <f t="shared" si="65"/>
        <v>58.81</v>
      </c>
      <c r="V147" s="38">
        <f t="shared" si="66"/>
        <v>60.98</v>
      </c>
      <c r="W147" s="38">
        <f t="shared" si="67"/>
        <v>63.16</v>
      </c>
      <c r="X147" s="38">
        <f t="shared" si="68"/>
        <v>65.34</v>
      </c>
      <c r="Z147" s="4">
        <f t="shared" si="62"/>
        <v>1116</v>
      </c>
      <c r="AA147" s="4">
        <f t="shared" si="63"/>
        <v>1350.3600000000001</v>
      </c>
    </row>
    <row r="148" spans="1:27" x14ac:dyDescent="0.3">
      <c r="A148" s="135"/>
      <c r="B148" s="125"/>
      <c r="C148" s="3" t="s">
        <v>239</v>
      </c>
      <c r="D148" s="55" t="s">
        <v>151</v>
      </c>
      <c r="E148" s="55" t="s">
        <v>362</v>
      </c>
      <c r="F148" s="55" t="s">
        <v>1371</v>
      </c>
      <c r="G148" s="56">
        <v>30</v>
      </c>
      <c r="H148" s="49">
        <f>50+100+10+10</f>
        <v>170</v>
      </c>
      <c r="I148" s="50">
        <f>43+2+1+3+10+6+5+5+3+5+10+1+4+2+4+20+19+1+1+1+2+3+2</f>
        <v>153</v>
      </c>
      <c r="J148" s="77">
        <f>+H148-I148</f>
        <v>17</v>
      </c>
      <c r="K148" s="31">
        <v>36</v>
      </c>
      <c r="L148" s="32">
        <v>44146</v>
      </c>
      <c r="M148" s="33">
        <v>0.21</v>
      </c>
      <c r="N148" s="64">
        <f t="shared" si="56"/>
        <v>43.56</v>
      </c>
      <c r="O148" s="68">
        <f t="shared" si="57"/>
        <v>46.8</v>
      </c>
      <c r="P148" s="68">
        <f t="shared" si="58"/>
        <v>48.6</v>
      </c>
      <c r="Q148" s="68">
        <f t="shared" si="59"/>
        <v>50.4</v>
      </c>
      <c r="R148" s="11">
        <f t="shared" si="60"/>
        <v>52.2</v>
      </c>
      <c r="S148" s="11">
        <f t="shared" si="64"/>
        <v>54</v>
      </c>
      <c r="T148" s="11">
        <f t="shared" si="61"/>
        <v>57.6</v>
      </c>
      <c r="U148" s="38">
        <f t="shared" si="65"/>
        <v>58.81</v>
      </c>
      <c r="V148" s="38">
        <f t="shared" si="66"/>
        <v>60.98</v>
      </c>
      <c r="W148" s="38">
        <f t="shared" si="67"/>
        <v>63.16</v>
      </c>
      <c r="X148" s="38">
        <f t="shared" si="68"/>
        <v>65.34</v>
      </c>
      <c r="Z148" s="4">
        <f t="shared" si="62"/>
        <v>612</v>
      </c>
      <c r="AA148" s="4">
        <f t="shared" si="63"/>
        <v>740.52</v>
      </c>
    </row>
    <row r="149" spans="1:27" x14ac:dyDescent="0.3">
      <c r="A149" s="135"/>
      <c r="B149" s="125"/>
      <c r="C149" s="3" t="s">
        <v>338</v>
      </c>
      <c r="D149" s="55" t="s">
        <v>152</v>
      </c>
      <c r="E149" s="55" t="s">
        <v>362</v>
      </c>
      <c r="F149" s="55" t="s">
        <v>1371</v>
      </c>
      <c r="G149" s="56">
        <v>30</v>
      </c>
      <c r="H149" s="49">
        <f>57+50+8</f>
        <v>115</v>
      </c>
      <c r="I149" s="69">
        <f>30+5+2+15+1+6+5+5+6+3+5+10+1+4+2+4+3+8</f>
        <v>115</v>
      </c>
      <c r="J149" s="77">
        <f>+H149-I149</f>
        <v>0</v>
      </c>
      <c r="K149" s="31">
        <v>36</v>
      </c>
      <c r="L149" s="32">
        <v>44146</v>
      </c>
      <c r="M149" s="33">
        <v>0.21</v>
      </c>
      <c r="N149" s="64">
        <f t="shared" si="56"/>
        <v>43.56</v>
      </c>
      <c r="O149" s="68">
        <f t="shared" si="57"/>
        <v>46.8</v>
      </c>
      <c r="P149" s="68">
        <f t="shared" si="58"/>
        <v>48.6</v>
      </c>
      <c r="Q149" s="68">
        <f t="shared" si="59"/>
        <v>50.4</v>
      </c>
      <c r="R149" s="11">
        <f t="shared" si="60"/>
        <v>52.2</v>
      </c>
      <c r="S149" s="11">
        <f t="shared" si="64"/>
        <v>54</v>
      </c>
      <c r="T149" s="11">
        <f t="shared" si="61"/>
        <v>57.6</v>
      </c>
      <c r="U149" s="38">
        <f t="shared" si="65"/>
        <v>58.81</v>
      </c>
      <c r="V149" s="38">
        <f t="shared" si="66"/>
        <v>60.98</v>
      </c>
      <c r="W149" s="38">
        <f t="shared" si="67"/>
        <v>63.16</v>
      </c>
      <c r="X149" s="38">
        <f t="shared" si="68"/>
        <v>65.34</v>
      </c>
      <c r="Z149" s="4">
        <f t="shared" si="62"/>
        <v>0</v>
      </c>
      <c r="AA149" s="4">
        <f t="shared" si="63"/>
        <v>0</v>
      </c>
    </row>
    <row r="150" spans="1:27" x14ac:dyDescent="0.3">
      <c r="A150" s="135"/>
      <c r="B150" s="125"/>
      <c r="C150" s="3" t="s">
        <v>339</v>
      </c>
      <c r="D150" s="55" t="s">
        <v>147</v>
      </c>
      <c r="E150" s="55" t="s">
        <v>362</v>
      </c>
      <c r="F150" s="55" t="s">
        <v>728</v>
      </c>
      <c r="G150" s="56">
        <v>30</v>
      </c>
      <c r="H150" s="49">
        <f>100+7+50+7</f>
        <v>164</v>
      </c>
      <c r="I150" s="50">
        <f>10+5+6+2+15+3+10+6+5+5+3+5+6+10+1+4+5+6+10+1+1+2+10+2</f>
        <v>133</v>
      </c>
      <c r="J150" s="77">
        <f>+H150-I150</f>
        <v>31</v>
      </c>
      <c r="K150" s="31">
        <v>36</v>
      </c>
      <c r="L150" s="32">
        <v>44146</v>
      </c>
      <c r="M150" s="33">
        <v>0.21</v>
      </c>
      <c r="N150" s="64">
        <f t="shared" si="56"/>
        <v>43.56</v>
      </c>
      <c r="O150" s="68">
        <f t="shared" si="57"/>
        <v>46.8</v>
      </c>
      <c r="P150" s="68">
        <f t="shared" si="58"/>
        <v>48.6</v>
      </c>
      <c r="Q150" s="68">
        <f t="shared" si="59"/>
        <v>50.4</v>
      </c>
      <c r="R150" s="11">
        <f t="shared" si="60"/>
        <v>52.2</v>
      </c>
      <c r="S150" s="11">
        <f t="shared" si="64"/>
        <v>54</v>
      </c>
      <c r="T150" s="11">
        <f t="shared" si="61"/>
        <v>57.6</v>
      </c>
      <c r="U150" s="38">
        <f t="shared" si="65"/>
        <v>58.81</v>
      </c>
      <c r="V150" s="38">
        <f t="shared" si="66"/>
        <v>60.98</v>
      </c>
      <c r="W150" s="38">
        <f t="shared" si="67"/>
        <v>63.16</v>
      </c>
      <c r="X150" s="38">
        <f t="shared" si="68"/>
        <v>65.34</v>
      </c>
      <c r="Z150" s="4">
        <f t="shared" si="62"/>
        <v>1116</v>
      </c>
      <c r="AA150" s="4">
        <f t="shared" si="63"/>
        <v>1350.3600000000001</v>
      </c>
    </row>
    <row r="151" spans="1:27" x14ac:dyDescent="0.3">
      <c r="A151" s="135"/>
      <c r="B151" s="125"/>
      <c r="C151" s="3" t="s">
        <v>5</v>
      </c>
      <c r="D151" s="55" t="s">
        <v>61</v>
      </c>
      <c r="E151" s="55" t="s">
        <v>362</v>
      </c>
      <c r="F151" s="55" t="s">
        <v>830</v>
      </c>
      <c r="G151" s="56">
        <v>0</v>
      </c>
      <c r="H151" s="49">
        <f>2</f>
        <v>2</v>
      </c>
      <c r="I151" s="50">
        <f>2</f>
        <v>2</v>
      </c>
      <c r="J151" s="77">
        <f>+H151-I151</f>
        <v>0</v>
      </c>
      <c r="K151" s="31">
        <v>328.8</v>
      </c>
      <c r="L151" s="32">
        <v>44238</v>
      </c>
      <c r="M151" s="33">
        <v>0.21</v>
      </c>
      <c r="N151" s="64">
        <f t="shared" si="56"/>
        <v>397.84800000000001</v>
      </c>
      <c r="O151" s="68">
        <f t="shared" si="57"/>
        <v>427.44</v>
      </c>
      <c r="P151" s="68">
        <f t="shared" si="58"/>
        <v>443.88</v>
      </c>
      <c r="Q151" s="68">
        <f t="shared" si="59"/>
        <v>460.32</v>
      </c>
      <c r="R151" s="11">
        <f t="shared" si="60"/>
        <v>476.76</v>
      </c>
      <c r="S151" s="11">
        <f t="shared" si="64"/>
        <v>493.2</v>
      </c>
      <c r="T151" s="11">
        <f t="shared" si="61"/>
        <v>526.08000000000004</v>
      </c>
      <c r="U151" s="38">
        <f t="shared" si="65"/>
        <v>537.09</v>
      </c>
      <c r="V151" s="38">
        <f t="shared" si="66"/>
        <v>556.99</v>
      </c>
      <c r="W151" s="38">
        <f t="shared" si="67"/>
        <v>576.88</v>
      </c>
      <c r="X151" s="38">
        <f t="shared" si="68"/>
        <v>596.77</v>
      </c>
      <c r="Z151" s="4">
        <f t="shared" si="62"/>
        <v>0</v>
      </c>
      <c r="AA151" s="4">
        <f t="shared" si="63"/>
        <v>0</v>
      </c>
    </row>
    <row r="152" spans="1:27" x14ac:dyDescent="0.3">
      <c r="A152" s="135"/>
      <c r="B152" s="125"/>
      <c r="C152" s="3" t="s">
        <v>933</v>
      </c>
      <c r="D152" s="55"/>
      <c r="E152" s="55" t="s">
        <v>437</v>
      </c>
      <c r="F152" s="55" t="s">
        <v>830</v>
      </c>
      <c r="G152" s="56">
        <v>0</v>
      </c>
      <c r="H152" s="49">
        <v>4</v>
      </c>
      <c r="I152" s="50">
        <v>2</v>
      </c>
      <c r="J152" s="77">
        <f>+H152-I152</f>
        <v>2</v>
      </c>
      <c r="K152" s="31">
        <v>328.8</v>
      </c>
      <c r="L152" s="32">
        <v>44238</v>
      </c>
      <c r="M152" s="33">
        <v>0.21</v>
      </c>
      <c r="N152" s="64">
        <f t="shared" si="56"/>
        <v>397.84800000000001</v>
      </c>
      <c r="O152" s="68">
        <f t="shared" si="57"/>
        <v>427.44</v>
      </c>
      <c r="P152" s="68">
        <f t="shared" si="58"/>
        <v>443.88</v>
      </c>
      <c r="Q152" s="68">
        <f t="shared" si="59"/>
        <v>460.32</v>
      </c>
      <c r="R152" s="11">
        <f t="shared" si="60"/>
        <v>476.76</v>
      </c>
      <c r="S152" s="11">
        <f t="shared" si="64"/>
        <v>493.2</v>
      </c>
      <c r="T152" s="11">
        <f t="shared" si="61"/>
        <v>526.08000000000004</v>
      </c>
      <c r="U152" s="38">
        <f t="shared" si="65"/>
        <v>537.09</v>
      </c>
      <c r="V152" s="38">
        <f t="shared" si="66"/>
        <v>556.99</v>
      </c>
      <c r="W152" s="38">
        <f t="shared" si="67"/>
        <v>576.88</v>
      </c>
      <c r="X152" s="38">
        <f t="shared" si="68"/>
        <v>596.77</v>
      </c>
      <c r="Z152" s="4">
        <f t="shared" si="62"/>
        <v>657.6</v>
      </c>
      <c r="AA152" s="4">
        <f t="shared" si="63"/>
        <v>795.69600000000003</v>
      </c>
    </row>
    <row r="153" spans="1:27" x14ac:dyDescent="0.3">
      <c r="A153" s="135"/>
      <c r="B153" s="125"/>
      <c r="C153" s="3" t="s">
        <v>6</v>
      </c>
      <c r="D153" s="55" t="s">
        <v>61</v>
      </c>
      <c r="E153" s="55" t="s">
        <v>362</v>
      </c>
      <c r="F153" s="55" t="s">
        <v>830</v>
      </c>
      <c r="G153" s="56">
        <v>0</v>
      </c>
      <c r="H153" s="49">
        <v>5</v>
      </c>
      <c r="I153" s="50">
        <v>1</v>
      </c>
      <c r="J153" s="77">
        <f>+H153-I153</f>
        <v>4</v>
      </c>
      <c r="K153" s="31">
        <v>328.8</v>
      </c>
      <c r="L153" s="32">
        <v>44238</v>
      </c>
      <c r="M153" s="33">
        <v>0.21</v>
      </c>
      <c r="N153" s="64">
        <f t="shared" si="56"/>
        <v>397.84800000000001</v>
      </c>
      <c r="O153" s="68">
        <f t="shared" si="57"/>
        <v>427.44</v>
      </c>
      <c r="P153" s="68">
        <f t="shared" si="58"/>
        <v>443.88</v>
      </c>
      <c r="Q153" s="68">
        <f t="shared" si="59"/>
        <v>460.32</v>
      </c>
      <c r="R153" s="11">
        <f t="shared" si="60"/>
        <v>476.76</v>
      </c>
      <c r="S153" s="11">
        <f t="shared" si="64"/>
        <v>493.2</v>
      </c>
      <c r="T153" s="11">
        <f t="shared" si="61"/>
        <v>526.08000000000004</v>
      </c>
      <c r="U153" s="38">
        <f t="shared" si="65"/>
        <v>537.09</v>
      </c>
      <c r="V153" s="38">
        <f t="shared" si="66"/>
        <v>556.99</v>
      </c>
      <c r="W153" s="38">
        <f t="shared" si="67"/>
        <v>576.88</v>
      </c>
      <c r="X153" s="38">
        <f t="shared" si="68"/>
        <v>596.77</v>
      </c>
      <c r="Z153" s="4">
        <f t="shared" si="62"/>
        <v>1315.2</v>
      </c>
      <c r="AA153" s="4">
        <f t="shared" si="63"/>
        <v>1591.3920000000001</v>
      </c>
    </row>
    <row r="154" spans="1:27" x14ac:dyDescent="0.3">
      <c r="A154" s="135"/>
      <c r="B154" s="125"/>
      <c r="C154" s="3" t="s">
        <v>7</v>
      </c>
      <c r="D154" s="55" t="s">
        <v>61</v>
      </c>
      <c r="E154" s="55" t="s">
        <v>362</v>
      </c>
      <c r="F154" s="55" t="s">
        <v>830</v>
      </c>
      <c r="G154" s="56">
        <v>0</v>
      </c>
      <c r="H154" s="49">
        <v>7</v>
      </c>
      <c r="I154" s="50">
        <f>5+2</f>
        <v>7</v>
      </c>
      <c r="J154" s="77">
        <f>+H154-I154</f>
        <v>0</v>
      </c>
      <c r="K154" s="31">
        <v>328.8</v>
      </c>
      <c r="L154" s="32">
        <v>44238</v>
      </c>
      <c r="M154" s="33">
        <v>0.21</v>
      </c>
      <c r="N154" s="64">
        <f t="shared" si="56"/>
        <v>397.84800000000001</v>
      </c>
      <c r="O154" s="68">
        <f t="shared" si="57"/>
        <v>427.44</v>
      </c>
      <c r="P154" s="68">
        <f t="shared" si="58"/>
        <v>443.88</v>
      </c>
      <c r="Q154" s="68">
        <f t="shared" si="59"/>
        <v>460.32</v>
      </c>
      <c r="R154" s="11">
        <f t="shared" si="60"/>
        <v>476.76</v>
      </c>
      <c r="S154" s="11">
        <f t="shared" si="64"/>
        <v>493.2</v>
      </c>
      <c r="T154" s="11">
        <f t="shared" si="61"/>
        <v>526.08000000000004</v>
      </c>
      <c r="U154" s="38">
        <f t="shared" si="65"/>
        <v>537.09</v>
      </c>
      <c r="V154" s="38">
        <f t="shared" si="66"/>
        <v>556.99</v>
      </c>
      <c r="W154" s="38">
        <f t="shared" si="67"/>
        <v>576.88</v>
      </c>
      <c r="X154" s="38">
        <f t="shared" si="68"/>
        <v>596.77</v>
      </c>
      <c r="Z154" s="4">
        <f t="shared" si="62"/>
        <v>0</v>
      </c>
      <c r="AA154" s="4">
        <f t="shared" si="63"/>
        <v>0</v>
      </c>
    </row>
    <row r="155" spans="1:27" x14ac:dyDescent="0.3">
      <c r="A155" s="135"/>
      <c r="B155" s="125"/>
      <c r="C155" s="3" t="s">
        <v>391</v>
      </c>
      <c r="D155" s="55" t="s">
        <v>61</v>
      </c>
      <c r="E155" s="55" t="s">
        <v>362</v>
      </c>
      <c r="F155" s="55" t="s">
        <v>830</v>
      </c>
      <c r="G155" s="56">
        <v>0</v>
      </c>
      <c r="H155" s="49">
        <f>11+10</f>
        <v>21</v>
      </c>
      <c r="I155" s="50">
        <f>2+1+1+15+2</f>
        <v>21</v>
      </c>
      <c r="J155" s="77">
        <f>+H155-I155</f>
        <v>0</v>
      </c>
      <c r="K155" s="31">
        <v>328.8</v>
      </c>
      <c r="L155" s="32">
        <v>44238</v>
      </c>
      <c r="M155" s="33">
        <v>0.21</v>
      </c>
      <c r="N155" s="64">
        <f t="shared" si="56"/>
        <v>397.84800000000001</v>
      </c>
      <c r="O155" s="68">
        <f t="shared" si="57"/>
        <v>427.44</v>
      </c>
      <c r="P155" s="68">
        <f t="shared" si="58"/>
        <v>443.88</v>
      </c>
      <c r="Q155" s="68">
        <f t="shared" si="59"/>
        <v>460.32</v>
      </c>
      <c r="R155" s="11">
        <f t="shared" si="60"/>
        <v>476.76</v>
      </c>
      <c r="S155" s="11">
        <f t="shared" si="64"/>
        <v>493.2</v>
      </c>
      <c r="T155" s="11">
        <f t="shared" si="61"/>
        <v>526.08000000000004</v>
      </c>
      <c r="U155" s="38">
        <f t="shared" si="65"/>
        <v>537.09</v>
      </c>
      <c r="V155" s="38">
        <f t="shared" si="66"/>
        <v>556.99</v>
      </c>
      <c r="W155" s="38">
        <f t="shared" si="67"/>
        <v>576.88</v>
      </c>
      <c r="X155" s="38">
        <f t="shared" si="68"/>
        <v>596.77</v>
      </c>
      <c r="Z155" s="4">
        <f t="shared" si="62"/>
        <v>0</v>
      </c>
      <c r="AA155" s="4">
        <f t="shared" si="63"/>
        <v>0</v>
      </c>
    </row>
    <row r="156" spans="1:27" x14ac:dyDescent="0.3">
      <c r="A156" s="135"/>
      <c r="B156" s="125"/>
      <c r="C156" s="3" t="s">
        <v>8</v>
      </c>
      <c r="D156" s="55" t="s">
        <v>611</v>
      </c>
      <c r="E156" s="55" t="s">
        <v>118</v>
      </c>
      <c r="F156" s="55" t="s">
        <v>830</v>
      </c>
      <c r="G156" s="56">
        <v>5</v>
      </c>
      <c r="H156" s="49">
        <f>1+10+10</f>
        <v>21</v>
      </c>
      <c r="I156" s="50">
        <f>4+2+4+1+5</f>
        <v>16</v>
      </c>
      <c r="J156" s="77">
        <f>+H156-I156</f>
        <v>5</v>
      </c>
      <c r="K156" s="31">
        <v>328.8</v>
      </c>
      <c r="L156" s="32">
        <v>44238</v>
      </c>
      <c r="M156" s="33">
        <v>0.21</v>
      </c>
      <c r="N156" s="64">
        <f t="shared" si="56"/>
        <v>397.84800000000001</v>
      </c>
      <c r="O156" s="68">
        <f t="shared" si="57"/>
        <v>427.44</v>
      </c>
      <c r="P156" s="68">
        <f t="shared" si="58"/>
        <v>443.88</v>
      </c>
      <c r="Q156" s="68">
        <f t="shared" si="59"/>
        <v>460.32</v>
      </c>
      <c r="R156" s="11">
        <f t="shared" si="60"/>
        <v>476.76</v>
      </c>
      <c r="S156" s="11">
        <f t="shared" si="64"/>
        <v>493.2</v>
      </c>
      <c r="T156" s="11">
        <f t="shared" si="61"/>
        <v>526.08000000000004</v>
      </c>
      <c r="U156" s="38">
        <f t="shared" si="65"/>
        <v>537.09</v>
      </c>
      <c r="V156" s="38">
        <f t="shared" si="66"/>
        <v>556.99</v>
      </c>
      <c r="W156" s="38">
        <f t="shared" si="67"/>
        <v>576.88</v>
      </c>
      <c r="X156" s="38">
        <f t="shared" si="68"/>
        <v>596.77</v>
      </c>
      <c r="Z156" s="4">
        <f t="shared" si="62"/>
        <v>1644</v>
      </c>
      <c r="AA156" s="4">
        <f t="shared" si="63"/>
        <v>1989.24</v>
      </c>
    </row>
    <row r="157" spans="1:27" x14ac:dyDescent="0.3">
      <c r="A157" s="135"/>
      <c r="B157" s="125"/>
      <c r="C157" s="3" t="s">
        <v>392</v>
      </c>
      <c r="D157" s="55" t="s">
        <v>494</v>
      </c>
      <c r="E157" s="55" t="s">
        <v>362</v>
      </c>
      <c r="F157" s="55" t="s">
        <v>830</v>
      </c>
      <c r="G157" s="56">
        <v>5</v>
      </c>
      <c r="H157" s="49">
        <f>10+10+10+6+10</f>
        <v>46</v>
      </c>
      <c r="I157" s="50">
        <f>2+5+4+4+5+6+4+2+10+1</f>
        <v>43</v>
      </c>
      <c r="J157" s="77">
        <f>+H157-I157</f>
        <v>3</v>
      </c>
      <c r="K157" s="31">
        <v>328.8</v>
      </c>
      <c r="L157" s="32">
        <v>44238</v>
      </c>
      <c r="M157" s="33">
        <v>0.21</v>
      </c>
      <c r="N157" s="64">
        <f t="shared" si="56"/>
        <v>397.84800000000001</v>
      </c>
      <c r="O157" s="68">
        <f t="shared" si="57"/>
        <v>427.44</v>
      </c>
      <c r="P157" s="68">
        <f t="shared" si="58"/>
        <v>443.88</v>
      </c>
      <c r="Q157" s="68">
        <f t="shared" si="59"/>
        <v>460.32</v>
      </c>
      <c r="R157" s="11">
        <f t="shared" si="60"/>
        <v>476.76</v>
      </c>
      <c r="S157" s="11">
        <f t="shared" si="64"/>
        <v>493.2</v>
      </c>
      <c r="T157" s="11">
        <f t="shared" si="61"/>
        <v>526.08000000000004</v>
      </c>
      <c r="U157" s="38">
        <f t="shared" si="65"/>
        <v>537.09</v>
      </c>
      <c r="V157" s="38">
        <f t="shared" si="66"/>
        <v>556.99</v>
      </c>
      <c r="W157" s="38">
        <f t="shared" si="67"/>
        <v>576.88</v>
      </c>
      <c r="X157" s="38">
        <f t="shared" si="68"/>
        <v>596.77</v>
      </c>
      <c r="Z157" s="4">
        <f t="shared" si="62"/>
        <v>986.40000000000009</v>
      </c>
      <c r="AA157" s="4">
        <f t="shared" si="63"/>
        <v>1193.5440000000001</v>
      </c>
    </row>
    <row r="158" spans="1:27" x14ac:dyDescent="0.3">
      <c r="A158" s="135"/>
      <c r="B158" s="125"/>
      <c r="C158" s="3" t="s">
        <v>9</v>
      </c>
      <c r="D158" s="55" t="s">
        <v>61</v>
      </c>
      <c r="E158" s="55" t="s">
        <v>70</v>
      </c>
      <c r="F158" s="55" t="s">
        <v>830</v>
      </c>
      <c r="G158" s="56">
        <v>5</v>
      </c>
      <c r="H158" s="49">
        <f>10+10+20+8+3+5</f>
        <v>56</v>
      </c>
      <c r="I158" s="50">
        <f>6+4+4+6+2+4+8+4+5+3</f>
        <v>46</v>
      </c>
      <c r="J158" s="77">
        <f>+H158-I158</f>
        <v>10</v>
      </c>
      <c r="K158" s="31">
        <v>328.8</v>
      </c>
      <c r="L158" s="32">
        <v>44238</v>
      </c>
      <c r="M158" s="33">
        <v>0.21</v>
      </c>
      <c r="N158" s="64">
        <f t="shared" si="56"/>
        <v>397.84800000000001</v>
      </c>
      <c r="O158" s="68">
        <f t="shared" si="57"/>
        <v>427.44</v>
      </c>
      <c r="P158" s="68">
        <f t="shared" si="58"/>
        <v>443.88</v>
      </c>
      <c r="Q158" s="68">
        <f t="shared" si="59"/>
        <v>460.32</v>
      </c>
      <c r="R158" s="11">
        <f t="shared" si="60"/>
        <v>476.76</v>
      </c>
      <c r="S158" s="11">
        <f t="shared" si="64"/>
        <v>493.2</v>
      </c>
      <c r="T158" s="11">
        <f t="shared" si="61"/>
        <v>526.08000000000004</v>
      </c>
      <c r="U158" s="38">
        <f t="shared" si="65"/>
        <v>537.09</v>
      </c>
      <c r="V158" s="38">
        <f t="shared" si="66"/>
        <v>556.99</v>
      </c>
      <c r="W158" s="38">
        <f t="shared" si="67"/>
        <v>576.88</v>
      </c>
      <c r="X158" s="38">
        <f t="shared" si="68"/>
        <v>596.77</v>
      </c>
      <c r="Z158" s="4">
        <f t="shared" si="62"/>
        <v>3288</v>
      </c>
      <c r="AA158" s="4">
        <f t="shared" si="63"/>
        <v>3978.48</v>
      </c>
    </row>
    <row r="159" spans="1:27" x14ac:dyDescent="0.3">
      <c r="A159" s="135"/>
      <c r="B159" s="125"/>
      <c r="C159" s="3" t="s">
        <v>393</v>
      </c>
      <c r="D159" s="55" t="s">
        <v>61</v>
      </c>
      <c r="E159" s="55" t="s">
        <v>70</v>
      </c>
      <c r="F159" s="55" t="s">
        <v>830</v>
      </c>
      <c r="G159" s="56">
        <v>5</v>
      </c>
      <c r="H159" s="49">
        <f>10+10</f>
        <v>20</v>
      </c>
      <c r="I159" s="50">
        <f>6+4+6+4</f>
        <v>20</v>
      </c>
      <c r="J159" s="77">
        <f>+H159-I159</f>
        <v>0</v>
      </c>
      <c r="K159" s="31">
        <v>328.8</v>
      </c>
      <c r="L159" s="32">
        <v>44238</v>
      </c>
      <c r="M159" s="33">
        <v>0.21</v>
      </c>
      <c r="N159" s="64">
        <f t="shared" si="56"/>
        <v>397.84800000000001</v>
      </c>
      <c r="O159" s="68">
        <f t="shared" si="57"/>
        <v>427.44</v>
      </c>
      <c r="P159" s="68">
        <f t="shared" si="58"/>
        <v>443.88</v>
      </c>
      <c r="Q159" s="68">
        <f t="shared" si="59"/>
        <v>460.32</v>
      </c>
      <c r="R159" s="11">
        <f t="shared" si="60"/>
        <v>476.76</v>
      </c>
      <c r="S159" s="11">
        <f t="shared" si="64"/>
        <v>493.2</v>
      </c>
      <c r="T159" s="11">
        <f t="shared" si="61"/>
        <v>526.08000000000004</v>
      </c>
      <c r="U159" s="38">
        <f t="shared" si="65"/>
        <v>537.09</v>
      </c>
      <c r="V159" s="38">
        <f t="shared" si="66"/>
        <v>556.99</v>
      </c>
      <c r="W159" s="38">
        <f t="shared" si="67"/>
        <v>576.88</v>
      </c>
      <c r="X159" s="38">
        <f t="shared" si="68"/>
        <v>596.77</v>
      </c>
      <c r="Z159" s="4">
        <f t="shared" si="62"/>
        <v>0</v>
      </c>
      <c r="AA159" s="4">
        <f t="shared" si="63"/>
        <v>0</v>
      </c>
    </row>
    <row r="160" spans="1:27" x14ac:dyDescent="0.3">
      <c r="A160" s="135"/>
      <c r="B160" s="125"/>
      <c r="C160" s="3" t="s">
        <v>394</v>
      </c>
      <c r="D160" s="55" t="s">
        <v>61</v>
      </c>
      <c r="E160" s="55" t="s">
        <v>362</v>
      </c>
      <c r="F160" s="55" t="s">
        <v>830</v>
      </c>
      <c r="G160" s="56">
        <v>0</v>
      </c>
      <c r="H160" s="49">
        <f>10+5</f>
        <v>15</v>
      </c>
      <c r="I160" s="50">
        <f>4+2+4+5</f>
        <v>15</v>
      </c>
      <c r="J160" s="77">
        <f>+H160-I160</f>
        <v>0</v>
      </c>
      <c r="K160" s="31">
        <v>328.8</v>
      </c>
      <c r="L160" s="32">
        <v>44238</v>
      </c>
      <c r="M160" s="33">
        <v>0.21</v>
      </c>
      <c r="N160" s="64">
        <f t="shared" si="56"/>
        <v>397.84800000000001</v>
      </c>
      <c r="O160" s="68">
        <f t="shared" ref="O160:O164" si="69">ROUND(K160*(1+$O$3),2)</f>
        <v>427.44</v>
      </c>
      <c r="P160" s="68">
        <f t="shared" si="58"/>
        <v>443.88</v>
      </c>
      <c r="Q160" s="68">
        <f t="shared" si="59"/>
        <v>460.32</v>
      </c>
      <c r="R160" s="11">
        <f t="shared" si="60"/>
        <v>476.76</v>
      </c>
      <c r="S160" s="11">
        <f t="shared" si="64"/>
        <v>493.2</v>
      </c>
      <c r="T160" s="11">
        <f t="shared" si="61"/>
        <v>526.08000000000004</v>
      </c>
      <c r="U160" s="38">
        <f t="shared" si="65"/>
        <v>537.09</v>
      </c>
      <c r="V160" s="38">
        <f t="shared" si="66"/>
        <v>556.99</v>
      </c>
      <c r="W160" s="38">
        <f t="shared" si="67"/>
        <v>576.88</v>
      </c>
      <c r="X160" s="38">
        <f t="shared" si="68"/>
        <v>596.77</v>
      </c>
      <c r="Z160" s="4">
        <f t="shared" si="62"/>
        <v>0</v>
      </c>
      <c r="AA160" s="4">
        <f t="shared" si="63"/>
        <v>0</v>
      </c>
    </row>
    <row r="161" spans="1:27" x14ac:dyDescent="0.3">
      <c r="A161" s="135"/>
      <c r="B161" s="125"/>
      <c r="C161" s="3" t="s">
        <v>700</v>
      </c>
      <c r="D161" s="55" t="s">
        <v>61</v>
      </c>
      <c r="E161" s="55" t="s">
        <v>362</v>
      </c>
      <c r="F161" s="55" t="s">
        <v>830</v>
      </c>
      <c r="G161" s="56">
        <v>0</v>
      </c>
      <c r="H161" s="49">
        <v>30</v>
      </c>
      <c r="I161" s="50">
        <f>2+5+2+3+6+12</f>
        <v>30</v>
      </c>
      <c r="J161" s="77">
        <f>+H161-I161</f>
        <v>0</v>
      </c>
      <c r="K161" s="31">
        <v>328.8</v>
      </c>
      <c r="L161" s="32">
        <v>44238</v>
      </c>
      <c r="M161" s="33">
        <v>0.21</v>
      </c>
      <c r="N161" s="64">
        <f>+K161*(1+M161)</f>
        <v>397.84800000000001</v>
      </c>
      <c r="O161" s="68">
        <f>ROUND(K161*(1+$O$3),2)</f>
        <v>427.44</v>
      </c>
      <c r="P161" s="68">
        <f>ROUND(K161*(1+$P$3),2)</f>
        <v>443.88</v>
      </c>
      <c r="Q161" s="68">
        <f>ROUND(K161*(1+$Q$3),2)</f>
        <v>460.32</v>
      </c>
      <c r="R161" s="11">
        <f>ROUND(K161*(1+$R$3),2)</f>
        <v>476.76</v>
      </c>
      <c r="S161" s="11">
        <f>ROUND(K161*(1+$S$3),2)</f>
        <v>493.2</v>
      </c>
      <c r="T161" s="11">
        <f>ROUND(K161*(1+$T$3),2)</f>
        <v>526.08000000000004</v>
      </c>
      <c r="U161" s="38">
        <f t="shared" si="65"/>
        <v>537.09</v>
      </c>
      <c r="V161" s="38">
        <f t="shared" si="66"/>
        <v>556.99</v>
      </c>
      <c r="W161" s="38">
        <f t="shared" si="67"/>
        <v>576.88</v>
      </c>
      <c r="X161" s="38">
        <f t="shared" si="68"/>
        <v>596.77</v>
      </c>
      <c r="Z161" s="4">
        <f>J161*K161</f>
        <v>0</v>
      </c>
      <c r="AA161" s="4">
        <f>J161*N161</f>
        <v>0</v>
      </c>
    </row>
    <row r="162" spans="1:27" x14ac:dyDescent="0.3">
      <c r="A162" s="135"/>
      <c r="B162" s="125"/>
      <c r="C162" s="3" t="s">
        <v>390</v>
      </c>
      <c r="D162" s="55"/>
      <c r="E162" s="55" t="s">
        <v>968</v>
      </c>
      <c r="F162" s="55" t="s">
        <v>830</v>
      </c>
      <c r="G162" s="57">
        <v>0</v>
      </c>
      <c r="H162" s="49">
        <v>5</v>
      </c>
      <c r="I162" s="50">
        <f>2+2</f>
        <v>4</v>
      </c>
      <c r="J162" s="77">
        <f>+H162-I162</f>
        <v>1</v>
      </c>
      <c r="K162" s="31">
        <v>328.8</v>
      </c>
      <c r="L162" s="32">
        <v>44238</v>
      </c>
      <c r="M162" s="33">
        <v>0.21</v>
      </c>
      <c r="N162" s="64">
        <f>+K162*(1+M162)</f>
        <v>397.84800000000001</v>
      </c>
      <c r="O162" s="68">
        <f>ROUND(K162*(1+$O$3),2)</f>
        <v>427.44</v>
      </c>
      <c r="P162" s="68">
        <f>ROUND(K162*(1+$P$3),2)</f>
        <v>443.88</v>
      </c>
      <c r="Q162" s="68">
        <f>ROUND(K162*(1+$Q$3),2)</f>
        <v>460.32</v>
      </c>
      <c r="R162" s="11">
        <f>ROUND(K162*(1+$R$3),2)</f>
        <v>476.76</v>
      </c>
      <c r="S162" s="11">
        <f>ROUND(K162*(1+$S$3),2)</f>
        <v>493.2</v>
      </c>
      <c r="T162" s="11">
        <f>ROUND(K162*(1+$T$3),2)</f>
        <v>526.08000000000004</v>
      </c>
      <c r="U162" s="38">
        <f>ROUND((N162*(1+$U$3)),2)</f>
        <v>537.09</v>
      </c>
      <c r="V162" s="38">
        <f>ROUND((N162*(1+$V$3)),2)</f>
        <v>556.99</v>
      </c>
      <c r="W162" s="38">
        <f>ROUND((N162*(1+$W$3)),2)</f>
        <v>576.88</v>
      </c>
      <c r="X162" s="38">
        <f>ROUND((N162*(1+$X$3)),2)</f>
        <v>596.77</v>
      </c>
      <c r="Z162" s="4">
        <f>J162*K162</f>
        <v>328.8</v>
      </c>
      <c r="AA162" s="4">
        <f>J162*N162</f>
        <v>397.84800000000001</v>
      </c>
    </row>
    <row r="163" spans="1:27" x14ac:dyDescent="0.3">
      <c r="A163" s="135"/>
      <c r="B163" s="125"/>
      <c r="C163" s="3" t="s">
        <v>307</v>
      </c>
      <c r="D163" s="58" t="s">
        <v>810</v>
      </c>
      <c r="E163" s="55" t="s">
        <v>155</v>
      </c>
      <c r="F163" s="55" t="s">
        <v>242</v>
      </c>
      <c r="G163" s="56">
        <v>2</v>
      </c>
      <c r="H163" s="49">
        <f>2+2</f>
        <v>4</v>
      </c>
      <c r="I163" s="50">
        <f>2</f>
        <v>2</v>
      </c>
      <c r="J163" s="77">
        <f>+H163-I163</f>
        <v>2</v>
      </c>
      <c r="K163" s="31">
        <v>590</v>
      </c>
      <c r="L163" s="32">
        <v>44146</v>
      </c>
      <c r="M163" s="33">
        <v>0.21</v>
      </c>
      <c r="N163" s="64">
        <f t="shared" si="56"/>
        <v>713.9</v>
      </c>
      <c r="O163" s="68">
        <f t="shared" si="69"/>
        <v>767</v>
      </c>
      <c r="P163" s="68">
        <f t="shared" si="58"/>
        <v>796.5</v>
      </c>
      <c r="Q163" s="68">
        <f t="shared" si="59"/>
        <v>826</v>
      </c>
      <c r="R163" s="11">
        <f t="shared" si="60"/>
        <v>855.5</v>
      </c>
      <c r="S163" s="11">
        <f t="shared" si="64"/>
        <v>885</v>
      </c>
      <c r="T163" s="11">
        <f t="shared" si="61"/>
        <v>944</v>
      </c>
      <c r="U163" s="38">
        <f t="shared" si="65"/>
        <v>963.77</v>
      </c>
      <c r="V163" s="38">
        <f t="shared" si="66"/>
        <v>999.46</v>
      </c>
      <c r="W163" s="38">
        <f t="shared" si="67"/>
        <v>1035.1600000000001</v>
      </c>
      <c r="X163" s="38">
        <f t="shared" si="68"/>
        <v>1070.8499999999999</v>
      </c>
      <c r="Z163" s="4">
        <f t="shared" si="62"/>
        <v>1180</v>
      </c>
      <c r="AA163" s="4">
        <f t="shared" si="63"/>
        <v>1427.8</v>
      </c>
    </row>
    <row r="164" spans="1:27" x14ac:dyDescent="0.3">
      <c r="A164" s="135"/>
      <c r="B164" s="125"/>
      <c r="C164" s="3" t="s">
        <v>967</v>
      </c>
      <c r="D164" s="59" t="s">
        <v>612</v>
      </c>
      <c r="E164" s="55" t="s">
        <v>362</v>
      </c>
      <c r="F164" s="55" t="s">
        <v>243</v>
      </c>
      <c r="G164" s="56">
        <v>0</v>
      </c>
      <c r="H164" s="49">
        <f>8+5+6+6+6</f>
        <v>31</v>
      </c>
      <c r="I164" s="50">
        <f>6+6+1+5+1+4+2+6</f>
        <v>31</v>
      </c>
      <c r="J164" s="77">
        <f>+H164-I164</f>
        <v>0</v>
      </c>
      <c r="K164" s="31">
        <v>1930</v>
      </c>
      <c r="L164" s="32">
        <v>44146</v>
      </c>
      <c r="M164" s="33">
        <v>0.21</v>
      </c>
      <c r="N164" s="64">
        <f t="shared" si="56"/>
        <v>2335.2999999999997</v>
      </c>
      <c r="O164" s="68">
        <f t="shared" si="69"/>
        <v>2509</v>
      </c>
      <c r="P164" s="68">
        <f t="shared" si="58"/>
        <v>2605.5</v>
      </c>
      <c r="Q164" s="68">
        <f t="shared" si="59"/>
        <v>2702</v>
      </c>
      <c r="R164" s="11">
        <f t="shared" si="60"/>
        <v>2798.5</v>
      </c>
      <c r="S164" s="11">
        <f t="shared" ref="S164:S186" si="70">ROUND(K164*(1+$S$3),2)</f>
        <v>2895</v>
      </c>
      <c r="T164" s="11">
        <f t="shared" si="61"/>
        <v>3088</v>
      </c>
      <c r="U164" s="38">
        <f t="shared" si="65"/>
        <v>3152.66</v>
      </c>
      <c r="V164" s="38">
        <f t="shared" si="66"/>
        <v>3269.42</v>
      </c>
      <c r="W164" s="38">
        <f t="shared" si="67"/>
        <v>3386.19</v>
      </c>
      <c r="X164" s="38">
        <f t="shared" si="68"/>
        <v>3502.95</v>
      </c>
      <c r="Z164" s="4">
        <f t="shared" si="62"/>
        <v>0</v>
      </c>
      <c r="AA164" s="4">
        <f t="shared" si="63"/>
        <v>0</v>
      </c>
    </row>
    <row r="165" spans="1:27" x14ac:dyDescent="0.3">
      <c r="A165" s="135"/>
      <c r="B165" s="125"/>
      <c r="C165" s="3" t="s">
        <v>244</v>
      </c>
      <c r="D165" s="58"/>
      <c r="E165" s="55" t="s">
        <v>155</v>
      </c>
      <c r="F165" s="55" t="s">
        <v>242</v>
      </c>
      <c r="G165" s="56">
        <v>0</v>
      </c>
      <c r="H165" s="49">
        <v>10</v>
      </c>
      <c r="I165" s="69">
        <f>8+1+1</f>
        <v>10</v>
      </c>
      <c r="J165" s="77">
        <f>+H165-I165</f>
        <v>0</v>
      </c>
      <c r="K165" s="31">
        <v>2865</v>
      </c>
      <c r="L165" s="32">
        <v>44019</v>
      </c>
      <c r="M165" s="33">
        <v>0.21</v>
      </c>
      <c r="N165" s="64">
        <f>+K165*(1+M165)</f>
        <v>3466.65</v>
      </c>
      <c r="O165" s="68">
        <f>ROUND(K165*(1+0.35),2)</f>
        <v>3867.75</v>
      </c>
      <c r="P165" s="68">
        <f t="shared" si="58"/>
        <v>3867.75</v>
      </c>
      <c r="Q165" s="68">
        <f t="shared" si="59"/>
        <v>4011</v>
      </c>
      <c r="R165" s="11">
        <f t="shared" si="60"/>
        <v>4154.25</v>
      </c>
      <c r="S165" s="11">
        <f t="shared" si="70"/>
        <v>4297.5</v>
      </c>
      <c r="T165" s="11">
        <f t="shared" si="61"/>
        <v>4584</v>
      </c>
      <c r="U165" s="38">
        <f t="shared" si="65"/>
        <v>4679.9799999999996</v>
      </c>
      <c r="V165" s="38">
        <f t="shared" si="66"/>
        <v>4853.3100000000004</v>
      </c>
      <c r="W165" s="38">
        <f t="shared" si="67"/>
        <v>5026.6400000000003</v>
      </c>
      <c r="X165" s="38">
        <f t="shared" si="68"/>
        <v>5199.9799999999996</v>
      </c>
      <c r="Z165" s="4">
        <f t="shared" si="62"/>
        <v>0</v>
      </c>
      <c r="AA165" s="4">
        <f t="shared" si="63"/>
        <v>0</v>
      </c>
    </row>
    <row r="166" spans="1:27" x14ac:dyDescent="0.3">
      <c r="A166" s="135"/>
      <c r="B166" s="125"/>
      <c r="C166" s="3" t="s">
        <v>245</v>
      </c>
      <c r="D166" s="58" t="s">
        <v>591</v>
      </c>
      <c r="E166" s="55" t="s">
        <v>155</v>
      </c>
      <c r="F166" s="55" t="s">
        <v>242</v>
      </c>
      <c r="G166" s="56">
        <v>0</v>
      </c>
      <c r="H166" s="49">
        <v>19</v>
      </c>
      <c r="I166" s="50">
        <f>10+3+2+3+1</f>
        <v>19</v>
      </c>
      <c r="J166" s="77">
        <f>+H166-I166</f>
        <v>0</v>
      </c>
      <c r="K166" s="31">
        <v>2865</v>
      </c>
      <c r="L166" s="32">
        <v>44019</v>
      </c>
      <c r="M166" s="33">
        <v>0.21</v>
      </c>
      <c r="N166" s="64">
        <f t="shared" si="56"/>
        <v>3466.65</v>
      </c>
      <c r="O166" s="68">
        <f>ROUND(K166*(1+0.35),2)</f>
        <v>3867.75</v>
      </c>
      <c r="P166" s="68">
        <f t="shared" si="58"/>
        <v>3867.75</v>
      </c>
      <c r="Q166" s="68">
        <f t="shared" si="59"/>
        <v>4011</v>
      </c>
      <c r="R166" s="11">
        <f t="shared" si="60"/>
        <v>4154.25</v>
      </c>
      <c r="S166" s="11">
        <f t="shared" si="70"/>
        <v>4297.5</v>
      </c>
      <c r="T166" s="11">
        <f t="shared" si="61"/>
        <v>4584</v>
      </c>
      <c r="U166" s="38">
        <f t="shared" si="65"/>
        <v>4679.9799999999996</v>
      </c>
      <c r="V166" s="38">
        <f t="shared" si="66"/>
        <v>4853.3100000000004</v>
      </c>
      <c r="W166" s="38">
        <f t="shared" si="67"/>
        <v>5026.6400000000003</v>
      </c>
      <c r="X166" s="38">
        <f t="shared" si="68"/>
        <v>5199.9799999999996</v>
      </c>
      <c r="Z166" s="4">
        <f t="shared" si="62"/>
        <v>0</v>
      </c>
      <c r="AA166" s="4">
        <f t="shared" si="63"/>
        <v>0</v>
      </c>
    </row>
    <row r="167" spans="1:27" x14ac:dyDescent="0.3">
      <c r="A167" s="135"/>
      <c r="B167" s="125"/>
      <c r="C167" s="3" t="s">
        <v>1177</v>
      </c>
      <c r="D167" s="55" t="s">
        <v>31</v>
      </c>
      <c r="E167" s="55" t="s">
        <v>419</v>
      </c>
      <c r="F167" s="55" t="s">
        <v>1015</v>
      </c>
      <c r="G167" s="56">
        <v>0</v>
      </c>
      <c r="H167" s="49">
        <v>450</v>
      </c>
      <c r="I167" s="50">
        <f>400+2+2+1+1+3+1+40</f>
        <v>450</v>
      </c>
      <c r="J167" s="77">
        <f>+H167-I167</f>
        <v>0</v>
      </c>
      <c r="K167" s="31">
        <v>39</v>
      </c>
      <c r="L167" s="32">
        <v>44146</v>
      </c>
      <c r="M167" s="33">
        <v>0.21</v>
      </c>
      <c r="N167" s="64">
        <f t="shared" si="56"/>
        <v>47.19</v>
      </c>
      <c r="O167" s="68">
        <f t="shared" ref="O167:O176" si="71">ROUND(K167*(1+$O$3),2)</f>
        <v>50.7</v>
      </c>
      <c r="P167" s="68">
        <f t="shared" si="58"/>
        <v>52.65</v>
      </c>
      <c r="Q167" s="68">
        <f t="shared" si="59"/>
        <v>54.6</v>
      </c>
      <c r="R167" s="11">
        <f t="shared" si="60"/>
        <v>56.55</v>
      </c>
      <c r="S167" s="11">
        <f t="shared" si="70"/>
        <v>58.5</v>
      </c>
      <c r="T167" s="11">
        <f t="shared" si="61"/>
        <v>62.4</v>
      </c>
      <c r="U167" s="38">
        <f t="shared" si="65"/>
        <v>63.71</v>
      </c>
      <c r="V167" s="38">
        <f t="shared" si="66"/>
        <v>66.069999999999993</v>
      </c>
      <c r="W167" s="38">
        <f t="shared" si="67"/>
        <v>68.430000000000007</v>
      </c>
      <c r="X167" s="38">
        <f t="shared" si="68"/>
        <v>70.790000000000006</v>
      </c>
      <c r="Z167" s="4">
        <f t="shared" si="62"/>
        <v>0</v>
      </c>
      <c r="AA167" s="4">
        <f t="shared" si="63"/>
        <v>0</v>
      </c>
    </row>
    <row r="168" spans="1:27" x14ac:dyDescent="0.3">
      <c r="A168" s="135"/>
      <c r="B168" s="125"/>
      <c r="C168" s="3" t="s">
        <v>1027</v>
      </c>
      <c r="D168" s="55" t="s">
        <v>4</v>
      </c>
      <c r="E168" s="55" t="s">
        <v>419</v>
      </c>
      <c r="F168" s="55" t="s">
        <v>1015</v>
      </c>
      <c r="G168" s="56">
        <v>0</v>
      </c>
      <c r="H168" s="49">
        <f>50+50+50</f>
        <v>150</v>
      </c>
      <c r="I168" s="50">
        <f>0+25+20+5+10+20+20</f>
        <v>100</v>
      </c>
      <c r="J168" s="77">
        <f>+H168-I168</f>
        <v>50</v>
      </c>
      <c r="K168" s="31">
        <v>39</v>
      </c>
      <c r="L168" s="32">
        <v>44146</v>
      </c>
      <c r="M168" s="33">
        <v>0.21</v>
      </c>
      <c r="N168" s="64">
        <f t="shared" si="56"/>
        <v>47.19</v>
      </c>
      <c r="O168" s="68">
        <f t="shared" si="71"/>
        <v>50.7</v>
      </c>
      <c r="P168" s="68">
        <f t="shared" si="58"/>
        <v>52.65</v>
      </c>
      <c r="Q168" s="68">
        <f t="shared" si="59"/>
        <v>54.6</v>
      </c>
      <c r="R168" s="11">
        <f t="shared" si="60"/>
        <v>56.55</v>
      </c>
      <c r="S168" s="11">
        <f t="shared" si="70"/>
        <v>58.5</v>
      </c>
      <c r="T168" s="11">
        <f t="shared" si="61"/>
        <v>62.4</v>
      </c>
      <c r="U168" s="38">
        <f t="shared" si="65"/>
        <v>63.71</v>
      </c>
      <c r="V168" s="38">
        <f t="shared" si="66"/>
        <v>66.069999999999993</v>
      </c>
      <c r="W168" s="38">
        <f t="shared" si="67"/>
        <v>68.430000000000007</v>
      </c>
      <c r="X168" s="38">
        <f t="shared" si="68"/>
        <v>70.790000000000006</v>
      </c>
      <c r="Z168" s="4">
        <f t="shared" si="62"/>
        <v>1950</v>
      </c>
      <c r="AA168" s="4">
        <f t="shared" si="63"/>
        <v>2359.5</v>
      </c>
    </row>
    <row r="169" spans="1:27" x14ac:dyDescent="0.3">
      <c r="A169" s="135"/>
      <c r="B169" s="125"/>
      <c r="C169" s="3" t="s">
        <v>174</v>
      </c>
      <c r="D169" s="55" t="s">
        <v>32</v>
      </c>
      <c r="E169" s="55" t="s">
        <v>371</v>
      </c>
      <c r="F169" s="55" t="s">
        <v>220</v>
      </c>
      <c r="G169" s="56">
        <v>100</v>
      </c>
      <c r="H169" s="49">
        <f>200+200+200+200</f>
        <v>800</v>
      </c>
      <c r="I169" s="50">
        <f>2+150+48+50+30+20+300+100</f>
        <v>700</v>
      </c>
      <c r="J169" s="77">
        <f>+H169-I169</f>
        <v>100</v>
      </c>
      <c r="K169" s="31">
        <v>44</v>
      </c>
      <c r="L169" s="32">
        <v>44225</v>
      </c>
      <c r="M169" s="33">
        <v>0.21</v>
      </c>
      <c r="N169" s="64">
        <f t="shared" si="56"/>
        <v>53.239999999999995</v>
      </c>
      <c r="O169" s="68">
        <f t="shared" si="71"/>
        <v>57.2</v>
      </c>
      <c r="P169" s="68">
        <f t="shared" si="58"/>
        <v>59.4</v>
      </c>
      <c r="Q169" s="68">
        <f t="shared" si="59"/>
        <v>61.6</v>
      </c>
      <c r="R169" s="11">
        <f t="shared" si="60"/>
        <v>63.8</v>
      </c>
      <c r="S169" s="11">
        <f t="shared" si="70"/>
        <v>66</v>
      </c>
      <c r="T169" s="11">
        <f t="shared" si="61"/>
        <v>70.400000000000006</v>
      </c>
      <c r="U169" s="38">
        <f t="shared" si="65"/>
        <v>71.87</v>
      </c>
      <c r="V169" s="38">
        <f t="shared" si="66"/>
        <v>74.540000000000006</v>
      </c>
      <c r="W169" s="38">
        <f t="shared" si="67"/>
        <v>77.2</v>
      </c>
      <c r="X169" s="38">
        <f t="shared" si="68"/>
        <v>79.86</v>
      </c>
      <c r="Z169" s="4">
        <f t="shared" si="62"/>
        <v>4400</v>
      </c>
      <c r="AA169" s="4">
        <f t="shared" si="63"/>
        <v>5323.9999999999991</v>
      </c>
    </row>
    <row r="170" spans="1:27" x14ac:dyDescent="0.3">
      <c r="A170" s="135"/>
      <c r="B170" s="125"/>
      <c r="C170" s="3" t="s">
        <v>173</v>
      </c>
      <c r="D170" s="55" t="s">
        <v>395</v>
      </c>
      <c r="E170" s="55" t="s">
        <v>586</v>
      </c>
      <c r="F170" s="55" t="s">
        <v>220</v>
      </c>
      <c r="G170" s="56">
        <v>200</v>
      </c>
      <c r="H170" s="49">
        <f>1360+270+200+70+265+200+200+200+200+200+400</f>
        <v>3565</v>
      </c>
      <c r="I170" s="50">
        <f>2565+50+10+2+3+3+100+20+12+20+100+20+10+200+100+20+10+100+5</f>
        <v>3350</v>
      </c>
      <c r="J170" s="77">
        <f>+H170-I170</f>
        <v>215</v>
      </c>
      <c r="K170" s="31">
        <v>35.9</v>
      </c>
      <c r="L170" s="32">
        <v>44253</v>
      </c>
      <c r="M170" s="33">
        <v>0.21</v>
      </c>
      <c r="N170" s="64">
        <f t="shared" si="56"/>
        <v>43.439</v>
      </c>
      <c r="O170" s="68">
        <f t="shared" si="71"/>
        <v>46.67</v>
      </c>
      <c r="P170" s="68">
        <f t="shared" si="58"/>
        <v>48.47</v>
      </c>
      <c r="Q170" s="68">
        <f t="shared" si="59"/>
        <v>50.26</v>
      </c>
      <c r="R170" s="11">
        <f t="shared" si="60"/>
        <v>52.06</v>
      </c>
      <c r="S170" s="11">
        <f t="shared" si="70"/>
        <v>53.85</v>
      </c>
      <c r="T170" s="11">
        <f t="shared" si="61"/>
        <v>57.44</v>
      </c>
      <c r="U170" s="38">
        <f t="shared" si="65"/>
        <v>58.64</v>
      </c>
      <c r="V170" s="38">
        <f t="shared" si="66"/>
        <v>60.81</v>
      </c>
      <c r="W170" s="38">
        <f t="shared" si="67"/>
        <v>62.99</v>
      </c>
      <c r="X170" s="38">
        <f t="shared" si="68"/>
        <v>65.16</v>
      </c>
      <c r="Z170" s="4">
        <f t="shared" si="62"/>
        <v>7718.5</v>
      </c>
      <c r="AA170" s="4">
        <f t="shared" si="63"/>
        <v>9339.3850000000002</v>
      </c>
    </row>
    <row r="171" spans="1:27" x14ac:dyDescent="0.3">
      <c r="A171" s="135"/>
      <c r="B171" s="125"/>
      <c r="C171" s="5" t="s">
        <v>175</v>
      </c>
      <c r="D171" s="55" t="s">
        <v>396</v>
      </c>
      <c r="E171" s="55" t="s">
        <v>362</v>
      </c>
      <c r="F171" s="55" t="s">
        <v>220</v>
      </c>
      <c r="G171" s="56">
        <v>200</v>
      </c>
      <c r="H171" s="49">
        <f>400+400+400+200+200+200+170+200+200+200+200+200+200+200+200+200+200+200</f>
        <v>4170</v>
      </c>
      <c r="I171" s="50">
        <f>200+200+200+150+200+20+200+10+190+110+200+200+50+100+30+10+200+10+40+200+200+100+5+50+50+5+200+40+200+10+5+15+170+10+50+50+50+40+100+10+5+100</f>
        <v>3985</v>
      </c>
      <c r="J171" s="77">
        <f>+H171-I171</f>
        <v>185</v>
      </c>
      <c r="K171" s="31">
        <v>44</v>
      </c>
      <c r="L171" s="32">
        <v>44225</v>
      </c>
      <c r="M171" s="33">
        <v>0.21</v>
      </c>
      <c r="N171" s="64">
        <f t="shared" si="56"/>
        <v>53.239999999999995</v>
      </c>
      <c r="O171" s="68">
        <f t="shared" si="71"/>
        <v>57.2</v>
      </c>
      <c r="P171" s="68">
        <f t="shared" si="58"/>
        <v>59.4</v>
      </c>
      <c r="Q171" s="68">
        <f t="shared" si="59"/>
        <v>61.6</v>
      </c>
      <c r="R171" s="11">
        <f t="shared" si="60"/>
        <v>63.8</v>
      </c>
      <c r="S171" s="11">
        <f t="shared" si="70"/>
        <v>66</v>
      </c>
      <c r="T171" s="11">
        <f t="shared" si="61"/>
        <v>70.400000000000006</v>
      </c>
      <c r="U171" s="38">
        <f t="shared" si="65"/>
        <v>71.87</v>
      </c>
      <c r="V171" s="38">
        <f t="shared" si="66"/>
        <v>74.540000000000006</v>
      </c>
      <c r="W171" s="38">
        <f t="shared" si="67"/>
        <v>77.2</v>
      </c>
      <c r="X171" s="38">
        <f t="shared" si="68"/>
        <v>79.86</v>
      </c>
      <c r="Z171" s="4">
        <f t="shared" si="62"/>
        <v>8140</v>
      </c>
      <c r="AA171" s="4">
        <f t="shared" si="63"/>
        <v>9849.4</v>
      </c>
    </row>
    <row r="172" spans="1:27" x14ac:dyDescent="0.3">
      <c r="A172" s="135"/>
      <c r="B172" s="125"/>
      <c r="C172" s="5" t="s">
        <v>1176</v>
      </c>
      <c r="D172" s="55"/>
      <c r="E172" s="55" t="s">
        <v>362</v>
      </c>
      <c r="F172" s="55" t="s">
        <v>1015</v>
      </c>
      <c r="G172" s="56">
        <v>0</v>
      </c>
      <c r="H172" s="49">
        <f>200+250+200+200+50+100</f>
        <v>1000</v>
      </c>
      <c r="I172" s="50">
        <f>100+100+100+150+100+300+10+40+100</f>
        <v>1000</v>
      </c>
      <c r="J172" s="77">
        <f>+H172-I172</f>
        <v>0</v>
      </c>
      <c r="K172" s="31">
        <v>40.880000000000003</v>
      </c>
      <c r="L172" s="32">
        <v>44186</v>
      </c>
      <c r="M172" s="33">
        <v>0.21</v>
      </c>
      <c r="N172" s="64">
        <f t="shared" si="56"/>
        <v>49.464800000000004</v>
      </c>
      <c r="O172" s="68">
        <f t="shared" si="71"/>
        <v>53.14</v>
      </c>
      <c r="P172" s="68">
        <f t="shared" si="58"/>
        <v>55.19</v>
      </c>
      <c r="Q172" s="68">
        <f t="shared" si="59"/>
        <v>57.23</v>
      </c>
      <c r="R172" s="11">
        <f t="shared" si="60"/>
        <v>59.28</v>
      </c>
      <c r="S172" s="11">
        <f t="shared" si="70"/>
        <v>61.32</v>
      </c>
      <c r="T172" s="11">
        <f t="shared" si="61"/>
        <v>65.41</v>
      </c>
      <c r="U172" s="38">
        <f t="shared" si="65"/>
        <v>66.78</v>
      </c>
      <c r="V172" s="38">
        <f t="shared" si="66"/>
        <v>69.25</v>
      </c>
      <c r="W172" s="38">
        <f t="shared" si="67"/>
        <v>71.72</v>
      </c>
      <c r="X172" s="38">
        <f t="shared" si="68"/>
        <v>74.2</v>
      </c>
      <c r="Z172" s="4">
        <f t="shared" si="62"/>
        <v>0</v>
      </c>
      <c r="AA172" s="4">
        <f t="shared" si="63"/>
        <v>0</v>
      </c>
    </row>
    <row r="173" spans="1:27" x14ac:dyDescent="0.3">
      <c r="A173" s="135"/>
      <c r="B173" s="125"/>
      <c r="C173" s="3" t="s">
        <v>199</v>
      </c>
      <c r="D173" s="55" t="s">
        <v>594</v>
      </c>
      <c r="E173" s="55" t="s">
        <v>586</v>
      </c>
      <c r="F173" s="55" t="s">
        <v>220</v>
      </c>
      <c r="G173" s="56">
        <v>200</v>
      </c>
      <c r="H173" s="49">
        <f>200+200+200+400+200+200+200+200+200+200+200+200+200+200+200</f>
        <v>3200</v>
      </c>
      <c r="I173" s="50">
        <f>100+100+150+50+100+100+300+100+50+30+50+200+270+200+200+5+195+200+50+150+50+50+50+100+20+30+100+5+10</f>
        <v>3015</v>
      </c>
      <c r="J173" s="77">
        <f>+H173-I173</f>
        <v>185</v>
      </c>
      <c r="K173" s="31">
        <v>35.9</v>
      </c>
      <c r="L173" s="32">
        <v>44250</v>
      </c>
      <c r="M173" s="33">
        <v>0.21</v>
      </c>
      <c r="N173" s="64">
        <f t="shared" si="56"/>
        <v>43.439</v>
      </c>
      <c r="O173" s="68">
        <f t="shared" si="71"/>
        <v>46.67</v>
      </c>
      <c r="P173" s="68">
        <f t="shared" si="58"/>
        <v>48.47</v>
      </c>
      <c r="Q173" s="68">
        <f t="shared" si="59"/>
        <v>50.26</v>
      </c>
      <c r="R173" s="11">
        <f t="shared" si="60"/>
        <v>52.06</v>
      </c>
      <c r="S173" s="11">
        <f t="shared" si="70"/>
        <v>53.85</v>
      </c>
      <c r="T173" s="11">
        <f t="shared" si="61"/>
        <v>57.44</v>
      </c>
      <c r="U173" s="38">
        <f t="shared" si="65"/>
        <v>58.64</v>
      </c>
      <c r="V173" s="38">
        <f t="shared" si="66"/>
        <v>60.81</v>
      </c>
      <c r="W173" s="38">
        <f t="shared" si="67"/>
        <v>62.99</v>
      </c>
      <c r="X173" s="38">
        <f t="shared" si="68"/>
        <v>65.16</v>
      </c>
      <c r="Z173" s="4">
        <f t="shared" si="62"/>
        <v>6641.5</v>
      </c>
      <c r="AA173" s="4">
        <f t="shared" si="63"/>
        <v>8036.2150000000001</v>
      </c>
    </row>
    <row r="174" spans="1:27" x14ac:dyDescent="0.3">
      <c r="A174" s="135"/>
      <c r="B174" s="125"/>
      <c r="C174" s="3" t="s">
        <v>1199</v>
      </c>
      <c r="D174" s="55"/>
      <c r="E174" s="55" t="s">
        <v>1133</v>
      </c>
      <c r="F174" s="55" t="s">
        <v>1015</v>
      </c>
      <c r="G174" s="56">
        <v>0</v>
      </c>
      <c r="H174" s="49">
        <f>100+50</f>
        <v>150</v>
      </c>
      <c r="I174" s="52">
        <f>30+5+20+45+50</f>
        <v>150</v>
      </c>
      <c r="J174" s="77">
        <f>+H174-I174</f>
        <v>0</v>
      </c>
      <c r="K174" s="34">
        <v>40.880000000000003</v>
      </c>
      <c r="L174" s="32">
        <v>44186</v>
      </c>
      <c r="M174" s="33">
        <v>0.21</v>
      </c>
      <c r="N174" s="64">
        <f t="shared" si="56"/>
        <v>49.464800000000004</v>
      </c>
      <c r="O174" s="68">
        <f t="shared" si="71"/>
        <v>53.14</v>
      </c>
      <c r="P174" s="68">
        <f t="shared" si="58"/>
        <v>55.19</v>
      </c>
      <c r="Q174" s="68">
        <f t="shared" si="59"/>
        <v>57.23</v>
      </c>
      <c r="R174" s="11">
        <f t="shared" si="60"/>
        <v>59.28</v>
      </c>
      <c r="S174" s="11">
        <f t="shared" si="70"/>
        <v>61.32</v>
      </c>
      <c r="T174" s="11">
        <f t="shared" si="61"/>
        <v>65.41</v>
      </c>
      <c r="U174" s="38">
        <f t="shared" si="65"/>
        <v>66.78</v>
      </c>
      <c r="V174" s="38">
        <f t="shared" si="66"/>
        <v>69.25</v>
      </c>
      <c r="W174" s="38">
        <f t="shared" si="67"/>
        <v>71.72</v>
      </c>
      <c r="X174" s="38">
        <f t="shared" si="68"/>
        <v>74.2</v>
      </c>
      <c r="Z174" s="4">
        <f t="shared" si="62"/>
        <v>0</v>
      </c>
      <c r="AA174" s="4">
        <f t="shared" si="63"/>
        <v>0</v>
      </c>
    </row>
    <row r="175" spans="1:27" x14ac:dyDescent="0.3">
      <c r="A175" s="135"/>
      <c r="B175" s="125"/>
      <c r="C175" s="3" t="s">
        <v>1083</v>
      </c>
      <c r="D175" s="55"/>
      <c r="E175" s="55" t="s">
        <v>362</v>
      </c>
      <c r="F175" s="55" t="s">
        <v>246</v>
      </c>
      <c r="G175" s="56">
        <v>5</v>
      </c>
      <c r="H175" s="49">
        <f>24+5+4+15</f>
        <v>48</v>
      </c>
      <c r="I175" s="52">
        <f>1+7+5+5+3+3+3+2+4+6+4</f>
        <v>43</v>
      </c>
      <c r="J175" s="77">
        <f>+H175-I175</f>
        <v>5</v>
      </c>
      <c r="K175" s="34">
        <v>393.8</v>
      </c>
      <c r="L175" s="32">
        <v>44250</v>
      </c>
      <c r="M175" s="33">
        <v>0.21</v>
      </c>
      <c r="N175" s="64">
        <f t="shared" si="56"/>
        <v>476.49799999999999</v>
      </c>
      <c r="O175" s="68">
        <f t="shared" si="71"/>
        <v>511.94</v>
      </c>
      <c r="P175" s="68">
        <f t="shared" si="58"/>
        <v>531.63</v>
      </c>
      <c r="Q175" s="68">
        <f t="shared" si="59"/>
        <v>551.32000000000005</v>
      </c>
      <c r="R175" s="11">
        <f t="shared" si="60"/>
        <v>571.01</v>
      </c>
      <c r="S175" s="11">
        <f t="shared" si="70"/>
        <v>590.70000000000005</v>
      </c>
      <c r="T175" s="11">
        <f t="shared" si="61"/>
        <v>630.08000000000004</v>
      </c>
      <c r="U175" s="38">
        <f t="shared" si="65"/>
        <v>643.27</v>
      </c>
      <c r="V175" s="38">
        <f t="shared" si="66"/>
        <v>667.1</v>
      </c>
      <c r="W175" s="38">
        <f t="shared" si="67"/>
        <v>690.92</v>
      </c>
      <c r="X175" s="38">
        <f t="shared" si="68"/>
        <v>714.75</v>
      </c>
      <c r="Z175" s="4">
        <f t="shared" si="62"/>
        <v>1969</v>
      </c>
      <c r="AA175" s="4">
        <f t="shared" si="63"/>
        <v>2382.4899999999998</v>
      </c>
    </row>
    <row r="176" spans="1:27" x14ac:dyDescent="0.3">
      <c r="A176" s="135"/>
      <c r="B176" s="125"/>
      <c r="C176" s="3" t="s">
        <v>1084</v>
      </c>
      <c r="D176" s="55"/>
      <c r="E176" s="55" t="s">
        <v>362</v>
      </c>
      <c r="F176" s="55" t="s">
        <v>246</v>
      </c>
      <c r="G176" s="56">
        <v>5</v>
      </c>
      <c r="H176" s="49">
        <f>5+10+5+5+5+10+12</f>
        <v>52</v>
      </c>
      <c r="I176" s="52">
        <f>5+5+5+1+4+5+1+4+10+2+6+2</f>
        <v>50</v>
      </c>
      <c r="J176" s="77">
        <f>+H176-I176</f>
        <v>2</v>
      </c>
      <c r="K176" s="34">
        <v>393.8</v>
      </c>
      <c r="L176" s="32">
        <v>44250</v>
      </c>
      <c r="M176" s="33">
        <v>0.21</v>
      </c>
      <c r="N176" s="64">
        <f t="shared" si="56"/>
        <v>476.49799999999999</v>
      </c>
      <c r="O176" s="68">
        <f t="shared" si="71"/>
        <v>511.94</v>
      </c>
      <c r="P176" s="68">
        <f t="shared" si="58"/>
        <v>531.63</v>
      </c>
      <c r="Q176" s="68">
        <f t="shared" si="59"/>
        <v>551.32000000000005</v>
      </c>
      <c r="R176" s="11">
        <f t="shared" si="60"/>
        <v>571.01</v>
      </c>
      <c r="S176" s="11">
        <f t="shared" si="70"/>
        <v>590.70000000000005</v>
      </c>
      <c r="T176" s="11">
        <f t="shared" si="61"/>
        <v>630.08000000000004</v>
      </c>
      <c r="U176" s="38">
        <f t="shared" si="65"/>
        <v>643.27</v>
      </c>
      <c r="V176" s="38">
        <f t="shared" si="66"/>
        <v>667.1</v>
      </c>
      <c r="W176" s="38">
        <f t="shared" si="67"/>
        <v>690.92</v>
      </c>
      <c r="X176" s="38">
        <f t="shared" si="68"/>
        <v>714.75</v>
      </c>
      <c r="Z176" s="4">
        <f t="shared" si="62"/>
        <v>787.6</v>
      </c>
      <c r="AA176" s="4">
        <f t="shared" si="63"/>
        <v>952.99599999999998</v>
      </c>
    </row>
    <row r="177" spans="1:27" x14ac:dyDescent="0.3">
      <c r="A177" s="135"/>
      <c r="B177" s="125"/>
      <c r="C177" s="3" t="s">
        <v>1019</v>
      </c>
      <c r="D177" s="58"/>
      <c r="E177" s="55" t="s">
        <v>965</v>
      </c>
      <c r="F177" s="55" t="s">
        <v>1020</v>
      </c>
      <c r="G177" s="56">
        <v>0</v>
      </c>
      <c r="H177" s="49">
        <f>14</f>
        <v>14</v>
      </c>
      <c r="I177" s="50">
        <f>0</f>
        <v>0</v>
      </c>
      <c r="J177" s="77">
        <f>+H177-I177</f>
        <v>14</v>
      </c>
      <c r="K177" s="31">
        <v>269</v>
      </c>
      <c r="L177" s="32">
        <v>44146</v>
      </c>
      <c r="M177" s="33">
        <v>0.21</v>
      </c>
      <c r="N177" s="64">
        <f t="shared" si="56"/>
        <v>325.49</v>
      </c>
      <c r="O177" s="68"/>
      <c r="P177" s="68">
        <f t="shared" si="58"/>
        <v>363.15</v>
      </c>
      <c r="Q177" s="68">
        <f t="shared" si="59"/>
        <v>376.6</v>
      </c>
      <c r="R177" s="11">
        <f t="shared" si="60"/>
        <v>390.05</v>
      </c>
      <c r="S177" s="11">
        <f t="shared" si="70"/>
        <v>403.5</v>
      </c>
      <c r="T177" s="11"/>
      <c r="U177" s="38">
        <f t="shared" si="65"/>
        <v>439.41</v>
      </c>
      <c r="V177" s="38">
        <f t="shared" si="66"/>
        <v>455.69</v>
      </c>
      <c r="W177" s="38">
        <f t="shared" si="67"/>
        <v>471.96</v>
      </c>
      <c r="X177" s="38">
        <f t="shared" si="68"/>
        <v>488.24</v>
      </c>
      <c r="Z177" s="4">
        <f t="shared" si="62"/>
        <v>3766</v>
      </c>
      <c r="AA177" s="4">
        <f t="shared" si="63"/>
        <v>4556.8600000000006</v>
      </c>
    </row>
    <row r="178" spans="1:27" x14ac:dyDescent="0.3">
      <c r="A178" s="140"/>
      <c r="B178" s="125"/>
      <c r="C178" s="3" t="s">
        <v>11</v>
      </c>
      <c r="D178" s="55" t="s">
        <v>853</v>
      </c>
      <c r="E178" s="55" t="s">
        <v>70</v>
      </c>
      <c r="F178" s="55" t="s">
        <v>588</v>
      </c>
      <c r="G178" s="56">
        <v>10</v>
      </c>
      <c r="H178" s="49">
        <f>49</f>
        <v>49</v>
      </c>
      <c r="I178" s="50">
        <f>0+1+20+20</f>
        <v>41</v>
      </c>
      <c r="J178" s="77">
        <f>+H178-I178</f>
        <v>8</v>
      </c>
      <c r="K178" s="31">
        <v>85.5</v>
      </c>
      <c r="L178" s="32">
        <v>44146</v>
      </c>
      <c r="M178" s="33">
        <v>0.21</v>
      </c>
      <c r="N178" s="64">
        <f t="shared" si="56"/>
        <v>103.455</v>
      </c>
      <c r="O178" s="68">
        <f t="shared" ref="O178:O247" si="72">ROUND(K178*(1+$O$3),2)</f>
        <v>111.15</v>
      </c>
      <c r="P178" s="68">
        <f t="shared" si="58"/>
        <v>115.43</v>
      </c>
      <c r="Q178" s="68">
        <f t="shared" si="59"/>
        <v>119.7</v>
      </c>
      <c r="R178" s="11">
        <f t="shared" si="60"/>
        <v>123.98</v>
      </c>
      <c r="S178" s="11">
        <f t="shared" si="70"/>
        <v>128.25</v>
      </c>
      <c r="T178" s="11">
        <f t="shared" si="61"/>
        <v>136.80000000000001</v>
      </c>
      <c r="U178" s="38">
        <f t="shared" si="65"/>
        <v>139.66</v>
      </c>
      <c r="V178" s="38">
        <f t="shared" si="66"/>
        <v>144.84</v>
      </c>
      <c r="W178" s="38">
        <f t="shared" si="67"/>
        <v>150.01</v>
      </c>
      <c r="X178" s="38">
        <f t="shared" si="68"/>
        <v>155.18</v>
      </c>
      <c r="Z178" s="4">
        <f t="shared" si="62"/>
        <v>684</v>
      </c>
      <c r="AA178" s="4">
        <f t="shared" si="63"/>
        <v>827.64</v>
      </c>
    </row>
    <row r="179" spans="1:27" x14ac:dyDescent="0.3">
      <c r="A179" s="135"/>
      <c r="B179" s="125"/>
      <c r="C179" s="3" t="s">
        <v>247</v>
      </c>
      <c r="D179" s="55" t="s">
        <v>780</v>
      </c>
      <c r="E179" s="55" t="s">
        <v>70</v>
      </c>
      <c r="F179" s="55" t="s">
        <v>43</v>
      </c>
      <c r="G179" s="56">
        <v>5</v>
      </c>
      <c r="H179" s="49">
        <v>25</v>
      </c>
      <c r="I179" s="50">
        <v>25</v>
      </c>
      <c r="J179" s="77">
        <f>+H179-I179</f>
        <v>0</v>
      </c>
      <c r="K179" s="31">
        <v>65</v>
      </c>
      <c r="L179" s="32">
        <v>44146</v>
      </c>
      <c r="M179" s="33">
        <v>0.21</v>
      </c>
      <c r="N179" s="64">
        <f t="shared" si="56"/>
        <v>78.649999999999991</v>
      </c>
      <c r="O179" s="68">
        <f t="shared" si="72"/>
        <v>84.5</v>
      </c>
      <c r="P179" s="68">
        <f t="shared" si="58"/>
        <v>87.75</v>
      </c>
      <c r="Q179" s="68">
        <f t="shared" si="59"/>
        <v>91</v>
      </c>
      <c r="R179" s="11">
        <f t="shared" si="60"/>
        <v>94.25</v>
      </c>
      <c r="S179" s="11">
        <f t="shared" si="70"/>
        <v>97.5</v>
      </c>
      <c r="T179" s="11">
        <f t="shared" si="61"/>
        <v>104</v>
      </c>
      <c r="U179" s="38">
        <f t="shared" si="65"/>
        <v>106.18</v>
      </c>
      <c r="V179" s="38">
        <f t="shared" si="66"/>
        <v>110.11</v>
      </c>
      <c r="W179" s="38">
        <f t="shared" si="67"/>
        <v>114.04</v>
      </c>
      <c r="X179" s="38">
        <f t="shared" si="68"/>
        <v>117.98</v>
      </c>
      <c r="Z179" s="4">
        <f t="shared" si="62"/>
        <v>0</v>
      </c>
      <c r="AA179" s="4">
        <f t="shared" si="63"/>
        <v>0</v>
      </c>
    </row>
    <row r="180" spans="1:27" x14ac:dyDescent="0.3">
      <c r="A180" s="135"/>
      <c r="B180" s="125"/>
      <c r="C180" s="3" t="s">
        <v>1104</v>
      </c>
      <c r="D180" s="55" t="s">
        <v>1127</v>
      </c>
      <c r="E180" s="55" t="s">
        <v>70</v>
      </c>
      <c r="F180" s="55" t="s">
        <v>1400</v>
      </c>
      <c r="G180" s="56">
        <v>100</v>
      </c>
      <c r="H180" s="49">
        <f>900+50+70+130+200+200+100+150+10+20+100</f>
        <v>1930</v>
      </c>
      <c r="I180" s="50">
        <f>20+50+25+100+20+50+50+100+30+50+100+50+55+10+100+30+200+110+50+150+100+50+150+10+30+100+30+10</f>
        <v>1830</v>
      </c>
      <c r="J180" s="77">
        <f>+H180-I180</f>
        <v>100</v>
      </c>
      <c r="K180" s="31">
        <v>11.24</v>
      </c>
      <c r="L180" s="32">
        <v>44253</v>
      </c>
      <c r="M180" s="33">
        <v>0.21</v>
      </c>
      <c r="N180" s="64">
        <f t="shared" si="56"/>
        <v>13.6004</v>
      </c>
      <c r="O180" s="68">
        <f t="shared" si="72"/>
        <v>14.61</v>
      </c>
      <c r="P180" s="68">
        <f t="shared" si="58"/>
        <v>15.17</v>
      </c>
      <c r="Q180" s="68">
        <f t="shared" si="59"/>
        <v>15.74</v>
      </c>
      <c r="R180" s="11">
        <f t="shared" si="60"/>
        <v>16.3</v>
      </c>
      <c r="S180" s="11">
        <f t="shared" si="70"/>
        <v>16.86</v>
      </c>
      <c r="T180" s="11">
        <f t="shared" si="61"/>
        <v>17.98</v>
      </c>
      <c r="U180" s="38">
        <f t="shared" si="65"/>
        <v>18.36</v>
      </c>
      <c r="V180" s="38">
        <f t="shared" si="66"/>
        <v>19.04</v>
      </c>
      <c r="W180" s="38">
        <f t="shared" si="67"/>
        <v>19.72</v>
      </c>
      <c r="X180" s="38">
        <f t="shared" si="68"/>
        <v>20.399999999999999</v>
      </c>
      <c r="Z180" s="4">
        <f t="shared" si="62"/>
        <v>1124</v>
      </c>
      <c r="AA180" s="4">
        <f t="shared" si="63"/>
        <v>1360.04</v>
      </c>
    </row>
    <row r="181" spans="1:27" x14ac:dyDescent="0.3">
      <c r="A181" s="144"/>
      <c r="B181" s="125"/>
      <c r="C181" s="3" t="s">
        <v>123</v>
      </c>
      <c r="D181" s="55" t="s">
        <v>960</v>
      </c>
      <c r="E181" s="55" t="s">
        <v>362</v>
      </c>
      <c r="F181" s="55" t="s">
        <v>335</v>
      </c>
      <c r="G181" s="56">
        <v>10</v>
      </c>
      <c r="H181" s="49">
        <f>200+200+100+150+300+450+150+150</f>
        <v>1700</v>
      </c>
      <c r="I181" s="50">
        <f>100+100+100+100+50+50+50+100+100+50+150+100+200+50+100+100+30</f>
        <v>1530</v>
      </c>
      <c r="J181" s="77">
        <f>+H181-I181</f>
        <v>170</v>
      </c>
      <c r="K181" s="31">
        <v>16.399999999999999</v>
      </c>
      <c r="L181" s="32">
        <v>44239</v>
      </c>
      <c r="M181" s="33">
        <v>0.21</v>
      </c>
      <c r="N181" s="64">
        <f t="shared" si="56"/>
        <v>19.843999999999998</v>
      </c>
      <c r="O181" s="68">
        <f t="shared" si="72"/>
        <v>21.32</v>
      </c>
      <c r="P181" s="68">
        <f t="shared" si="58"/>
        <v>22.14</v>
      </c>
      <c r="Q181" s="68">
        <f t="shared" si="59"/>
        <v>22.96</v>
      </c>
      <c r="R181" s="11">
        <f t="shared" si="60"/>
        <v>23.78</v>
      </c>
      <c r="S181" s="11">
        <f t="shared" si="70"/>
        <v>24.6</v>
      </c>
      <c r="T181" s="11">
        <f t="shared" si="61"/>
        <v>26.24</v>
      </c>
      <c r="U181" s="38">
        <f t="shared" si="65"/>
        <v>26.79</v>
      </c>
      <c r="V181" s="38">
        <f t="shared" si="66"/>
        <v>27.78</v>
      </c>
      <c r="W181" s="38">
        <f t="shared" si="67"/>
        <v>28.77</v>
      </c>
      <c r="X181" s="38">
        <f t="shared" si="68"/>
        <v>29.77</v>
      </c>
      <c r="Z181" s="4">
        <f t="shared" si="62"/>
        <v>2787.9999999999995</v>
      </c>
      <c r="AA181" s="4">
        <f t="shared" si="63"/>
        <v>3373.4799999999996</v>
      </c>
    </row>
    <row r="182" spans="1:27" x14ac:dyDescent="0.3">
      <c r="A182" s="135"/>
      <c r="B182" s="125"/>
      <c r="C182" s="3" t="s">
        <v>248</v>
      </c>
      <c r="D182" s="55" t="s">
        <v>1266</v>
      </c>
      <c r="E182" s="55" t="s">
        <v>362</v>
      </c>
      <c r="F182" s="55" t="s">
        <v>1067</v>
      </c>
      <c r="G182" s="56">
        <v>0</v>
      </c>
      <c r="H182" s="49">
        <f>24</f>
        <v>24</v>
      </c>
      <c r="I182" s="50">
        <f>5+6</f>
        <v>11</v>
      </c>
      <c r="J182" s="77">
        <f>+H182-I182</f>
        <v>13</v>
      </c>
      <c r="K182" s="31">
        <v>130</v>
      </c>
      <c r="L182" s="32">
        <v>44146</v>
      </c>
      <c r="M182" s="33">
        <v>0.21</v>
      </c>
      <c r="N182" s="64">
        <f t="shared" si="56"/>
        <v>157.29999999999998</v>
      </c>
      <c r="O182" s="68">
        <f t="shared" si="72"/>
        <v>169</v>
      </c>
      <c r="P182" s="68">
        <f t="shared" si="58"/>
        <v>175.5</v>
      </c>
      <c r="Q182" s="68">
        <f t="shared" si="59"/>
        <v>182</v>
      </c>
      <c r="R182" s="11">
        <f t="shared" si="60"/>
        <v>188.5</v>
      </c>
      <c r="S182" s="11">
        <f t="shared" si="70"/>
        <v>195</v>
      </c>
      <c r="T182" s="11">
        <f t="shared" si="61"/>
        <v>208</v>
      </c>
      <c r="U182" s="38">
        <f t="shared" si="65"/>
        <v>212.36</v>
      </c>
      <c r="V182" s="38">
        <f t="shared" si="66"/>
        <v>220.22</v>
      </c>
      <c r="W182" s="38">
        <f t="shared" si="67"/>
        <v>228.09</v>
      </c>
      <c r="X182" s="38">
        <f t="shared" si="68"/>
        <v>235.95</v>
      </c>
      <c r="Z182" s="4">
        <f t="shared" si="62"/>
        <v>1690</v>
      </c>
      <c r="AA182" s="4">
        <f t="shared" si="63"/>
        <v>2044.8999999999999</v>
      </c>
    </row>
    <row r="183" spans="1:27" ht="15.75" customHeight="1" x14ac:dyDescent="0.3">
      <c r="A183" s="135"/>
      <c r="B183" s="125"/>
      <c r="C183" s="3" t="s">
        <v>3</v>
      </c>
      <c r="D183" s="55" t="s">
        <v>183</v>
      </c>
      <c r="E183" s="55" t="s">
        <v>70</v>
      </c>
      <c r="F183" s="55" t="s">
        <v>361</v>
      </c>
      <c r="G183" s="56">
        <v>10</v>
      </c>
      <c r="H183" s="49">
        <f>6+10+6+6+4+10+10+10+10</f>
        <v>72</v>
      </c>
      <c r="I183" s="50">
        <f>5+1+8+1+6+1+1+9+1+1+1+1+1+1+1+3+5+2+3+1+4+4</f>
        <v>61</v>
      </c>
      <c r="J183" s="77">
        <f>+H183-I183</f>
        <v>11</v>
      </c>
      <c r="K183" s="31">
        <v>175</v>
      </c>
      <c r="L183" s="32">
        <v>44236</v>
      </c>
      <c r="M183" s="33">
        <v>0.21</v>
      </c>
      <c r="N183" s="64">
        <f t="shared" si="56"/>
        <v>211.75</v>
      </c>
      <c r="O183" s="68">
        <f t="shared" si="72"/>
        <v>227.5</v>
      </c>
      <c r="P183" s="68">
        <f t="shared" si="58"/>
        <v>236.25</v>
      </c>
      <c r="Q183" s="68">
        <f t="shared" si="59"/>
        <v>245</v>
      </c>
      <c r="R183" s="11">
        <f t="shared" si="60"/>
        <v>253.75</v>
      </c>
      <c r="S183" s="11">
        <f t="shared" si="70"/>
        <v>262.5</v>
      </c>
      <c r="T183" s="11">
        <f t="shared" si="61"/>
        <v>280</v>
      </c>
      <c r="U183" s="38">
        <f t="shared" si="65"/>
        <v>285.86</v>
      </c>
      <c r="V183" s="38">
        <f t="shared" si="66"/>
        <v>296.45</v>
      </c>
      <c r="W183" s="38">
        <f t="shared" si="67"/>
        <v>307.04000000000002</v>
      </c>
      <c r="X183" s="38">
        <f t="shared" si="68"/>
        <v>317.63</v>
      </c>
      <c r="Z183" s="4">
        <f t="shared" si="62"/>
        <v>1925</v>
      </c>
      <c r="AA183" s="4">
        <f t="shared" si="63"/>
        <v>2329.25</v>
      </c>
    </row>
    <row r="184" spans="1:27" ht="16.5" customHeight="1" x14ac:dyDescent="0.3">
      <c r="A184" s="135"/>
      <c r="B184" s="125"/>
      <c r="C184" s="3" t="s">
        <v>116</v>
      </c>
      <c r="D184" s="55" t="s">
        <v>495</v>
      </c>
      <c r="E184" s="55" t="s">
        <v>362</v>
      </c>
      <c r="F184" s="55" t="s">
        <v>285</v>
      </c>
      <c r="G184" s="56">
        <v>5</v>
      </c>
      <c r="H184" s="49">
        <f>6+10+10+10+10</f>
        <v>46</v>
      </c>
      <c r="I184" s="50">
        <f>3+2+1+10+10+2+6+1+1+2</f>
        <v>38</v>
      </c>
      <c r="J184" s="77">
        <f>+H184-I184</f>
        <v>8</v>
      </c>
      <c r="K184" s="31">
        <v>347.66</v>
      </c>
      <c r="L184" s="32">
        <v>44137</v>
      </c>
      <c r="M184" s="33">
        <v>0.21</v>
      </c>
      <c r="N184" s="64">
        <f t="shared" si="56"/>
        <v>420.66860000000003</v>
      </c>
      <c r="O184" s="68">
        <f t="shared" si="72"/>
        <v>451.96</v>
      </c>
      <c r="P184" s="68">
        <f t="shared" si="58"/>
        <v>469.34</v>
      </c>
      <c r="Q184" s="68">
        <f t="shared" si="59"/>
        <v>486.72</v>
      </c>
      <c r="R184" s="11">
        <f t="shared" si="60"/>
        <v>504.11</v>
      </c>
      <c r="S184" s="11">
        <f t="shared" si="70"/>
        <v>521.49</v>
      </c>
      <c r="T184" s="11">
        <f t="shared" si="61"/>
        <v>556.26</v>
      </c>
      <c r="U184" s="38">
        <f t="shared" si="65"/>
        <v>567.9</v>
      </c>
      <c r="V184" s="38">
        <f t="shared" si="66"/>
        <v>588.94000000000005</v>
      </c>
      <c r="W184" s="38">
        <f t="shared" si="67"/>
        <v>609.97</v>
      </c>
      <c r="X184" s="38">
        <f t="shared" si="68"/>
        <v>631</v>
      </c>
      <c r="Z184" s="4">
        <f t="shared" si="62"/>
        <v>2781.28</v>
      </c>
      <c r="AA184" s="4">
        <f t="shared" si="63"/>
        <v>3365.3488000000002</v>
      </c>
    </row>
    <row r="185" spans="1:27" x14ac:dyDescent="0.3">
      <c r="A185" s="135"/>
      <c r="B185" s="125"/>
      <c r="C185" s="3" t="s">
        <v>1315</v>
      </c>
      <c r="D185" s="55" t="s">
        <v>1343</v>
      </c>
      <c r="E185" s="55" t="s">
        <v>362</v>
      </c>
      <c r="F185" s="55" t="s">
        <v>285</v>
      </c>
      <c r="G185" s="56">
        <v>5</v>
      </c>
      <c r="H185" s="49">
        <f>10+10+10+10+20+10+10+5+6</f>
        <v>91</v>
      </c>
      <c r="I185" s="50">
        <f>6+6+6+10+2+10+10+6+2+10+8+1+8+3+3</f>
        <v>91</v>
      </c>
      <c r="J185" s="77">
        <f>+H185-I185</f>
        <v>0</v>
      </c>
      <c r="K185" s="31">
        <v>238.6</v>
      </c>
      <c r="L185" s="32">
        <v>44137</v>
      </c>
      <c r="M185" s="33">
        <v>0.21</v>
      </c>
      <c r="N185" s="64">
        <f t="shared" ref="N185:N275" si="73">+K185*(1+M185)</f>
        <v>288.70599999999996</v>
      </c>
      <c r="O185" s="68">
        <f t="shared" si="72"/>
        <v>310.18</v>
      </c>
      <c r="P185" s="68">
        <f t="shared" ref="P185:P275" si="74">ROUND(K185*(1+$P$3),2)</f>
        <v>322.11</v>
      </c>
      <c r="Q185" s="68">
        <f t="shared" ref="Q185:Q275" si="75">ROUND(K185*(1+$Q$3),2)</f>
        <v>334.04</v>
      </c>
      <c r="R185" s="11">
        <f t="shared" ref="R185:R275" si="76">ROUND(K185*(1+$R$3),2)</f>
        <v>345.97</v>
      </c>
      <c r="S185" s="11">
        <f t="shared" si="70"/>
        <v>357.9</v>
      </c>
      <c r="T185" s="11">
        <f t="shared" ref="T185:T275" si="77">ROUND(K185*(1+$T$3),2)</f>
        <v>381.76</v>
      </c>
      <c r="U185" s="38">
        <f t="shared" si="65"/>
        <v>389.75</v>
      </c>
      <c r="V185" s="38">
        <f t="shared" si="66"/>
        <v>404.19</v>
      </c>
      <c r="W185" s="38">
        <f t="shared" si="67"/>
        <v>418.62</v>
      </c>
      <c r="X185" s="38">
        <f t="shared" si="68"/>
        <v>433.06</v>
      </c>
      <c r="Z185" s="4">
        <f t="shared" si="62"/>
        <v>0</v>
      </c>
      <c r="AA185" s="4">
        <f t="shared" si="63"/>
        <v>0</v>
      </c>
    </row>
    <row r="186" spans="1:27" x14ac:dyDescent="0.3">
      <c r="B186" s="125"/>
      <c r="C186" s="5" t="s">
        <v>1077</v>
      </c>
      <c r="D186" s="55" t="s">
        <v>577</v>
      </c>
      <c r="E186" s="55" t="s">
        <v>304</v>
      </c>
      <c r="F186" s="55" t="s">
        <v>241</v>
      </c>
      <c r="G186" s="56">
        <v>0</v>
      </c>
      <c r="H186" s="49">
        <v>4</v>
      </c>
      <c r="I186" s="50">
        <f>2</f>
        <v>2</v>
      </c>
      <c r="J186" s="77">
        <f>+H186-I186</f>
        <v>2</v>
      </c>
      <c r="K186" s="31">
        <v>672</v>
      </c>
      <c r="L186" s="32">
        <v>44044</v>
      </c>
      <c r="M186" s="33">
        <v>0.21</v>
      </c>
      <c r="N186" s="64">
        <f t="shared" si="73"/>
        <v>813.12</v>
      </c>
      <c r="O186" s="72">
        <f t="shared" si="72"/>
        <v>873.6</v>
      </c>
      <c r="P186" s="72">
        <f t="shared" si="74"/>
        <v>907.2</v>
      </c>
      <c r="Q186" s="72">
        <f t="shared" si="75"/>
        <v>940.8</v>
      </c>
      <c r="R186" s="70">
        <f t="shared" si="76"/>
        <v>974.4</v>
      </c>
      <c r="S186" s="70">
        <f t="shared" si="70"/>
        <v>1008</v>
      </c>
      <c r="T186" s="70">
        <f t="shared" si="77"/>
        <v>1075.2</v>
      </c>
      <c r="U186" s="73">
        <f t="shared" si="65"/>
        <v>1097.71</v>
      </c>
      <c r="V186" s="73">
        <f t="shared" si="66"/>
        <v>1138.3699999999999</v>
      </c>
      <c r="W186" s="73">
        <f t="shared" si="67"/>
        <v>1179.02</v>
      </c>
      <c r="X186" s="38">
        <f t="shared" si="68"/>
        <v>1219.68</v>
      </c>
      <c r="Y186" s="74"/>
      <c r="Z186" s="4">
        <f t="shared" ref="Z186:Z275" si="78">J186*K186</f>
        <v>1344</v>
      </c>
      <c r="AA186" s="4">
        <f t="shared" ref="AA186:AA275" si="79">J186*N186</f>
        <v>1626.24</v>
      </c>
    </row>
    <row r="187" spans="1:27" s="75" customFormat="1" x14ac:dyDescent="0.3">
      <c r="A187" s="140"/>
      <c r="B187" s="125"/>
      <c r="C187" s="3" t="s">
        <v>797</v>
      </c>
      <c r="D187" s="55" t="s">
        <v>796</v>
      </c>
      <c r="E187" s="55" t="s">
        <v>70</v>
      </c>
      <c r="F187" s="55" t="s">
        <v>230</v>
      </c>
      <c r="G187" s="56">
        <v>2</v>
      </c>
      <c r="H187" s="49">
        <f>2+2</f>
        <v>4</v>
      </c>
      <c r="I187" s="50">
        <v>4</v>
      </c>
      <c r="J187" s="77">
        <f>+H187-I187</f>
        <v>0</v>
      </c>
      <c r="K187" s="31">
        <v>1277</v>
      </c>
      <c r="L187" s="32">
        <v>44044</v>
      </c>
      <c r="M187" s="33">
        <v>0.21</v>
      </c>
      <c r="N187" s="64">
        <f t="shared" si="73"/>
        <v>1545.1699999999998</v>
      </c>
      <c r="O187" s="68">
        <f t="shared" si="72"/>
        <v>1660.1</v>
      </c>
      <c r="P187" s="68">
        <f t="shared" si="74"/>
        <v>1723.95</v>
      </c>
      <c r="Q187" s="68">
        <f t="shared" si="75"/>
        <v>1787.8</v>
      </c>
      <c r="R187" s="11">
        <f t="shared" si="76"/>
        <v>1851.65</v>
      </c>
      <c r="S187" s="11">
        <f t="shared" ref="S187:S203" si="80">ROUND(K187*(1+$S$3),2)</f>
        <v>1915.5</v>
      </c>
      <c r="T187" s="11">
        <f t="shared" si="77"/>
        <v>2043.2</v>
      </c>
      <c r="U187" s="38">
        <f t="shared" si="65"/>
        <v>2085.98</v>
      </c>
      <c r="V187" s="38">
        <f t="shared" si="66"/>
        <v>2163.2399999999998</v>
      </c>
      <c r="W187" s="38">
        <f t="shared" si="67"/>
        <v>2240.5</v>
      </c>
      <c r="X187" s="38">
        <f t="shared" si="68"/>
        <v>2317.7600000000002</v>
      </c>
      <c r="Y187" s="9"/>
      <c r="Z187" s="4">
        <f t="shared" si="78"/>
        <v>0</v>
      </c>
      <c r="AA187" s="4">
        <f t="shared" si="79"/>
        <v>0</v>
      </c>
    </row>
    <row r="188" spans="1:27" x14ac:dyDescent="0.3">
      <c r="C188" s="3" t="s">
        <v>433</v>
      </c>
      <c r="D188" s="55" t="s">
        <v>1032</v>
      </c>
      <c r="E188" s="55" t="s">
        <v>70</v>
      </c>
      <c r="F188" s="55" t="s">
        <v>229</v>
      </c>
      <c r="G188" s="56">
        <v>3</v>
      </c>
      <c r="H188" s="49">
        <f>5</f>
        <v>5</v>
      </c>
      <c r="I188" s="50">
        <f>4</f>
        <v>4</v>
      </c>
      <c r="J188" s="77">
        <f>+H188-I188</f>
        <v>1</v>
      </c>
      <c r="K188" s="31">
        <v>350</v>
      </c>
      <c r="L188" s="32">
        <v>44044</v>
      </c>
      <c r="M188" s="33">
        <v>0.21</v>
      </c>
      <c r="N188" s="64">
        <f t="shared" si="73"/>
        <v>423.5</v>
      </c>
      <c r="O188" s="68">
        <f t="shared" si="72"/>
        <v>455</v>
      </c>
      <c r="P188" s="68">
        <f t="shared" si="74"/>
        <v>472.5</v>
      </c>
      <c r="Q188" s="68">
        <f t="shared" si="75"/>
        <v>490</v>
      </c>
      <c r="R188" s="11">
        <f t="shared" si="76"/>
        <v>507.5</v>
      </c>
      <c r="S188" s="11">
        <f t="shared" si="80"/>
        <v>525</v>
      </c>
      <c r="T188" s="11">
        <f t="shared" si="77"/>
        <v>560</v>
      </c>
      <c r="U188" s="38">
        <f t="shared" si="65"/>
        <v>571.73</v>
      </c>
      <c r="V188" s="38">
        <f t="shared" si="66"/>
        <v>592.9</v>
      </c>
      <c r="W188" s="38">
        <f t="shared" si="67"/>
        <v>614.08000000000004</v>
      </c>
      <c r="X188" s="38">
        <f t="shared" si="68"/>
        <v>635.25</v>
      </c>
      <c r="Z188" s="4">
        <f t="shared" si="78"/>
        <v>350</v>
      </c>
      <c r="AA188" s="4">
        <f t="shared" si="79"/>
        <v>423.5</v>
      </c>
    </row>
    <row r="189" spans="1:27" x14ac:dyDescent="0.3">
      <c r="B189" s="125"/>
      <c r="C189" s="3" t="s">
        <v>1137</v>
      </c>
      <c r="D189" s="55" t="s">
        <v>1168</v>
      </c>
      <c r="E189" s="55" t="s">
        <v>70</v>
      </c>
      <c r="F189" s="55" t="s">
        <v>230</v>
      </c>
      <c r="G189" s="56">
        <v>3</v>
      </c>
      <c r="H189" s="49">
        <v>6</v>
      </c>
      <c r="I189" s="50">
        <v>5</v>
      </c>
      <c r="J189" s="77">
        <f>+H189-I189</f>
        <v>1</v>
      </c>
      <c r="K189" s="31">
        <v>672</v>
      </c>
      <c r="L189" s="32">
        <v>44044</v>
      </c>
      <c r="M189" s="33">
        <v>0.21</v>
      </c>
      <c r="N189" s="64">
        <f t="shared" si="73"/>
        <v>813.12</v>
      </c>
      <c r="O189" s="68">
        <f t="shared" si="72"/>
        <v>873.6</v>
      </c>
      <c r="P189" s="68">
        <f t="shared" si="74"/>
        <v>907.2</v>
      </c>
      <c r="Q189" s="68">
        <f t="shared" si="75"/>
        <v>940.8</v>
      </c>
      <c r="R189" s="11">
        <f t="shared" si="76"/>
        <v>974.4</v>
      </c>
      <c r="S189" s="11">
        <f t="shared" si="80"/>
        <v>1008</v>
      </c>
      <c r="T189" s="11">
        <f t="shared" si="77"/>
        <v>1075.2</v>
      </c>
      <c r="U189" s="38">
        <f t="shared" ref="U189:U280" si="81">ROUND((N189*(1+$U$3)),2)</f>
        <v>1097.71</v>
      </c>
      <c r="V189" s="38">
        <f t="shared" ref="V189:V280" si="82">ROUND((N189*(1+$V$3)),2)</f>
        <v>1138.3699999999999</v>
      </c>
      <c r="W189" s="38">
        <f t="shared" ref="W189:W280" si="83">ROUND((N189*(1+$W$3)),2)</f>
        <v>1179.02</v>
      </c>
      <c r="X189" s="38">
        <f t="shared" si="68"/>
        <v>1219.68</v>
      </c>
      <c r="Z189" s="4"/>
      <c r="AA189" s="4">
        <f t="shared" si="79"/>
        <v>813.12</v>
      </c>
    </row>
    <row r="190" spans="1:27" x14ac:dyDescent="0.3">
      <c r="A190" s="135"/>
      <c r="C190" s="3" t="s">
        <v>1076</v>
      </c>
      <c r="D190" s="55"/>
      <c r="E190" s="55" t="s">
        <v>443</v>
      </c>
      <c r="F190" s="55" t="s">
        <v>231</v>
      </c>
      <c r="G190" s="56">
        <v>0</v>
      </c>
      <c r="H190" s="49">
        <f>262</f>
        <v>262</v>
      </c>
      <c r="I190" s="50">
        <f>2+1+1+2+20</f>
        <v>26</v>
      </c>
      <c r="J190" s="77">
        <f>+H190-I190</f>
        <v>236</v>
      </c>
      <c r="K190" s="31">
        <v>250</v>
      </c>
      <c r="L190" s="32">
        <v>44146</v>
      </c>
      <c r="M190" s="33">
        <v>0.21</v>
      </c>
      <c r="N190" s="64">
        <f t="shared" si="73"/>
        <v>302.5</v>
      </c>
      <c r="O190" s="68">
        <f t="shared" si="72"/>
        <v>325</v>
      </c>
      <c r="P190" s="68">
        <f t="shared" si="74"/>
        <v>337.5</v>
      </c>
      <c r="Q190" s="68">
        <f t="shared" si="75"/>
        <v>350</v>
      </c>
      <c r="R190" s="11">
        <f t="shared" si="76"/>
        <v>362.5</v>
      </c>
      <c r="S190" s="11">
        <f t="shared" si="80"/>
        <v>375</v>
      </c>
      <c r="T190" s="11">
        <f t="shared" si="77"/>
        <v>400</v>
      </c>
      <c r="U190" s="38">
        <f t="shared" si="81"/>
        <v>408.38</v>
      </c>
      <c r="V190" s="38">
        <f t="shared" si="82"/>
        <v>423.5</v>
      </c>
      <c r="W190" s="38">
        <f t="shared" si="83"/>
        <v>438.63</v>
      </c>
      <c r="X190" s="38">
        <f t="shared" ref="X190:X282" si="84">ROUND((N190*(1+$X$3)),2)</f>
        <v>453.75</v>
      </c>
      <c r="Z190" s="4">
        <f t="shared" si="78"/>
        <v>59000</v>
      </c>
      <c r="AA190" s="4">
        <f t="shared" si="79"/>
        <v>71390</v>
      </c>
    </row>
    <row r="191" spans="1:27" x14ac:dyDescent="0.3">
      <c r="A191" s="135"/>
      <c r="C191" s="3" t="s">
        <v>1382</v>
      </c>
      <c r="D191" s="55" t="s">
        <v>1449</v>
      </c>
      <c r="E191" s="55" t="s">
        <v>70</v>
      </c>
      <c r="F191" s="55" t="s">
        <v>830</v>
      </c>
      <c r="G191" s="56">
        <v>0</v>
      </c>
      <c r="H191" s="49">
        <f>20+3+10+10+40+2+10+20+20+15</f>
        <v>150</v>
      </c>
      <c r="I191" s="50">
        <f>15+2+3+3+3+7+2+8+12+2+4+20+4+10+20+5+4+5+3+3+7</f>
        <v>142</v>
      </c>
      <c r="J191" s="77">
        <f>+H191-I191</f>
        <v>8</v>
      </c>
      <c r="K191" s="31">
        <v>335.4</v>
      </c>
      <c r="L191" s="32">
        <v>44239</v>
      </c>
      <c r="M191" s="33">
        <v>0.21</v>
      </c>
      <c r="N191" s="64">
        <f t="shared" si="73"/>
        <v>405.83399999999995</v>
      </c>
      <c r="O191" s="68">
        <f t="shared" si="72"/>
        <v>436.02</v>
      </c>
      <c r="P191" s="68">
        <f t="shared" si="74"/>
        <v>452.79</v>
      </c>
      <c r="Q191" s="68">
        <f t="shared" si="75"/>
        <v>469.56</v>
      </c>
      <c r="R191" s="11">
        <f t="shared" si="76"/>
        <v>486.33</v>
      </c>
      <c r="S191" s="11">
        <f t="shared" si="80"/>
        <v>503.1</v>
      </c>
      <c r="T191" s="11">
        <f t="shared" si="77"/>
        <v>536.64</v>
      </c>
      <c r="U191" s="38">
        <f t="shared" si="81"/>
        <v>547.88</v>
      </c>
      <c r="V191" s="38">
        <f t="shared" si="82"/>
        <v>568.16999999999996</v>
      </c>
      <c r="W191" s="38">
        <f t="shared" si="83"/>
        <v>588.46</v>
      </c>
      <c r="X191" s="38">
        <f t="shared" si="84"/>
        <v>608.75</v>
      </c>
      <c r="Z191" s="4">
        <f t="shared" si="78"/>
        <v>2683.2</v>
      </c>
      <c r="AA191" s="4">
        <f t="shared" si="79"/>
        <v>3246.6719999999996</v>
      </c>
    </row>
    <row r="192" spans="1:27" x14ac:dyDescent="0.3">
      <c r="A192" s="135"/>
      <c r="C192" s="3" t="s">
        <v>1367</v>
      </c>
      <c r="D192" s="55"/>
      <c r="E192" s="55" t="s">
        <v>70</v>
      </c>
      <c r="F192" s="55" t="s">
        <v>1368</v>
      </c>
      <c r="G192" s="56">
        <v>0</v>
      </c>
      <c r="H192" s="49">
        <f>2+1</f>
        <v>3</v>
      </c>
      <c r="I192" s="50">
        <v>1</v>
      </c>
      <c r="J192" s="77">
        <f>+H192-I192</f>
        <v>2</v>
      </c>
      <c r="K192" s="31">
        <v>442.25</v>
      </c>
      <c r="L192" s="32">
        <v>44141</v>
      </c>
      <c r="M192" s="33">
        <v>0.21</v>
      </c>
      <c r="N192" s="64">
        <f t="shared" si="73"/>
        <v>535.12249999999995</v>
      </c>
      <c r="O192" s="68">
        <f t="shared" si="72"/>
        <v>574.92999999999995</v>
      </c>
      <c r="P192" s="68">
        <f t="shared" si="74"/>
        <v>597.04</v>
      </c>
      <c r="Q192" s="68">
        <f t="shared" si="75"/>
        <v>619.15</v>
      </c>
      <c r="R192" s="11">
        <f t="shared" si="76"/>
        <v>641.26</v>
      </c>
      <c r="S192" s="11">
        <f t="shared" si="80"/>
        <v>663.38</v>
      </c>
      <c r="T192" s="11">
        <f t="shared" si="77"/>
        <v>707.6</v>
      </c>
      <c r="U192" s="38">
        <f t="shared" si="81"/>
        <v>722.42</v>
      </c>
      <c r="V192" s="38">
        <f t="shared" si="82"/>
        <v>749.17</v>
      </c>
      <c r="W192" s="38">
        <f t="shared" si="83"/>
        <v>775.93</v>
      </c>
      <c r="X192" s="38">
        <f t="shared" si="84"/>
        <v>802.68</v>
      </c>
      <c r="Z192" s="4">
        <f t="shared" si="78"/>
        <v>884.5</v>
      </c>
      <c r="AA192" s="4">
        <f t="shared" si="79"/>
        <v>1070.2449999999999</v>
      </c>
    </row>
    <row r="193" spans="1:27" x14ac:dyDescent="0.3">
      <c r="A193" s="135"/>
      <c r="B193" s="125"/>
      <c r="C193" s="3" t="s">
        <v>366</v>
      </c>
      <c r="D193" s="55" t="s">
        <v>184</v>
      </c>
      <c r="E193" s="55" t="s">
        <v>70</v>
      </c>
      <c r="F193" s="55" t="s">
        <v>228</v>
      </c>
      <c r="G193" s="56">
        <v>100</v>
      </c>
      <c r="H193" s="49">
        <f>300+200+100+100+1+99+100+100+100+100</f>
        <v>1200</v>
      </c>
      <c r="I193" s="50">
        <f>30+30+30+50+4+100+30+30+50+50+100+2+50+100+44+25+75+24+76+50+50+30+70</f>
        <v>1100</v>
      </c>
      <c r="J193" s="77">
        <f>+H193-I193</f>
        <v>100</v>
      </c>
      <c r="K193" s="31">
        <v>15.15</v>
      </c>
      <c r="L193" s="32">
        <v>44141</v>
      </c>
      <c r="M193" s="33">
        <v>0.21</v>
      </c>
      <c r="N193" s="64">
        <f t="shared" si="73"/>
        <v>18.331499999999998</v>
      </c>
      <c r="O193" s="68">
        <f t="shared" si="72"/>
        <v>19.7</v>
      </c>
      <c r="P193" s="68">
        <f t="shared" si="74"/>
        <v>20.45</v>
      </c>
      <c r="Q193" s="68">
        <f t="shared" si="75"/>
        <v>21.21</v>
      </c>
      <c r="R193" s="11">
        <f t="shared" si="76"/>
        <v>21.97</v>
      </c>
      <c r="S193" s="11">
        <f t="shared" si="80"/>
        <v>22.73</v>
      </c>
      <c r="T193" s="11">
        <f t="shared" si="77"/>
        <v>24.24</v>
      </c>
      <c r="U193" s="38">
        <f t="shared" si="81"/>
        <v>24.75</v>
      </c>
      <c r="V193" s="38">
        <f t="shared" si="82"/>
        <v>25.66</v>
      </c>
      <c r="W193" s="38">
        <f t="shared" si="83"/>
        <v>26.58</v>
      </c>
      <c r="X193" s="38">
        <f t="shared" si="84"/>
        <v>27.5</v>
      </c>
      <c r="Z193" s="4">
        <f t="shared" si="78"/>
        <v>1515</v>
      </c>
      <c r="AA193" s="4">
        <f t="shared" si="79"/>
        <v>1833.1499999999999</v>
      </c>
    </row>
    <row r="194" spans="1:27" x14ac:dyDescent="0.3">
      <c r="A194" s="135"/>
      <c r="B194" s="125"/>
      <c r="C194" s="3" t="s">
        <v>1415</v>
      </c>
      <c r="D194" s="55"/>
      <c r="E194" s="55"/>
      <c r="F194" s="55" t="s">
        <v>222</v>
      </c>
      <c r="G194" s="56">
        <v>0</v>
      </c>
      <c r="H194" s="49">
        <v>5</v>
      </c>
      <c r="I194" s="50">
        <v>0</v>
      </c>
      <c r="J194" s="77">
        <f>+H194-I194</f>
        <v>5</v>
      </c>
      <c r="K194" s="31">
        <v>90.72</v>
      </c>
      <c r="L194" s="32">
        <v>44044</v>
      </c>
      <c r="M194" s="33">
        <v>0.21</v>
      </c>
      <c r="N194" s="64">
        <f t="shared" si="73"/>
        <v>109.77119999999999</v>
      </c>
      <c r="O194" s="68">
        <f t="shared" si="72"/>
        <v>117.94</v>
      </c>
      <c r="P194" s="68">
        <f t="shared" si="74"/>
        <v>122.47</v>
      </c>
      <c r="Q194" s="68">
        <f t="shared" si="75"/>
        <v>127.01</v>
      </c>
      <c r="R194" s="11">
        <f t="shared" si="76"/>
        <v>131.54</v>
      </c>
      <c r="S194" s="11">
        <f t="shared" si="80"/>
        <v>136.08000000000001</v>
      </c>
      <c r="T194" s="11">
        <f t="shared" si="77"/>
        <v>145.15</v>
      </c>
      <c r="U194" s="38">
        <f t="shared" si="81"/>
        <v>148.19</v>
      </c>
      <c r="V194" s="38">
        <f t="shared" si="82"/>
        <v>153.68</v>
      </c>
      <c r="W194" s="38">
        <f t="shared" si="83"/>
        <v>159.16999999999999</v>
      </c>
      <c r="X194" s="38">
        <f t="shared" si="84"/>
        <v>164.66</v>
      </c>
      <c r="Z194" s="4">
        <f t="shared" si="78"/>
        <v>453.6</v>
      </c>
      <c r="AA194" s="4">
        <f t="shared" si="79"/>
        <v>548.85599999999999</v>
      </c>
    </row>
    <row r="195" spans="1:27" x14ac:dyDescent="0.3">
      <c r="A195" s="135"/>
      <c r="B195" s="125"/>
      <c r="C195" s="3" t="s">
        <v>1043</v>
      </c>
      <c r="D195" s="55" t="s">
        <v>1323</v>
      </c>
      <c r="E195" s="55" t="s">
        <v>70</v>
      </c>
      <c r="F195" s="55" t="s">
        <v>222</v>
      </c>
      <c r="G195" s="56">
        <v>0</v>
      </c>
      <c r="H195" s="49">
        <f>10+15</f>
        <v>25</v>
      </c>
      <c r="I195" s="50">
        <f>7+3+5+5</f>
        <v>20</v>
      </c>
      <c r="J195" s="77">
        <f>+H195-I195</f>
        <v>5</v>
      </c>
      <c r="K195" s="31">
        <v>90.72</v>
      </c>
      <c r="L195" s="32">
        <v>44044</v>
      </c>
      <c r="M195" s="33">
        <v>0.21</v>
      </c>
      <c r="N195" s="64">
        <f t="shared" si="73"/>
        <v>109.77119999999999</v>
      </c>
      <c r="O195" s="68">
        <f t="shared" si="72"/>
        <v>117.94</v>
      </c>
      <c r="P195" s="68">
        <f t="shared" si="74"/>
        <v>122.47</v>
      </c>
      <c r="Q195" s="68">
        <f t="shared" si="75"/>
        <v>127.01</v>
      </c>
      <c r="R195" s="11">
        <f t="shared" si="76"/>
        <v>131.54</v>
      </c>
      <c r="S195" s="11">
        <f t="shared" si="80"/>
        <v>136.08000000000001</v>
      </c>
      <c r="T195" s="11">
        <f t="shared" si="77"/>
        <v>145.15</v>
      </c>
      <c r="U195" s="38">
        <f t="shared" si="81"/>
        <v>148.19</v>
      </c>
      <c r="V195" s="38">
        <f t="shared" si="82"/>
        <v>153.68</v>
      </c>
      <c r="W195" s="38">
        <f t="shared" si="83"/>
        <v>159.16999999999999</v>
      </c>
      <c r="X195" s="38">
        <f t="shared" si="84"/>
        <v>164.66</v>
      </c>
      <c r="Z195" s="4">
        <f t="shared" si="78"/>
        <v>453.6</v>
      </c>
      <c r="AA195" s="4">
        <f t="shared" si="79"/>
        <v>548.85599999999999</v>
      </c>
    </row>
    <row r="196" spans="1:27" x14ac:dyDescent="0.3">
      <c r="A196" s="135"/>
      <c r="B196" s="125"/>
      <c r="C196" s="3" t="s">
        <v>1403</v>
      </c>
      <c r="D196" s="55"/>
      <c r="E196" s="55" t="s">
        <v>70</v>
      </c>
      <c r="F196" s="55" t="s">
        <v>222</v>
      </c>
      <c r="G196" s="56">
        <v>0</v>
      </c>
      <c r="H196" s="49">
        <v>15</v>
      </c>
      <c r="I196" s="50"/>
      <c r="J196" s="77">
        <f>+H196-I196</f>
        <v>15</v>
      </c>
      <c r="K196" s="31">
        <v>90.72</v>
      </c>
      <c r="L196" s="32">
        <v>44044</v>
      </c>
      <c r="M196" s="33">
        <v>0.21</v>
      </c>
      <c r="N196" s="64">
        <f t="shared" si="73"/>
        <v>109.77119999999999</v>
      </c>
      <c r="O196" s="68">
        <f t="shared" si="72"/>
        <v>117.94</v>
      </c>
      <c r="P196" s="68">
        <f t="shared" si="74"/>
        <v>122.47</v>
      </c>
      <c r="Q196" s="68">
        <f t="shared" si="75"/>
        <v>127.01</v>
      </c>
      <c r="R196" s="11">
        <f t="shared" si="76"/>
        <v>131.54</v>
      </c>
      <c r="S196" s="11">
        <f t="shared" si="80"/>
        <v>136.08000000000001</v>
      </c>
      <c r="T196" s="11">
        <f t="shared" si="77"/>
        <v>145.15</v>
      </c>
      <c r="U196" s="38">
        <f t="shared" si="81"/>
        <v>148.19</v>
      </c>
      <c r="V196" s="38">
        <f t="shared" si="82"/>
        <v>153.68</v>
      </c>
      <c r="W196" s="38">
        <f t="shared" si="83"/>
        <v>159.16999999999999</v>
      </c>
      <c r="X196" s="38">
        <f t="shared" si="84"/>
        <v>164.66</v>
      </c>
      <c r="Z196" s="4">
        <f t="shared" si="78"/>
        <v>1360.8</v>
      </c>
      <c r="AA196" s="4">
        <f t="shared" si="79"/>
        <v>1646.568</v>
      </c>
    </row>
    <row r="197" spans="1:27" x14ac:dyDescent="0.3">
      <c r="A197" s="135"/>
      <c r="B197" s="125"/>
      <c r="C197" s="3" t="s">
        <v>251</v>
      </c>
      <c r="D197" s="55" t="s">
        <v>185</v>
      </c>
      <c r="E197" s="55" t="s">
        <v>70</v>
      </c>
      <c r="F197" s="55" t="s">
        <v>222</v>
      </c>
      <c r="G197" s="56">
        <v>0</v>
      </c>
      <c r="H197" s="49">
        <v>2</v>
      </c>
      <c r="I197" s="50">
        <v>2</v>
      </c>
      <c r="J197" s="77">
        <f>+H197-I197</f>
        <v>0</v>
      </c>
      <c r="K197" s="31">
        <v>90.72</v>
      </c>
      <c r="L197" s="32">
        <v>44044</v>
      </c>
      <c r="M197" s="33">
        <v>0.21</v>
      </c>
      <c r="N197" s="64">
        <f t="shared" si="73"/>
        <v>109.77119999999999</v>
      </c>
      <c r="O197" s="68">
        <f t="shared" si="72"/>
        <v>117.94</v>
      </c>
      <c r="P197" s="68">
        <f t="shared" si="74"/>
        <v>122.47</v>
      </c>
      <c r="Q197" s="68">
        <f t="shared" si="75"/>
        <v>127.01</v>
      </c>
      <c r="R197" s="11">
        <f t="shared" si="76"/>
        <v>131.54</v>
      </c>
      <c r="S197" s="11">
        <f t="shared" si="80"/>
        <v>136.08000000000001</v>
      </c>
      <c r="T197" s="11">
        <f t="shared" si="77"/>
        <v>145.15</v>
      </c>
      <c r="U197" s="38">
        <f t="shared" si="81"/>
        <v>148.19</v>
      </c>
      <c r="V197" s="38">
        <f t="shared" si="82"/>
        <v>153.68</v>
      </c>
      <c r="W197" s="38">
        <f t="shared" si="83"/>
        <v>159.16999999999999</v>
      </c>
      <c r="X197" s="38">
        <f t="shared" si="84"/>
        <v>164.66</v>
      </c>
      <c r="Z197" s="4">
        <f t="shared" si="78"/>
        <v>0</v>
      </c>
      <c r="AA197" s="4">
        <f t="shared" si="79"/>
        <v>0</v>
      </c>
    </row>
    <row r="198" spans="1:27" x14ac:dyDescent="0.3">
      <c r="A198" s="135"/>
      <c r="B198" s="125"/>
      <c r="C198" s="3" t="s">
        <v>1033</v>
      </c>
      <c r="D198" s="55" t="s">
        <v>186</v>
      </c>
      <c r="E198" s="55" t="s">
        <v>70</v>
      </c>
      <c r="F198" s="55" t="s">
        <v>222</v>
      </c>
      <c r="G198" s="56">
        <v>0</v>
      </c>
      <c r="H198" s="49">
        <v>5</v>
      </c>
      <c r="I198" s="50">
        <f>2+3</f>
        <v>5</v>
      </c>
      <c r="J198" s="77">
        <f>+H198-I198</f>
        <v>0</v>
      </c>
      <c r="K198" s="31">
        <v>90.72</v>
      </c>
      <c r="L198" s="32">
        <v>44044</v>
      </c>
      <c r="M198" s="33">
        <v>0.21</v>
      </c>
      <c r="N198" s="64">
        <f t="shared" si="73"/>
        <v>109.77119999999999</v>
      </c>
      <c r="O198" s="68">
        <f t="shared" si="72"/>
        <v>117.94</v>
      </c>
      <c r="P198" s="68">
        <f t="shared" si="74"/>
        <v>122.47</v>
      </c>
      <c r="Q198" s="68">
        <f t="shared" si="75"/>
        <v>127.01</v>
      </c>
      <c r="R198" s="11">
        <f t="shared" si="76"/>
        <v>131.54</v>
      </c>
      <c r="S198" s="11">
        <f t="shared" si="80"/>
        <v>136.08000000000001</v>
      </c>
      <c r="T198" s="11">
        <f t="shared" si="77"/>
        <v>145.15</v>
      </c>
      <c r="U198" s="38">
        <f t="shared" si="81"/>
        <v>148.19</v>
      </c>
      <c r="V198" s="38">
        <f t="shared" si="82"/>
        <v>153.68</v>
      </c>
      <c r="W198" s="38">
        <f t="shared" si="83"/>
        <v>159.16999999999999</v>
      </c>
      <c r="X198" s="38">
        <f t="shared" si="84"/>
        <v>164.66</v>
      </c>
      <c r="Z198" s="4">
        <f t="shared" si="78"/>
        <v>0</v>
      </c>
      <c r="AA198" s="4">
        <f t="shared" si="79"/>
        <v>0</v>
      </c>
    </row>
    <row r="199" spans="1:27" x14ac:dyDescent="0.3">
      <c r="A199" s="135"/>
      <c r="B199" s="125"/>
      <c r="C199" s="3" t="s">
        <v>252</v>
      </c>
      <c r="D199" s="55" t="s">
        <v>187</v>
      </c>
      <c r="E199" s="55" t="s">
        <v>70</v>
      </c>
      <c r="F199" s="55" t="s">
        <v>222</v>
      </c>
      <c r="G199" s="56">
        <v>0</v>
      </c>
      <c r="H199" s="49">
        <f>15+5</f>
        <v>20</v>
      </c>
      <c r="I199" s="50">
        <f>0+5+5</f>
        <v>10</v>
      </c>
      <c r="J199" s="77">
        <f>+H199-I199</f>
        <v>10</v>
      </c>
      <c r="K199" s="31">
        <v>95</v>
      </c>
      <c r="L199" s="32">
        <v>44044</v>
      </c>
      <c r="M199" s="33">
        <v>0.21</v>
      </c>
      <c r="N199" s="64">
        <f t="shared" si="73"/>
        <v>114.95</v>
      </c>
      <c r="O199" s="68">
        <f t="shared" si="72"/>
        <v>123.5</v>
      </c>
      <c r="P199" s="68">
        <f t="shared" si="74"/>
        <v>128.25</v>
      </c>
      <c r="Q199" s="68">
        <f t="shared" si="75"/>
        <v>133</v>
      </c>
      <c r="R199" s="11">
        <f t="shared" si="76"/>
        <v>137.75</v>
      </c>
      <c r="S199" s="11">
        <f t="shared" si="80"/>
        <v>142.5</v>
      </c>
      <c r="T199" s="11">
        <f t="shared" si="77"/>
        <v>152</v>
      </c>
      <c r="U199" s="38">
        <f t="shared" si="81"/>
        <v>155.18</v>
      </c>
      <c r="V199" s="38">
        <f t="shared" si="82"/>
        <v>160.93</v>
      </c>
      <c r="W199" s="38">
        <f t="shared" si="83"/>
        <v>166.68</v>
      </c>
      <c r="X199" s="38">
        <f t="shared" si="84"/>
        <v>172.43</v>
      </c>
      <c r="Z199" s="4">
        <f t="shared" si="78"/>
        <v>950</v>
      </c>
      <c r="AA199" s="4">
        <f t="shared" si="79"/>
        <v>1149.5</v>
      </c>
    </row>
    <row r="200" spans="1:27" x14ac:dyDescent="0.3">
      <c r="A200" s="135"/>
      <c r="B200" s="125"/>
      <c r="C200" s="3" t="s">
        <v>253</v>
      </c>
      <c r="D200" s="55" t="s">
        <v>188</v>
      </c>
      <c r="E200" s="55" t="s">
        <v>70</v>
      </c>
      <c r="F200" s="55" t="s">
        <v>222</v>
      </c>
      <c r="G200" s="56">
        <v>0</v>
      </c>
      <c r="H200" s="49">
        <v>35</v>
      </c>
      <c r="I200" s="50">
        <f>0+10</f>
        <v>10</v>
      </c>
      <c r="J200" s="77">
        <f>+H200-I200</f>
        <v>25</v>
      </c>
      <c r="K200" s="31">
        <v>95</v>
      </c>
      <c r="L200" s="32">
        <v>44044</v>
      </c>
      <c r="M200" s="33">
        <v>0.21</v>
      </c>
      <c r="N200" s="64">
        <f t="shared" si="73"/>
        <v>114.95</v>
      </c>
      <c r="O200" s="68">
        <f t="shared" si="72"/>
        <v>123.5</v>
      </c>
      <c r="P200" s="68">
        <f t="shared" si="74"/>
        <v>128.25</v>
      </c>
      <c r="Q200" s="68">
        <f t="shared" si="75"/>
        <v>133</v>
      </c>
      <c r="R200" s="11">
        <f t="shared" si="76"/>
        <v>137.75</v>
      </c>
      <c r="S200" s="11">
        <f t="shared" si="80"/>
        <v>142.5</v>
      </c>
      <c r="T200" s="11">
        <f t="shared" si="77"/>
        <v>152</v>
      </c>
      <c r="U200" s="38">
        <f t="shared" si="81"/>
        <v>155.18</v>
      </c>
      <c r="V200" s="38">
        <f t="shared" si="82"/>
        <v>160.93</v>
      </c>
      <c r="W200" s="38">
        <f t="shared" si="83"/>
        <v>166.68</v>
      </c>
      <c r="X200" s="38">
        <f t="shared" si="84"/>
        <v>172.43</v>
      </c>
      <c r="Z200" s="4">
        <f t="shared" si="78"/>
        <v>2375</v>
      </c>
      <c r="AA200" s="4">
        <f t="shared" si="79"/>
        <v>2873.75</v>
      </c>
    </row>
    <row r="201" spans="1:27" x14ac:dyDescent="0.3">
      <c r="A201" s="135"/>
      <c r="B201" s="125"/>
      <c r="C201" s="3" t="s">
        <v>254</v>
      </c>
      <c r="D201" s="55" t="s">
        <v>189</v>
      </c>
      <c r="E201" s="55" t="s">
        <v>70</v>
      </c>
      <c r="F201" s="55" t="s">
        <v>222</v>
      </c>
      <c r="G201" s="56">
        <v>0</v>
      </c>
      <c r="H201" s="108">
        <v>20</v>
      </c>
      <c r="I201" s="50">
        <f>0+5</f>
        <v>5</v>
      </c>
      <c r="J201" s="77">
        <f>+H201-I201</f>
        <v>15</v>
      </c>
      <c r="K201" s="31">
        <v>95</v>
      </c>
      <c r="L201" s="32">
        <v>44044</v>
      </c>
      <c r="M201" s="33">
        <v>0.21</v>
      </c>
      <c r="N201" s="64">
        <f t="shared" si="73"/>
        <v>114.95</v>
      </c>
      <c r="O201" s="68">
        <f t="shared" si="72"/>
        <v>123.5</v>
      </c>
      <c r="P201" s="68">
        <f t="shared" si="74"/>
        <v>128.25</v>
      </c>
      <c r="Q201" s="68">
        <f t="shared" si="75"/>
        <v>133</v>
      </c>
      <c r="R201" s="11">
        <f t="shared" si="76"/>
        <v>137.75</v>
      </c>
      <c r="S201" s="11">
        <f t="shared" si="80"/>
        <v>142.5</v>
      </c>
      <c r="T201" s="11">
        <f t="shared" si="77"/>
        <v>152</v>
      </c>
      <c r="U201" s="38">
        <f t="shared" si="81"/>
        <v>155.18</v>
      </c>
      <c r="V201" s="38">
        <f t="shared" si="82"/>
        <v>160.93</v>
      </c>
      <c r="W201" s="38">
        <f t="shared" si="83"/>
        <v>166.68</v>
      </c>
      <c r="X201" s="38">
        <f t="shared" si="84"/>
        <v>172.43</v>
      </c>
      <c r="Z201" s="4">
        <f t="shared" si="78"/>
        <v>1425</v>
      </c>
      <c r="AA201" s="4">
        <f t="shared" si="79"/>
        <v>1724.25</v>
      </c>
    </row>
    <row r="202" spans="1:27" ht="17.850000000000001" customHeight="1" x14ac:dyDescent="0.3">
      <c r="A202" s="135"/>
      <c r="B202" s="125"/>
      <c r="C202" s="3" t="s">
        <v>1392</v>
      </c>
      <c r="D202" s="55" t="s">
        <v>1335</v>
      </c>
      <c r="E202" s="55" t="s">
        <v>1275</v>
      </c>
      <c r="F202" s="55" t="s">
        <v>1110</v>
      </c>
      <c r="G202" s="56">
        <v>10</v>
      </c>
      <c r="H202" s="49">
        <f>79+10+30+40+2000+4000+3000+4000+42+200+40+20+4000+4000+2000+2800+1000+4000+2000</f>
        <v>33261</v>
      </c>
      <c r="I202" s="50">
        <f>8459+500+1000+3200+5+1+5+2+5+1+5+18+7+1+10+5+12+10+1+7+10+500+1800+600+400+100+797+900+1000+10+200+1800+100+500+1490+500+900+200+100+500+500+500+100+1000+500+1500+1500+2000</f>
        <v>33261</v>
      </c>
      <c r="J202" s="77">
        <f>+H202-I202</f>
        <v>0</v>
      </c>
      <c r="K202" s="31">
        <v>596</v>
      </c>
      <c r="L202" s="32">
        <v>44239</v>
      </c>
      <c r="M202" s="33">
        <v>0.21</v>
      </c>
      <c r="N202" s="64">
        <f t="shared" si="73"/>
        <v>721.16</v>
      </c>
      <c r="O202" s="68">
        <f t="shared" si="72"/>
        <v>774.8</v>
      </c>
      <c r="P202" s="68">
        <f t="shared" si="74"/>
        <v>804.6</v>
      </c>
      <c r="Q202" s="68">
        <f t="shared" si="75"/>
        <v>834.4</v>
      </c>
      <c r="R202" s="11">
        <f t="shared" si="76"/>
        <v>864.2</v>
      </c>
      <c r="S202" s="11">
        <f t="shared" si="80"/>
        <v>894</v>
      </c>
      <c r="T202" s="11">
        <f t="shared" si="77"/>
        <v>953.6</v>
      </c>
      <c r="U202" s="38">
        <f t="shared" si="81"/>
        <v>973.57</v>
      </c>
      <c r="V202" s="38">
        <f t="shared" si="82"/>
        <v>1009.62</v>
      </c>
      <c r="W202" s="38">
        <f t="shared" si="83"/>
        <v>1045.68</v>
      </c>
      <c r="X202" s="38">
        <f t="shared" si="84"/>
        <v>1081.74</v>
      </c>
      <c r="Z202" s="4">
        <f t="shared" si="78"/>
        <v>0</v>
      </c>
      <c r="AA202" s="4">
        <f t="shared" si="79"/>
        <v>0</v>
      </c>
    </row>
    <row r="203" spans="1:27" ht="17.850000000000001" customHeight="1" x14ac:dyDescent="0.3">
      <c r="A203" s="135"/>
      <c r="B203" s="125"/>
      <c r="C203" s="3" t="s">
        <v>1505</v>
      </c>
      <c r="D203" s="55"/>
      <c r="E203" s="55" t="s">
        <v>70</v>
      </c>
      <c r="F203" s="55" t="s">
        <v>228</v>
      </c>
      <c r="G203" s="56">
        <v>0</v>
      </c>
      <c r="H203" s="49">
        <v>10</v>
      </c>
      <c r="I203" s="50">
        <v>0</v>
      </c>
      <c r="J203" s="77">
        <f>+H203-I203</f>
        <v>10</v>
      </c>
      <c r="K203" s="31">
        <v>164</v>
      </c>
      <c r="L203" s="32">
        <v>44146</v>
      </c>
      <c r="M203" s="33">
        <v>0.21</v>
      </c>
      <c r="N203" s="64">
        <f t="shared" si="73"/>
        <v>198.44</v>
      </c>
      <c r="O203" s="68">
        <f t="shared" si="72"/>
        <v>213.2</v>
      </c>
      <c r="P203" s="68">
        <f t="shared" si="74"/>
        <v>221.4</v>
      </c>
      <c r="Q203" s="68">
        <f t="shared" si="75"/>
        <v>229.6</v>
      </c>
      <c r="R203" s="11">
        <f t="shared" si="76"/>
        <v>237.8</v>
      </c>
      <c r="S203" s="11">
        <f t="shared" si="80"/>
        <v>246</v>
      </c>
      <c r="T203" s="11">
        <f t="shared" si="77"/>
        <v>262.39999999999998</v>
      </c>
      <c r="U203" s="38">
        <f t="shared" si="81"/>
        <v>267.89</v>
      </c>
      <c r="V203" s="38">
        <f t="shared" si="82"/>
        <v>277.82</v>
      </c>
      <c r="W203" s="38">
        <f t="shared" si="83"/>
        <v>287.74</v>
      </c>
      <c r="X203" s="38">
        <f t="shared" si="84"/>
        <v>297.66000000000003</v>
      </c>
      <c r="Z203" s="4"/>
      <c r="AA203" s="4"/>
    </row>
    <row r="204" spans="1:27" ht="17.850000000000001" customHeight="1" x14ac:dyDescent="0.3">
      <c r="C204" s="5" t="s">
        <v>439</v>
      </c>
      <c r="D204" s="55" t="s">
        <v>1034</v>
      </c>
      <c r="E204" s="55" t="s">
        <v>1184</v>
      </c>
      <c r="F204" s="55" t="s">
        <v>1035</v>
      </c>
      <c r="G204" s="56">
        <v>0</v>
      </c>
      <c r="H204" s="49">
        <f>13+3+4+4+3</f>
        <v>27</v>
      </c>
      <c r="I204" s="50">
        <f>1+1+1+1+1+1+3+1+1+1+1+1+1+1+3+1+3</f>
        <v>23</v>
      </c>
      <c r="J204" s="77">
        <f>+H204-I204</f>
        <v>4</v>
      </c>
      <c r="K204" s="31">
        <v>4488</v>
      </c>
      <c r="L204" s="32">
        <v>44139</v>
      </c>
      <c r="M204" s="46">
        <v>0.105</v>
      </c>
      <c r="N204" s="64">
        <f t="shared" si="73"/>
        <v>4959.24</v>
      </c>
      <c r="O204" s="68">
        <f t="shared" si="72"/>
        <v>5834.4</v>
      </c>
      <c r="P204" s="68">
        <f t="shared" si="74"/>
        <v>6058.8</v>
      </c>
      <c r="Q204" s="68">
        <f t="shared" si="75"/>
        <v>6283.2</v>
      </c>
      <c r="R204" s="11">
        <f t="shared" si="76"/>
        <v>6507.6</v>
      </c>
      <c r="S204" s="11">
        <f>K204*(1+$S$3)</f>
        <v>6732</v>
      </c>
      <c r="T204" s="11">
        <f t="shared" si="77"/>
        <v>7180.8</v>
      </c>
      <c r="U204" s="38">
        <f t="shared" si="81"/>
        <v>6694.97</v>
      </c>
      <c r="V204" s="38">
        <f t="shared" si="82"/>
        <v>6942.94</v>
      </c>
      <c r="W204" s="38">
        <f t="shared" si="83"/>
        <v>7190.9</v>
      </c>
      <c r="X204" s="38">
        <f t="shared" si="84"/>
        <v>7438.86</v>
      </c>
      <c r="Z204" s="4">
        <f t="shared" si="78"/>
        <v>17952</v>
      </c>
      <c r="AA204" s="4">
        <f t="shared" si="79"/>
        <v>19836.96</v>
      </c>
    </row>
    <row r="205" spans="1:27" ht="17.850000000000001" customHeight="1" x14ac:dyDescent="0.3">
      <c r="C205" s="5" t="s">
        <v>1191</v>
      </c>
      <c r="D205" s="55" t="s">
        <v>1202</v>
      </c>
      <c r="E205" s="55" t="s">
        <v>362</v>
      </c>
      <c r="F205" s="55" t="s">
        <v>219</v>
      </c>
      <c r="G205" s="56">
        <v>3</v>
      </c>
      <c r="H205" s="49">
        <f>10+10</f>
        <v>20</v>
      </c>
      <c r="I205" s="50">
        <f>4+2+4+1+2+1+1+1+2+1</f>
        <v>19</v>
      </c>
      <c r="J205" s="77">
        <f>+H205-I205</f>
        <v>1</v>
      </c>
      <c r="K205" s="31">
        <v>4488</v>
      </c>
      <c r="L205" s="32">
        <v>44139</v>
      </c>
      <c r="M205" s="46">
        <v>0.105</v>
      </c>
      <c r="N205" s="64">
        <f t="shared" si="73"/>
        <v>4959.24</v>
      </c>
      <c r="O205" s="68">
        <f t="shared" si="72"/>
        <v>5834.4</v>
      </c>
      <c r="P205" s="68">
        <f t="shared" si="74"/>
        <v>6058.8</v>
      </c>
      <c r="Q205" s="68">
        <f t="shared" si="75"/>
        <v>6283.2</v>
      </c>
      <c r="R205" s="11">
        <f t="shared" si="76"/>
        <v>6507.6</v>
      </c>
      <c r="S205" s="11">
        <f>K205*(1+$S$3)</f>
        <v>6732</v>
      </c>
      <c r="T205" s="11">
        <f t="shared" si="77"/>
        <v>7180.8</v>
      </c>
      <c r="U205" s="38">
        <f t="shared" si="81"/>
        <v>6694.97</v>
      </c>
      <c r="V205" s="38">
        <f t="shared" si="82"/>
        <v>6942.94</v>
      </c>
      <c r="W205" s="38">
        <f t="shared" si="83"/>
        <v>7190.9</v>
      </c>
      <c r="X205" s="38">
        <f t="shared" si="84"/>
        <v>7438.86</v>
      </c>
      <c r="Z205" s="4">
        <f t="shared" si="78"/>
        <v>4488</v>
      </c>
      <c r="AA205" s="4">
        <f t="shared" si="79"/>
        <v>4959.24</v>
      </c>
    </row>
    <row r="206" spans="1:27" ht="17.850000000000001" customHeight="1" x14ac:dyDescent="0.3">
      <c r="A206" s="135"/>
      <c r="C206" s="5" t="s">
        <v>1303</v>
      </c>
      <c r="D206" s="55" t="s">
        <v>1304</v>
      </c>
      <c r="E206" s="55" t="s">
        <v>34</v>
      </c>
      <c r="F206" s="55" t="s">
        <v>269</v>
      </c>
      <c r="G206" s="56">
        <v>3</v>
      </c>
      <c r="H206" s="49">
        <f>5+3+6</f>
        <v>14</v>
      </c>
      <c r="I206" s="50">
        <f>1+1+1+1+3+1+1+1+1</f>
        <v>11</v>
      </c>
      <c r="J206" s="77">
        <f>+H206-I206</f>
        <v>3</v>
      </c>
      <c r="K206" s="31">
        <v>4488</v>
      </c>
      <c r="L206" s="32">
        <v>44214</v>
      </c>
      <c r="M206" s="46">
        <v>0.105</v>
      </c>
      <c r="N206" s="64">
        <f t="shared" si="73"/>
        <v>4959.24</v>
      </c>
      <c r="O206" s="68">
        <f t="shared" si="72"/>
        <v>5834.4</v>
      </c>
      <c r="P206" s="68">
        <f t="shared" si="74"/>
        <v>6058.8</v>
      </c>
      <c r="Q206" s="68">
        <f t="shared" si="75"/>
        <v>6283.2</v>
      </c>
      <c r="R206" s="11">
        <f t="shared" si="76"/>
        <v>6507.6</v>
      </c>
      <c r="S206" s="11"/>
      <c r="T206" s="11">
        <f t="shared" si="77"/>
        <v>7180.8</v>
      </c>
      <c r="U206" s="38">
        <f t="shared" si="81"/>
        <v>6694.97</v>
      </c>
      <c r="V206" s="38">
        <f t="shared" si="82"/>
        <v>6942.94</v>
      </c>
      <c r="W206" s="38">
        <f t="shared" si="83"/>
        <v>7190.9</v>
      </c>
      <c r="X206" s="38">
        <f t="shared" si="84"/>
        <v>7438.86</v>
      </c>
      <c r="Z206" s="4">
        <f t="shared" si="78"/>
        <v>13464</v>
      </c>
      <c r="AA206" s="4">
        <f t="shared" si="79"/>
        <v>14877.72</v>
      </c>
    </row>
    <row r="207" spans="1:27" ht="17.850000000000001" customHeight="1" x14ac:dyDescent="0.3">
      <c r="A207" s="135"/>
      <c r="C207" s="5" t="s">
        <v>1305</v>
      </c>
      <c r="D207" s="55" t="s">
        <v>1306</v>
      </c>
      <c r="E207" s="55" t="s">
        <v>34</v>
      </c>
      <c r="F207" s="55" t="s">
        <v>269</v>
      </c>
      <c r="G207" s="56">
        <v>3</v>
      </c>
      <c r="H207" s="49">
        <f>5+2+3+3+2</f>
        <v>15</v>
      </c>
      <c r="I207" s="50">
        <f>2+1+7</f>
        <v>10</v>
      </c>
      <c r="J207" s="77">
        <f>+H207-I207</f>
        <v>5</v>
      </c>
      <c r="K207" s="31">
        <v>1799.37</v>
      </c>
      <c r="L207" s="32">
        <v>44160</v>
      </c>
      <c r="M207" s="46">
        <v>0.105</v>
      </c>
      <c r="N207" s="64">
        <f t="shared" si="73"/>
        <v>1988.3038499999998</v>
      </c>
      <c r="O207" s="68">
        <f t="shared" si="72"/>
        <v>2339.1799999999998</v>
      </c>
      <c r="P207" s="68">
        <f t="shared" si="74"/>
        <v>2429.15</v>
      </c>
      <c r="Q207" s="68">
        <f t="shared" si="75"/>
        <v>2519.12</v>
      </c>
      <c r="R207" s="11">
        <f t="shared" si="76"/>
        <v>2609.09</v>
      </c>
      <c r="S207" s="11"/>
      <c r="T207" s="11">
        <f t="shared" si="77"/>
        <v>2878.99</v>
      </c>
      <c r="U207" s="38">
        <f t="shared" si="81"/>
        <v>2684.21</v>
      </c>
      <c r="V207" s="38">
        <f t="shared" si="82"/>
        <v>2783.63</v>
      </c>
      <c r="W207" s="38">
        <f t="shared" si="83"/>
        <v>2883.04</v>
      </c>
      <c r="X207" s="38">
        <f t="shared" si="84"/>
        <v>2982.46</v>
      </c>
      <c r="Z207" s="4">
        <f t="shared" si="78"/>
        <v>8996.8499999999985</v>
      </c>
      <c r="AA207" s="4">
        <f t="shared" si="79"/>
        <v>9941.5192499999994</v>
      </c>
    </row>
    <row r="208" spans="1:27" x14ac:dyDescent="0.3">
      <c r="A208" s="135"/>
      <c r="C208" s="5" t="s">
        <v>1091</v>
      </c>
      <c r="D208" s="55"/>
      <c r="E208" s="55" t="s">
        <v>1092</v>
      </c>
      <c r="F208" s="55"/>
      <c r="G208" s="56">
        <v>0</v>
      </c>
      <c r="H208" s="49">
        <f>1+2</f>
        <v>3</v>
      </c>
      <c r="I208" s="50"/>
      <c r="J208" s="77">
        <f>+H208-I208</f>
        <v>3</v>
      </c>
      <c r="K208" s="31">
        <v>3782</v>
      </c>
      <c r="L208" s="32">
        <v>43426</v>
      </c>
      <c r="M208" s="127">
        <v>0.21</v>
      </c>
      <c r="N208" s="64">
        <f t="shared" si="73"/>
        <v>4576.22</v>
      </c>
      <c r="O208" s="68">
        <f t="shared" si="72"/>
        <v>4916.6000000000004</v>
      </c>
      <c r="P208" s="68">
        <f t="shared" si="74"/>
        <v>5105.7</v>
      </c>
      <c r="Q208" s="68">
        <f t="shared" si="75"/>
        <v>5294.8</v>
      </c>
      <c r="R208" s="11">
        <f t="shared" si="76"/>
        <v>5483.9</v>
      </c>
      <c r="S208" s="11">
        <f>K208*(1+$S$3)</f>
        <v>5673</v>
      </c>
      <c r="T208" s="11">
        <f t="shared" si="77"/>
        <v>6051.2</v>
      </c>
      <c r="U208" s="38">
        <f t="shared" si="81"/>
        <v>6177.9</v>
      </c>
      <c r="V208" s="38">
        <f t="shared" si="82"/>
        <v>6406.71</v>
      </c>
      <c r="W208" s="38">
        <f t="shared" si="83"/>
        <v>6635.52</v>
      </c>
      <c r="X208" s="38">
        <f t="shared" si="84"/>
        <v>6864.33</v>
      </c>
      <c r="Z208" s="4">
        <f t="shared" si="78"/>
        <v>11346</v>
      </c>
      <c r="AA208" s="4">
        <f t="shared" si="79"/>
        <v>13728.66</v>
      </c>
    </row>
    <row r="209" spans="1:27" x14ac:dyDescent="0.3">
      <c r="A209" s="135"/>
      <c r="B209" s="125"/>
      <c r="C209" s="3" t="s">
        <v>553</v>
      </c>
      <c r="D209" s="55" t="s">
        <v>613</v>
      </c>
      <c r="E209" s="55" t="s">
        <v>34</v>
      </c>
      <c r="F209" s="55" t="s">
        <v>256</v>
      </c>
      <c r="G209" s="56">
        <v>2</v>
      </c>
      <c r="H209" s="49">
        <f>11+6+1</f>
        <v>18</v>
      </c>
      <c r="I209" s="50">
        <f>4+2+1+3+2</f>
        <v>12</v>
      </c>
      <c r="J209" s="77">
        <f>+H209-I209</f>
        <v>6</v>
      </c>
      <c r="K209" s="31">
        <v>461.5</v>
      </c>
      <c r="L209" s="32">
        <v>44146</v>
      </c>
      <c r="M209" s="33">
        <v>0.21</v>
      </c>
      <c r="N209" s="64">
        <f t="shared" si="73"/>
        <v>558.41499999999996</v>
      </c>
      <c r="O209" s="68">
        <f t="shared" si="72"/>
        <v>599.95000000000005</v>
      </c>
      <c r="P209" s="68">
        <f t="shared" si="74"/>
        <v>623.03</v>
      </c>
      <c r="Q209" s="68">
        <f t="shared" si="75"/>
        <v>646.1</v>
      </c>
      <c r="R209" s="11">
        <f t="shared" si="76"/>
        <v>669.18</v>
      </c>
      <c r="S209" s="11">
        <f t="shared" ref="S209:S214" si="85">ROUND(K209*(1+$S$3),2)</f>
        <v>692.25</v>
      </c>
      <c r="T209" s="11">
        <f t="shared" si="77"/>
        <v>738.4</v>
      </c>
      <c r="U209" s="38">
        <f t="shared" si="81"/>
        <v>753.86</v>
      </c>
      <c r="V209" s="38">
        <f t="shared" si="82"/>
        <v>781.78</v>
      </c>
      <c r="W209" s="38">
        <f t="shared" si="83"/>
        <v>809.7</v>
      </c>
      <c r="X209" s="38">
        <f t="shared" si="84"/>
        <v>837.62</v>
      </c>
      <c r="Z209" s="4">
        <f t="shared" si="78"/>
        <v>2769</v>
      </c>
      <c r="AA209" s="4">
        <f t="shared" si="79"/>
        <v>3350.49</v>
      </c>
    </row>
    <row r="210" spans="1:27" x14ac:dyDescent="0.3">
      <c r="A210" s="135"/>
      <c r="B210" s="125"/>
      <c r="C210" s="3" t="s">
        <v>1344</v>
      </c>
      <c r="D210" s="55" t="s">
        <v>190</v>
      </c>
      <c r="E210" s="55" t="s">
        <v>34</v>
      </c>
      <c r="F210" s="55" t="s">
        <v>256</v>
      </c>
      <c r="G210" s="56">
        <v>2</v>
      </c>
      <c r="H210" s="49">
        <v>2</v>
      </c>
      <c r="I210" s="50">
        <f>1+1</f>
        <v>2</v>
      </c>
      <c r="J210" s="77">
        <f>+H210-I210</f>
        <v>0</v>
      </c>
      <c r="K210" s="31">
        <v>461.5</v>
      </c>
      <c r="L210" s="32">
        <v>44146</v>
      </c>
      <c r="M210" s="33">
        <v>0.21</v>
      </c>
      <c r="N210" s="64">
        <f t="shared" si="73"/>
        <v>558.41499999999996</v>
      </c>
      <c r="O210" s="68">
        <f t="shared" si="72"/>
        <v>599.95000000000005</v>
      </c>
      <c r="P210" s="68">
        <f t="shared" si="74"/>
        <v>623.03</v>
      </c>
      <c r="Q210" s="68">
        <f t="shared" si="75"/>
        <v>646.1</v>
      </c>
      <c r="R210" s="11">
        <f t="shared" si="76"/>
        <v>669.18</v>
      </c>
      <c r="S210" s="11">
        <f t="shared" si="85"/>
        <v>692.25</v>
      </c>
      <c r="T210" s="11">
        <f t="shared" si="77"/>
        <v>738.4</v>
      </c>
      <c r="U210" s="38">
        <f t="shared" si="81"/>
        <v>753.86</v>
      </c>
      <c r="V210" s="38">
        <f t="shared" si="82"/>
        <v>781.78</v>
      </c>
      <c r="W210" s="38">
        <f t="shared" si="83"/>
        <v>809.7</v>
      </c>
      <c r="X210" s="38">
        <f t="shared" si="84"/>
        <v>837.62</v>
      </c>
      <c r="Z210" s="4">
        <f t="shared" si="78"/>
        <v>0</v>
      </c>
      <c r="AA210" s="4">
        <f t="shared" si="79"/>
        <v>0</v>
      </c>
    </row>
    <row r="211" spans="1:27" x14ac:dyDescent="0.3">
      <c r="A211" s="135"/>
      <c r="B211" s="125"/>
      <c r="C211" s="3" t="s">
        <v>258</v>
      </c>
      <c r="D211" s="55" t="s">
        <v>191</v>
      </c>
      <c r="E211" s="55" t="s">
        <v>34</v>
      </c>
      <c r="F211" s="55" t="s">
        <v>256</v>
      </c>
      <c r="G211" s="56">
        <v>2</v>
      </c>
      <c r="H211" s="49">
        <f>7+3</f>
        <v>10</v>
      </c>
      <c r="I211" s="50">
        <f>1+1+1+2+1+1+1+1+1</f>
        <v>10</v>
      </c>
      <c r="J211" s="77">
        <f>+H211-I211</f>
        <v>0</v>
      </c>
      <c r="K211" s="31">
        <v>461.5</v>
      </c>
      <c r="L211" s="32">
        <v>44146</v>
      </c>
      <c r="M211" s="33">
        <v>0.21</v>
      </c>
      <c r="N211" s="64">
        <f t="shared" si="73"/>
        <v>558.41499999999996</v>
      </c>
      <c r="O211" s="68">
        <f t="shared" si="72"/>
        <v>599.95000000000005</v>
      </c>
      <c r="P211" s="68">
        <f t="shared" si="74"/>
        <v>623.03</v>
      </c>
      <c r="Q211" s="68">
        <f t="shared" si="75"/>
        <v>646.1</v>
      </c>
      <c r="R211" s="11">
        <f t="shared" si="76"/>
        <v>669.18</v>
      </c>
      <c r="S211" s="11">
        <f t="shared" si="85"/>
        <v>692.25</v>
      </c>
      <c r="T211" s="11">
        <f t="shared" si="77"/>
        <v>738.4</v>
      </c>
      <c r="U211" s="38">
        <f t="shared" si="81"/>
        <v>753.86</v>
      </c>
      <c r="V211" s="38">
        <f t="shared" si="82"/>
        <v>781.78</v>
      </c>
      <c r="W211" s="38">
        <f t="shared" si="83"/>
        <v>809.7</v>
      </c>
      <c r="X211" s="38">
        <f t="shared" si="84"/>
        <v>837.62</v>
      </c>
      <c r="Z211" s="4">
        <f t="shared" si="78"/>
        <v>0</v>
      </c>
      <c r="AA211" s="4">
        <f t="shared" si="79"/>
        <v>0</v>
      </c>
    </row>
    <row r="212" spans="1:27" x14ac:dyDescent="0.3">
      <c r="A212" s="135"/>
      <c r="B212" s="125"/>
      <c r="C212" s="3" t="s">
        <v>257</v>
      </c>
      <c r="D212" s="55" t="s">
        <v>192</v>
      </c>
      <c r="E212" s="55" t="s">
        <v>34</v>
      </c>
      <c r="F212" s="55" t="s">
        <v>256</v>
      </c>
      <c r="G212" s="56">
        <v>2</v>
      </c>
      <c r="H212" s="49">
        <f>3+6+3</f>
        <v>12</v>
      </c>
      <c r="I212" s="50">
        <f>2+3+2+1+1+1</f>
        <v>10</v>
      </c>
      <c r="J212" s="77">
        <f>+H212-I212</f>
        <v>2</v>
      </c>
      <c r="K212" s="31">
        <v>461.5</v>
      </c>
      <c r="L212" s="32">
        <v>44146</v>
      </c>
      <c r="M212" s="33">
        <v>0.21</v>
      </c>
      <c r="N212" s="64">
        <f t="shared" si="73"/>
        <v>558.41499999999996</v>
      </c>
      <c r="O212" s="68">
        <f t="shared" si="72"/>
        <v>599.95000000000005</v>
      </c>
      <c r="P212" s="68">
        <f t="shared" si="74"/>
        <v>623.03</v>
      </c>
      <c r="Q212" s="68">
        <f t="shared" si="75"/>
        <v>646.1</v>
      </c>
      <c r="R212" s="11">
        <f t="shared" si="76"/>
        <v>669.18</v>
      </c>
      <c r="S212" s="11">
        <f t="shared" si="85"/>
        <v>692.25</v>
      </c>
      <c r="T212" s="11">
        <f t="shared" si="77"/>
        <v>738.4</v>
      </c>
      <c r="U212" s="38">
        <f t="shared" si="81"/>
        <v>753.86</v>
      </c>
      <c r="V212" s="38">
        <f t="shared" si="82"/>
        <v>781.78</v>
      </c>
      <c r="W212" s="38">
        <f t="shared" si="83"/>
        <v>809.7</v>
      </c>
      <c r="X212" s="38">
        <f t="shared" si="84"/>
        <v>837.62</v>
      </c>
      <c r="Z212" s="4">
        <f t="shared" si="78"/>
        <v>923</v>
      </c>
      <c r="AA212" s="4">
        <f t="shared" si="79"/>
        <v>1116.83</v>
      </c>
    </row>
    <row r="213" spans="1:27" x14ac:dyDescent="0.3">
      <c r="A213" s="135"/>
      <c r="B213" s="125"/>
      <c r="C213" s="3" t="s">
        <v>255</v>
      </c>
      <c r="D213" s="55" t="s">
        <v>193</v>
      </c>
      <c r="E213" s="55" t="s">
        <v>34</v>
      </c>
      <c r="F213" s="55" t="s">
        <v>256</v>
      </c>
      <c r="G213" s="56">
        <v>2</v>
      </c>
      <c r="H213" s="49">
        <v>6</v>
      </c>
      <c r="I213" s="50">
        <f>3+2+1</f>
        <v>6</v>
      </c>
      <c r="J213" s="77">
        <f>+H213-I213</f>
        <v>0</v>
      </c>
      <c r="K213" s="31">
        <v>461.5</v>
      </c>
      <c r="L213" s="32">
        <v>44146</v>
      </c>
      <c r="M213" s="33">
        <v>0.21</v>
      </c>
      <c r="N213" s="64">
        <f t="shared" si="73"/>
        <v>558.41499999999996</v>
      </c>
      <c r="O213" s="68">
        <f t="shared" si="72"/>
        <v>599.95000000000005</v>
      </c>
      <c r="P213" s="68">
        <f t="shared" si="74"/>
        <v>623.03</v>
      </c>
      <c r="Q213" s="68">
        <f t="shared" si="75"/>
        <v>646.1</v>
      </c>
      <c r="R213" s="11">
        <f t="shared" si="76"/>
        <v>669.18</v>
      </c>
      <c r="S213" s="11">
        <f t="shared" si="85"/>
        <v>692.25</v>
      </c>
      <c r="T213" s="11">
        <f t="shared" si="77"/>
        <v>738.4</v>
      </c>
      <c r="U213" s="38">
        <f t="shared" si="81"/>
        <v>753.86</v>
      </c>
      <c r="V213" s="38">
        <f t="shared" si="82"/>
        <v>781.78</v>
      </c>
      <c r="W213" s="38">
        <f t="shared" si="83"/>
        <v>809.7</v>
      </c>
      <c r="X213" s="38">
        <f t="shared" si="84"/>
        <v>837.62</v>
      </c>
      <c r="Z213" s="4">
        <f t="shared" si="78"/>
        <v>0</v>
      </c>
      <c r="AA213" s="4">
        <f t="shared" si="79"/>
        <v>0</v>
      </c>
    </row>
    <row r="214" spans="1:27" x14ac:dyDescent="0.3">
      <c r="A214" s="135"/>
      <c r="B214" s="125"/>
      <c r="C214" s="3" t="s">
        <v>570</v>
      </c>
      <c r="D214" s="55" t="s">
        <v>1010</v>
      </c>
      <c r="E214" s="55" t="s">
        <v>362</v>
      </c>
      <c r="F214" s="55" t="s">
        <v>1397</v>
      </c>
      <c r="G214" s="56">
        <v>0</v>
      </c>
      <c r="H214" s="49">
        <f>30+20+30+20+20+20+19+10+30+18+2</f>
        <v>219</v>
      </c>
      <c r="I214" s="50">
        <f>10+20+20+20+4+6+14+6+8+8+4+39+6+4+10+10+10+3</f>
        <v>202</v>
      </c>
      <c r="J214" s="77">
        <f>+H214-I214</f>
        <v>17</v>
      </c>
      <c r="K214" s="31">
        <v>210</v>
      </c>
      <c r="L214" s="32">
        <v>44245</v>
      </c>
      <c r="M214" s="33">
        <v>0.21</v>
      </c>
      <c r="N214" s="64">
        <f t="shared" si="73"/>
        <v>254.1</v>
      </c>
      <c r="O214" s="68">
        <f t="shared" si="72"/>
        <v>273</v>
      </c>
      <c r="P214" s="68">
        <f t="shared" si="74"/>
        <v>283.5</v>
      </c>
      <c r="Q214" s="68">
        <f t="shared" si="75"/>
        <v>294</v>
      </c>
      <c r="R214" s="11">
        <f t="shared" si="76"/>
        <v>304.5</v>
      </c>
      <c r="S214" s="11">
        <f t="shared" si="85"/>
        <v>315</v>
      </c>
      <c r="T214" s="11">
        <f t="shared" si="77"/>
        <v>336</v>
      </c>
      <c r="U214" s="38">
        <f t="shared" si="81"/>
        <v>343.04</v>
      </c>
      <c r="V214" s="38">
        <f t="shared" si="82"/>
        <v>355.74</v>
      </c>
      <c r="W214" s="38">
        <f t="shared" si="83"/>
        <v>368.45</v>
      </c>
      <c r="X214" s="38">
        <f t="shared" si="84"/>
        <v>381.15</v>
      </c>
      <c r="Z214" s="4">
        <f t="shared" si="78"/>
        <v>3570</v>
      </c>
      <c r="AA214" s="4">
        <f t="shared" si="79"/>
        <v>4319.7</v>
      </c>
    </row>
    <row r="215" spans="1:27" x14ac:dyDescent="0.3">
      <c r="C215" s="5" t="s">
        <v>311</v>
      </c>
      <c r="D215" s="55"/>
      <c r="E215" s="55" t="s">
        <v>443</v>
      </c>
      <c r="F215" s="55" t="s">
        <v>259</v>
      </c>
      <c r="G215" s="56">
        <v>0</v>
      </c>
      <c r="H215" s="49">
        <f>11</f>
        <v>11</v>
      </c>
      <c r="I215" s="50">
        <f>0</f>
        <v>0</v>
      </c>
      <c r="J215" s="77">
        <f>+H215-I215</f>
        <v>11</v>
      </c>
      <c r="K215" s="31">
        <v>4165.2892561983472</v>
      </c>
      <c r="L215" s="32"/>
      <c r="M215" s="33">
        <v>0.21</v>
      </c>
      <c r="N215" s="64">
        <f t="shared" si="73"/>
        <v>5040</v>
      </c>
      <c r="O215" s="68">
        <f t="shared" si="72"/>
        <v>5414.88</v>
      </c>
      <c r="P215" s="68">
        <f t="shared" si="74"/>
        <v>5623.14</v>
      </c>
      <c r="Q215" s="68">
        <f t="shared" si="75"/>
        <v>5831.4</v>
      </c>
      <c r="R215" s="11">
        <f t="shared" si="76"/>
        <v>6039.67</v>
      </c>
      <c r="S215" s="11">
        <f t="shared" ref="S215:S235" si="86">K215*(1+$S$3)</f>
        <v>6247.9338842975212</v>
      </c>
      <c r="T215" s="11">
        <f t="shared" si="77"/>
        <v>6664.46</v>
      </c>
      <c r="U215" s="38">
        <f t="shared" si="81"/>
        <v>6804</v>
      </c>
      <c r="V215" s="38">
        <f t="shared" si="82"/>
        <v>7056</v>
      </c>
      <c r="W215" s="38">
        <f t="shared" si="83"/>
        <v>7308</v>
      </c>
      <c r="X215" s="38">
        <f t="shared" si="84"/>
        <v>7560</v>
      </c>
      <c r="Z215" s="4">
        <f t="shared" si="78"/>
        <v>45818.181818181816</v>
      </c>
      <c r="AA215" s="4">
        <f t="shared" si="79"/>
        <v>55440</v>
      </c>
    </row>
    <row r="216" spans="1:27" x14ac:dyDescent="0.3">
      <c r="C216" s="5" t="s">
        <v>997</v>
      </c>
      <c r="D216" s="55"/>
      <c r="E216" s="55"/>
      <c r="F216" s="55" t="s">
        <v>1506</v>
      </c>
      <c r="G216" s="56"/>
      <c r="H216" s="49">
        <v>4</v>
      </c>
      <c r="I216" s="50"/>
      <c r="J216" s="77">
        <f>+H216-I216</f>
        <v>4</v>
      </c>
      <c r="K216" s="31">
        <v>53132</v>
      </c>
      <c r="L216" s="32">
        <v>44204</v>
      </c>
      <c r="M216" s="33">
        <v>0.105</v>
      </c>
      <c r="N216" s="64">
        <f t="shared" si="73"/>
        <v>58710.86</v>
      </c>
      <c r="O216" s="68">
        <f t="shared" si="72"/>
        <v>69071.600000000006</v>
      </c>
      <c r="P216" s="68">
        <f t="shared" si="74"/>
        <v>71728.2</v>
      </c>
      <c r="Q216" s="68">
        <f t="shared" si="75"/>
        <v>74384.800000000003</v>
      </c>
      <c r="R216" s="11">
        <f t="shared" si="76"/>
        <v>77041.399999999994</v>
      </c>
      <c r="S216" s="11"/>
      <c r="T216" s="11">
        <f t="shared" si="77"/>
        <v>85011.199999999997</v>
      </c>
      <c r="U216" s="38">
        <f t="shared" si="81"/>
        <v>79259.66</v>
      </c>
      <c r="V216" s="38">
        <f t="shared" si="82"/>
        <v>82195.199999999997</v>
      </c>
      <c r="W216" s="38">
        <f t="shared" si="83"/>
        <v>85130.75</v>
      </c>
      <c r="X216" s="38">
        <f t="shared" si="84"/>
        <v>88066.29</v>
      </c>
      <c r="Z216" s="4">
        <f t="shared" si="78"/>
        <v>212528</v>
      </c>
      <c r="AA216" s="4">
        <f t="shared" si="79"/>
        <v>234843.44</v>
      </c>
    </row>
    <row r="217" spans="1:27" x14ac:dyDescent="0.3">
      <c r="C217" s="5" t="s">
        <v>323</v>
      </c>
      <c r="D217" s="55"/>
      <c r="E217" s="55"/>
      <c r="F217" s="55"/>
      <c r="G217" s="56"/>
      <c r="H217" s="49">
        <v>1</v>
      </c>
      <c r="I217" s="50"/>
      <c r="J217" s="77">
        <f>+H217-I217</f>
        <v>1</v>
      </c>
      <c r="K217" s="31">
        <v>240000</v>
      </c>
      <c r="L217" s="32"/>
      <c r="M217" s="33">
        <v>0.105</v>
      </c>
      <c r="N217" s="64"/>
      <c r="O217" s="68"/>
      <c r="P217" s="68"/>
      <c r="Q217" s="68"/>
      <c r="R217" s="11"/>
      <c r="S217" s="11"/>
      <c r="T217" s="11"/>
      <c r="U217" s="38"/>
      <c r="V217" s="38"/>
      <c r="W217" s="38"/>
      <c r="X217" s="38"/>
      <c r="Z217" s="4"/>
      <c r="AA217" s="4"/>
    </row>
    <row r="218" spans="1:27" x14ac:dyDescent="0.3">
      <c r="C218" s="5" t="s">
        <v>323</v>
      </c>
      <c r="D218" s="55" t="s">
        <v>834</v>
      </c>
      <c r="E218" s="55" t="s">
        <v>409</v>
      </c>
      <c r="F218" s="55" t="s">
        <v>365</v>
      </c>
      <c r="G218" s="56">
        <v>0</v>
      </c>
      <c r="H218" s="49">
        <f>1</f>
        <v>1</v>
      </c>
      <c r="I218" s="50">
        <f>0</f>
        <v>0</v>
      </c>
      <c r="J218" s="77">
        <f>+H218-I218</f>
        <v>1</v>
      </c>
      <c r="K218" s="31">
        <v>70000</v>
      </c>
      <c r="L218" s="32"/>
      <c r="M218" s="33">
        <v>0.105</v>
      </c>
      <c r="N218" s="64">
        <f t="shared" si="73"/>
        <v>77350</v>
      </c>
      <c r="O218" s="68">
        <f t="shared" si="72"/>
        <v>91000</v>
      </c>
      <c r="P218" s="68">
        <f t="shared" si="74"/>
        <v>94500</v>
      </c>
      <c r="Q218" s="68">
        <f t="shared" si="75"/>
        <v>98000</v>
      </c>
      <c r="R218" s="11">
        <f t="shared" si="76"/>
        <v>101500</v>
      </c>
      <c r="S218" s="11">
        <f t="shared" si="86"/>
        <v>105000</v>
      </c>
      <c r="T218" s="11">
        <f t="shared" si="77"/>
        <v>112000</v>
      </c>
      <c r="U218" s="38">
        <f t="shared" si="81"/>
        <v>104422.5</v>
      </c>
      <c r="V218" s="38">
        <f t="shared" si="82"/>
        <v>108290</v>
      </c>
      <c r="W218" s="38">
        <f t="shared" si="83"/>
        <v>112157.5</v>
      </c>
      <c r="X218" s="38">
        <f t="shared" si="84"/>
        <v>116025</v>
      </c>
      <c r="Z218" s="4">
        <f t="shared" si="78"/>
        <v>70000</v>
      </c>
      <c r="AA218" s="4">
        <f t="shared" si="79"/>
        <v>77350</v>
      </c>
    </row>
    <row r="219" spans="1:27" x14ac:dyDescent="0.3">
      <c r="C219" s="5" t="s">
        <v>835</v>
      </c>
      <c r="D219" s="55" t="s">
        <v>408</v>
      </c>
      <c r="E219" s="55" t="s">
        <v>409</v>
      </c>
      <c r="F219" s="55" t="s">
        <v>260</v>
      </c>
      <c r="G219" s="56">
        <v>0</v>
      </c>
      <c r="H219" s="49">
        <f>1</f>
        <v>1</v>
      </c>
      <c r="I219" s="50">
        <f>0</f>
        <v>0</v>
      </c>
      <c r="J219" s="77">
        <f>+H219-I219</f>
        <v>1</v>
      </c>
      <c r="K219" s="31">
        <v>33000</v>
      </c>
      <c r="L219" s="32">
        <v>44043</v>
      </c>
      <c r="M219" s="33">
        <v>0.105</v>
      </c>
      <c r="N219" s="64">
        <f t="shared" si="73"/>
        <v>36465</v>
      </c>
      <c r="O219" s="68">
        <f t="shared" si="72"/>
        <v>42900</v>
      </c>
      <c r="P219" s="68">
        <f t="shared" si="74"/>
        <v>44550</v>
      </c>
      <c r="Q219" s="68">
        <f t="shared" si="75"/>
        <v>46200</v>
      </c>
      <c r="R219" s="11">
        <f t="shared" si="76"/>
        <v>47850</v>
      </c>
      <c r="S219" s="11">
        <f t="shared" si="86"/>
        <v>49500</v>
      </c>
      <c r="T219" s="11">
        <f t="shared" si="77"/>
        <v>52800</v>
      </c>
      <c r="U219" s="38">
        <f t="shared" si="81"/>
        <v>49227.75</v>
      </c>
      <c r="V219" s="38">
        <f t="shared" si="82"/>
        <v>51051</v>
      </c>
      <c r="W219" s="38">
        <f t="shared" si="83"/>
        <v>52874.25</v>
      </c>
      <c r="X219" s="38">
        <f t="shared" si="84"/>
        <v>54697.5</v>
      </c>
      <c r="Z219" s="4">
        <f t="shared" si="78"/>
        <v>33000</v>
      </c>
      <c r="AA219" s="4">
        <f t="shared" si="79"/>
        <v>36465</v>
      </c>
    </row>
    <row r="220" spans="1:27" x14ac:dyDescent="0.3">
      <c r="C220" s="5" t="s">
        <v>835</v>
      </c>
      <c r="D220" s="55" t="s">
        <v>410</v>
      </c>
      <c r="E220" s="55" t="s">
        <v>409</v>
      </c>
      <c r="F220" s="55" t="s">
        <v>260</v>
      </c>
      <c r="G220" s="56">
        <v>0</v>
      </c>
      <c r="H220" s="49">
        <f>1</f>
        <v>1</v>
      </c>
      <c r="I220" s="50">
        <f>0</f>
        <v>0</v>
      </c>
      <c r="J220" s="77">
        <f>+H220-I220</f>
        <v>1</v>
      </c>
      <c r="K220" s="31">
        <v>33000</v>
      </c>
      <c r="L220" s="32">
        <v>44043</v>
      </c>
      <c r="M220" s="33">
        <v>0.105</v>
      </c>
      <c r="N220" s="64">
        <f t="shared" si="73"/>
        <v>36465</v>
      </c>
      <c r="O220" s="68">
        <f t="shared" si="72"/>
        <v>42900</v>
      </c>
      <c r="P220" s="68">
        <f t="shared" si="74"/>
        <v>44550</v>
      </c>
      <c r="Q220" s="68">
        <f t="shared" si="75"/>
        <v>46200</v>
      </c>
      <c r="R220" s="11">
        <f t="shared" si="76"/>
        <v>47850</v>
      </c>
      <c r="S220" s="11">
        <f t="shared" si="86"/>
        <v>49500</v>
      </c>
      <c r="T220" s="11">
        <f t="shared" si="77"/>
        <v>52800</v>
      </c>
      <c r="U220" s="38">
        <f t="shared" si="81"/>
        <v>49227.75</v>
      </c>
      <c r="V220" s="38">
        <f t="shared" si="82"/>
        <v>51051</v>
      </c>
      <c r="W220" s="38">
        <f t="shared" si="83"/>
        <v>52874.25</v>
      </c>
      <c r="X220" s="38">
        <f t="shared" si="84"/>
        <v>54697.5</v>
      </c>
      <c r="Z220" s="4">
        <f t="shared" si="78"/>
        <v>33000</v>
      </c>
      <c r="AA220" s="4">
        <f t="shared" si="79"/>
        <v>36465</v>
      </c>
    </row>
    <row r="221" spans="1:27" x14ac:dyDescent="0.3">
      <c r="C221" s="5" t="s">
        <v>835</v>
      </c>
      <c r="D221" s="131" t="s">
        <v>1190</v>
      </c>
      <c r="E221" s="55" t="s">
        <v>409</v>
      </c>
      <c r="F221" s="55" t="s">
        <v>260</v>
      </c>
      <c r="G221" s="56">
        <v>0</v>
      </c>
      <c r="H221" s="49">
        <f>1</f>
        <v>1</v>
      </c>
      <c r="I221" s="50">
        <v>1</v>
      </c>
      <c r="J221" s="77">
        <f>+H221-I221</f>
        <v>0</v>
      </c>
      <c r="K221" s="31">
        <v>33000</v>
      </c>
      <c r="L221" s="32">
        <v>44043</v>
      </c>
      <c r="M221" s="33">
        <v>0.105</v>
      </c>
      <c r="N221" s="64">
        <f t="shared" si="73"/>
        <v>36465</v>
      </c>
      <c r="O221" s="68">
        <f t="shared" si="72"/>
        <v>42900</v>
      </c>
      <c r="P221" s="68">
        <f t="shared" si="74"/>
        <v>44550</v>
      </c>
      <c r="Q221" s="68">
        <f t="shared" si="75"/>
        <v>46200</v>
      </c>
      <c r="R221" s="11">
        <f t="shared" si="76"/>
        <v>47850</v>
      </c>
      <c r="S221" s="11">
        <f t="shared" si="86"/>
        <v>49500</v>
      </c>
      <c r="T221" s="11">
        <f t="shared" si="77"/>
        <v>52800</v>
      </c>
      <c r="U221" s="38">
        <f t="shared" si="81"/>
        <v>49227.75</v>
      </c>
      <c r="V221" s="38">
        <f t="shared" si="82"/>
        <v>51051</v>
      </c>
      <c r="W221" s="38">
        <f t="shared" si="83"/>
        <v>52874.25</v>
      </c>
      <c r="X221" s="38">
        <f t="shared" si="84"/>
        <v>54697.5</v>
      </c>
      <c r="Z221" s="4">
        <f t="shared" si="78"/>
        <v>0</v>
      </c>
      <c r="AA221" s="4">
        <f t="shared" si="79"/>
        <v>0</v>
      </c>
    </row>
    <row r="222" spans="1:27" x14ac:dyDescent="0.3">
      <c r="C222" s="5" t="s">
        <v>835</v>
      </c>
      <c r="D222" s="55" t="s">
        <v>411</v>
      </c>
      <c r="E222" s="55" t="s">
        <v>409</v>
      </c>
      <c r="F222" s="55" t="s">
        <v>260</v>
      </c>
      <c r="G222" s="56">
        <v>0</v>
      </c>
      <c r="H222" s="49">
        <f>1</f>
        <v>1</v>
      </c>
      <c r="I222" s="50">
        <f>0</f>
        <v>0</v>
      </c>
      <c r="J222" s="77">
        <f>+H222-I222</f>
        <v>1</v>
      </c>
      <c r="K222" s="31">
        <v>33000</v>
      </c>
      <c r="L222" s="32">
        <v>44043</v>
      </c>
      <c r="M222" s="33">
        <v>0.105</v>
      </c>
      <c r="N222" s="64">
        <f t="shared" si="73"/>
        <v>36465</v>
      </c>
      <c r="O222" s="68">
        <f t="shared" si="72"/>
        <v>42900</v>
      </c>
      <c r="P222" s="68">
        <f t="shared" si="74"/>
        <v>44550</v>
      </c>
      <c r="Q222" s="68">
        <f t="shared" si="75"/>
        <v>46200</v>
      </c>
      <c r="R222" s="11">
        <f t="shared" si="76"/>
        <v>47850</v>
      </c>
      <c r="S222" s="11">
        <f t="shared" si="86"/>
        <v>49500</v>
      </c>
      <c r="T222" s="11">
        <f t="shared" si="77"/>
        <v>52800</v>
      </c>
      <c r="U222" s="38">
        <f t="shared" si="81"/>
        <v>49227.75</v>
      </c>
      <c r="V222" s="38">
        <f t="shared" si="82"/>
        <v>51051</v>
      </c>
      <c r="W222" s="38">
        <f t="shared" si="83"/>
        <v>52874.25</v>
      </c>
      <c r="X222" s="38">
        <f t="shared" si="84"/>
        <v>54697.5</v>
      </c>
      <c r="Z222" s="4">
        <f t="shared" si="78"/>
        <v>33000</v>
      </c>
      <c r="AA222" s="4">
        <f t="shared" si="79"/>
        <v>36465</v>
      </c>
    </row>
    <row r="223" spans="1:27" x14ac:dyDescent="0.3">
      <c r="C223" s="5" t="s">
        <v>835</v>
      </c>
      <c r="D223" s="55" t="s">
        <v>429</v>
      </c>
      <c r="E223" s="55" t="s">
        <v>409</v>
      </c>
      <c r="F223" s="55" t="s">
        <v>260</v>
      </c>
      <c r="G223" s="56">
        <v>0</v>
      </c>
      <c r="H223" s="49">
        <f>1</f>
        <v>1</v>
      </c>
      <c r="I223" s="50">
        <f>0</f>
        <v>0</v>
      </c>
      <c r="J223" s="77">
        <f>+H223-I223</f>
        <v>1</v>
      </c>
      <c r="K223" s="31">
        <v>33000</v>
      </c>
      <c r="L223" s="32">
        <v>44043</v>
      </c>
      <c r="M223" s="33">
        <v>0.105</v>
      </c>
      <c r="N223" s="64">
        <f t="shared" si="73"/>
        <v>36465</v>
      </c>
      <c r="O223" s="68">
        <f t="shared" si="72"/>
        <v>42900</v>
      </c>
      <c r="P223" s="68">
        <f t="shared" si="74"/>
        <v>44550</v>
      </c>
      <c r="Q223" s="68">
        <f t="shared" si="75"/>
        <v>46200</v>
      </c>
      <c r="R223" s="11">
        <f t="shared" si="76"/>
        <v>47850</v>
      </c>
      <c r="S223" s="11">
        <f t="shared" si="86"/>
        <v>49500</v>
      </c>
      <c r="T223" s="11">
        <f t="shared" si="77"/>
        <v>52800</v>
      </c>
      <c r="U223" s="38">
        <f t="shared" si="81"/>
        <v>49227.75</v>
      </c>
      <c r="V223" s="38">
        <f t="shared" si="82"/>
        <v>51051</v>
      </c>
      <c r="W223" s="38">
        <f t="shared" si="83"/>
        <v>52874.25</v>
      </c>
      <c r="X223" s="38">
        <f t="shared" si="84"/>
        <v>54697.5</v>
      </c>
      <c r="Z223" s="4">
        <f t="shared" si="78"/>
        <v>33000</v>
      </c>
      <c r="AA223" s="4">
        <f t="shared" si="79"/>
        <v>36465</v>
      </c>
    </row>
    <row r="224" spans="1:27" x14ac:dyDescent="0.3">
      <c r="C224" s="5" t="s">
        <v>835</v>
      </c>
      <c r="D224" s="55" t="s">
        <v>430</v>
      </c>
      <c r="E224" s="55" t="s">
        <v>409</v>
      </c>
      <c r="F224" s="55" t="s">
        <v>260</v>
      </c>
      <c r="G224" s="56">
        <v>0</v>
      </c>
      <c r="H224" s="49">
        <f>1</f>
        <v>1</v>
      </c>
      <c r="I224" s="50">
        <f>0</f>
        <v>0</v>
      </c>
      <c r="J224" s="77">
        <f>+H224-I224</f>
        <v>1</v>
      </c>
      <c r="K224" s="31">
        <v>33000</v>
      </c>
      <c r="L224" s="32">
        <v>44043</v>
      </c>
      <c r="M224" s="33">
        <v>0.105</v>
      </c>
      <c r="N224" s="64">
        <f t="shared" si="73"/>
        <v>36465</v>
      </c>
      <c r="O224" s="68">
        <f t="shared" si="72"/>
        <v>42900</v>
      </c>
      <c r="P224" s="68">
        <f t="shared" si="74"/>
        <v>44550</v>
      </c>
      <c r="Q224" s="68">
        <f t="shared" si="75"/>
        <v>46200</v>
      </c>
      <c r="R224" s="11">
        <f t="shared" si="76"/>
        <v>47850</v>
      </c>
      <c r="S224" s="11">
        <f t="shared" si="86"/>
        <v>49500</v>
      </c>
      <c r="T224" s="11">
        <f t="shared" si="77"/>
        <v>52800</v>
      </c>
      <c r="U224" s="38">
        <f t="shared" si="81"/>
        <v>49227.75</v>
      </c>
      <c r="V224" s="38">
        <f t="shared" si="82"/>
        <v>51051</v>
      </c>
      <c r="W224" s="38">
        <f t="shared" si="83"/>
        <v>52874.25</v>
      </c>
      <c r="X224" s="38">
        <f t="shared" si="84"/>
        <v>54697.5</v>
      </c>
      <c r="Z224" s="4">
        <f t="shared" si="78"/>
        <v>33000</v>
      </c>
      <c r="AA224" s="4">
        <f t="shared" si="79"/>
        <v>36465</v>
      </c>
    </row>
    <row r="225" spans="2:27" x14ac:dyDescent="0.3">
      <c r="C225" s="5" t="s">
        <v>982</v>
      </c>
      <c r="D225" s="55" t="s">
        <v>983</v>
      </c>
      <c r="E225" s="55" t="s">
        <v>924</v>
      </c>
      <c r="F225" s="55" t="s">
        <v>986</v>
      </c>
      <c r="G225" s="56"/>
      <c r="H225" s="49">
        <v>4</v>
      </c>
      <c r="I225" s="50">
        <f>0</f>
        <v>0</v>
      </c>
      <c r="J225" s="77">
        <f>+H225-I225</f>
        <v>4</v>
      </c>
      <c r="K225" s="31">
        <v>66880</v>
      </c>
      <c r="L225" s="32">
        <v>44043</v>
      </c>
      <c r="M225" s="33">
        <v>0.105</v>
      </c>
      <c r="N225" s="64">
        <f t="shared" si="73"/>
        <v>73902.399999999994</v>
      </c>
      <c r="O225" s="68">
        <f t="shared" si="72"/>
        <v>86944</v>
      </c>
      <c r="P225" s="68">
        <f t="shared" si="74"/>
        <v>90288</v>
      </c>
      <c r="Q225" s="68">
        <f t="shared" si="75"/>
        <v>93632</v>
      </c>
      <c r="R225" s="11">
        <f t="shared" si="76"/>
        <v>96976</v>
      </c>
      <c r="S225" s="11">
        <f t="shared" si="86"/>
        <v>100320</v>
      </c>
      <c r="T225" s="11">
        <f t="shared" si="77"/>
        <v>107008</v>
      </c>
      <c r="U225" s="38">
        <f t="shared" si="81"/>
        <v>99768.24</v>
      </c>
      <c r="V225" s="38">
        <f t="shared" si="82"/>
        <v>103463.36</v>
      </c>
      <c r="W225" s="38">
        <f t="shared" si="83"/>
        <v>107158.48</v>
      </c>
      <c r="X225" s="38">
        <f t="shared" si="84"/>
        <v>110853.6</v>
      </c>
      <c r="Z225" s="4">
        <f t="shared" si="78"/>
        <v>267520</v>
      </c>
      <c r="AA225" s="4">
        <f t="shared" si="79"/>
        <v>295609.59999999998</v>
      </c>
    </row>
    <row r="226" spans="2:27" x14ac:dyDescent="0.3">
      <c r="B226" s="7"/>
      <c r="C226" s="5" t="s">
        <v>982</v>
      </c>
      <c r="D226" s="55" t="s">
        <v>984</v>
      </c>
      <c r="E226" s="55" t="s">
        <v>924</v>
      </c>
      <c r="F226" s="55" t="s">
        <v>986</v>
      </c>
      <c r="G226" s="56"/>
      <c r="H226" s="49">
        <v>1</v>
      </c>
      <c r="I226" s="50">
        <f>0</f>
        <v>0</v>
      </c>
      <c r="J226" s="77">
        <f>+H226-I226</f>
        <v>1</v>
      </c>
      <c r="K226" s="31">
        <v>66880</v>
      </c>
      <c r="L226" s="32">
        <v>44043</v>
      </c>
      <c r="M226" s="33">
        <v>0.105</v>
      </c>
      <c r="N226" s="64">
        <f t="shared" si="73"/>
        <v>73902.399999999994</v>
      </c>
      <c r="O226" s="68">
        <f t="shared" si="72"/>
        <v>86944</v>
      </c>
      <c r="P226" s="68">
        <f t="shared" si="74"/>
        <v>90288</v>
      </c>
      <c r="Q226" s="68">
        <f t="shared" si="75"/>
        <v>93632</v>
      </c>
      <c r="R226" s="11">
        <f t="shared" si="76"/>
        <v>96976</v>
      </c>
      <c r="S226" s="11">
        <f t="shared" si="86"/>
        <v>100320</v>
      </c>
      <c r="T226" s="11">
        <f t="shared" si="77"/>
        <v>107008</v>
      </c>
      <c r="U226" s="38">
        <f t="shared" si="81"/>
        <v>99768.24</v>
      </c>
      <c r="V226" s="38">
        <f t="shared" si="82"/>
        <v>103463.36</v>
      </c>
      <c r="W226" s="38">
        <f t="shared" si="83"/>
        <v>107158.48</v>
      </c>
      <c r="X226" s="38">
        <f t="shared" si="84"/>
        <v>110853.6</v>
      </c>
      <c r="Z226" s="4">
        <f t="shared" si="78"/>
        <v>66880</v>
      </c>
      <c r="AA226" s="4">
        <f t="shared" si="79"/>
        <v>73902.399999999994</v>
      </c>
    </row>
    <row r="227" spans="2:27" x14ac:dyDescent="0.3">
      <c r="B227" s="7"/>
      <c r="C227" s="5" t="s">
        <v>982</v>
      </c>
      <c r="D227" s="55" t="s">
        <v>985</v>
      </c>
      <c r="E227" s="55" t="s">
        <v>924</v>
      </c>
      <c r="F227" s="55" t="s">
        <v>986</v>
      </c>
      <c r="G227" s="56"/>
      <c r="H227" s="49">
        <v>1</v>
      </c>
      <c r="I227" s="50">
        <f>0</f>
        <v>0</v>
      </c>
      <c r="J227" s="77">
        <f>+H227-I227</f>
        <v>1</v>
      </c>
      <c r="K227" s="31">
        <v>66880</v>
      </c>
      <c r="L227" s="32">
        <v>44043</v>
      </c>
      <c r="M227" s="33">
        <v>0.105</v>
      </c>
      <c r="N227" s="64">
        <f t="shared" si="73"/>
        <v>73902.399999999994</v>
      </c>
      <c r="O227" s="68">
        <f t="shared" si="72"/>
        <v>86944</v>
      </c>
      <c r="P227" s="68">
        <f t="shared" si="74"/>
        <v>90288</v>
      </c>
      <c r="Q227" s="68">
        <f t="shared" si="75"/>
        <v>93632</v>
      </c>
      <c r="R227" s="11">
        <f t="shared" si="76"/>
        <v>96976</v>
      </c>
      <c r="S227" s="11">
        <f t="shared" si="86"/>
        <v>100320</v>
      </c>
      <c r="T227" s="11">
        <f t="shared" si="77"/>
        <v>107008</v>
      </c>
      <c r="U227" s="38">
        <f t="shared" si="81"/>
        <v>99768.24</v>
      </c>
      <c r="V227" s="38">
        <f t="shared" si="82"/>
        <v>103463.36</v>
      </c>
      <c r="W227" s="38">
        <f t="shared" si="83"/>
        <v>107158.48</v>
      </c>
      <c r="X227" s="38">
        <f t="shared" si="84"/>
        <v>110853.6</v>
      </c>
      <c r="Z227" s="4">
        <f t="shared" si="78"/>
        <v>66880</v>
      </c>
      <c r="AA227" s="4">
        <f t="shared" si="79"/>
        <v>73902.399999999994</v>
      </c>
    </row>
    <row r="228" spans="2:27" x14ac:dyDescent="0.3">
      <c r="B228" s="7"/>
      <c r="C228" s="5" t="s">
        <v>982</v>
      </c>
      <c r="D228" s="87" t="s">
        <v>1093</v>
      </c>
      <c r="E228" s="55" t="s">
        <v>924</v>
      </c>
      <c r="F228" s="55" t="s">
        <v>986</v>
      </c>
      <c r="G228" s="56"/>
      <c r="H228" s="49">
        <v>1</v>
      </c>
      <c r="I228" s="50">
        <f>0</f>
        <v>0</v>
      </c>
      <c r="J228" s="77">
        <f>+H228-I228</f>
        <v>1</v>
      </c>
      <c r="K228" s="31">
        <v>66880</v>
      </c>
      <c r="L228" s="32">
        <v>44043</v>
      </c>
      <c r="M228" s="33">
        <v>0.105</v>
      </c>
      <c r="N228" s="64">
        <f t="shared" si="73"/>
        <v>73902.399999999994</v>
      </c>
      <c r="O228" s="68">
        <f t="shared" si="72"/>
        <v>86944</v>
      </c>
      <c r="P228" s="68">
        <f t="shared" si="74"/>
        <v>90288</v>
      </c>
      <c r="Q228" s="68">
        <f t="shared" si="75"/>
        <v>93632</v>
      </c>
      <c r="R228" s="11">
        <f t="shared" si="76"/>
        <v>96976</v>
      </c>
      <c r="S228" s="11">
        <f t="shared" si="86"/>
        <v>100320</v>
      </c>
      <c r="T228" s="11">
        <f t="shared" si="77"/>
        <v>107008</v>
      </c>
      <c r="U228" s="38">
        <f t="shared" si="81"/>
        <v>99768.24</v>
      </c>
      <c r="V228" s="38">
        <f t="shared" si="82"/>
        <v>103463.36</v>
      </c>
      <c r="W228" s="38">
        <f t="shared" si="83"/>
        <v>107158.48</v>
      </c>
      <c r="X228" s="38">
        <f t="shared" si="84"/>
        <v>110853.6</v>
      </c>
      <c r="Z228" s="4">
        <f t="shared" si="78"/>
        <v>66880</v>
      </c>
      <c r="AA228" s="4">
        <f t="shared" si="79"/>
        <v>73902.399999999994</v>
      </c>
    </row>
    <row r="229" spans="2:27" x14ac:dyDescent="0.3">
      <c r="B229" s="7"/>
      <c r="C229" s="5" t="s">
        <v>982</v>
      </c>
      <c r="D229" s="55" t="s">
        <v>996</v>
      </c>
      <c r="E229" s="55" t="s">
        <v>924</v>
      </c>
      <c r="F229" s="55" t="s">
        <v>986</v>
      </c>
      <c r="G229" s="56"/>
      <c r="H229" s="49">
        <v>1</v>
      </c>
      <c r="I229" s="50">
        <f>0</f>
        <v>0</v>
      </c>
      <c r="J229" s="77">
        <f>+H229-I229</f>
        <v>1</v>
      </c>
      <c r="K229" s="31">
        <v>66880</v>
      </c>
      <c r="L229" s="32">
        <v>44043</v>
      </c>
      <c r="M229" s="33">
        <v>0.105</v>
      </c>
      <c r="N229" s="64">
        <f t="shared" si="73"/>
        <v>73902.399999999994</v>
      </c>
      <c r="O229" s="68">
        <f t="shared" si="72"/>
        <v>86944</v>
      </c>
      <c r="P229" s="68">
        <f t="shared" si="74"/>
        <v>90288</v>
      </c>
      <c r="Q229" s="68">
        <f t="shared" si="75"/>
        <v>93632</v>
      </c>
      <c r="R229" s="11">
        <f t="shared" si="76"/>
        <v>96976</v>
      </c>
      <c r="S229" s="11">
        <f t="shared" si="86"/>
        <v>100320</v>
      </c>
      <c r="T229" s="11">
        <f t="shared" si="77"/>
        <v>107008</v>
      </c>
      <c r="U229" s="38">
        <f t="shared" si="81"/>
        <v>99768.24</v>
      </c>
      <c r="V229" s="38">
        <f t="shared" si="82"/>
        <v>103463.36</v>
      </c>
      <c r="W229" s="38">
        <f t="shared" si="83"/>
        <v>107158.48</v>
      </c>
      <c r="X229" s="38">
        <f t="shared" si="84"/>
        <v>110853.6</v>
      </c>
      <c r="Z229" s="4">
        <f t="shared" si="78"/>
        <v>66880</v>
      </c>
      <c r="AA229" s="4">
        <f t="shared" si="79"/>
        <v>73902.399999999994</v>
      </c>
    </row>
    <row r="230" spans="2:27" x14ac:dyDescent="0.3">
      <c r="B230" s="7"/>
      <c r="C230" s="5" t="s">
        <v>997</v>
      </c>
      <c r="D230" s="55" t="s">
        <v>998</v>
      </c>
      <c r="E230" s="55" t="s">
        <v>924</v>
      </c>
      <c r="F230" s="55" t="s">
        <v>986</v>
      </c>
      <c r="G230" s="56"/>
      <c r="H230" s="49">
        <v>1</v>
      </c>
      <c r="I230" s="50">
        <f>0</f>
        <v>0</v>
      </c>
      <c r="J230" s="77">
        <f>+H230-I230</f>
        <v>1</v>
      </c>
      <c r="K230" s="31">
        <v>66880</v>
      </c>
      <c r="L230" s="32">
        <v>44043</v>
      </c>
      <c r="M230" s="33">
        <v>0.105</v>
      </c>
      <c r="N230" s="64">
        <f t="shared" si="73"/>
        <v>73902.399999999994</v>
      </c>
      <c r="O230" s="68">
        <f t="shared" si="72"/>
        <v>86944</v>
      </c>
      <c r="P230" s="68">
        <f t="shared" si="74"/>
        <v>90288</v>
      </c>
      <c r="Q230" s="68">
        <f t="shared" si="75"/>
        <v>93632</v>
      </c>
      <c r="R230" s="11">
        <f t="shared" si="76"/>
        <v>96976</v>
      </c>
      <c r="S230" s="11">
        <f t="shared" si="86"/>
        <v>100320</v>
      </c>
      <c r="T230" s="11">
        <f t="shared" si="77"/>
        <v>107008</v>
      </c>
      <c r="U230" s="38">
        <f t="shared" si="81"/>
        <v>99768.24</v>
      </c>
      <c r="V230" s="38">
        <f t="shared" si="82"/>
        <v>103463.36</v>
      </c>
      <c r="W230" s="38">
        <f t="shared" si="83"/>
        <v>107158.48</v>
      </c>
      <c r="X230" s="38">
        <f t="shared" si="84"/>
        <v>110853.6</v>
      </c>
      <c r="Z230" s="4">
        <f t="shared" si="78"/>
        <v>66880</v>
      </c>
      <c r="AA230" s="4">
        <f t="shared" si="79"/>
        <v>73902.399999999994</v>
      </c>
    </row>
    <row r="231" spans="2:27" x14ac:dyDescent="0.3">
      <c r="B231" s="7"/>
      <c r="C231" s="5" t="s">
        <v>997</v>
      </c>
      <c r="D231" s="55" t="s">
        <v>1115</v>
      </c>
      <c r="E231" s="55" t="s">
        <v>924</v>
      </c>
      <c r="F231" s="55" t="s">
        <v>986</v>
      </c>
      <c r="G231" s="56"/>
      <c r="H231" s="49">
        <v>1</v>
      </c>
      <c r="I231" s="50">
        <f>0</f>
        <v>0</v>
      </c>
      <c r="J231" s="77">
        <f>+H231-I231</f>
        <v>1</v>
      </c>
      <c r="K231" s="31">
        <v>66880</v>
      </c>
      <c r="L231" s="32">
        <v>44043</v>
      </c>
      <c r="M231" s="33">
        <v>0.105</v>
      </c>
      <c r="N231" s="64">
        <f t="shared" si="73"/>
        <v>73902.399999999994</v>
      </c>
      <c r="O231" s="68">
        <f t="shared" si="72"/>
        <v>86944</v>
      </c>
      <c r="P231" s="68">
        <f t="shared" si="74"/>
        <v>90288</v>
      </c>
      <c r="Q231" s="68">
        <f t="shared" si="75"/>
        <v>93632</v>
      </c>
      <c r="R231" s="11">
        <f t="shared" si="76"/>
        <v>96976</v>
      </c>
      <c r="S231" s="11">
        <f t="shared" si="86"/>
        <v>100320</v>
      </c>
      <c r="T231" s="11">
        <f t="shared" si="77"/>
        <v>107008</v>
      </c>
      <c r="U231" s="38">
        <f t="shared" si="81"/>
        <v>99768.24</v>
      </c>
      <c r="V231" s="38">
        <f t="shared" si="82"/>
        <v>103463.36</v>
      </c>
      <c r="W231" s="38">
        <f t="shared" si="83"/>
        <v>107158.48</v>
      </c>
      <c r="X231" s="38">
        <f t="shared" si="84"/>
        <v>110853.6</v>
      </c>
      <c r="Z231" s="4">
        <f t="shared" si="78"/>
        <v>66880</v>
      </c>
      <c r="AA231" s="4">
        <f t="shared" si="79"/>
        <v>73902.399999999994</v>
      </c>
    </row>
    <row r="232" spans="2:27" x14ac:dyDescent="0.3">
      <c r="B232" s="7"/>
      <c r="C232" s="5" t="s">
        <v>997</v>
      </c>
      <c r="D232" s="55" t="s">
        <v>1116</v>
      </c>
      <c r="E232" s="55" t="s">
        <v>924</v>
      </c>
      <c r="F232" s="55" t="s">
        <v>986</v>
      </c>
      <c r="G232" s="56"/>
      <c r="H232" s="49">
        <v>1</v>
      </c>
      <c r="I232" s="50">
        <f>0</f>
        <v>0</v>
      </c>
      <c r="J232" s="77">
        <f>+H232-I232</f>
        <v>1</v>
      </c>
      <c r="K232" s="31">
        <v>66880</v>
      </c>
      <c r="L232" s="32">
        <v>44043</v>
      </c>
      <c r="M232" s="33">
        <v>0.105</v>
      </c>
      <c r="N232" s="64">
        <f t="shared" si="73"/>
        <v>73902.399999999994</v>
      </c>
      <c r="O232" s="68">
        <f t="shared" si="72"/>
        <v>86944</v>
      </c>
      <c r="P232" s="68">
        <f t="shared" si="74"/>
        <v>90288</v>
      </c>
      <c r="Q232" s="68">
        <f t="shared" si="75"/>
        <v>93632</v>
      </c>
      <c r="R232" s="11">
        <f t="shared" si="76"/>
        <v>96976</v>
      </c>
      <c r="S232" s="11">
        <f t="shared" si="86"/>
        <v>100320</v>
      </c>
      <c r="T232" s="11">
        <f t="shared" si="77"/>
        <v>107008</v>
      </c>
      <c r="U232" s="38">
        <f t="shared" si="81"/>
        <v>99768.24</v>
      </c>
      <c r="V232" s="38">
        <f t="shared" si="82"/>
        <v>103463.36</v>
      </c>
      <c r="W232" s="38">
        <f t="shared" si="83"/>
        <v>107158.48</v>
      </c>
      <c r="X232" s="38">
        <f t="shared" si="84"/>
        <v>110853.6</v>
      </c>
      <c r="Z232" s="4">
        <f t="shared" si="78"/>
        <v>66880</v>
      </c>
      <c r="AA232" s="4">
        <f t="shared" si="79"/>
        <v>73902.399999999994</v>
      </c>
    </row>
    <row r="233" spans="2:27" x14ac:dyDescent="0.3">
      <c r="B233" s="7"/>
      <c r="C233" s="5" t="s">
        <v>982</v>
      </c>
      <c r="D233" s="55" t="s">
        <v>1117</v>
      </c>
      <c r="E233" s="55" t="s">
        <v>924</v>
      </c>
      <c r="F233" s="55" t="s">
        <v>986</v>
      </c>
      <c r="G233" s="56"/>
      <c r="H233" s="49">
        <v>1</v>
      </c>
      <c r="I233" s="50">
        <f>0</f>
        <v>0</v>
      </c>
      <c r="J233" s="77">
        <f>+H233-I233</f>
        <v>1</v>
      </c>
      <c r="K233" s="31">
        <v>66880</v>
      </c>
      <c r="L233" s="32">
        <v>44043</v>
      </c>
      <c r="M233" s="33">
        <v>0.105</v>
      </c>
      <c r="N233" s="64">
        <f t="shared" si="73"/>
        <v>73902.399999999994</v>
      </c>
      <c r="O233" s="68">
        <f t="shared" si="72"/>
        <v>86944</v>
      </c>
      <c r="P233" s="68">
        <f t="shared" si="74"/>
        <v>90288</v>
      </c>
      <c r="Q233" s="68">
        <f t="shared" si="75"/>
        <v>93632</v>
      </c>
      <c r="R233" s="11">
        <f t="shared" si="76"/>
        <v>96976</v>
      </c>
      <c r="S233" s="11">
        <f t="shared" si="86"/>
        <v>100320</v>
      </c>
      <c r="T233" s="11">
        <f t="shared" si="77"/>
        <v>107008</v>
      </c>
      <c r="U233" s="38">
        <f t="shared" si="81"/>
        <v>99768.24</v>
      </c>
      <c r="V233" s="38">
        <f t="shared" si="82"/>
        <v>103463.36</v>
      </c>
      <c r="W233" s="38">
        <f t="shared" si="83"/>
        <v>107158.48</v>
      </c>
      <c r="X233" s="38">
        <f t="shared" si="84"/>
        <v>110853.6</v>
      </c>
      <c r="Z233" s="4">
        <f t="shared" si="78"/>
        <v>66880</v>
      </c>
      <c r="AA233" s="4">
        <f t="shared" si="79"/>
        <v>73902.399999999994</v>
      </c>
    </row>
    <row r="234" spans="2:27" x14ac:dyDescent="0.3">
      <c r="B234" s="7"/>
      <c r="C234" s="5" t="s">
        <v>997</v>
      </c>
      <c r="D234" s="55" t="s">
        <v>1140</v>
      </c>
      <c r="E234" s="55" t="s">
        <v>924</v>
      </c>
      <c r="F234" s="55" t="s">
        <v>986</v>
      </c>
      <c r="G234" s="56"/>
      <c r="H234" s="49">
        <v>1</v>
      </c>
      <c r="I234" s="50">
        <f>0</f>
        <v>0</v>
      </c>
      <c r="J234" s="77">
        <f>+H234-I234</f>
        <v>1</v>
      </c>
      <c r="K234" s="31">
        <v>66880</v>
      </c>
      <c r="L234" s="32">
        <v>44043</v>
      </c>
      <c r="M234" s="33">
        <v>0.105</v>
      </c>
      <c r="N234" s="64">
        <f t="shared" si="73"/>
        <v>73902.399999999994</v>
      </c>
      <c r="O234" s="68">
        <f t="shared" si="72"/>
        <v>86944</v>
      </c>
      <c r="P234" s="68">
        <f t="shared" si="74"/>
        <v>90288</v>
      </c>
      <c r="Q234" s="68">
        <f t="shared" si="75"/>
        <v>93632</v>
      </c>
      <c r="R234" s="11">
        <f t="shared" si="76"/>
        <v>96976</v>
      </c>
      <c r="S234" s="11">
        <f t="shared" si="86"/>
        <v>100320</v>
      </c>
      <c r="T234" s="11">
        <f t="shared" si="77"/>
        <v>107008</v>
      </c>
      <c r="U234" s="38">
        <f t="shared" si="81"/>
        <v>99768.24</v>
      </c>
      <c r="V234" s="38">
        <f t="shared" si="82"/>
        <v>103463.36</v>
      </c>
      <c r="W234" s="38">
        <f t="shared" si="83"/>
        <v>107158.48</v>
      </c>
      <c r="X234" s="38">
        <f t="shared" si="84"/>
        <v>110853.6</v>
      </c>
      <c r="Z234" s="4">
        <f t="shared" si="78"/>
        <v>66880</v>
      </c>
      <c r="AA234" s="4">
        <f t="shared" si="79"/>
        <v>73902.399999999994</v>
      </c>
    </row>
    <row r="235" spans="2:27" x14ac:dyDescent="0.3">
      <c r="B235" s="7"/>
      <c r="C235" s="5" t="s">
        <v>997</v>
      </c>
      <c r="D235" s="55" t="s">
        <v>1139</v>
      </c>
      <c r="E235" s="55" t="s">
        <v>924</v>
      </c>
      <c r="F235" s="55" t="s">
        <v>1138</v>
      </c>
      <c r="G235" s="56"/>
      <c r="H235" s="49">
        <v>1</v>
      </c>
      <c r="I235" s="50"/>
      <c r="J235" s="77">
        <f>+H235-I235</f>
        <v>1</v>
      </c>
      <c r="K235" s="31">
        <v>66880</v>
      </c>
      <c r="L235" s="32">
        <v>44043</v>
      </c>
      <c r="M235" s="33">
        <v>0.105</v>
      </c>
      <c r="N235" s="64">
        <f t="shared" si="73"/>
        <v>73902.399999999994</v>
      </c>
      <c r="O235" s="68">
        <f t="shared" si="72"/>
        <v>86944</v>
      </c>
      <c r="P235" s="68">
        <f t="shared" si="74"/>
        <v>90288</v>
      </c>
      <c r="Q235" s="68">
        <f t="shared" si="75"/>
        <v>93632</v>
      </c>
      <c r="R235" s="11">
        <f t="shared" si="76"/>
        <v>96976</v>
      </c>
      <c r="S235" s="11">
        <f t="shared" si="86"/>
        <v>100320</v>
      </c>
      <c r="T235" s="11">
        <f t="shared" si="77"/>
        <v>107008</v>
      </c>
      <c r="U235" s="38">
        <f t="shared" si="81"/>
        <v>99768.24</v>
      </c>
      <c r="V235" s="38">
        <f t="shared" si="82"/>
        <v>103463.36</v>
      </c>
      <c r="W235" s="38">
        <f t="shared" si="83"/>
        <v>107158.48</v>
      </c>
      <c r="X235" s="38">
        <f t="shared" si="84"/>
        <v>110853.6</v>
      </c>
      <c r="Z235" s="4">
        <f t="shared" si="78"/>
        <v>66880</v>
      </c>
      <c r="AA235" s="4">
        <f t="shared" si="79"/>
        <v>73902.399999999994</v>
      </c>
    </row>
    <row r="236" spans="2:27" x14ac:dyDescent="0.3">
      <c r="B236" s="7"/>
      <c r="C236" s="3" t="s">
        <v>1036</v>
      </c>
      <c r="D236" s="55" t="s">
        <v>808</v>
      </c>
      <c r="E236" s="55" t="s">
        <v>70</v>
      </c>
      <c r="F236" s="55" t="s">
        <v>773</v>
      </c>
      <c r="G236" s="56">
        <v>5</v>
      </c>
      <c r="H236" s="49">
        <f>62+6+10</f>
        <v>78</v>
      </c>
      <c r="I236" s="50">
        <f>10+2+5+5+10+10+10+11+5+10</f>
        <v>78</v>
      </c>
      <c r="J236" s="77">
        <f>+H236-I236</f>
        <v>0</v>
      </c>
      <c r="K236" s="31">
        <v>63.88</v>
      </c>
      <c r="L236" s="32">
        <v>43739</v>
      </c>
      <c r="M236" s="33">
        <v>0.21</v>
      </c>
      <c r="N236" s="64">
        <f t="shared" si="73"/>
        <v>77.294799999999995</v>
      </c>
      <c r="O236" s="68">
        <f t="shared" si="72"/>
        <v>83.04</v>
      </c>
      <c r="P236" s="68">
        <f t="shared" si="74"/>
        <v>86.24</v>
      </c>
      <c r="Q236" s="68">
        <f t="shared" si="75"/>
        <v>89.43</v>
      </c>
      <c r="R236" s="11">
        <f t="shared" si="76"/>
        <v>92.63</v>
      </c>
      <c r="S236" s="11">
        <f t="shared" ref="S236:S250" si="87">ROUND(K236*(1+$S$3),2)</f>
        <v>95.82</v>
      </c>
      <c r="T236" s="11">
        <f t="shared" si="77"/>
        <v>102.21</v>
      </c>
      <c r="U236" s="38">
        <f t="shared" si="81"/>
        <v>104.35</v>
      </c>
      <c r="V236" s="38">
        <f t="shared" si="82"/>
        <v>108.21</v>
      </c>
      <c r="W236" s="38">
        <f t="shared" si="83"/>
        <v>112.08</v>
      </c>
      <c r="X236" s="38">
        <f t="shared" si="84"/>
        <v>115.94</v>
      </c>
      <c r="Z236" s="4">
        <f t="shared" si="78"/>
        <v>0</v>
      </c>
      <c r="AA236" s="4">
        <f t="shared" si="79"/>
        <v>0</v>
      </c>
    </row>
    <row r="237" spans="2:27" x14ac:dyDescent="0.3">
      <c r="B237" s="7"/>
      <c r="C237" s="3" t="s">
        <v>800</v>
      </c>
      <c r="D237" s="55"/>
      <c r="E237" s="55" t="s">
        <v>801</v>
      </c>
      <c r="F237" s="55"/>
      <c r="G237" s="56">
        <v>5</v>
      </c>
      <c r="H237" s="49">
        <f>10+10+6</f>
        <v>26</v>
      </c>
      <c r="I237" s="50">
        <f>0</f>
        <v>0</v>
      </c>
      <c r="J237" s="77">
        <f>+H237-I237</f>
        <v>26</v>
      </c>
      <c r="K237" s="31">
        <v>47.46</v>
      </c>
      <c r="L237" s="32">
        <v>43116</v>
      </c>
      <c r="M237" s="33">
        <v>0.21</v>
      </c>
      <c r="N237" s="64">
        <f t="shared" si="73"/>
        <v>57.426600000000001</v>
      </c>
      <c r="O237" s="68">
        <f t="shared" si="72"/>
        <v>61.7</v>
      </c>
      <c r="P237" s="68">
        <f t="shared" si="74"/>
        <v>64.069999999999993</v>
      </c>
      <c r="Q237" s="68">
        <f t="shared" si="75"/>
        <v>66.44</v>
      </c>
      <c r="R237" s="11">
        <f t="shared" si="76"/>
        <v>68.819999999999993</v>
      </c>
      <c r="S237" s="11">
        <f t="shared" si="87"/>
        <v>71.19</v>
      </c>
      <c r="T237" s="11">
        <f t="shared" si="77"/>
        <v>75.94</v>
      </c>
      <c r="U237" s="38">
        <f t="shared" si="81"/>
        <v>77.53</v>
      </c>
      <c r="V237" s="38">
        <f t="shared" si="82"/>
        <v>80.400000000000006</v>
      </c>
      <c r="W237" s="38">
        <f t="shared" si="83"/>
        <v>83.27</v>
      </c>
      <c r="X237" s="38">
        <f t="shared" si="84"/>
        <v>86.14</v>
      </c>
      <c r="Z237" s="4">
        <f t="shared" si="78"/>
        <v>1233.96</v>
      </c>
      <c r="AA237" s="4">
        <f t="shared" si="79"/>
        <v>1493.0916</v>
      </c>
    </row>
    <row r="238" spans="2:27" x14ac:dyDescent="0.3">
      <c r="B238" s="7"/>
      <c r="C238" s="3" t="s">
        <v>331</v>
      </c>
      <c r="D238" s="55"/>
      <c r="E238" s="55"/>
      <c r="F238" s="55" t="s">
        <v>304</v>
      </c>
      <c r="G238" s="56">
        <v>5</v>
      </c>
      <c r="H238" s="49">
        <f>5</f>
        <v>5</v>
      </c>
      <c r="I238" s="50">
        <f>3+1+1</f>
        <v>5</v>
      </c>
      <c r="J238" s="77">
        <f>+H238-I238</f>
        <v>0</v>
      </c>
      <c r="K238" s="31">
        <v>19.198347107438018</v>
      </c>
      <c r="L238" s="32">
        <v>42117</v>
      </c>
      <c r="M238" s="33">
        <v>0.21</v>
      </c>
      <c r="N238" s="64">
        <f t="shared" si="73"/>
        <v>23.23</v>
      </c>
      <c r="O238" s="68">
        <f t="shared" si="72"/>
        <v>24.96</v>
      </c>
      <c r="P238" s="68">
        <f t="shared" si="74"/>
        <v>25.92</v>
      </c>
      <c r="Q238" s="68">
        <f t="shared" si="75"/>
        <v>26.88</v>
      </c>
      <c r="R238" s="11">
        <f t="shared" si="76"/>
        <v>27.84</v>
      </c>
      <c r="S238" s="11">
        <f t="shared" si="87"/>
        <v>28.8</v>
      </c>
      <c r="T238" s="11">
        <f t="shared" si="77"/>
        <v>30.72</v>
      </c>
      <c r="U238" s="38">
        <f t="shared" si="81"/>
        <v>31.36</v>
      </c>
      <c r="V238" s="38">
        <f t="shared" si="82"/>
        <v>32.520000000000003</v>
      </c>
      <c r="W238" s="38">
        <f t="shared" si="83"/>
        <v>33.68</v>
      </c>
      <c r="X238" s="38">
        <f t="shared" si="84"/>
        <v>34.85</v>
      </c>
      <c r="Z238" s="4">
        <f t="shared" si="78"/>
        <v>0</v>
      </c>
      <c r="AA238" s="4">
        <f t="shared" si="79"/>
        <v>0</v>
      </c>
    </row>
    <row r="239" spans="2:27" x14ac:dyDescent="0.3">
      <c r="B239" s="7"/>
      <c r="C239" s="3" t="s">
        <v>261</v>
      </c>
      <c r="D239" s="55" t="s">
        <v>340</v>
      </c>
      <c r="E239" s="55"/>
      <c r="F239" s="55" t="s">
        <v>304</v>
      </c>
      <c r="G239" s="56">
        <v>5</v>
      </c>
      <c r="H239" s="49"/>
      <c r="I239" s="50">
        <f>0</f>
        <v>0</v>
      </c>
      <c r="J239" s="77">
        <f>+H239-I239</f>
        <v>0</v>
      </c>
      <c r="K239" s="31"/>
      <c r="L239" s="32"/>
      <c r="M239" s="33">
        <v>0.21</v>
      </c>
      <c r="N239" s="64">
        <f t="shared" si="73"/>
        <v>0</v>
      </c>
      <c r="O239" s="68">
        <f t="shared" si="72"/>
        <v>0</v>
      </c>
      <c r="P239" s="68">
        <f t="shared" si="74"/>
        <v>0</v>
      </c>
      <c r="Q239" s="68">
        <f t="shared" si="75"/>
        <v>0</v>
      </c>
      <c r="R239" s="11">
        <f t="shared" si="76"/>
        <v>0</v>
      </c>
      <c r="S239" s="11">
        <f t="shared" si="87"/>
        <v>0</v>
      </c>
      <c r="T239" s="11">
        <f t="shared" si="77"/>
        <v>0</v>
      </c>
      <c r="U239" s="38">
        <f t="shared" si="81"/>
        <v>0</v>
      </c>
      <c r="V239" s="38">
        <f t="shared" si="82"/>
        <v>0</v>
      </c>
      <c r="W239" s="38">
        <f t="shared" si="83"/>
        <v>0</v>
      </c>
      <c r="X239" s="38">
        <f t="shared" si="84"/>
        <v>0</v>
      </c>
      <c r="Z239" s="4">
        <f t="shared" si="78"/>
        <v>0</v>
      </c>
      <c r="AA239" s="4">
        <f t="shared" si="79"/>
        <v>0</v>
      </c>
    </row>
    <row r="240" spans="2:27" x14ac:dyDescent="0.3">
      <c r="B240" s="7"/>
      <c r="C240" s="3" t="s">
        <v>722</v>
      </c>
      <c r="D240" s="55" t="s">
        <v>1037</v>
      </c>
      <c r="E240" s="55" t="s">
        <v>70</v>
      </c>
      <c r="F240" s="55" t="s">
        <v>229</v>
      </c>
      <c r="G240" s="56">
        <v>5</v>
      </c>
      <c r="H240" s="49">
        <f>30</f>
        <v>30</v>
      </c>
      <c r="I240" s="50">
        <f>10+10+10</f>
        <v>30</v>
      </c>
      <c r="J240" s="77">
        <f>+H240-I240</f>
        <v>0</v>
      </c>
      <c r="K240" s="31">
        <v>42.46</v>
      </c>
      <c r="L240" s="32">
        <v>43481</v>
      </c>
      <c r="M240" s="33">
        <v>0.21</v>
      </c>
      <c r="N240" s="64">
        <f t="shared" si="73"/>
        <v>51.376599999999996</v>
      </c>
      <c r="O240" s="68"/>
      <c r="P240" s="68"/>
      <c r="Q240" s="68"/>
      <c r="R240" s="11"/>
      <c r="S240" s="11"/>
      <c r="T240" s="11">
        <f t="shared" si="77"/>
        <v>67.94</v>
      </c>
      <c r="U240" s="38">
        <f t="shared" si="81"/>
        <v>69.36</v>
      </c>
      <c r="V240" s="38">
        <f>ROUND((N240*(1+$V$3)),2)</f>
        <v>71.930000000000007</v>
      </c>
      <c r="W240" s="38">
        <f>ROUND((N240*(1+$W$3)),2)</f>
        <v>74.5</v>
      </c>
      <c r="X240" s="38">
        <f>ROUND((N240*(1+$X$3)),2)</f>
        <v>77.06</v>
      </c>
      <c r="Z240" s="4">
        <f t="shared" si="78"/>
        <v>0</v>
      </c>
      <c r="AA240" s="4">
        <f t="shared" si="79"/>
        <v>0</v>
      </c>
    </row>
    <row r="241" spans="1:27" x14ac:dyDescent="0.3">
      <c r="C241" s="3" t="s">
        <v>1214</v>
      </c>
      <c r="D241" s="55" t="s">
        <v>1215</v>
      </c>
      <c r="E241" s="55" t="s">
        <v>70</v>
      </c>
      <c r="F241" s="55" t="s">
        <v>229</v>
      </c>
      <c r="G241" s="56">
        <v>5</v>
      </c>
      <c r="H241" s="49">
        <f>10</f>
        <v>10</v>
      </c>
      <c r="I241" s="50">
        <f>5+1+4</f>
        <v>10</v>
      </c>
      <c r="J241" s="77">
        <f>+H241-I241</f>
        <v>0</v>
      </c>
      <c r="K241" s="31">
        <v>28.48</v>
      </c>
      <c r="L241" s="32">
        <v>43481</v>
      </c>
      <c r="M241" s="33">
        <v>0.21</v>
      </c>
      <c r="N241" s="64">
        <f t="shared" si="73"/>
        <v>34.460799999999999</v>
      </c>
      <c r="O241" s="68"/>
      <c r="P241" s="68"/>
      <c r="Q241" s="68"/>
      <c r="R241" s="11"/>
      <c r="S241" s="11"/>
      <c r="T241" s="11">
        <f t="shared" si="77"/>
        <v>45.57</v>
      </c>
      <c r="U241" s="38">
        <f t="shared" si="81"/>
        <v>46.52</v>
      </c>
      <c r="V241" s="38">
        <f>ROUND((N241*(1+$V$3)),2)</f>
        <v>48.25</v>
      </c>
      <c r="W241" s="38">
        <f>ROUND((N241*(1+$W$3)),2)</f>
        <v>49.97</v>
      </c>
      <c r="X241" s="38">
        <f>ROUND((N241*(1+$X$3)),2)</f>
        <v>51.69</v>
      </c>
      <c r="Z241" s="4">
        <f t="shared" si="78"/>
        <v>0</v>
      </c>
      <c r="AA241" s="4">
        <f t="shared" si="79"/>
        <v>0</v>
      </c>
    </row>
    <row r="242" spans="1:27" x14ac:dyDescent="0.3">
      <c r="C242" s="3" t="s">
        <v>13</v>
      </c>
      <c r="D242" s="55" t="s">
        <v>262</v>
      </c>
      <c r="E242" s="55"/>
      <c r="F242" s="55" t="s">
        <v>304</v>
      </c>
      <c r="G242" s="56">
        <v>5</v>
      </c>
      <c r="H242" s="49"/>
      <c r="I242" s="50">
        <f>0</f>
        <v>0</v>
      </c>
      <c r="J242" s="77">
        <f>+H242-I242</f>
        <v>0</v>
      </c>
      <c r="K242" s="31">
        <v>13.18</v>
      </c>
      <c r="L242" s="32">
        <v>43481</v>
      </c>
      <c r="M242" s="33">
        <v>0.21</v>
      </c>
      <c r="N242" s="64">
        <f t="shared" si="73"/>
        <v>15.947799999999999</v>
      </c>
      <c r="O242" s="68">
        <f t="shared" si="72"/>
        <v>17.13</v>
      </c>
      <c r="P242" s="68">
        <f t="shared" si="74"/>
        <v>17.79</v>
      </c>
      <c r="Q242" s="68">
        <f t="shared" si="75"/>
        <v>18.45</v>
      </c>
      <c r="R242" s="11">
        <f t="shared" si="76"/>
        <v>19.11</v>
      </c>
      <c r="S242" s="11">
        <f t="shared" si="87"/>
        <v>19.77</v>
      </c>
      <c r="T242" s="11">
        <f t="shared" si="77"/>
        <v>21.09</v>
      </c>
      <c r="U242" s="38">
        <f t="shared" si="81"/>
        <v>21.53</v>
      </c>
      <c r="V242" s="38">
        <f t="shared" si="82"/>
        <v>22.33</v>
      </c>
      <c r="W242" s="38">
        <f t="shared" si="83"/>
        <v>23.12</v>
      </c>
      <c r="X242" s="38">
        <f t="shared" si="84"/>
        <v>23.92</v>
      </c>
      <c r="Z242" s="4">
        <f t="shared" si="78"/>
        <v>0</v>
      </c>
      <c r="AA242" s="4">
        <f t="shared" si="79"/>
        <v>0</v>
      </c>
    </row>
    <row r="243" spans="1:27" x14ac:dyDescent="0.3">
      <c r="C243" s="3" t="s">
        <v>1240</v>
      </c>
      <c r="D243" s="55" t="s">
        <v>693</v>
      </c>
      <c r="E243" s="55" t="s">
        <v>70</v>
      </c>
      <c r="F243" s="55" t="s">
        <v>229</v>
      </c>
      <c r="G243" s="56">
        <v>5</v>
      </c>
      <c r="H243" s="49">
        <f>20+26</f>
        <v>46</v>
      </c>
      <c r="I243" s="50">
        <f>1+2+10+5+5</f>
        <v>23</v>
      </c>
      <c r="J243" s="77">
        <f>+H243-I243</f>
        <v>23</v>
      </c>
      <c r="K243" s="31">
        <v>16.47</v>
      </c>
      <c r="L243" s="32">
        <v>42936</v>
      </c>
      <c r="M243" s="33">
        <v>0.21</v>
      </c>
      <c r="N243" s="64">
        <f t="shared" si="73"/>
        <v>19.928699999999999</v>
      </c>
      <c r="O243" s="68">
        <f t="shared" si="72"/>
        <v>21.41</v>
      </c>
      <c r="P243" s="68">
        <f t="shared" si="74"/>
        <v>22.23</v>
      </c>
      <c r="Q243" s="68">
        <f t="shared" si="75"/>
        <v>23.06</v>
      </c>
      <c r="R243" s="11">
        <f t="shared" si="76"/>
        <v>23.88</v>
      </c>
      <c r="S243" s="11">
        <f t="shared" si="87"/>
        <v>24.71</v>
      </c>
      <c r="T243" s="11">
        <f t="shared" si="77"/>
        <v>26.35</v>
      </c>
      <c r="U243" s="38">
        <f t="shared" si="81"/>
        <v>26.9</v>
      </c>
      <c r="V243" s="38">
        <f t="shared" si="82"/>
        <v>27.9</v>
      </c>
      <c r="W243" s="38">
        <f t="shared" si="83"/>
        <v>28.9</v>
      </c>
      <c r="X243" s="38">
        <f t="shared" si="84"/>
        <v>29.89</v>
      </c>
      <c r="Z243" s="4">
        <f t="shared" si="78"/>
        <v>378.80999999999995</v>
      </c>
      <c r="AA243" s="4">
        <f t="shared" si="79"/>
        <v>458.36009999999999</v>
      </c>
    </row>
    <row r="244" spans="1:27" x14ac:dyDescent="0.3">
      <c r="C244" s="3" t="s">
        <v>711</v>
      </c>
      <c r="D244" s="55" t="s">
        <v>692</v>
      </c>
      <c r="E244" s="55" t="s">
        <v>70</v>
      </c>
      <c r="F244" s="55" t="s">
        <v>229</v>
      </c>
      <c r="G244" s="56">
        <v>5</v>
      </c>
      <c r="H244" s="49"/>
      <c r="I244" s="50">
        <f>0</f>
        <v>0</v>
      </c>
      <c r="J244" s="77">
        <f>+H244-I244</f>
        <v>0</v>
      </c>
      <c r="K244" s="31">
        <v>40.950000000000003</v>
      </c>
      <c r="L244" s="32">
        <v>43481</v>
      </c>
      <c r="M244" s="33">
        <v>0.21</v>
      </c>
      <c r="N244" s="64">
        <f>+K244*(1+M244)</f>
        <v>49.549500000000002</v>
      </c>
      <c r="O244" s="68">
        <f>ROUND(K244*(1+$O$3),2)</f>
        <v>53.24</v>
      </c>
      <c r="P244" s="68">
        <f>ROUND(K244*(1+$P$3),2)</f>
        <v>55.28</v>
      </c>
      <c r="Q244" s="68">
        <f>ROUND(K244*(1+$Q$3),2)</f>
        <v>57.33</v>
      </c>
      <c r="R244" s="11">
        <f>ROUND(K244*(1+$R$3),2)</f>
        <v>59.38</v>
      </c>
      <c r="S244" s="11">
        <f>ROUND(K244*(1+$S$3),2)</f>
        <v>61.43</v>
      </c>
      <c r="T244" s="11">
        <f>ROUND(K244*(1+$T$3),2)</f>
        <v>65.52</v>
      </c>
      <c r="U244" s="38">
        <f t="shared" si="81"/>
        <v>66.89</v>
      </c>
      <c r="V244" s="38">
        <f t="shared" si="82"/>
        <v>69.37</v>
      </c>
      <c r="W244" s="38">
        <f t="shared" si="83"/>
        <v>71.849999999999994</v>
      </c>
      <c r="X244" s="38">
        <f t="shared" si="84"/>
        <v>74.319999999999993</v>
      </c>
      <c r="Z244" s="4">
        <f>J244*K244</f>
        <v>0</v>
      </c>
      <c r="AA244" s="4">
        <f>J244*N244</f>
        <v>0</v>
      </c>
    </row>
    <row r="245" spans="1:27" x14ac:dyDescent="0.3">
      <c r="C245" s="3" t="s">
        <v>1241</v>
      </c>
      <c r="D245" s="55"/>
      <c r="E245" s="55"/>
      <c r="F245" s="55"/>
      <c r="G245" s="56">
        <v>5</v>
      </c>
      <c r="H245" s="49">
        <v>19</v>
      </c>
      <c r="I245" s="50">
        <v>0</v>
      </c>
      <c r="J245" s="77">
        <f>+H245-I245</f>
        <v>19</v>
      </c>
      <c r="K245" s="31">
        <v>16.47</v>
      </c>
      <c r="L245" s="32">
        <v>43250</v>
      </c>
      <c r="M245" s="33">
        <v>0.21</v>
      </c>
      <c r="N245" s="64">
        <f>+K245*(1+M245)</f>
        <v>19.928699999999999</v>
      </c>
      <c r="O245" s="68"/>
      <c r="P245" s="68"/>
      <c r="Q245" s="68"/>
      <c r="R245" s="11"/>
      <c r="S245" s="11"/>
      <c r="T245" s="11">
        <f>ROUND(K245*(1+$T$3),2)</f>
        <v>26.35</v>
      </c>
      <c r="U245" s="38">
        <f t="shared" si="81"/>
        <v>26.9</v>
      </c>
      <c r="V245" s="38">
        <f t="shared" si="82"/>
        <v>27.9</v>
      </c>
      <c r="W245" s="38">
        <f t="shared" si="83"/>
        <v>28.9</v>
      </c>
      <c r="X245" s="38">
        <f t="shared" si="84"/>
        <v>29.89</v>
      </c>
      <c r="Z245" s="4">
        <f>J245*K245</f>
        <v>312.92999999999995</v>
      </c>
      <c r="AA245" s="4">
        <f>J245*N245</f>
        <v>378.64529999999996</v>
      </c>
    </row>
    <row r="246" spans="1:27" x14ac:dyDescent="0.3">
      <c r="C246" s="3" t="s">
        <v>1239</v>
      </c>
      <c r="D246" s="55"/>
      <c r="E246" s="55"/>
      <c r="F246" s="55" t="s">
        <v>241</v>
      </c>
      <c r="G246" s="56">
        <v>5</v>
      </c>
      <c r="H246" s="49">
        <v>90</v>
      </c>
      <c r="I246" s="50">
        <v>0</v>
      </c>
      <c r="J246" s="77">
        <f>+H246-I246</f>
        <v>90</v>
      </c>
      <c r="K246" s="31">
        <v>16.47</v>
      </c>
      <c r="L246" s="32">
        <v>43250</v>
      </c>
      <c r="M246" s="33">
        <v>0.21</v>
      </c>
      <c r="N246" s="64">
        <f>+K246*(1+M246)</f>
        <v>19.928699999999999</v>
      </c>
      <c r="O246" s="68"/>
      <c r="P246" s="68"/>
      <c r="Q246" s="68"/>
      <c r="R246" s="11"/>
      <c r="S246" s="11"/>
      <c r="T246" s="11">
        <f>ROUND(K246*(1+$T$3),2)</f>
        <v>26.35</v>
      </c>
      <c r="U246" s="38">
        <f t="shared" si="81"/>
        <v>26.9</v>
      </c>
      <c r="V246" s="38">
        <f t="shared" si="82"/>
        <v>27.9</v>
      </c>
      <c r="W246" s="38">
        <f t="shared" si="83"/>
        <v>28.9</v>
      </c>
      <c r="X246" s="38">
        <f t="shared" si="84"/>
        <v>29.89</v>
      </c>
      <c r="Z246" s="4">
        <f>J246*K246</f>
        <v>1482.3</v>
      </c>
      <c r="AA246" s="4">
        <f>J246*N246</f>
        <v>1793.5829999999999</v>
      </c>
    </row>
    <row r="247" spans="1:27" x14ac:dyDescent="0.3">
      <c r="C247" s="3" t="s">
        <v>1200</v>
      </c>
      <c r="D247" s="55" t="s">
        <v>1038</v>
      </c>
      <c r="E247" s="55" t="s">
        <v>70</v>
      </c>
      <c r="F247" s="55" t="s">
        <v>229</v>
      </c>
      <c r="G247" s="56">
        <v>5</v>
      </c>
      <c r="H247" s="49">
        <f>18</f>
        <v>18</v>
      </c>
      <c r="I247" s="50">
        <f>8+1</f>
        <v>9</v>
      </c>
      <c r="J247" s="77">
        <f>+H247-I247</f>
        <v>9</v>
      </c>
      <c r="K247" s="31">
        <v>28.48</v>
      </c>
      <c r="L247" s="32">
        <v>43481</v>
      </c>
      <c r="M247" s="33">
        <v>0.21</v>
      </c>
      <c r="N247" s="64">
        <f t="shared" si="73"/>
        <v>34.460799999999999</v>
      </c>
      <c r="O247" s="68">
        <f t="shared" si="72"/>
        <v>37.020000000000003</v>
      </c>
      <c r="P247" s="68">
        <f t="shared" si="74"/>
        <v>38.450000000000003</v>
      </c>
      <c r="Q247" s="68">
        <f t="shared" si="75"/>
        <v>39.869999999999997</v>
      </c>
      <c r="R247" s="11">
        <f t="shared" si="76"/>
        <v>41.3</v>
      </c>
      <c r="S247" s="11">
        <f t="shared" si="87"/>
        <v>42.72</v>
      </c>
      <c r="T247" s="11">
        <f t="shared" si="77"/>
        <v>45.57</v>
      </c>
      <c r="U247" s="38">
        <f t="shared" si="81"/>
        <v>46.52</v>
      </c>
      <c r="V247" s="38">
        <f t="shared" si="82"/>
        <v>48.25</v>
      </c>
      <c r="W247" s="38">
        <f t="shared" si="83"/>
        <v>49.97</v>
      </c>
      <c r="X247" s="38">
        <f t="shared" si="84"/>
        <v>51.69</v>
      </c>
      <c r="Z247" s="4">
        <f t="shared" si="78"/>
        <v>256.32</v>
      </c>
      <c r="AA247" s="4">
        <f t="shared" si="79"/>
        <v>310.1472</v>
      </c>
    </row>
    <row r="248" spans="1:27" x14ac:dyDescent="0.3">
      <c r="C248" s="3" t="s">
        <v>333</v>
      </c>
      <c r="D248" s="55" t="s">
        <v>1039</v>
      </c>
      <c r="E248" s="55" t="s">
        <v>70</v>
      </c>
      <c r="F248" s="55" t="s">
        <v>230</v>
      </c>
      <c r="G248" s="56">
        <v>5</v>
      </c>
      <c r="H248" s="49">
        <f>20</f>
        <v>20</v>
      </c>
      <c r="I248" s="50">
        <f>20</f>
        <v>20</v>
      </c>
      <c r="J248" s="77">
        <f>+H248-I248</f>
        <v>0</v>
      </c>
      <c r="K248" s="31">
        <v>43.34</v>
      </c>
      <c r="L248" s="32">
        <v>43608</v>
      </c>
      <c r="M248" s="33">
        <v>0.21</v>
      </c>
      <c r="N248" s="64">
        <f t="shared" si="73"/>
        <v>52.441400000000002</v>
      </c>
      <c r="O248" s="68">
        <f t="shared" ref="O248:O256" si="88">ROUND(K248*(1+$O$3),2)</f>
        <v>56.34</v>
      </c>
      <c r="P248" s="68">
        <f t="shared" si="74"/>
        <v>58.51</v>
      </c>
      <c r="Q248" s="68">
        <f t="shared" si="75"/>
        <v>60.68</v>
      </c>
      <c r="R248" s="11">
        <f t="shared" si="76"/>
        <v>62.84</v>
      </c>
      <c r="S248" s="11">
        <f t="shared" si="87"/>
        <v>65.010000000000005</v>
      </c>
      <c r="T248" s="11">
        <f t="shared" si="77"/>
        <v>69.34</v>
      </c>
      <c r="U248" s="38">
        <f t="shared" si="81"/>
        <v>70.8</v>
      </c>
      <c r="V248" s="38">
        <f t="shared" si="82"/>
        <v>73.42</v>
      </c>
      <c r="W248" s="38">
        <f t="shared" si="83"/>
        <v>76.040000000000006</v>
      </c>
      <c r="X248" s="38">
        <f t="shared" si="84"/>
        <v>78.66</v>
      </c>
      <c r="Z248" s="4">
        <f t="shared" si="78"/>
        <v>0</v>
      </c>
      <c r="AA248" s="4">
        <f t="shared" si="79"/>
        <v>0</v>
      </c>
    </row>
    <row r="249" spans="1:27" x14ac:dyDescent="0.3">
      <c r="A249" s="135"/>
      <c r="B249" s="125"/>
      <c r="C249" s="3" t="s">
        <v>917</v>
      </c>
      <c r="D249" s="55" t="s">
        <v>614</v>
      </c>
      <c r="E249" s="55" t="s">
        <v>70</v>
      </c>
      <c r="F249" s="55" t="s">
        <v>35</v>
      </c>
      <c r="G249" s="56">
        <v>20</v>
      </c>
      <c r="H249" s="49">
        <f>162+100+20</f>
        <v>282</v>
      </c>
      <c r="I249" s="50">
        <f>68+34+60+100+20</f>
        <v>282</v>
      </c>
      <c r="J249" s="77">
        <f>+H249-I249</f>
        <v>0</v>
      </c>
      <c r="K249" s="31">
        <v>87</v>
      </c>
      <c r="L249" s="32">
        <v>43892</v>
      </c>
      <c r="M249" s="33">
        <v>0.21</v>
      </c>
      <c r="N249" s="64">
        <f t="shared" si="73"/>
        <v>105.27</v>
      </c>
      <c r="O249" s="68">
        <f t="shared" si="88"/>
        <v>113.1</v>
      </c>
      <c r="P249" s="68">
        <f t="shared" si="74"/>
        <v>117.45</v>
      </c>
      <c r="Q249" s="68">
        <f t="shared" si="75"/>
        <v>121.8</v>
      </c>
      <c r="R249" s="11">
        <f t="shared" si="76"/>
        <v>126.15</v>
      </c>
      <c r="S249" s="11">
        <f t="shared" si="87"/>
        <v>130.5</v>
      </c>
      <c r="T249" s="11">
        <f t="shared" si="77"/>
        <v>139.19999999999999</v>
      </c>
      <c r="U249" s="38">
        <f t="shared" si="81"/>
        <v>142.11000000000001</v>
      </c>
      <c r="V249" s="38">
        <f t="shared" si="82"/>
        <v>147.38</v>
      </c>
      <c r="W249" s="38">
        <f t="shared" si="83"/>
        <v>152.63999999999999</v>
      </c>
      <c r="X249" s="38">
        <f t="shared" si="84"/>
        <v>157.91</v>
      </c>
      <c r="Z249" s="4">
        <f t="shared" si="78"/>
        <v>0</v>
      </c>
      <c r="AA249" s="4">
        <f t="shared" si="79"/>
        <v>0</v>
      </c>
    </row>
    <row r="250" spans="1:27" x14ac:dyDescent="0.3">
      <c r="A250" s="135"/>
      <c r="B250" s="125"/>
      <c r="C250" s="3" t="s">
        <v>918</v>
      </c>
      <c r="D250" s="55" t="s">
        <v>615</v>
      </c>
      <c r="E250" s="55" t="s">
        <v>70</v>
      </c>
      <c r="F250" s="55" t="s">
        <v>35</v>
      </c>
      <c r="G250" s="56">
        <v>20</v>
      </c>
      <c r="H250" s="49">
        <v>102</v>
      </c>
      <c r="I250" s="50">
        <f>68+34</f>
        <v>102</v>
      </c>
      <c r="J250" s="77">
        <f>+H250-I250</f>
        <v>0</v>
      </c>
      <c r="K250" s="31">
        <v>87</v>
      </c>
      <c r="L250" s="32">
        <v>43892</v>
      </c>
      <c r="M250" s="33">
        <v>0.21</v>
      </c>
      <c r="N250" s="64">
        <f t="shared" si="73"/>
        <v>105.27</v>
      </c>
      <c r="O250" s="68">
        <f t="shared" si="88"/>
        <v>113.1</v>
      </c>
      <c r="P250" s="68">
        <f t="shared" si="74"/>
        <v>117.45</v>
      </c>
      <c r="Q250" s="68">
        <f t="shared" si="75"/>
        <v>121.8</v>
      </c>
      <c r="R250" s="11">
        <f t="shared" si="76"/>
        <v>126.15</v>
      </c>
      <c r="S250" s="11">
        <f t="shared" si="87"/>
        <v>130.5</v>
      </c>
      <c r="T250" s="11">
        <f t="shared" si="77"/>
        <v>139.19999999999999</v>
      </c>
      <c r="U250" s="38">
        <f t="shared" si="81"/>
        <v>142.11000000000001</v>
      </c>
      <c r="V250" s="38">
        <f t="shared" si="82"/>
        <v>147.38</v>
      </c>
      <c r="W250" s="38">
        <f t="shared" si="83"/>
        <v>152.63999999999999</v>
      </c>
      <c r="X250" s="38">
        <f t="shared" si="84"/>
        <v>157.91</v>
      </c>
      <c r="Z250" s="4">
        <f t="shared" si="78"/>
        <v>0</v>
      </c>
      <c r="AA250" s="4">
        <f t="shared" si="79"/>
        <v>0</v>
      </c>
    </row>
    <row r="251" spans="1:27" x14ac:dyDescent="0.3">
      <c r="A251" s="135"/>
      <c r="C251" s="5" t="s">
        <v>839</v>
      </c>
      <c r="D251" s="55"/>
      <c r="E251" s="55"/>
      <c r="F251" s="55" t="s">
        <v>836</v>
      </c>
      <c r="G251" s="56">
        <v>1</v>
      </c>
      <c r="H251" s="49">
        <f>1</f>
        <v>1</v>
      </c>
      <c r="I251" s="50">
        <f>0</f>
        <v>0</v>
      </c>
      <c r="J251" s="77">
        <f>+H251-I251</f>
        <v>1</v>
      </c>
      <c r="K251" s="31">
        <v>2479.3388429752067</v>
      </c>
      <c r="L251" s="32"/>
      <c r="M251" s="33">
        <v>0.21</v>
      </c>
      <c r="N251" s="64">
        <f t="shared" si="73"/>
        <v>3000</v>
      </c>
      <c r="O251" s="68">
        <f t="shared" si="88"/>
        <v>3223.14</v>
      </c>
      <c r="P251" s="68">
        <f t="shared" si="74"/>
        <v>3347.11</v>
      </c>
      <c r="Q251" s="68">
        <f t="shared" si="75"/>
        <v>3471.07</v>
      </c>
      <c r="R251" s="11">
        <f t="shared" si="76"/>
        <v>3595.04</v>
      </c>
      <c r="S251" s="11">
        <f t="shared" ref="S251:S256" si="89">K251*(1+$S$3)</f>
        <v>3719.0082644628101</v>
      </c>
      <c r="T251" s="11">
        <f t="shared" si="77"/>
        <v>3966.94</v>
      </c>
      <c r="U251" s="38">
        <f t="shared" si="81"/>
        <v>4050</v>
      </c>
      <c r="V251" s="38">
        <f t="shared" si="82"/>
        <v>4200</v>
      </c>
      <c r="W251" s="38">
        <f t="shared" si="83"/>
        <v>4350</v>
      </c>
      <c r="X251" s="38">
        <f t="shared" si="84"/>
        <v>4500</v>
      </c>
      <c r="Z251" s="4">
        <f t="shared" si="78"/>
        <v>2479.3388429752067</v>
      </c>
      <c r="AA251" s="4">
        <f t="shared" si="79"/>
        <v>3000</v>
      </c>
    </row>
    <row r="252" spans="1:27" x14ac:dyDescent="0.3">
      <c r="A252" s="135"/>
      <c r="C252" s="5" t="s">
        <v>840</v>
      </c>
      <c r="D252" s="55"/>
      <c r="E252" s="55"/>
      <c r="F252" s="55" t="s">
        <v>837</v>
      </c>
      <c r="G252" s="56">
        <v>1</v>
      </c>
      <c r="H252" s="49">
        <f>1</f>
        <v>1</v>
      </c>
      <c r="I252" s="50">
        <f>0</f>
        <v>0</v>
      </c>
      <c r="J252" s="77">
        <f>+H252-I252</f>
        <v>1</v>
      </c>
      <c r="K252" s="31">
        <v>2479.3388429752067</v>
      </c>
      <c r="L252" s="32"/>
      <c r="M252" s="33">
        <v>0.21</v>
      </c>
      <c r="N252" s="64">
        <f t="shared" si="73"/>
        <v>3000</v>
      </c>
      <c r="O252" s="68">
        <f t="shared" si="88"/>
        <v>3223.14</v>
      </c>
      <c r="P252" s="68">
        <f t="shared" si="74"/>
        <v>3347.11</v>
      </c>
      <c r="Q252" s="68">
        <f t="shared" si="75"/>
        <v>3471.07</v>
      </c>
      <c r="R252" s="11">
        <f t="shared" si="76"/>
        <v>3595.04</v>
      </c>
      <c r="S252" s="11">
        <f t="shared" si="89"/>
        <v>3719.0082644628101</v>
      </c>
      <c r="T252" s="11">
        <f t="shared" si="77"/>
        <v>3966.94</v>
      </c>
      <c r="U252" s="38">
        <f t="shared" si="81"/>
        <v>4050</v>
      </c>
      <c r="V252" s="38">
        <f t="shared" si="82"/>
        <v>4200</v>
      </c>
      <c r="W252" s="38">
        <f t="shared" si="83"/>
        <v>4350</v>
      </c>
      <c r="X252" s="38">
        <f t="shared" si="84"/>
        <v>4500</v>
      </c>
      <c r="Z252" s="4">
        <f t="shared" si="78"/>
        <v>2479.3388429752067</v>
      </c>
      <c r="AA252" s="4">
        <f t="shared" si="79"/>
        <v>3000</v>
      </c>
    </row>
    <row r="253" spans="1:27" x14ac:dyDescent="0.3">
      <c r="C253" s="5" t="s">
        <v>1003</v>
      </c>
      <c r="D253" s="55"/>
      <c r="E253" s="55"/>
      <c r="F253" s="55" t="s">
        <v>838</v>
      </c>
      <c r="G253" s="56">
        <v>0</v>
      </c>
      <c r="H253" s="49">
        <v>2</v>
      </c>
      <c r="I253" s="50">
        <f>0</f>
        <v>0</v>
      </c>
      <c r="J253" s="77">
        <f>+H253-I253</f>
        <v>2</v>
      </c>
      <c r="K253" s="31">
        <v>2479.34</v>
      </c>
      <c r="L253" s="32"/>
      <c r="M253" s="33">
        <v>0.21</v>
      </c>
      <c r="N253" s="64">
        <f t="shared" si="73"/>
        <v>3000.0014000000001</v>
      </c>
      <c r="O253" s="68">
        <f t="shared" si="88"/>
        <v>3223.14</v>
      </c>
      <c r="P253" s="68">
        <f t="shared" si="74"/>
        <v>3347.11</v>
      </c>
      <c r="Q253" s="68">
        <f t="shared" si="75"/>
        <v>3471.08</v>
      </c>
      <c r="R253" s="11">
        <f t="shared" si="76"/>
        <v>3595.04</v>
      </c>
      <c r="S253" s="11">
        <f t="shared" si="89"/>
        <v>3719.01</v>
      </c>
      <c r="T253" s="11">
        <f t="shared" si="77"/>
        <v>3966.94</v>
      </c>
      <c r="U253" s="38">
        <f t="shared" si="81"/>
        <v>4050</v>
      </c>
      <c r="V253" s="38">
        <f t="shared" si="82"/>
        <v>4200</v>
      </c>
      <c r="W253" s="38">
        <f t="shared" si="83"/>
        <v>4350</v>
      </c>
      <c r="X253" s="38">
        <f t="shared" si="84"/>
        <v>4500</v>
      </c>
      <c r="Z253" s="4">
        <f t="shared" si="78"/>
        <v>4958.68</v>
      </c>
      <c r="AA253" s="4">
        <f t="shared" si="79"/>
        <v>6000.0028000000002</v>
      </c>
    </row>
    <row r="254" spans="1:27" x14ac:dyDescent="0.3">
      <c r="C254" s="5" t="s">
        <v>841</v>
      </c>
      <c r="D254" s="55" t="s">
        <v>843</v>
      </c>
      <c r="E254" s="55" t="s">
        <v>409</v>
      </c>
      <c r="F254" s="55" t="s">
        <v>365</v>
      </c>
      <c r="G254" s="56">
        <v>0</v>
      </c>
      <c r="H254" s="49">
        <f>7+2</f>
        <v>9</v>
      </c>
      <c r="I254" s="50">
        <f>0</f>
        <v>0</v>
      </c>
      <c r="J254" s="77">
        <f>+H254-I254</f>
        <v>9</v>
      </c>
      <c r="K254" s="31">
        <v>5635.49</v>
      </c>
      <c r="L254" s="32">
        <v>41962</v>
      </c>
      <c r="M254" s="46">
        <v>0.105</v>
      </c>
      <c r="N254" s="64">
        <f t="shared" si="73"/>
        <v>6227.2164499999999</v>
      </c>
      <c r="O254" s="68">
        <f t="shared" si="88"/>
        <v>7326.14</v>
      </c>
      <c r="P254" s="68">
        <f t="shared" si="74"/>
        <v>7607.91</v>
      </c>
      <c r="Q254" s="68">
        <f t="shared" si="75"/>
        <v>7889.69</v>
      </c>
      <c r="R254" s="11">
        <f t="shared" si="76"/>
        <v>8171.46</v>
      </c>
      <c r="S254" s="11">
        <f t="shared" si="89"/>
        <v>8453.2350000000006</v>
      </c>
      <c r="T254" s="11">
        <f t="shared" si="77"/>
        <v>9016.7800000000007</v>
      </c>
      <c r="U254" s="38">
        <f t="shared" si="81"/>
        <v>8406.74</v>
      </c>
      <c r="V254" s="38">
        <f t="shared" si="82"/>
        <v>8718.1</v>
      </c>
      <c r="W254" s="38">
        <f t="shared" si="83"/>
        <v>9029.4599999999991</v>
      </c>
      <c r="X254" s="38">
        <f t="shared" si="84"/>
        <v>9340.82</v>
      </c>
      <c r="Z254" s="4">
        <f t="shared" si="78"/>
        <v>50719.409999999996</v>
      </c>
      <c r="AA254" s="4">
        <f t="shared" si="79"/>
        <v>56044.948049999999</v>
      </c>
    </row>
    <row r="255" spans="1:27" x14ac:dyDescent="0.3">
      <c r="C255" s="5" t="s">
        <v>842</v>
      </c>
      <c r="D255" s="55" t="s">
        <v>595</v>
      </c>
      <c r="E255" s="55" t="s">
        <v>409</v>
      </c>
      <c r="F255" s="55" t="s">
        <v>365</v>
      </c>
      <c r="G255" s="56">
        <v>0</v>
      </c>
      <c r="H255" s="49">
        <f>1</f>
        <v>1</v>
      </c>
      <c r="I255" s="50">
        <f>0</f>
        <v>0</v>
      </c>
      <c r="J255" s="77">
        <f>+H255-I255</f>
        <v>1</v>
      </c>
      <c r="K255" s="31">
        <v>20000</v>
      </c>
      <c r="L255" s="32" t="s">
        <v>1441</v>
      </c>
      <c r="M255" s="33">
        <v>0.21</v>
      </c>
      <c r="N255" s="64">
        <f t="shared" si="73"/>
        <v>24200</v>
      </c>
      <c r="O255" s="68">
        <f t="shared" si="88"/>
        <v>26000</v>
      </c>
      <c r="P255" s="68">
        <f t="shared" si="74"/>
        <v>27000</v>
      </c>
      <c r="Q255" s="68">
        <f t="shared" si="75"/>
        <v>28000</v>
      </c>
      <c r="R255" s="11">
        <f t="shared" si="76"/>
        <v>29000</v>
      </c>
      <c r="S255" s="11">
        <f t="shared" si="89"/>
        <v>30000</v>
      </c>
      <c r="T255" s="11">
        <f t="shared" si="77"/>
        <v>32000</v>
      </c>
      <c r="U255" s="38">
        <f t="shared" si="81"/>
        <v>32670</v>
      </c>
      <c r="V255" s="38">
        <f t="shared" si="82"/>
        <v>33880</v>
      </c>
      <c r="W255" s="38">
        <f t="shared" si="83"/>
        <v>35090</v>
      </c>
      <c r="X255" s="38">
        <f t="shared" si="84"/>
        <v>36300</v>
      </c>
      <c r="Z255" s="4">
        <f t="shared" si="78"/>
        <v>20000</v>
      </c>
      <c r="AA255" s="4">
        <f t="shared" si="79"/>
        <v>24200</v>
      </c>
    </row>
    <row r="256" spans="1:27" x14ac:dyDescent="0.3">
      <c r="C256" s="5" t="s">
        <v>842</v>
      </c>
      <c r="D256" s="55" t="s">
        <v>676</v>
      </c>
      <c r="E256" s="55" t="s">
        <v>409</v>
      </c>
      <c r="F256" s="55" t="s">
        <v>365</v>
      </c>
      <c r="G256" s="56">
        <v>0</v>
      </c>
      <c r="H256" s="49">
        <f>1</f>
        <v>1</v>
      </c>
      <c r="I256" s="50">
        <f>0</f>
        <v>0</v>
      </c>
      <c r="J256" s="77">
        <f>+H256-I256</f>
        <v>1</v>
      </c>
      <c r="K256" s="31">
        <v>20000</v>
      </c>
      <c r="L256" s="32" t="s">
        <v>1441</v>
      </c>
      <c r="M256" s="33">
        <v>0.21</v>
      </c>
      <c r="N256" s="64">
        <f t="shared" si="73"/>
        <v>24200</v>
      </c>
      <c r="O256" s="68">
        <f t="shared" si="88"/>
        <v>26000</v>
      </c>
      <c r="P256" s="68">
        <f t="shared" si="74"/>
        <v>27000</v>
      </c>
      <c r="Q256" s="68">
        <f t="shared" si="75"/>
        <v>28000</v>
      </c>
      <c r="R256" s="11">
        <f t="shared" si="76"/>
        <v>29000</v>
      </c>
      <c r="S256" s="11">
        <f t="shared" si="89"/>
        <v>30000</v>
      </c>
      <c r="T256" s="11">
        <f t="shared" si="77"/>
        <v>32000</v>
      </c>
      <c r="U256" s="38">
        <f t="shared" si="81"/>
        <v>32670</v>
      </c>
      <c r="V256" s="38">
        <f t="shared" si="82"/>
        <v>33880</v>
      </c>
      <c r="W256" s="38">
        <f t="shared" si="83"/>
        <v>35090</v>
      </c>
      <c r="X256" s="38">
        <f t="shared" si="84"/>
        <v>36300</v>
      </c>
      <c r="Z256" s="4">
        <f t="shared" si="78"/>
        <v>20000</v>
      </c>
      <c r="AA256" s="4">
        <f t="shared" si="79"/>
        <v>24200</v>
      </c>
    </row>
    <row r="257" spans="2:27" x14ac:dyDescent="0.3">
      <c r="B257" s="7"/>
      <c r="C257" s="5" t="s">
        <v>842</v>
      </c>
      <c r="D257" s="55" t="s">
        <v>696</v>
      </c>
      <c r="E257" s="55" t="s">
        <v>409</v>
      </c>
      <c r="F257" s="55" t="s">
        <v>365</v>
      </c>
      <c r="G257" s="56">
        <v>0</v>
      </c>
      <c r="H257" s="49">
        <f>1</f>
        <v>1</v>
      </c>
      <c r="I257" s="50">
        <f>0</f>
        <v>0</v>
      </c>
      <c r="J257" s="77">
        <f>+H257-I257</f>
        <v>1</v>
      </c>
      <c r="K257" s="31">
        <v>20000</v>
      </c>
      <c r="L257" s="32" t="s">
        <v>1441</v>
      </c>
      <c r="M257" s="33">
        <v>0.21</v>
      </c>
      <c r="N257" s="64">
        <f t="shared" ref="N257:N273" si="90">+K257*(1+M257)</f>
        <v>24200</v>
      </c>
      <c r="O257" s="68">
        <f t="shared" ref="O257:O273" si="91">ROUND(K257*(1+$O$3),2)</f>
        <v>26000</v>
      </c>
      <c r="P257" s="68">
        <f t="shared" ref="P257:P273" si="92">ROUND(K257*(1+$P$3),2)</f>
        <v>27000</v>
      </c>
      <c r="Q257" s="68">
        <f t="shared" ref="Q257:Q273" si="93">ROUND(K257*(1+$Q$3),2)</f>
        <v>28000</v>
      </c>
      <c r="R257" s="11">
        <f t="shared" ref="R257:R273" si="94">ROUND(K257*(1+$R$3),2)</f>
        <v>29000</v>
      </c>
      <c r="S257" s="11">
        <f t="shared" ref="S257:S273" si="95">K257*(1+$S$3)</f>
        <v>30000</v>
      </c>
      <c r="T257" s="11">
        <f t="shared" ref="T257:T273" si="96">ROUND(K257*(1+$T$3),2)</f>
        <v>32000</v>
      </c>
      <c r="U257" s="38">
        <f t="shared" si="81"/>
        <v>32670</v>
      </c>
      <c r="V257" s="38">
        <f t="shared" si="82"/>
        <v>33880</v>
      </c>
      <c r="W257" s="38">
        <f t="shared" si="83"/>
        <v>35090</v>
      </c>
      <c r="X257" s="38">
        <f t="shared" si="84"/>
        <v>36300</v>
      </c>
      <c r="Z257" s="4">
        <f t="shared" ref="Z257:Z269" si="97">J257*K257</f>
        <v>20000</v>
      </c>
      <c r="AA257" s="4">
        <f t="shared" ref="AA257:AA273" si="98">J257*N257</f>
        <v>24200</v>
      </c>
    </row>
    <row r="258" spans="2:27" x14ac:dyDescent="0.3">
      <c r="B258" s="7"/>
      <c r="C258" s="5" t="s">
        <v>842</v>
      </c>
      <c r="D258" s="55" t="s">
        <v>697</v>
      </c>
      <c r="E258" s="55" t="s">
        <v>409</v>
      </c>
      <c r="F258" s="55" t="s">
        <v>365</v>
      </c>
      <c r="G258" s="56">
        <v>0</v>
      </c>
      <c r="H258" s="49">
        <f>1</f>
        <v>1</v>
      </c>
      <c r="I258" s="50">
        <f>0</f>
        <v>0</v>
      </c>
      <c r="J258" s="77">
        <f>+H258-I258</f>
        <v>1</v>
      </c>
      <c r="K258" s="31">
        <v>20000</v>
      </c>
      <c r="L258" s="32" t="s">
        <v>1441</v>
      </c>
      <c r="M258" s="33">
        <v>0.21</v>
      </c>
      <c r="N258" s="64">
        <f t="shared" si="90"/>
        <v>24200</v>
      </c>
      <c r="O258" s="68">
        <f t="shared" si="91"/>
        <v>26000</v>
      </c>
      <c r="P258" s="68">
        <f t="shared" si="92"/>
        <v>27000</v>
      </c>
      <c r="Q258" s="68">
        <f t="shared" si="93"/>
        <v>28000</v>
      </c>
      <c r="R258" s="11">
        <f t="shared" si="94"/>
        <v>29000</v>
      </c>
      <c r="S258" s="11">
        <f t="shared" si="95"/>
        <v>30000</v>
      </c>
      <c r="T258" s="11">
        <f t="shared" si="96"/>
        <v>32000</v>
      </c>
      <c r="U258" s="38">
        <f t="shared" si="81"/>
        <v>32670</v>
      </c>
      <c r="V258" s="38">
        <f t="shared" si="82"/>
        <v>33880</v>
      </c>
      <c r="W258" s="38">
        <f t="shared" si="83"/>
        <v>35090</v>
      </c>
      <c r="X258" s="38">
        <f t="shared" si="84"/>
        <v>36300</v>
      </c>
      <c r="Z258" s="4">
        <f t="shared" si="97"/>
        <v>20000</v>
      </c>
      <c r="AA258" s="4">
        <f t="shared" si="98"/>
        <v>24200</v>
      </c>
    </row>
    <row r="259" spans="2:27" x14ac:dyDescent="0.3">
      <c r="B259" s="7"/>
      <c r="C259" s="5" t="s">
        <v>842</v>
      </c>
      <c r="D259" s="55" t="s">
        <v>724</v>
      </c>
      <c r="E259" s="55" t="s">
        <v>409</v>
      </c>
      <c r="F259" s="55" t="s">
        <v>365</v>
      </c>
      <c r="G259" s="56"/>
      <c r="H259" s="49">
        <f>1</f>
        <v>1</v>
      </c>
      <c r="I259" s="50">
        <f>0</f>
        <v>0</v>
      </c>
      <c r="J259" s="77">
        <f>+H259-I259</f>
        <v>1</v>
      </c>
      <c r="K259" s="31">
        <v>20000</v>
      </c>
      <c r="L259" s="32" t="s">
        <v>1441</v>
      </c>
      <c r="M259" s="33">
        <v>0.21</v>
      </c>
      <c r="N259" s="64">
        <f t="shared" si="90"/>
        <v>24200</v>
      </c>
      <c r="O259" s="68">
        <f t="shared" si="91"/>
        <v>26000</v>
      </c>
      <c r="P259" s="68">
        <f t="shared" si="92"/>
        <v>27000</v>
      </c>
      <c r="Q259" s="68">
        <f t="shared" si="93"/>
        <v>28000</v>
      </c>
      <c r="R259" s="11">
        <f t="shared" si="94"/>
        <v>29000</v>
      </c>
      <c r="S259" s="11">
        <f t="shared" si="95"/>
        <v>30000</v>
      </c>
      <c r="T259" s="11">
        <f t="shared" si="96"/>
        <v>32000</v>
      </c>
      <c r="U259" s="38">
        <f t="shared" si="81"/>
        <v>32670</v>
      </c>
      <c r="V259" s="38">
        <f t="shared" si="82"/>
        <v>33880</v>
      </c>
      <c r="W259" s="38">
        <f t="shared" si="83"/>
        <v>35090</v>
      </c>
      <c r="X259" s="38">
        <f t="shared" si="84"/>
        <v>36300</v>
      </c>
      <c r="Z259" s="4">
        <f t="shared" si="97"/>
        <v>20000</v>
      </c>
      <c r="AA259" s="4">
        <f t="shared" si="98"/>
        <v>24200</v>
      </c>
    </row>
    <row r="260" spans="2:27" x14ac:dyDescent="0.3">
      <c r="B260" s="7"/>
      <c r="C260" s="5" t="s">
        <v>842</v>
      </c>
      <c r="D260" s="55" t="s">
        <v>725</v>
      </c>
      <c r="E260" s="55" t="s">
        <v>409</v>
      </c>
      <c r="F260" s="55" t="s">
        <v>365</v>
      </c>
      <c r="G260" s="56"/>
      <c r="H260" s="49">
        <f>1</f>
        <v>1</v>
      </c>
      <c r="I260" s="50">
        <f>1</f>
        <v>1</v>
      </c>
      <c r="J260" s="77">
        <f>+H260-I260</f>
        <v>0</v>
      </c>
      <c r="K260" s="31">
        <v>20000</v>
      </c>
      <c r="L260" s="32" t="s">
        <v>1441</v>
      </c>
      <c r="M260" s="33">
        <v>0.21</v>
      </c>
      <c r="N260" s="64">
        <f t="shared" si="90"/>
        <v>24200</v>
      </c>
      <c r="O260" s="68">
        <f t="shared" si="91"/>
        <v>26000</v>
      </c>
      <c r="P260" s="68">
        <f t="shared" si="92"/>
        <v>27000</v>
      </c>
      <c r="Q260" s="68">
        <f t="shared" si="93"/>
        <v>28000</v>
      </c>
      <c r="R260" s="11">
        <f t="shared" si="94"/>
        <v>29000</v>
      </c>
      <c r="S260" s="11">
        <f t="shared" si="95"/>
        <v>30000</v>
      </c>
      <c r="T260" s="11">
        <f t="shared" si="96"/>
        <v>32000</v>
      </c>
      <c r="U260" s="38">
        <f t="shared" si="81"/>
        <v>32670</v>
      </c>
      <c r="V260" s="38">
        <f t="shared" si="82"/>
        <v>33880</v>
      </c>
      <c r="W260" s="38">
        <f t="shared" si="83"/>
        <v>35090</v>
      </c>
      <c r="X260" s="38">
        <f t="shared" si="84"/>
        <v>36300</v>
      </c>
      <c r="Z260" s="4">
        <f t="shared" si="97"/>
        <v>0</v>
      </c>
      <c r="AA260" s="4">
        <f t="shared" si="98"/>
        <v>0</v>
      </c>
    </row>
    <row r="261" spans="2:27" x14ac:dyDescent="0.3">
      <c r="B261" s="7"/>
      <c r="C261" s="5" t="s">
        <v>842</v>
      </c>
      <c r="D261" s="55" t="s">
        <v>726</v>
      </c>
      <c r="E261" s="55" t="s">
        <v>409</v>
      </c>
      <c r="F261" s="55" t="s">
        <v>365</v>
      </c>
      <c r="G261" s="56"/>
      <c r="H261" s="49">
        <f>1</f>
        <v>1</v>
      </c>
      <c r="I261" s="50">
        <f>0</f>
        <v>0</v>
      </c>
      <c r="J261" s="77">
        <f>+H261-I261</f>
        <v>1</v>
      </c>
      <c r="K261" s="31">
        <v>20000</v>
      </c>
      <c r="L261" s="32" t="s">
        <v>1441</v>
      </c>
      <c r="M261" s="33">
        <v>0.21</v>
      </c>
      <c r="N261" s="64">
        <f t="shared" si="90"/>
        <v>24200</v>
      </c>
      <c r="O261" s="68">
        <f t="shared" si="91"/>
        <v>26000</v>
      </c>
      <c r="P261" s="68">
        <f t="shared" si="92"/>
        <v>27000</v>
      </c>
      <c r="Q261" s="68">
        <f t="shared" si="93"/>
        <v>28000</v>
      </c>
      <c r="R261" s="11">
        <f t="shared" si="94"/>
        <v>29000</v>
      </c>
      <c r="S261" s="11">
        <f t="shared" si="95"/>
        <v>30000</v>
      </c>
      <c r="T261" s="11">
        <f t="shared" si="96"/>
        <v>32000</v>
      </c>
      <c r="U261" s="38">
        <f t="shared" si="81"/>
        <v>32670</v>
      </c>
      <c r="V261" s="38">
        <f t="shared" si="82"/>
        <v>33880</v>
      </c>
      <c r="W261" s="38">
        <f t="shared" si="83"/>
        <v>35090</v>
      </c>
      <c r="X261" s="38">
        <f t="shared" si="84"/>
        <v>36300</v>
      </c>
      <c r="Z261" s="4">
        <f t="shared" si="97"/>
        <v>20000</v>
      </c>
      <c r="AA261" s="4">
        <f t="shared" si="98"/>
        <v>24200</v>
      </c>
    </row>
    <row r="262" spans="2:27" x14ac:dyDescent="0.3">
      <c r="B262" s="7"/>
      <c r="C262" s="5" t="s">
        <v>932</v>
      </c>
      <c r="D262" s="55" t="s">
        <v>1253</v>
      </c>
      <c r="E262" s="55" t="s">
        <v>409</v>
      </c>
      <c r="F262" s="55" t="s">
        <v>365</v>
      </c>
      <c r="G262" s="56"/>
      <c r="H262" s="49">
        <v>1</v>
      </c>
      <c r="I262" s="50">
        <f>0</f>
        <v>0</v>
      </c>
      <c r="J262" s="77">
        <f>+H262-I262</f>
        <v>1</v>
      </c>
      <c r="K262" s="31">
        <v>25000</v>
      </c>
      <c r="L262" s="32" t="s">
        <v>1441</v>
      </c>
      <c r="M262" s="46">
        <v>0.105</v>
      </c>
      <c r="N262" s="64">
        <f t="shared" si="90"/>
        <v>27625</v>
      </c>
      <c r="O262" s="68">
        <f t="shared" si="91"/>
        <v>32500</v>
      </c>
      <c r="P262" s="68">
        <f t="shared" si="92"/>
        <v>33750</v>
      </c>
      <c r="Q262" s="68">
        <f t="shared" si="93"/>
        <v>35000</v>
      </c>
      <c r="R262" s="11">
        <f t="shared" si="94"/>
        <v>36250</v>
      </c>
      <c r="S262" s="11">
        <f t="shared" si="95"/>
        <v>37500</v>
      </c>
      <c r="T262" s="11">
        <f t="shared" si="96"/>
        <v>40000</v>
      </c>
      <c r="U262" s="38">
        <f t="shared" si="81"/>
        <v>37293.75</v>
      </c>
      <c r="V262" s="38">
        <f t="shared" si="82"/>
        <v>38675</v>
      </c>
      <c r="W262" s="38">
        <f t="shared" si="83"/>
        <v>40056.25</v>
      </c>
      <c r="X262" s="38">
        <f t="shared" si="84"/>
        <v>41437.5</v>
      </c>
      <c r="Z262" s="4">
        <f t="shared" si="97"/>
        <v>25000</v>
      </c>
      <c r="AA262" s="4">
        <f t="shared" si="98"/>
        <v>27625</v>
      </c>
    </row>
    <row r="263" spans="2:27" x14ac:dyDescent="0.3">
      <c r="B263" s="7"/>
      <c r="C263" s="5" t="s">
        <v>926</v>
      </c>
      <c r="D263" s="55" t="s">
        <v>927</v>
      </c>
      <c r="E263" s="55" t="s">
        <v>924</v>
      </c>
      <c r="F263" s="55" t="s">
        <v>925</v>
      </c>
      <c r="G263" s="56"/>
      <c r="H263" s="49">
        <v>1</v>
      </c>
      <c r="I263" s="50">
        <f>0</f>
        <v>0</v>
      </c>
      <c r="J263" s="77">
        <f>+H263-I263</f>
        <v>1</v>
      </c>
      <c r="K263" s="31">
        <v>20000</v>
      </c>
      <c r="L263" s="32" t="s">
        <v>1441</v>
      </c>
      <c r="M263" s="46">
        <v>0.105</v>
      </c>
      <c r="N263" s="64">
        <f t="shared" si="90"/>
        <v>22100</v>
      </c>
      <c r="O263" s="68">
        <f t="shared" si="91"/>
        <v>26000</v>
      </c>
      <c r="P263" s="68">
        <f t="shared" si="92"/>
        <v>27000</v>
      </c>
      <c r="Q263" s="68">
        <f t="shared" si="93"/>
        <v>28000</v>
      </c>
      <c r="R263" s="11">
        <f t="shared" si="94"/>
        <v>29000</v>
      </c>
      <c r="S263" s="11">
        <f t="shared" si="95"/>
        <v>30000</v>
      </c>
      <c r="T263" s="11">
        <f t="shared" si="96"/>
        <v>32000</v>
      </c>
      <c r="U263" s="38">
        <f t="shared" si="81"/>
        <v>29835</v>
      </c>
      <c r="V263" s="38">
        <f t="shared" si="82"/>
        <v>30940</v>
      </c>
      <c r="W263" s="38">
        <f t="shared" si="83"/>
        <v>32045</v>
      </c>
      <c r="X263" s="38">
        <f t="shared" si="84"/>
        <v>33150</v>
      </c>
      <c r="Z263" s="4">
        <f t="shared" si="97"/>
        <v>20000</v>
      </c>
      <c r="AA263" s="4">
        <f t="shared" si="98"/>
        <v>22100</v>
      </c>
    </row>
    <row r="264" spans="2:27" x14ac:dyDescent="0.3">
      <c r="B264" s="7"/>
      <c r="C264" s="5" t="s">
        <v>926</v>
      </c>
      <c r="D264" s="55" t="s">
        <v>928</v>
      </c>
      <c r="E264" s="55" t="s">
        <v>924</v>
      </c>
      <c r="F264" s="55" t="s">
        <v>925</v>
      </c>
      <c r="G264" s="56"/>
      <c r="H264" s="49">
        <v>1</v>
      </c>
      <c r="I264" s="50">
        <f>0</f>
        <v>0</v>
      </c>
      <c r="J264" s="77">
        <f>+H264-I264</f>
        <v>1</v>
      </c>
      <c r="K264" s="31">
        <v>20000</v>
      </c>
      <c r="L264" s="32" t="s">
        <v>1441</v>
      </c>
      <c r="M264" s="46">
        <v>0.105</v>
      </c>
      <c r="N264" s="64">
        <f t="shared" si="90"/>
        <v>22100</v>
      </c>
      <c r="O264" s="68">
        <f t="shared" si="91"/>
        <v>26000</v>
      </c>
      <c r="P264" s="68">
        <f t="shared" si="92"/>
        <v>27000</v>
      </c>
      <c r="Q264" s="68">
        <f t="shared" si="93"/>
        <v>28000</v>
      </c>
      <c r="R264" s="11">
        <f t="shared" si="94"/>
        <v>29000</v>
      </c>
      <c r="S264" s="11">
        <f t="shared" si="95"/>
        <v>30000</v>
      </c>
      <c r="T264" s="11">
        <f t="shared" si="96"/>
        <v>32000</v>
      </c>
      <c r="U264" s="38">
        <f t="shared" si="81"/>
        <v>29835</v>
      </c>
      <c r="V264" s="38">
        <f t="shared" si="82"/>
        <v>30940</v>
      </c>
      <c r="W264" s="38">
        <f t="shared" si="83"/>
        <v>32045</v>
      </c>
      <c r="X264" s="38">
        <f t="shared" si="84"/>
        <v>33150</v>
      </c>
      <c r="Z264" s="4">
        <f t="shared" si="97"/>
        <v>20000</v>
      </c>
      <c r="AA264" s="4">
        <f t="shared" si="98"/>
        <v>22100</v>
      </c>
    </row>
    <row r="265" spans="2:27" x14ac:dyDescent="0.3">
      <c r="B265" s="7"/>
      <c r="C265" s="5" t="s">
        <v>926</v>
      </c>
      <c r="D265" s="55" t="s">
        <v>929</v>
      </c>
      <c r="E265" s="55" t="s">
        <v>924</v>
      </c>
      <c r="F265" s="55" t="s">
        <v>925</v>
      </c>
      <c r="G265" s="56"/>
      <c r="H265" s="49">
        <v>1</v>
      </c>
      <c r="I265" s="50">
        <f>0</f>
        <v>0</v>
      </c>
      <c r="J265" s="77">
        <f>+H265-I265</f>
        <v>1</v>
      </c>
      <c r="K265" s="31">
        <v>20000</v>
      </c>
      <c r="L265" s="32" t="s">
        <v>1441</v>
      </c>
      <c r="M265" s="46">
        <v>0.105</v>
      </c>
      <c r="N265" s="64">
        <f t="shared" si="90"/>
        <v>22100</v>
      </c>
      <c r="O265" s="68">
        <f t="shared" si="91"/>
        <v>26000</v>
      </c>
      <c r="P265" s="68">
        <f t="shared" si="92"/>
        <v>27000</v>
      </c>
      <c r="Q265" s="68">
        <f t="shared" si="93"/>
        <v>28000</v>
      </c>
      <c r="R265" s="11">
        <f t="shared" si="94"/>
        <v>29000</v>
      </c>
      <c r="S265" s="11">
        <f t="shared" si="95"/>
        <v>30000</v>
      </c>
      <c r="T265" s="11">
        <f t="shared" si="96"/>
        <v>32000</v>
      </c>
      <c r="U265" s="38">
        <f t="shared" si="81"/>
        <v>29835</v>
      </c>
      <c r="V265" s="38">
        <f t="shared" si="82"/>
        <v>30940</v>
      </c>
      <c r="W265" s="38">
        <f t="shared" si="83"/>
        <v>32045</v>
      </c>
      <c r="X265" s="38">
        <f t="shared" si="84"/>
        <v>33150</v>
      </c>
      <c r="Z265" s="4">
        <f t="shared" si="97"/>
        <v>20000</v>
      </c>
      <c r="AA265" s="4">
        <f t="shared" si="98"/>
        <v>22100</v>
      </c>
    </row>
    <row r="266" spans="2:27" x14ac:dyDescent="0.3">
      <c r="B266" s="7"/>
      <c r="C266" s="5" t="s">
        <v>926</v>
      </c>
      <c r="D266" s="55" t="s">
        <v>1252</v>
      </c>
      <c r="E266" s="55" t="s">
        <v>924</v>
      </c>
      <c r="F266" s="55" t="s">
        <v>925</v>
      </c>
      <c r="G266" s="56"/>
      <c r="H266" s="49">
        <v>1</v>
      </c>
      <c r="I266" s="50">
        <v>1</v>
      </c>
      <c r="J266" s="77">
        <f>+H266-I266</f>
        <v>0</v>
      </c>
      <c r="K266" s="31">
        <v>20000</v>
      </c>
      <c r="L266" s="32" t="s">
        <v>1441</v>
      </c>
      <c r="M266" s="46">
        <v>0.105</v>
      </c>
      <c r="N266" s="64">
        <f t="shared" si="90"/>
        <v>22100</v>
      </c>
      <c r="O266" s="68">
        <f t="shared" si="91"/>
        <v>26000</v>
      </c>
      <c r="P266" s="68">
        <f t="shared" si="92"/>
        <v>27000</v>
      </c>
      <c r="Q266" s="68">
        <f t="shared" si="93"/>
        <v>28000</v>
      </c>
      <c r="R266" s="11">
        <f t="shared" si="94"/>
        <v>29000</v>
      </c>
      <c r="S266" s="11">
        <f t="shared" si="95"/>
        <v>30000</v>
      </c>
      <c r="T266" s="11">
        <f t="shared" si="96"/>
        <v>32000</v>
      </c>
      <c r="U266" s="38">
        <f t="shared" si="81"/>
        <v>29835</v>
      </c>
      <c r="V266" s="38">
        <f t="shared" si="82"/>
        <v>30940</v>
      </c>
      <c r="W266" s="38">
        <f t="shared" si="83"/>
        <v>32045</v>
      </c>
      <c r="X266" s="38">
        <f t="shared" si="84"/>
        <v>33150</v>
      </c>
      <c r="Z266" s="4">
        <f t="shared" si="97"/>
        <v>0</v>
      </c>
      <c r="AA266" s="4">
        <f t="shared" si="98"/>
        <v>0</v>
      </c>
    </row>
    <row r="267" spans="2:27" x14ac:dyDescent="0.3">
      <c r="B267" s="7"/>
      <c r="C267" s="5" t="s">
        <v>926</v>
      </c>
      <c r="D267" s="55" t="s">
        <v>930</v>
      </c>
      <c r="E267" s="55" t="s">
        <v>924</v>
      </c>
      <c r="F267" s="55" t="s">
        <v>925</v>
      </c>
      <c r="G267" s="56"/>
      <c r="H267" s="49">
        <v>1</v>
      </c>
      <c r="I267" s="50">
        <f>0</f>
        <v>0</v>
      </c>
      <c r="J267" s="77">
        <f>+H267-I267</f>
        <v>1</v>
      </c>
      <c r="K267" s="31">
        <v>20000</v>
      </c>
      <c r="L267" s="32" t="s">
        <v>1441</v>
      </c>
      <c r="M267" s="46">
        <v>0.105</v>
      </c>
      <c r="N267" s="64">
        <f t="shared" si="90"/>
        <v>22100</v>
      </c>
      <c r="O267" s="68">
        <f t="shared" si="91"/>
        <v>26000</v>
      </c>
      <c r="P267" s="68">
        <f t="shared" si="92"/>
        <v>27000</v>
      </c>
      <c r="Q267" s="68">
        <f t="shared" si="93"/>
        <v>28000</v>
      </c>
      <c r="R267" s="11">
        <f t="shared" si="94"/>
        <v>29000</v>
      </c>
      <c r="S267" s="11">
        <f t="shared" si="95"/>
        <v>30000</v>
      </c>
      <c r="T267" s="11">
        <f t="shared" si="96"/>
        <v>32000</v>
      </c>
      <c r="U267" s="38">
        <f t="shared" si="81"/>
        <v>29835</v>
      </c>
      <c r="V267" s="38">
        <f t="shared" si="82"/>
        <v>30940</v>
      </c>
      <c r="W267" s="38">
        <f t="shared" si="83"/>
        <v>32045</v>
      </c>
      <c r="X267" s="38">
        <f t="shared" si="84"/>
        <v>33150</v>
      </c>
      <c r="Z267" s="4">
        <f t="shared" si="97"/>
        <v>20000</v>
      </c>
      <c r="AA267" s="4">
        <f t="shared" si="98"/>
        <v>22100</v>
      </c>
    </row>
    <row r="268" spans="2:27" x14ac:dyDescent="0.3">
      <c r="B268" s="7"/>
      <c r="C268" s="5" t="s">
        <v>926</v>
      </c>
      <c r="D268" s="55" t="s">
        <v>991</v>
      </c>
      <c r="E268" s="55" t="s">
        <v>924</v>
      </c>
      <c r="F268" s="55" t="s">
        <v>925</v>
      </c>
      <c r="G268" s="56"/>
      <c r="H268" s="49">
        <v>1</v>
      </c>
      <c r="I268" s="50">
        <f>0</f>
        <v>0</v>
      </c>
      <c r="J268" s="77">
        <f>+H268-I268</f>
        <v>1</v>
      </c>
      <c r="K268" s="31">
        <v>20000</v>
      </c>
      <c r="L268" s="32" t="s">
        <v>1441</v>
      </c>
      <c r="M268" s="46">
        <v>0.105</v>
      </c>
      <c r="N268" s="64">
        <f t="shared" si="90"/>
        <v>22100</v>
      </c>
      <c r="O268" s="68">
        <f t="shared" si="91"/>
        <v>26000</v>
      </c>
      <c r="P268" s="68">
        <f t="shared" si="92"/>
        <v>27000</v>
      </c>
      <c r="Q268" s="68">
        <f t="shared" si="93"/>
        <v>28000</v>
      </c>
      <c r="R268" s="11">
        <f t="shared" si="94"/>
        <v>29000</v>
      </c>
      <c r="S268" s="11">
        <f t="shared" si="95"/>
        <v>30000</v>
      </c>
      <c r="T268" s="11">
        <f t="shared" si="96"/>
        <v>32000</v>
      </c>
      <c r="U268" s="38">
        <f t="shared" si="81"/>
        <v>29835</v>
      </c>
      <c r="V268" s="38">
        <f t="shared" si="82"/>
        <v>30940</v>
      </c>
      <c r="W268" s="38">
        <f t="shared" si="83"/>
        <v>32045</v>
      </c>
      <c r="X268" s="38">
        <f t="shared" si="84"/>
        <v>33150</v>
      </c>
      <c r="Z268" s="4">
        <f t="shared" si="97"/>
        <v>20000</v>
      </c>
      <c r="AA268" s="4">
        <f t="shared" si="98"/>
        <v>22100</v>
      </c>
    </row>
    <row r="269" spans="2:27" x14ac:dyDescent="0.3">
      <c r="B269" s="7"/>
      <c r="C269" s="5" t="s">
        <v>995</v>
      </c>
      <c r="D269" s="55" t="s">
        <v>1062</v>
      </c>
      <c r="E269" s="55" t="s">
        <v>924</v>
      </c>
      <c r="F269" s="55" t="s">
        <v>925</v>
      </c>
      <c r="G269" s="56"/>
      <c r="H269" s="49">
        <f>5+2</f>
        <v>7</v>
      </c>
      <c r="I269" s="50">
        <f>0</f>
        <v>0</v>
      </c>
      <c r="J269" s="77">
        <f>+H269-I269</f>
        <v>7</v>
      </c>
      <c r="K269" s="31">
        <v>25000</v>
      </c>
      <c r="L269" s="32" t="s">
        <v>1441</v>
      </c>
      <c r="M269" s="46">
        <v>0.105</v>
      </c>
      <c r="N269" s="64">
        <f t="shared" si="90"/>
        <v>27625</v>
      </c>
      <c r="O269" s="68">
        <f t="shared" si="91"/>
        <v>32500</v>
      </c>
      <c r="P269" s="68">
        <f t="shared" si="92"/>
        <v>33750</v>
      </c>
      <c r="Q269" s="68">
        <f t="shared" si="93"/>
        <v>35000</v>
      </c>
      <c r="R269" s="11">
        <f t="shared" si="94"/>
        <v>36250</v>
      </c>
      <c r="S269" s="11">
        <f t="shared" si="95"/>
        <v>37500</v>
      </c>
      <c r="T269" s="11">
        <f t="shared" si="96"/>
        <v>40000</v>
      </c>
      <c r="U269" s="38">
        <f t="shared" si="81"/>
        <v>37293.75</v>
      </c>
      <c r="V269" s="38">
        <f t="shared" si="82"/>
        <v>38675</v>
      </c>
      <c r="W269" s="38">
        <f t="shared" si="83"/>
        <v>40056.25</v>
      </c>
      <c r="X269" s="38">
        <f t="shared" si="84"/>
        <v>41437.5</v>
      </c>
      <c r="Z269" s="4">
        <f t="shared" si="97"/>
        <v>175000</v>
      </c>
      <c r="AA269" s="4">
        <f t="shared" si="98"/>
        <v>193375</v>
      </c>
    </row>
    <row r="270" spans="2:27" x14ac:dyDescent="0.3">
      <c r="B270" s="7"/>
      <c r="C270" s="5" t="s">
        <v>995</v>
      </c>
      <c r="D270" s="55" t="s">
        <v>1111</v>
      </c>
      <c r="E270" s="55" t="s">
        <v>924</v>
      </c>
      <c r="F270" s="55" t="s">
        <v>925</v>
      </c>
      <c r="G270" s="56"/>
      <c r="H270" s="49">
        <v>1</v>
      </c>
      <c r="I270" s="50">
        <f>0</f>
        <v>0</v>
      </c>
      <c r="J270" s="77">
        <f>+H270-I270</f>
        <v>1</v>
      </c>
      <c r="K270" s="31">
        <v>25000</v>
      </c>
      <c r="L270" s="32" t="s">
        <v>1441</v>
      </c>
      <c r="M270" s="46">
        <v>0.105</v>
      </c>
      <c r="N270" s="64">
        <f t="shared" si="90"/>
        <v>27625</v>
      </c>
      <c r="O270" s="68">
        <f t="shared" si="91"/>
        <v>32500</v>
      </c>
      <c r="P270" s="68">
        <f t="shared" si="92"/>
        <v>33750</v>
      </c>
      <c r="Q270" s="68">
        <f t="shared" si="93"/>
        <v>35000</v>
      </c>
      <c r="R270" s="11">
        <f t="shared" si="94"/>
        <v>36250</v>
      </c>
      <c r="S270" s="11">
        <f t="shared" si="95"/>
        <v>37500</v>
      </c>
      <c r="T270" s="11">
        <f t="shared" si="96"/>
        <v>40000</v>
      </c>
      <c r="U270" s="38">
        <f t="shared" si="81"/>
        <v>37293.75</v>
      </c>
      <c r="V270" s="38">
        <f t="shared" si="82"/>
        <v>38675</v>
      </c>
      <c r="W270" s="38">
        <f t="shared" si="83"/>
        <v>40056.25</v>
      </c>
      <c r="X270" s="38">
        <f t="shared" si="84"/>
        <v>41437.5</v>
      </c>
      <c r="Z270" s="4">
        <f>J270*K270</f>
        <v>25000</v>
      </c>
      <c r="AA270" s="4">
        <f t="shared" si="98"/>
        <v>27625</v>
      </c>
    </row>
    <row r="271" spans="2:27" x14ac:dyDescent="0.3">
      <c r="B271" s="7"/>
      <c r="C271" s="5" t="s">
        <v>995</v>
      </c>
      <c r="D271" s="55" t="s">
        <v>1112</v>
      </c>
      <c r="E271" s="55" t="s">
        <v>924</v>
      </c>
      <c r="F271" s="55" t="s">
        <v>925</v>
      </c>
      <c r="G271" s="56"/>
      <c r="H271" s="49">
        <v>1</v>
      </c>
      <c r="I271" s="50">
        <f>0</f>
        <v>0</v>
      </c>
      <c r="J271" s="77">
        <f>+H271-I271</f>
        <v>1</v>
      </c>
      <c r="K271" s="31">
        <v>25000</v>
      </c>
      <c r="L271" s="32" t="s">
        <v>1441</v>
      </c>
      <c r="M271" s="46">
        <v>0.105</v>
      </c>
      <c r="N271" s="64">
        <f t="shared" si="90"/>
        <v>27625</v>
      </c>
      <c r="O271" s="68">
        <f t="shared" si="91"/>
        <v>32500</v>
      </c>
      <c r="P271" s="68">
        <f t="shared" si="92"/>
        <v>33750</v>
      </c>
      <c r="Q271" s="68">
        <f t="shared" si="93"/>
        <v>35000</v>
      </c>
      <c r="R271" s="11">
        <f t="shared" si="94"/>
        <v>36250</v>
      </c>
      <c r="S271" s="11">
        <f t="shared" si="95"/>
        <v>37500</v>
      </c>
      <c r="T271" s="11">
        <f t="shared" si="96"/>
        <v>40000</v>
      </c>
      <c r="U271" s="38">
        <f t="shared" si="81"/>
        <v>37293.75</v>
      </c>
      <c r="V271" s="38">
        <f t="shared" si="82"/>
        <v>38675</v>
      </c>
      <c r="W271" s="38">
        <f t="shared" si="83"/>
        <v>40056.25</v>
      </c>
      <c r="X271" s="38">
        <f t="shared" si="84"/>
        <v>41437.5</v>
      </c>
      <c r="Z271" s="4">
        <f>J271*K271</f>
        <v>25000</v>
      </c>
      <c r="AA271" s="4">
        <f t="shared" si="98"/>
        <v>27625</v>
      </c>
    </row>
    <row r="272" spans="2:27" x14ac:dyDescent="0.3">
      <c r="B272" s="7"/>
      <c r="C272" s="5" t="s">
        <v>995</v>
      </c>
      <c r="D272" s="55" t="s">
        <v>1113</v>
      </c>
      <c r="E272" s="55" t="s">
        <v>924</v>
      </c>
      <c r="F272" s="55" t="s">
        <v>925</v>
      </c>
      <c r="G272" s="56"/>
      <c r="H272" s="49">
        <v>1</v>
      </c>
      <c r="I272" s="50">
        <f>0</f>
        <v>0</v>
      </c>
      <c r="J272" s="77">
        <f>+H272-I272</f>
        <v>1</v>
      </c>
      <c r="K272" s="31">
        <v>25000</v>
      </c>
      <c r="L272" s="32" t="s">
        <v>1441</v>
      </c>
      <c r="M272" s="46">
        <v>0.105</v>
      </c>
      <c r="N272" s="64">
        <f t="shared" si="90"/>
        <v>27625</v>
      </c>
      <c r="O272" s="68">
        <f t="shared" si="91"/>
        <v>32500</v>
      </c>
      <c r="P272" s="68">
        <f t="shared" si="92"/>
        <v>33750</v>
      </c>
      <c r="Q272" s="68">
        <f t="shared" si="93"/>
        <v>35000</v>
      </c>
      <c r="R272" s="11">
        <f t="shared" si="94"/>
        <v>36250</v>
      </c>
      <c r="S272" s="11">
        <f t="shared" si="95"/>
        <v>37500</v>
      </c>
      <c r="T272" s="11">
        <f t="shared" si="96"/>
        <v>40000</v>
      </c>
      <c r="U272" s="38">
        <f t="shared" si="81"/>
        <v>37293.75</v>
      </c>
      <c r="V272" s="38">
        <f t="shared" si="82"/>
        <v>38675</v>
      </c>
      <c r="W272" s="38">
        <f t="shared" si="83"/>
        <v>40056.25</v>
      </c>
      <c r="X272" s="38">
        <f t="shared" si="84"/>
        <v>41437.5</v>
      </c>
      <c r="Z272" s="4">
        <f>J272*K272</f>
        <v>25000</v>
      </c>
      <c r="AA272" s="4">
        <f t="shared" si="98"/>
        <v>27625</v>
      </c>
    </row>
    <row r="273" spans="1:27" x14ac:dyDescent="0.3">
      <c r="C273" s="5" t="s">
        <v>995</v>
      </c>
      <c r="D273" s="55" t="s">
        <v>1114</v>
      </c>
      <c r="E273" s="55" t="s">
        <v>924</v>
      </c>
      <c r="F273" s="55" t="s">
        <v>925</v>
      </c>
      <c r="G273" s="56"/>
      <c r="H273" s="49">
        <v>1</v>
      </c>
      <c r="I273" s="50">
        <f>0</f>
        <v>0</v>
      </c>
      <c r="J273" s="77">
        <f>+H273-I273</f>
        <v>1</v>
      </c>
      <c r="K273" s="31">
        <v>25000</v>
      </c>
      <c r="L273" s="32" t="s">
        <v>1441</v>
      </c>
      <c r="M273" s="46">
        <v>0.105</v>
      </c>
      <c r="N273" s="64">
        <f t="shared" si="90"/>
        <v>27625</v>
      </c>
      <c r="O273" s="68">
        <f t="shared" si="91"/>
        <v>32500</v>
      </c>
      <c r="P273" s="68">
        <f t="shared" si="92"/>
        <v>33750</v>
      </c>
      <c r="Q273" s="68">
        <f t="shared" si="93"/>
        <v>35000</v>
      </c>
      <c r="R273" s="11">
        <f t="shared" si="94"/>
        <v>36250</v>
      </c>
      <c r="S273" s="11">
        <f t="shared" si="95"/>
        <v>37500</v>
      </c>
      <c r="T273" s="11">
        <f t="shared" si="96"/>
        <v>40000</v>
      </c>
      <c r="U273" s="38">
        <f t="shared" si="81"/>
        <v>37293.75</v>
      </c>
      <c r="V273" s="38">
        <f t="shared" si="82"/>
        <v>38675</v>
      </c>
      <c r="W273" s="38">
        <f t="shared" si="83"/>
        <v>40056.25</v>
      </c>
      <c r="X273" s="38">
        <f t="shared" si="84"/>
        <v>41437.5</v>
      </c>
      <c r="Z273" s="4">
        <f>J273*K273</f>
        <v>25000</v>
      </c>
      <c r="AA273" s="4">
        <f t="shared" si="98"/>
        <v>27625</v>
      </c>
    </row>
    <row r="274" spans="1:27" x14ac:dyDescent="0.3">
      <c r="C274" s="3" t="s">
        <v>263</v>
      </c>
      <c r="D274" s="55" t="s">
        <v>1271</v>
      </c>
      <c r="E274" s="55" t="s">
        <v>362</v>
      </c>
      <c r="F274" s="55" t="s">
        <v>232</v>
      </c>
      <c r="G274" s="56">
        <v>50</v>
      </c>
      <c r="H274" s="49">
        <f>200+100+50+100+100</f>
        <v>550</v>
      </c>
      <c r="I274" s="50">
        <f>100+100+20+10+20+25+20+50+5+10+30+20+20+20+1+20+30+5+5+3</f>
        <v>514</v>
      </c>
      <c r="J274" s="77">
        <f>+H274-I274</f>
        <v>36</v>
      </c>
      <c r="K274" s="31">
        <v>45</v>
      </c>
      <c r="L274" s="32">
        <v>44145</v>
      </c>
      <c r="M274" s="33">
        <v>0.21</v>
      </c>
      <c r="N274" s="64">
        <f t="shared" si="73"/>
        <v>54.449999999999996</v>
      </c>
      <c r="O274" s="68">
        <f t="shared" ref="O274:O304" si="99">ROUND(K274*(1+$O$3),2)</f>
        <v>58.5</v>
      </c>
      <c r="P274" s="68">
        <f t="shared" si="74"/>
        <v>60.75</v>
      </c>
      <c r="Q274" s="68">
        <f t="shared" si="75"/>
        <v>63</v>
      </c>
      <c r="R274" s="11">
        <f t="shared" si="76"/>
        <v>65.25</v>
      </c>
      <c r="S274" s="11">
        <f t="shared" ref="S274:S301" si="100">ROUND(K274*(1+$S$3),2)</f>
        <v>67.5</v>
      </c>
      <c r="T274" s="11">
        <f t="shared" si="77"/>
        <v>72</v>
      </c>
      <c r="U274" s="38">
        <f t="shared" si="81"/>
        <v>73.510000000000005</v>
      </c>
      <c r="V274" s="38">
        <f t="shared" si="82"/>
        <v>76.23</v>
      </c>
      <c r="W274" s="38">
        <f t="shared" si="83"/>
        <v>78.95</v>
      </c>
      <c r="X274" s="38">
        <f t="shared" si="84"/>
        <v>81.680000000000007</v>
      </c>
      <c r="Z274" s="4">
        <f t="shared" si="78"/>
        <v>1620</v>
      </c>
      <c r="AA274" s="4">
        <f t="shared" si="79"/>
        <v>1960.1999999999998</v>
      </c>
    </row>
    <row r="275" spans="1:27" x14ac:dyDescent="0.3">
      <c r="C275" s="3" t="s">
        <v>1438</v>
      </c>
      <c r="D275" s="55"/>
      <c r="E275" s="55"/>
      <c r="F275" s="55" t="s">
        <v>1439</v>
      </c>
      <c r="G275" s="56">
        <v>50</v>
      </c>
      <c r="H275" s="49">
        <f>10+20</f>
        <v>30</v>
      </c>
      <c r="I275" s="50">
        <f>3+1+1+5+20</f>
        <v>30</v>
      </c>
      <c r="J275" s="77">
        <f>+H275-I275</f>
        <v>0</v>
      </c>
      <c r="K275" s="31">
        <v>12</v>
      </c>
      <c r="L275" s="32">
        <v>43965</v>
      </c>
      <c r="M275" s="33">
        <v>0.21</v>
      </c>
      <c r="N275" s="64">
        <f t="shared" si="73"/>
        <v>14.52</v>
      </c>
      <c r="O275" s="68">
        <f t="shared" si="99"/>
        <v>15.6</v>
      </c>
      <c r="P275" s="68">
        <f t="shared" si="74"/>
        <v>16.2</v>
      </c>
      <c r="Q275" s="68">
        <f t="shared" si="75"/>
        <v>16.8</v>
      </c>
      <c r="R275" s="11">
        <f t="shared" si="76"/>
        <v>17.399999999999999</v>
      </c>
      <c r="S275" s="11">
        <f t="shared" si="100"/>
        <v>18</v>
      </c>
      <c r="T275" s="11">
        <f t="shared" si="77"/>
        <v>19.2</v>
      </c>
      <c r="U275" s="38">
        <f t="shared" si="81"/>
        <v>19.600000000000001</v>
      </c>
      <c r="V275" s="38">
        <f t="shared" si="82"/>
        <v>20.329999999999998</v>
      </c>
      <c r="W275" s="38">
        <f t="shared" si="83"/>
        <v>21.05</v>
      </c>
      <c r="X275" s="38">
        <f t="shared" si="84"/>
        <v>21.78</v>
      </c>
      <c r="Z275" s="4">
        <f t="shared" si="78"/>
        <v>0</v>
      </c>
      <c r="AA275" s="4">
        <f t="shared" si="79"/>
        <v>0</v>
      </c>
    </row>
    <row r="276" spans="1:27" x14ac:dyDescent="0.3">
      <c r="A276" s="135"/>
      <c r="B276" s="125"/>
      <c r="C276" s="3" t="s">
        <v>264</v>
      </c>
      <c r="D276" s="55" t="s">
        <v>1106</v>
      </c>
      <c r="E276" s="55" t="s">
        <v>70</v>
      </c>
      <c r="F276" s="55" t="s">
        <v>730</v>
      </c>
      <c r="G276" s="56">
        <v>5</v>
      </c>
      <c r="H276" s="49">
        <f>10+10+20+10+3+10+5</f>
        <v>68</v>
      </c>
      <c r="I276" s="50">
        <f>25+1+2+1+2+6+1+10+1+1+2+3+1+5+1+1+1+2+2</f>
        <v>68</v>
      </c>
      <c r="J276" s="77">
        <f>+H276-I276</f>
        <v>0</v>
      </c>
      <c r="K276" s="31">
        <v>449.4</v>
      </c>
      <c r="L276" s="32">
        <v>44146</v>
      </c>
      <c r="M276" s="33">
        <v>0.21</v>
      </c>
      <c r="N276" s="64">
        <f t="shared" ref="N276:N341" si="101">+K276*(1+M276)</f>
        <v>543.774</v>
      </c>
      <c r="O276" s="68">
        <f t="shared" si="99"/>
        <v>584.22</v>
      </c>
      <c r="P276" s="68">
        <f t="shared" ref="P276:P309" si="102">ROUND(K276*(1+$P$3),2)</f>
        <v>606.69000000000005</v>
      </c>
      <c r="Q276" s="68">
        <f t="shared" ref="Q276:Q309" si="103">ROUND(K276*(1+$Q$3),2)</f>
        <v>629.16</v>
      </c>
      <c r="R276" s="11">
        <f t="shared" ref="R276:R309" si="104">ROUND(K276*(1+$R$3),2)</f>
        <v>651.63</v>
      </c>
      <c r="S276" s="11">
        <f t="shared" si="100"/>
        <v>674.1</v>
      </c>
      <c r="T276" s="11">
        <f t="shared" ref="T276:T309" si="105">ROUND(K276*(1+$T$3),2)</f>
        <v>719.04</v>
      </c>
      <c r="U276" s="38">
        <f t="shared" si="81"/>
        <v>734.09</v>
      </c>
      <c r="V276" s="38">
        <f t="shared" si="82"/>
        <v>761.28</v>
      </c>
      <c r="W276" s="38">
        <f t="shared" si="83"/>
        <v>788.47</v>
      </c>
      <c r="X276" s="38">
        <f t="shared" si="84"/>
        <v>815.66</v>
      </c>
      <c r="Z276" s="4">
        <f t="shared" ref="Z276:Z309" si="106">J276*K276</f>
        <v>0</v>
      </c>
      <c r="AA276" s="4">
        <f t="shared" ref="AA276:AA309" si="107">J276*N276</f>
        <v>0</v>
      </c>
    </row>
    <row r="277" spans="1:27" x14ac:dyDescent="0.3">
      <c r="B277" s="125"/>
      <c r="C277" s="3" t="s">
        <v>1207</v>
      </c>
      <c r="D277" s="55" t="s">
        <v>1324</v>
      </c>
      <c r="E277" s="55" t="s">
        <v>732</v>
      </c>
      <c r="F277" s="55" t="s">
        <v>730</v>
      </c>
      <c r="G277" s="56">
        <v>0</v>
      </c>
      <c r="H277" s="49">
        <f>8</f>
        <v>8</v>
      </c>
      <c r="I277" s="50">
        <f>0</f>
        <v>0</v>
      </c>
      <c r="J277" s="77">
        <f>+H277-I277</f>
        <v>8</v>
      </c>
      <c r="K277" s="31">
        <v>675</v>
      </c>
      <c r="L277" s="32">
        <v>44146</v>
      </c>
      <c r="M277" s="33">
        <v>0.21</v>
      </c>
      <c r="N277" s="64">
        <f t="shared" si="101"/>
        <v>816.75</v>
      </c>
      <c r="O277" s="68">
        <f t="shared" si="99"/>
        <v>877.5</v>
      </c>
      <c r="P277" s="68">
        <f t="shared" si="102"/>
        <v>911.25</v>
      </c>
      <c r="Q277" s="68">
        <f t="shared" si="103"/>
        <v>945</v>
      </c>
      <c r="R277" s="11">
        <f t="shared" si="104"/>
        <v>978.75</v>
      </c>
      <c r="S277" s="11"/>
      <c r="T277" s="11">
        <f t="shared" si="105"/>
        <v>1080</v>
      </c>
      <c r="U277" s="38">
        <f t="shared" si="81"/>
        <v>1102.6099999999999</v>
      </c>
      <c r="V277" s="38">
        <f t="shared" si="82"/>
        <v>1143.45</v>
      </c>
      <c r="W277" s="38">
        <f t="shared" si="83"/>
        <v>1184.29</v>
      </c>
      <c r="X277" s="38">
        <f t="shared" si="84"/>
        <v>1225.1300000000001</v>
      </c>
      <c r="Z277" s="4">
        <f t="shared" si="106"/>
        <v>5400</v>
      </c>
      <c r="AA277" s="4">
        <f t="shared" si="107"/>
        <v>6534</v>
      </c>
    </row>
    <row r="278" spans="1:27" x14ac:dyDescent="0.3">
      <c r="A278" s="135"/>
      <c r="B278" s="125"/>
      <c r="C278" s="3" t="s">
        <v>786</v>
      </c>
      <c r="D278" s="55" t="s">
        <v>784</v>
      </c>
      <c r="E278" s="55" t="s">
        <v>785</v>
      </c>
      <c r="F278" s="55" t="s">
        <v>785</v>
      </c>
      <c r="G278" s="56">
        <v>0</v>
      </c>
      <c r="H278" s="49">
        <v>20</v>
      </c>
      <c r="I278" s="50">
        <v>16</v>
      </c>
      <c r="J278" s="77">
        <f>+H278-I278</f>
        <v>4</v>
      </c>
      <c r="K278" s="31">
        <v>220</v>
      </c>
      <c r="L278" s="32">
        <v>43848</v>
      </c>
      <c r="M278" s="33">
        <v>0.21</v>
      </c>
      <c r="N278" s="64">
        <f t="shared" si="101"/>
        <v>266.2</v>
      </c>
      <c r="O278" s="68">
        <f t="shared" si="99"/>
        <v>286</v>
      </c>
      <c r="P278" s="68">
        <f t="shared" si="102"/>
        <v>297</v>
      </c>
      <c r="Q278" s="68">
        <f t="shared" si="103"/>
        <v>308</v>
      </c>
      <c r="R278" s="11">
        <f t="shared" si="104"/>
        <v>319</v>
      </c>
      <c r="S278" s="11"/>
      <c r="T278" s="11">
        <f t="shared" si="105"/>
        <v>352</v>
      </c>
      <c r="U278" s="38">
        <f t="shared" si="81"/>
        <v>359.37</v>
      </c>
      <c r="V278" s="38">
        <f t="shared" si="82"/>
        <v>372.68</v>
      </c>
      <c r="W278" s="38">
        <f t="shared" si="83"/>
        <v>385.99</v>
      </c>
      <c r="X278" s="38">
        <f t="shared" si="84"/>
        <v>399.3</v>
      </c>
      <c r="Z278" s="4">
        <f t="shared" si="106"/>
        <v>880</v>
      </c>
      <c r="AA278" s="4">
        <f t="shared" si="107"/>
        <v>1064.8</v>
      </c>
    </row>
    <row r="279" spans="1:27" x14ac:dyDescent="0.3">
      <c r="B279" s="125"/>
      <c r="C279" s="3" t="s">
        <v>1134</v>
      </c>
      <c r="D279" s="55"/>
      <c r="E279" s="55" t="s">
        <v>101</v>
      </c>
      <c r="F279" s="55" t="s">
        <v>959</v>
      </c>
      <c r="G279" s="56">
        <v>0</v>
      </c>
      <c r="H279" s="49">
        <v>1</v>
      </c>
      <c r="I279" s="50">
        <v>1</v>
      </c>
      <c r="J279" s="77">
        <f>+H279-I279</f>
        <v>0</v>
      </c>
      <c r="K279" s="31">
        <v>128.1</v>
      </c>
      <c r="L279" s="32">
        <v>42990</v>
      </c>
      <c r="M279" s="33">
        <v>0.21</v>
      </c>
      <c r="N279" s="64">
        <f t="shared" si="101"/>
        <v>155.00099999999998</v>
      </c>
      <c r="O279" s="68">
        <f t="shared" si="99"/>
        <v>166.53</v>
      </c>
      <c r="P279" s="68">
        <f t="shared" si="102"/>
        <v>172.94</v>
      </c>
      <c r="Q279" s="68">
        <f t="shared" si="103"/>
        <v>179.34</v>
      </c>
      <c r="R279" s="11">
        <f t="shared" si="104"/>
        <v>185.75</v>
      </c>
      <c r="S279" s="11"/>
      <c r="T279" s="11">
        <f t="shared" si="105"/>
        <v>204.96</v>
      </c>
      <c r="U279" s="38">
        <f t="shared" si="81"/>
        <v>209.25</v>
      </c>
      <c r="V279" s="38">
        <f t="shared" si="82"/>
        <v>217</v>
      </c>
      <c r="W279" s="38">
        <f t="shared" si="83"/>
        <v>224.75</v>
      </c>
      <c r="X279" s="38">
        <f t="shared" si="84"/>
        <v>232.5</v>
      </c>
      <c r="Z279" s="4">
        <f t="shared" si="106"/>
        <v>0</v>
      </c>
      <c r="AA279" s="4">
        <f t="shared" si="107"/>
        <v>0</v>
      </c>
    </row>
    <row r="280" spans="1:27" x14ac:dyDescent="0.3">
      <c r="B280" s="125"/>
      <c r="C280" s="3" t="s">
        <v>1248</v>
      </c>
      <c r="D280" s="55"/>
      <c r="E280" s="55" t="s">
        <v>362</v>
      </c>
      <c r="F280" s="55"/>
      <c r="G280" s="56">
        <v>0</v>
      </c>
      <c r="H280" s="49">
        <f>10+100+20</f>
        <v>130</v>
      </c>
      <c r="I280" s="50">
        <f>6+100+4+8+2</f>
        <v>120</v>
      </c>
      <c r="J280" s="77">
        <f>+H280-I280</f>
        <v>10</v>
      </c>
      <c r="K280" s="31">
        <v>46.36</v>
      </c>
      <c r="L280" s="32">
        <v>44056</v>
      </c>
      <c r="M280" s="33">
        <v>0.21</v>
      </c>
      <c r="N280" s="64">
        <f t="shared" si="101"/>
        <v>56.095599999999997</v>
      </c>
      <c r="O280" s="68">
        <f t="shared" si="99"/>
        <v>60.27</v>
      </c>
      <c r="P280" s="68">
        <f t="shared" si="102"/>
        <v>62.59</v>
      </c>
      <c r="Q280" s="68">
        <f t="shared" si="103"/>
        <v>64.900000000000006</v>
      </c>
      <c r="R280" s="11">
        <f t="shared" si="104"/>
        <v>67.22</v>
      </c>
      <c r="S280" s="11"/>
      <c r="T280" s="11">
        <f t="shared" si="105"/>
        <v>74.180000000000007</v>
      </c>
      <c r="U280" s="38">
        <f t="shared" si="81"/>
        <v>75.73</v>
      </c>
      <c r="V280" s="38">
        <f t="shared" si="82"/>
        <v>78.53</v>
      </c>
      <c r="W280" s="38">
        <f t="shared" si="83"/>
        <v>81.34</v>
      </c>
      <c r="X280" s="38">
        <f t="shared" si="84"/>
        <v>84.14</v>
      </c>
      <c r="Z280" s="4">
        <f t="shared" si="106"/>
        <v>463.6</v>
      </c>
      <c r="AA280" s="4">
        <f t="shared" si="107"/>
        <v>560.95600000000002</v>
      </c>
    </row>
    <row r="281" spans="1:27" x14ac:dyDescent="0.3">
      <c r="A281" s="135"/>
      <c r="B281" s="125"/>
      <c r="C281" s="5" t="s">
        <v>993</v>
      </c>
      <c r="D281" s="55" t="s">
        <v>833</v>
      </c>
      <c r="E281" s="55" t="s">
        <v>710</v>
      </c>
      <c r="F281" s="55" t="s">
        <v>265</v>
      </c>
      <c r="G281" s="56">
        <v>50</v>
      </c>
      <c r="H281" s="49">
        <f>103+200+200+100+5+160+200+160+200+140+72+53</f>
        <v>1593</v>
      </c>
      <c r="I281" s="50">
        <f>14+8+6+12+10+100+80+4+4+20+8+2+3+32+100+80+3+37+5+80+30+80+80+4+80+10+152+5+65+4+4+10+3+10+6+2+100+10+15+50+2+50+20+1+12+24+8+3+12+24+12+12+25+2+33+10+12+2+1</f>
        <v>1593</v>
      </c>
      <c r="J281" s="77">
        <f>+H281-I281</f>
        <v>0</v>
      </c>
      <c r="K281" s="31">
        <v>80</v>
      </c>
      <c r="L281" s="32">
        <v>44200</v>
      </c>
      <c r="M281" s="33">
        <v>0.21</v>
      </c>
      <c r="N281" s="64">
        <f>+K281*(1+M281)</f>
        <v>96.8</v>
      </c>
      <c r="O281" s="68">
        <f>ROUND(K281*(1+$O$3),2)</f>
        <v>104</v>
      </c>
      <c r="P281" s="68">
        <f>ROUND(K281*(1+$P$3),2)</f>
        <v>108</v>
      </c>
      <c r="Q281" s="68">
        <f>ROUND(K281*(1+$Q$3),2)</f>
        <v>112</v>
      </c>
      <c r="R281" s="11">
        <f>ROUND(K281*(1+$R$3),2)</f>
        <v>116</v>
      </c>
      <c r="S281" s="11">
        <f>ROUND(K281*(1+$S$3),2)</f>
        <v>120</v>
      </c>
      <c r="T281" s="11">
        <f>ROUND(K281*(1+$T$3),2)</f>
        <v>128</v>
      </c>
      <c r="U281" s="38"/>
      <c r="V281" s="38"/>
      <c r="W281" s="38"/>
      <c r="X281" s="38"/>
      <c r="Z281" s="4">
        <f t="shared" si="106"/>
        <v>0</v>
      </c>
      <c r="AA281" s="4">
        <f t="shared" si="107"/>
        <v>0</v>
      </c>
    </row>
    <row r="282" spans="1:27" x14ac:dyDescent="0.3">
      <c r="B282" s="125"/>
      <c r="C282" s="5" t="s">
        <v>1198</v>
      </c>
      <c r="D282" s="55"/>
      <c r="E282" s="55" t="s">
        <v>710</v>
      </c>
      <c r="F282" s="55" t="s">
        <v>265</v>
      </c>
      <c r="G282" s="56">
        <v>50</v>
      </c>
      <c r="H282" s="49">
        <f>200+100+150+200+100+160+100+60+15+60</f>
        <v>1145</v>
      </c>
      <c r="I282" s="50">
        <f>20+110+25+20+4+24+60+80+10+84+66+5+50+4+70+30+5+1+70+12+3+50+5+100+1+41+3+1+6+4+4+60+12+30+1+2+6+60+2</f>
        <v>1141</v>
      </c>
      <c r="J282" s="77">
        <f>+H282-I282</f>
        <v>4</v>
      </c>
      <c r="K282" s="31">
        <v>67.16</v>
      </c>
      <c r="L282" s="32">
        <v>44033</v>
      </c>
      <c r="M282" s="33">
        <v>0.21</v>
      </c>
      <c r="N282" s="64">
        <f t="shared" si="101"/>
        <v>81.263599999999997</v>
      </c>
      <c r="O282" s="68">
        <f t="shared" si="99"/>
        <v>87.31</v>
      </c>
      <c r="P282" s="68">
        <f t="shared" si="102"/>
        <v>90.67</v>
      </c>
      <c r="Q282" s="68">
        <f t="shared" si="103"/>
        <v>94.02</v>
      </c>
      <c r="R282" s="11">
        <f t="shared" si="104"/>
        <v>97.38</v>
      </c>
      <c r="S282" s="11">
        <f t="shared" si="100"/>
        <v>100.74</v>
      </c>
      <c r="T282" s="11">
        <f t="shared" si="105"/>
        <v>107.46</v>
      </c>
      <c r="U282" s="38">
        <f t="shared" ref="U282:U352" si="108">ROUND((N282*(1+$U$3)),2)</f>
        <v>109.71</v>
      </c>
      <c r="V282" s="38">
        <f t="shared" ref="V282:V352" si="109">ROUND((N282*(1+$V$3)),2)</f>
        <v>113.77</v>
      </c>
      <c r="W282" s="38">
        <f t="shared" ref="W282:W352" si="110">ROUND((N282*(1+$W$3)),2)</f>
        <v>117.83</v>
      </c>
      <c r="X282" s="38">
        <f t="shared" si="84"/>
        <v>121.9</v>
      </c>
      <c r="Z282" s="4">
        <f t="shared" si="106"/>
        <v>268.64</v>
      </c>
      <c r="AA282" s="4">
        <f t="shared" si="107"/>
        <v>325.05439999999999</v>
      </c>
    </row>
    <row r="283" spans="1:27" x14ac:dyDescent="0.3">
      <c r="A283" s="135"/>
      <c r="B283" s="125"/>
      <c r="C283" s="3" t="s">
        <v>556</v>
      </c>
      <c r="D283" s="55" t="s">
        <v>558</v>
      </c>
      <c r="E283" s="55" t="s">
        <v>70</v>
      </c>
      <c r="F283" s="55" t="s">
        <v>557</v>
      </c>
      <c r="G283" s="56">
        <v>0</v>
      </c>
      <c r="H283" s="49">
        <f>1+1</f>
        <v>2</v>
      </c>
      <c r="I283" s="50">
        <v>2</v>
      </c>
      <c r="J283" s="77">
        <f>+H283-I283</f>
        <v>0</v>
      </c>
      <c r="K283" s="31">
        <v>8856</v>
      </c>
      <c r="L283" s="32">
        <v>44044</v>
      </c>
      <c r="M283" s="46">
        <v>0.105</v>
      </c>
      <c r="N283" s="64">
        <f t="shared" si="101"/>
        <v>9785.8799999999992</v>
      </c>
      <c r="O283" s="68">
        <f t="shared" si="99"/>
        <v>11512.8</v>
      </c>
      <c r="P283" s="68">
        <f t="shared" si="102"/>
        <v>11955.6</v>
      </c>
      <c r="Q283" s="68">
        <f t="shared" si="103"/>
        <v>12398.4</v>
      </c>
      <c r="R283" s="11">
        <f t="shared" si="104"/>
        <v>12841.2</v>
      </c>
      <c r="S283" s="11">
        <f t="shared" si="100"/>
        <v>13284</v>
      </c>
      <c r="T283" s="11">
        <f t="shared" si="105"/>
        <v>14169.6</v>
      </c>
      <c r="U283" s="38">
        <f t="shared" si="108"/>
        <v>13210.94</v>
      </c>
      <c r="V283" s="38">
        <f t="shared" si="109"/>
        <v>13700.23</v>
      </c>
      <c r="W283" s="38">
        <f t="shared" si="110"/>
        <v>14189.53</v>
      </c>
      <c r="X283" s="38">
        <f t="shared" ref="X283:X352" si="111">ROUND((N283*(1+$X$3)),2)</f>
        <v>14678.82</v>
      </c>
      <c r="Z283" s="4">
        <f t="shared" si="106"/>
        <v>0</v>
      </c>
      <c r="AA283" s="4">
        <f t="shared" si="107"/>
        <v>0</v>
      </c>
    </row>
    <row r="284" spans="1:27" x14ac:dyDescent="0.3">
      <c r="A284" s="135"/>
      <c r="B284" s="125"/>
      <c r="C284" s="3" t="s">
        <v>397</v>
      </c>
      <c r="D284" s="55"/>
      <c r="E284" s="55" t="s">
        <v>33</v>
      </c>
      <c r="F284" s="55" t="s">
        <v>363</v>
      </c>
      <c r="G284" s="56">
        <v>0</v>
      </c>
      <c r="H284" s="49">
        <f>4</f>
        <v>4</v>
      </c>
      <c r="I284" s="50">
        <f>0</f>
        <v>0</v>
      </c>
      <c r="J284" s="77">
        <f>+H284-I284</f>
        <v>4</v>
      </c>
      <c r="K284" s="31">
        <v>70.611570247933884</v>
      </c>
      <c r="L284" s="32" t="s">
        <v>33</v>
      </c>
      <c r="M284" s="33">
        <v>0.21</v>
      </c>
      <c r="N284" s="64">
        <f t="shared" si="101"/>
        <v>85.44</v>
      </c>
      <c r="O284" s="68">
        <f t="shared" si="99"/>
        <v>91.8</v>
      </c>
      <c r="P284" s="68">
        <f t="shared" si="102"/>
        <v>95.33</v>
      </c>
      <c r="Q284" s="68">
        <f t="shared" si="103"/>
        <v>98.86</v>
      </c>
      <c r="R284" s="11">
        <f t="shared" si="104"/>
        <v>102.39</v>
      </c>
      <c r="S284" s="11">
        <f t="shared" si="100"/>
        <v>105.92</v>
      </c>
      <c r="T284" s="11">
        <f t="shared" si="105"/>
        <v>112.98</v>
      </c>
      <c r="U284" s="38">
        <f t="shared" si="108"/>
        <v>115.34</v>
      </c>
      <c r="V284" s="38">
        <f t="shared" si="109"/>
        <v>119.62</v>
      </c>
      <c r="W284" s="38">
        <f t="shared" si="110"/>
        <v>123.89</v>
      </c>
      <c r="X284" s="38">
        <f t="shared" si="111"/>
        <v>128.16</v>
      </c>
      <c r="Z284" s="4">
        <f t="shared" si="106"/>
        <v>282.44628099173553</v>
      </c>
      <c r="AA284" s="4">
        <f t="shared" si="107"/>
        <v>341.76</v>
      </c>
    </row>
    <row r="285" spans="1:27" x14ac:dyDescent="0.3">
      <c r="A285" s="135"/>
      <c r="B285" s="125"/>
      <c r="C285" s="3" t="s">
        <v>1249</v>
      </c>
      <c r="D285" s="55" t="s">
        <v>1463</v>
      </c>
      <c r="E285" s="55" t="s">
        <v>362</v>
      </c>
      <c r="F285" s="55" t="s">
        <v>322</v>
      </c>
      <c r="G285" s="56">
        <v>0</v>
      </c>
      <c r="H285" s="49">
        <v>2</v>
      </c>
      <c r="I285" s="50">
        <f>2</f>
        <v>2</v>
      </c>
      <c r="J285" s="77">
        <f>+H285-I285</f>
        <v>0</v>
      </c>
      <c r="K285" s="31">
        <v>563.54999999999995</v>
      </c>
      <c r="L285" s="32">
        <v>44208</v>
      </c>
      <c r="M285" s="33">
        <v>0.21</v>
      </c>
      <c r="N285" s="64">
        <f t="shared" si="101"/>
        <v>681.89549999999997</v>
      </c>
      <c r="O285" s="68">
        <f t="shared" si="99"/>
        <v>732.62</v>
      </c>
      <c r="P285" s="68">
        <f t="shared" si="102"/>
        <v>760.79</v>
      </c>
      <c r="Q285" s="68">
        <f t="shared" si="103"/>
        <v>788.97</v>
      </c>
      <c r="R285" s="11">
        <f t="shared" si="104"/>
        <v>817.15</v>
      </c>
      <c r="S285" s="11">
        <f t="shared" si="100"/>
        <v>845.33</v>
      </c>
      <c r="T285" s="11">
        <f t="shared" si="105"/>
        <v>901.68</v>
      </c>
      <c r="U285" s="38">
        <f t="shared" si="108"/>
        <v>920.56</v>
      </c>
      <c r="V285" s="38">
        <f t="shared" si="109"/>
        <v>954.65</v>
      </c>
      <c r="W285" s="38">
        <f t="shared" si="110"/>
        <v>988.75</v>
      </c>
      <c r="X285" s="38">
        <f t="shared" si="111"/>
        <v>1022.84</v>
      </c>
      <c r="Z285" s="4">
        <f t="shared" si="106"/>
        <v>0</v>
      </c>
      <c r="AA285" s="4">
        <f t="shared" si="107"/>
        <v>0</v>
      </c>
    </row>
    <row r="286" spans="1:27" x14ac:dyDescent="0.3">
      <c r="A286" s="135"/>
      <c r="B286" s="125"/>
      <c r="C286" s="3" t="s">
        <v>434</v>
      </c>
      <c r="D286" s="91" t="s">
        <v>496</v>
      </c>
      <c r="E286" s="55" t="s">
        <v>362</v>
      </c>
      <c r="F286" s="55" t="s">
        <v>322</v>
      </c>
      <c r="G286" s="56">
        <v>5</v>
      </c>
      <c r="H286" s="49">
        <f>18+10+3+3</f>
        <v>34</v>
      </c>
      <c r="I286" s="50">
        <f>1+2+2+3+7+2+1+8+2+3+2+1</f>
        <v>34</v>
      </c>
      <c r="J286" s="77">
        <f>+H286-I286</f>
        <v>0</v>
      </c>
      <c r="K286" s="31">
        <v>563.54999999999995</v>
      </c>
      <c r="L286" s="32">
        <v>44208</v>
      </c>
      <c r="M286" s="33">
        <v>0.21</v>
      </c>
      <c r="N286" s="64">
        <f t="shared" si="101"/>
        <v>681.89549999999997</v>
      </c>
      <c r="O286" s="68">
        <f t="shared" si="99"/>
        <v>732.62</v>
      </c>
      <c r="P286" s="68">
        <f t="shared" si="102"/>
        <v>760.79</v>
      </c>
      <c r="Q286" s="68">
        <f t="shared" si="103"/>
        <v>788.97</v>
      </c>
      <c r="R286" s="11">
        <f t="shared" si="104"/>
        <v>817.15</v>
      </c>
      <c r="S286" s="11">
        <f t="shared" si="100"/>
        <v>845.33</v>
      </c>
      <c r="T286" s="11">
        <f t="shared" si="105"/>
        <v>901.68</v>
      </c>
      <c r="U286" s="38">
        <f t="shared" si="108"/>
        <v>920.56</v>
      </c>
      <c r="V286" s="38">
        <f t="shared" si="109"/>
        <v>954.65</v>
      </c>
      <c r="W286" s="38">
        <f t="shared" si="110"/>
        <v>988.75</v>
      </c>
      <c r="X286" s="38">
        <f t="shared" si="111"/>
        <v>1022.84</v>
      </c>
      <c r="Z286" s="4">
        <f t="shared" si="106"/>
        <v>0</v>
      </c>
      <c r="AA286" s="4">
        <f t="shared" si="107"/>
        <v>0</v>
      </c>
    </row>
    <row r="287" spans="1:27" x14ac:dyDescent="0.3">
      <c r="A287" s="135"/>
      <c r="B287" s="125"/>
      <c r="C287" s="3" t="s">
        <v>1159</v>
      </c>
      <c r="D287" s="91" t="s">
        <v>1160</v>
      </c>
      <c r="E287" s="55" t="s">
        <v>362</v>
      </c>
      <c r="F287" s="55" t="s">
        <v>322</v>
      </c>
      <c r="G287" s="56">
        <v>5</v>
      </c>
      <c r="H287" s="49">
        <f>3+3+6+10+4</f>
        <v>26</v>
      </c>
      <c r="I287" s="50">
        <f>1+1+1+3+1+2+1+1+1+6+4+4</f>
        <v>26</v>
      </c>
      <c r="J287" s="77">
        <f>+H287-I287</f>
        <v>0</v>
      </c>
      <c r="K287" s="31">
        <v>563.54999999999995</v>
      </c>
      <c r="L287" s="32">
        <v>44239</v>
      </c>
      <c r="M287" s="33">
        <v>0.21</v>
      </c>
      <c r="N287" s="64">
        <f t="shared" si="101"/>
        <v>681.89549999999997</v>
      </c>
      <c r="O287" s="68">
        <f t="shared" si="99"/>
        <v>732.62</v>
      </c>
      <c r="P287" s="68">
        <f t="shared" si="102"/>
        <v>760.79</v>
      </c>
      <c r="Q287" s="68">
        <f t="shared" si="103"/>
        <v>788.97</v>
      </c>
      <c r="R287" s="11">
        <f t="shared" si="104"/>
        <v>817.15</v>
      </c>
      <c r="S287" s="11">
        <f t="shared" si="100"/>
        <v>845.33</v>
      </c>
      <c r="T287" s="11">
        <f t="shared" si="105"/>
        <v>901.68</v>
      </c>
      <c r="U287" s="38">
        <f t="shared" si="108"/>
        <v>920.56</v>
      </c>
      <c r="V287" s="38">
        <f t="shared" si="109"/>
        <v>954.65</v>
      </c>
      <c r="W287" s="38">
        <f t="shared" si="110"/>
        <v>988.75</v>
      </c>
      <c r="X287" s="38">
        <f t="shared" si="111"/>
        <v>1022.84</v>
      </c>
      <c r="Z287" s="4">
        <f t="shared" si="106"/>
        <v>0</v>
      </c>
      <c r="AA287" s="4">
        <f t="shared" si="107"/>
        <v>0</v>
      </c>
    </row>
    <row r="288" spans="1:27" x14ac:dyDescent="0.3">
      <c r="A288" s="135"/>
      <c r="B288" s="125"/>
      <c r="C288" s="3" t="s">
        <v>585</v>
      </c>
      <c r="D288" s="55" t="s">
        <v>616</v>
      </c>
      <c r="E288" s="55" t="s">
        <v>70</v>
      </c>
      <c r="F288" s="55" t="s">
        <v>266</v>
      </c>
      <c r="G288" s="56">
        <v>1000</v>
      </c>
      <c r="H288" s="49">
        <f>200+1000+300+1000+1000+3000+1000+1000</f>
        <v>8500</v>
      </c>
      <c r="I288" s="50">
        <f>100+300+150+150+150+200+150+200+200+150+300+300+150+200+200+50+50+100+200+50+2500+150+50+200+200+200+200+200+200+100+150+250+150</f>
        <v>7900</v>
      </c>
      <c r="J288" s="77">
        <f>+H288-I288</f>
        <v>600</v>
      </c>
      <c r="K288" s="31">
        <v>10.33</v>
      </c>
      <c r="L288" s="32">
        <v>44222</v>
      </c>
      <c r="M288" s="33">
        <v>0.21</v>
      </c>
      <c r="N288" s="64">
        <f t="shared" si="101"/>
        <v>12.4993</v>
      </c>
      <c r="O288" s="68">
        <f t="shared" si="99"/>
        <v>13.43</v>
      </c>
      <c r="P288" s="68">
        <f t="shared" si="102"/>
        <v>13.95</v>
      </c>
      <c r="Q288" s="68">
        <f t="shared" si="103"/>
        <v>14.46</v>
      </c>
      <c r="R288" s="11">
        <f t="shared" si="104"/>
        <v>14.98</v>
      </c>
      <c r="S288" s="11">
        <f t="shared" si="100"/>
        <v>15.5</v>
      </c>
      <c r="T288" s="11">
        <f t="shared" si="105"/>
        <v>16.53</v>
      </c>
      <c r="U288" s="38">
        <f t="shared" si="108"/>
        <v>16.87</v>
      </c>
      <c r="V288" s="38">
        <f t="shared" si="109"/>
        <v>17.5</v>
      </c>
      <c r="W288" s="38">
        <f t="shared" si="110"/>
        <v>18.12</v>
      </c>
      <c r="X288" s="38">
        <f t="shared" si="111"/>
        <v>18.75</v>
      </c>
      <c r="Z288" s="4">
        <f t="shared" si="106"/>
        <v>6198</v>
      </c>
      <c r="AA288" s="4">
        <f t="shared" si="107"/>
        <v>7499.58</v>
      </c>
    </row>
    <row r="289" spans="1:27" x14ac:dyDescent="0.3">
      <c r="A289" s="135"/>
      <c r="B289" s="125"/>
      <c r="C289" s="3" t="s">
        <v>585</v>
      </c>
      <c r="D289" s="55" t="s">
        <v>1376</v>
      </c>
      <c r="E289" s="55" t="s">
        <v>362</v>
      </c>
      <c r="F289" s="55" t="s">
        <v>1388</v>
      </c>
      <c r="G289" s="56">
        <v>1000</v>
      </c>
      <c r="H289" s="49">
        <f>2000+1000+1000+1000+2000+3000+100+1000+1000</f>
        <v>12100</v>
      </c>
      <c r="I289" s="69">
        <f>300+500+500+500+100+300+500+500+100+200+200+900+100+2000+500+200+500+300+100+200+300+400+100+200+300+400+400+100+400+300+300+400</f>
        <v>12100</v>
      </c>
      <c r="J289" s="77">
        <f>+H289-I289</f>
        <v>0</v>
      </c>
      <c r="K289" s="31">
        <v>7.1</v>
      </c>
      <c r="L289" s="32">
        <v>44146</v>
      </c>
      <c r="M289" s="33">
        <v>0.21</v>
      </c>
      <c r="N289" s="64">
        <f t="shared" si="101"/>
        <v>8.5909999999999993</v>
      </c>
      <c r="O289" s="68">
        <f t="shared" si="99"/>
        <v>9.23</v>
      </c>
      <c r="P289" s="68">
        <f t="shared" si="102"/>
        <v>9.59</v>
      </c>
      <c r="Q289" s="68">
        <f t="shared" si="103"/>
        <v>9.94</v>
      </c>
      <c r="R289" s="11">
        <f t="shared" si="104"/>
        <v>10.3</v>
      </c>
      <c r="S289" s="11">
        <f t="shared" si="100"/>
        <v>10.65</v>
      </c>
      <c r="T289" s="11">
        <f t="shared" si="105"/>
        <v>11.36</v>
      </c>
      <c r="U289" s="38">
        <f t="shared" si="108"/>
        <v>11.6</v>
      </c>
      <c r="V289" s="38">
        <f t="shared" si="109"/>
        <v>12.03</v>
      </c>
      <c r="W289" s="38">
        <f t="shared" si="110"/>
        <v>12.46</v>
      </c>
      <c r="X289" s="38">
        <f t="shared" si="111"/>
        <v>12.89</v>
      </c>
      <c r="Z289" s="4">
        <f t="shared" si="106"/>
        <v>0</v>
      </c>
      <c r="AA289" s="4">
        <f t="shared" si="107"/>
        <v>0</v>
      </c>
    </row>
    <row r="290" spans="1:27" x14ac:dyDescent="0.3">
      <c r="A290" s="135"/>
      <c r="B290" s="125"/>
      <c r="C290" s="3" t="s">
        <v>585</v>
      </c>
      <c r="D290" s="55" t="s">
        <v>1436</v>
      </c>
      <c r="E290" s="55" t="s">
        <v>362</v>
      </c>
      <c r="F290" s="55" t="s">
        <v>1364</v>
      </c>
      <c r="G290" s="56">
        <v>3000</v>
      </c>
      <c r="H290" s="49">
        <f>600+1020+1500+1500+300+1500+3000+3000+3000+1500+1500+2000+50+3000+3000+3000+1500+3000+6000+1500+1500+1500+1500+4500</f>
        <v>50470</v>
      </c>
      <c r="I290" s="50">
        <f>17020+510+510+50+300+1000+1030+600+200+510+150+600+600+100+300+600+510+600+250+1050+600+600+900+900+1020+300+160+900+900+950+900+900+450+30+900+150+60+900+900+210+900+600+750+60+900+450+60+1200+20</f>
        <v>44060</v>
      </c>
      <c r="J290" s="77">
        <f>+H290-I290</f>
        <v>6410</v>
      </c>
      <c r="K290" s="31">
        <v>5.75</v>
      </c>
      <c r="L290" s="32">
        <v>44250</v>
      </c>
      <c r="M290" s="33">
        <v>0.21</v>
      </c>
      <c r="N290" s="64">
        <f t="shared" si="101"/>
        <v>6.9574999999999996</v>
      </c>
      <c r="O290" s="68">
        <f t="shared" si="99"/>
        <v>7.48</v>
      </c>
      <c r="P290" s="68">
        <f t="shared" si="102"/>
        <v>7.76</v>
      </c>
      <c r="Q290" s="68">
        <f t="shared" si="103"/>
        <v>8.0500000000000007</v>
      </c>
      <c r="R290" s="11">
        <f t="shared" si="104"/>
        <v>8.34</v>
      </c>
      <c r="S290" s="11">
        <f t="shared" si="100"/>
        <v>8.6300000000000008</v>
      </c>
      <c r="T290" s="11">
        <f t="shared" si="105"/>
        <v>9.1999999999999993</v>
      </c>
      <c r="U290" s="38">
        <f t="shared" si="108"/>
        <v>9.39</v>
      </c>
      <c r="V290" s="38">
        <f t="shared" si="109"/>
        <v>9.74</v>
      </c>
      <c r="W290" s="38">
        <f t="shared" si="110"/>
        <v>10.09</v>
      </c>
      <c r="X290" s="38">
        <f t="shared" si="111"/>
        <v>10.44</v>
      </c>
      <c r="Z290" s="4">
        <f t="shared" si="106"/>
        <v>36857.5</v>
      </c>
      <c r="AA290" s="4">
        <f t="shared" si="107"/>
        <v>44597.574999999997</v>
      </c>
    </row>
    <row r="291" spans="1:27" x14ac:dyDescent="0.3">
      <c r="A291" s="135"/>
      <c r="B291" s="125"/>
      <c r="C291" s="3" t="s">
        <v>1102</v>
      </c>
      <c r="D291" s="55" t="s">
        <v>1522</v>
      </c>
      <c r="E291" s="55" t="s">
        <v>34</v>
      </c>
      <c r="F291" s="55" t="s">
        <v>829</v>
      </c>
      <c r="G291" s="56">
        <v>2</v>
      </c>
      <c r="H291" s="49">
        <f>7+4+1+1+5</f>
        <v>18</v>
      </c>
      <c r="I291" s="50">
        <f>1+1+1+1+1+2+2+1+1+1+2</f>
        <v>14</v>
      </c>
      <c r="J291" s="77">
        <f>+H291-I291</f>
        <v>4</v>
      </c>
      <c r="K291" s="31">
        <v>2850</v>
      </c>
      <c r="L291" s="32">
        <v>44092</v>
      </c>
      <c r="M291" s="33">
        <v>0.21</v>
      </c>
      <c r="N291" s="64">
        <f t="shared" si="101"/>
        <v>3448.5</v>
      </c>
      <c r="O291" s="68">
        <f t="shared" si="99"/>
        <v>3705</v>
      </c>
      <c r="P291" s="68">
        <f t="shared" si="102"/>
        <v>3847.5</v>
      </c>
      <c r="Q291" s="68">
        <f t="shared" si="103"/>
        <v>3990</v>
      </c>
      <c r="R291" s="11">
        <f t="shared" si="104"/>
        <v>4132.5</v>
      </c>
      <c r="S291" s="11">
        <f t="shared" si="100"/>
        <v>4275</v>
      </c>
      <c r="T291" s="11">
        <f t="shared" si="105"/>
        <v>4560</v>
      </c>
      <c r="U291" s="38">
        <f t="shared" si="108"/>
        <v>4655.4799999999996</v>
      </c>
      <c r="V291" s="38">
        <f t="shared" si="109"/>
        <v>4827.8999999999996</v>
      </c>
      <c r="W291" s="38">
        <f t="shared" si="110"/>
        <v>5000.33</v>
      </c>
      <c r="X291" s="38">
        <f t="shared" si="111"/>
        <v>5172.75</v>
      </c>
      <c r="Z291" s="4">
        <f t="shared" si="106"/>
        <v>11400</v>
      </c>
      <c r="AA291" s="4">
        <f t="shared" si="107"/>
        <v>13794</v>
      </c>
    </row>
    <row r="292" spans="1:27" x14ac:dyDescent="0.3">
      <c r="A292" s="135"/>
      <c r="B292" s="125"/>
      <c r="C292" s="3" t="s">
        <v>1182</v>
      </c>
      <c r="D292" s="55"/>
      <c r="E292" s="55" t="s">
        <v>829</v>
      </c>
      <c r="F292" s="55"/>
      <c r="G292" s="56">
        <v>2</v>
      </c>
      <c r="H292" s="49">
        <v>2</v>
      </c>
      <c r="I292" s="50">
        <v>2</v>
      </c>
      <c r="J292" s="77">
        <f>+H292-I292</f>
        <v>0</v>
      </c>
      <c r="K292" s="31">
        <v>2340</v>
      </c>
      <c r="L292" s="32">
        <v>43966</v>
      </c>
      <c r="M292" s="33">
        <v>0.21</v>
      </c>
      <c r="N292" s="64">
        <f t="shared" si="101"/>
        <v>2831.4</v>
      </c>
      <c r="O292" s="68">
        <f t="shared" si="99"/>
        <v>3042</v>
      </c>
      <c r="P292" s="68">
        <f t="shared" si="102"/>
        <v>3159</v>
      </c>
      <c r="Q292" s="68">
        <f t="shared" si="103"/>
        <v>3276</v>
      </c>
      <c r="R292" s="11">
        <f t="shared" si="104"/>
        <v>3393</v>
      </c>
      <c r="S292" s="11">
        <f t="shared" si="100"/>
        <v>3510</v>
      </c>
      <c r="T292" s="11">
        <f t="shared" si="105"/>
        <v>3744</v>
      </c>
      <c r="U292" s="38">
        <f t="shared" si="108"/>
        <v>3822.39</v>
      </c>
      <c r="V292" s="38">
        <f t="shared" si="109"/>
        <v>3963.96</v>
      </c>
      <c r="W292" s="38">
        <f t="shared" si="110"/>
        <v>4105.53</v>
      </c>
      <c r="X292" s="38">
        <f t="shared" si="111"/>
        <v>4247.1000000000004</v>
      </c>
      <c r="Z292" s="4">
        <f t="shared" si="106"/>
        <v>0</v>
      </c>
      <c r="AA292" s="4">
        <f t="shared" si="107"/>
        <v>0</v>
      </c>
    </row>
    <row r="293" spans="1:27" x14ac:dyDescent="0.3">
      <c r="A293" s="135"/>
      <c r="B293" s="125"/>
      <c r="C293" s="3" t="s">
        <v>357</v>
      </c>
      <c r="D293" s="55" t="s">
        <v>617</v>
      </c>
      <c r="E293" s="55" t="s">
        <v>70</v>
      </c>
      <c r="F293" s="55" t="s">
        <v>66</v>
      </c>
      <c r="G293" s="56">
        <v>10</v>
      </c>
      <c r="H293" s="49">
        <f>22+20+20+2+10+20+10</f>
        <v>104</v>
      </c>
      <c r="I293" s="50">
        <f>20+2+2+2+5+2+2+1+1+2+5+2+2+2+2+1+1+1+1+1+2+2+1+12+2+1+2+3+1+1+1+3+1+2+1</f>
        <v>92</v>
      </c>
      <c r="J293" s="77">
        <f>+H293-I293</f>
        <v>12</v>
      </c>
      <c r="K293" s="31">
        <v>334.56</v>
      </c>
      <c r="L293" s="32">
        <v>44239</v>
      </c>
      <c r="M293" s="33">
        <v>0.21</v>
      </c>
      <c r="N293" s="64">
        <f t="shared" si="101"/>
        <v>404.81759999999997</v>
      </c>
      <c r="O293" s="68">
        <f t="shared" si="99"/>
        <v>434.93</v>
      </c>
      <c r="P293" s="68">
        <f t="shared" si="102"/>
        <v>451.66</v>
      </c>
      <c r="Q293" s="68">
        <f t="shared" si="103"/>
        <v>468.38</v>
      </c>
      <c r="R293" s="11">
        <f t="shared" si="104"/>
        <v>485.11</v>
      </c>
      <c r="S293" s="11">
        <f t="shared" si="100"/>
        <v>501.84</v>
      </c>
      <c r="T293" s="11">
        <f t="shared" si="105"/>
        <v>535.29999999999995</v>
      </c>
      <c r="U293" s="38">
        <f t="shared" si="108"/>
        <v>546.5</v>
      </c>
      <c r="V293" s="38">
        <f t="shared" si="109"/>
        <v>566.74</v>
      </c>
      <c r="W293" s="38">
        <f t="shared" si="110"/>
        <v>586.99</v>
      </c>
      <c r="X293" s="38">
        <f t="shared" si="111"/>
        <v>607.23</v>
      </c>
      <c r="Z293" s="4">
        <f t="shared" si="106"/>
        <v>4014.7200000000003</v>
      </c>
      <c r="AA293" s="4">
        <f t="shared" si="107"/>
        <v>4857.8112000000001</v>
      </c>
    </row>
    <row r="294" spans="1:27" x14ac:dyDescent="0.3">
      <c r="A294" s="135"/>
      <c r="C294" s="3" t="s">
        <v>415</v>
      </c>
      <c r="D294" s="55"/>
      <c r="E294" s="55" t="s">
        <v>1109</v>
      </c>
      <c r="F294" s="55" t="s">
        <v>1533</v>
      </c>
      <c r="G294" s="56">
        <v>100</v>
      </c>
      <c r="H294" s="49">
        <f>200+100+24+27+200+200+400+200+300+200+100+100+100+100</f>
        <v>2251</v>
      </c>
      <c r="I294" s="50">
        <f>10+30+50+50+2+50+5+50+25+50+50+25+100+100+50+25+10+50+100+25+100+100+94+5+10+20+50+20+95+10+200+90+50+50+50+50+25+25+50+51+30+50+40+100</f>
        <v>2222</v>
      </c>
      <c r="J294" s="77">
        <f>+H294-I294</f>
        <v>29</v>
      </c>
      <c r="K294" s="31">
        <v>18.600000000000001</v>
      </c>
      <c r="L294" s="32">
        <v>44207</v>
      </c>
      <c r="M294" s="33">
        <v>0.21</v>
      </c>
      <c r="N294" s="64">
        <f t="shared" si="101"/>
        <v>22.506</v>
      </c>
      <c r="O294" s="68">
        <f t="shared" si="99"/>
        <v>24.18</v>
      </c>
      <c r="P294" s="68">
        <f t="shared" si="102"/>
        <v>25.11</v>
      </c>
      <c r="Q294" s="68">
        <f t="shared" si="103"/>
        <v>26.04</v>
      </c>
      <c r="R294" s="11">
        <f t="shared" si="104"/>
        <v>26.97</v>
      </c>
      <c r="S294" s="11">
        <f t="shared" si="100"/>
        <v>27.9</v>
      </c>
      <c r="T294" s="11">
        <f t="shared" si="105"/>
        <v>29.76</v>
      </c>
      <c r="U294" s="38">
        <f t="shared" si="108"/>
        <v>30.38</v>
      </c>
      <c r="V294" s="38">
        <f t="shared" si="109"/>
        <v>31.51</v>
      </c>
      <c r="W294" s="38">
        <f t="shared" si="110"/>
        <v>32.630000000000003</v>
      </c>
      <c r="X294" s="38">
        <f t="shared" si="111"/>
        <v>33.76</v>
      </c>
      <c r="Z294" s="4">
        <f t="shared" si="106"/>
        <v>539.40000000000009</v>
      </c>
      <c r="AA294" s="4">
        <f t="shared" si="107"/>
        <v>652.67399999999998</v>
      </c>
    </row>
    <row r="295" spans="1:27" x14ac:dyDescent="0.3">
      <c r="A295" s="135"/>
      <c r="C295" s="3" t="s">
        <v>416</v>
      </c>
      <c r="D295" s="55"/>
      <c r="E295" s="55" t="s">
        <v>1109</v>
      </c>
      <c r="F295" s="55" t="s">
        <v>1533</v>
      </c>
      <c r="G295" s="56">
        <v>100</v>
      </c>
      <c r="H295" s="49">
        <f>94+200+300+200+100+100</f>
        <v>994</v>
      </c>
      <c r="I295" s="50">
        <f>110+300+30+154+20+100+50+25+5+25+75+25+50+25</f>
        <v>994</v>
      </c>
      <c r="J295" s="77">
        <f>+H295-I295</f>
        <v>0</v>
      </c>
      <c r="K295" s="31">
        <v>22</v>
      </c>
      <c r="L295" s="32">
        <v>44200</v>
      </c>
      <c r="M295" s="33">
        <v>0.21</v>
      </c>
      <c r="N295" s="64">
        <f t="shared" si="101"/>
        <v>26.619999999999997</v>
      </c>
      <c r="O295" s="68">
        <f t="shared" si="99"/>
        <v>28.6</v>
      </c>
      <c r="P295" s="68">
        <f t="shared" si="102"/>
        <v>29.7</v>
      </c>
      <c r="Q295" s="68">
        <f t="shared" si="103"/>
        <v>30.8</v>
      </c>
      <c r="R295" s="11">
        <f t="shared" si="104"/>
        <v>31.9</v>
      </c>
      <c r="S295" s="11">
        <f t="shared" si="100"/>
        <v>33</v>
      </c>
      <c r="T295" s="11">
        <f t="shared" si="105"/>
        <v>35.200000000000003</v>
      </c>
      <c r="U295" s="38">
        <f t="shared" si="108"/>
        <v>35.94</v>
      </c>
      <c r="V295" s="38">
        <f t="shared" si="109"/>
        <v>37.270000000000003</v>
      </c>
      <c r="W295" s="38">
        <f t="shared" si="110"/>
        <v>38.6</v>
      </c>
      <c r="X295" s="38">
        <f t="shared" si="111"/>
        <v>39.93</v>
      </c>
      <c r="Z295" s="4">
        <f t="shared" si="106"/>
        <v>0</v>
      </c>
      <c r="AA295" s="4">
        <f t="shared" si="107"/>
        <v>0</v>
      </c>
    </row>
    <row r="296" spans="1:27" x14ac:dyDescent="0.3">
      <c r="A296" s="135"/>
      <c r="C296" s="3" t="s">
        <v>1263</v>
      </c>
      <c r="D296" s="55" t="s">
        <v>1118</v>
      </c>
      <c r="E296" s="55" t="s">
        <v>1109</v>
      </c>
      <c r="F296" s="91" t="s">
        <v>1533</v>
      </c>
      <c r="G296" s="56">
        <v>200</v>
      </c>
      <c r="H296" s="49">
        <f>900+300+300+900+600+200+200+200+200+200+100+100+200+100</f>
        <v>4500</v>
      </c>
      <c r="I296" s="50">
        <f>300+100+100+100+30+100+25+100+100+50+50+78+67+100+100+50+200+100+50+100+50+150+300+100+100+10+100+50+50+50+100+40+100+100+50+50+100+50+100+50+50+50+50+25+25+25+100+175+100+100+50+30+50+31+39</f>
        <v>4500</v>
      </c>
      <c r="J296" s="77">
        <f>+H296-I296</f>
        <v>0</v>
      </c>
      <c r="K296" s="31">
        <v>21</v>
      </c>
      <c r="L296" s="32">
        <v>44207</v>
      </c>
      <c r="M296" s="33">
        <v>0.21</v>
      </c>
      <c r="N296" s="64">
        <f t="shared" si="101"/>
        <v>25.41</v>
      </c>
      <c r="O296" s="68">
        <f t="shared" si="99"/>
        <v>27.3</v>
      </c>
      <c r="P296" s="68">
        <f t="shared" si="102"/>
        <v>28.35</v>
      </c>
      <c r="Q296" s="68">
        <f t="shared" si="103"/>
        <v>29.4</v>
      </c>
      <c r="R296" s="11">
        <f t="shared" si="104"/>
        <v>30.45</v>
      </c>
      <c r="S296" s="11">
        <f t="shared" si="100"/>
        <v>31.5</v>
      </c>
      <c r="T296" s="11">
        <f t="shared" si="105"/>
        <v>33.6</v>
      </c>
      <c r="U296" s="38">
        <f t="shared" si="108"/>
        <v>34.299999999999997</v>
      </c>
      <c r="V296" s="38">
        <f t="shared" si="109"/>
        <v>35.57</v>
      </c>
      <c r="W296" s="38">
        <f t="shared" si="110"/>
        <v>36.840000000000003</v>
      </c>
      <c r="X296" s="38">
        <f t="shared" si="111"/>
        <v>38.119999999999997</v>
      </c>
      <c r="Z296" s="4">
        <f t="shared" si="106"/>
        <v>0</v>
      </c>
      <c r="AA296" s="4">
        <f t="shared" si="107"/>
        <v>0</v>
      </c>
    </row>
    <row r="297" spans="1:27" x14ac:dyDescent="0.3">
      <c r="A297" s="135"/>
      <c r="B297" s="125"/>
      <c r="C297" s="3" t="s">
        <v>267</v>
      </c>
      <c r="D297" s="55" t="s">
        <v>497</v>
      </c>
      <c r="E297" s="55" t="s">
        <v>362</v>
      </c>
      <c r="F297" s="55" t="s">
        <v>268</v>
      </c>
      <c r="G297" s="56">
        <v>20</v>
      </c>
      <c r="H297" s="49">
        <f>60+40+40+40+40+23+40+40+20+20+20+40</f>
        <v>423</v>
      </c>
      <c r="I297" s="50">
        <f>6+23+5+3+10+20+10+20+10+20+53+20+13+7+10+6+10+6+65+20+4+20+8+14+20+12</f>
        <v>415</v>
      </c>
      <c r="J297" s="77">
        <f>+H297-I297</f>
        <v>8</v>
      </c>
      <c r="K297" s="31">
        <v>399.8</v>
      </c>
      <c r="L297" s="32">
        <v>44246</v>
      </c>
      <c r="M297" s="33">
        <v>0.21</v>
      </c>
      <c r="N297" s="64">
        <f t="shared" si="101"/>
        <v>483.75799999999998</v>
      </c>
      <c r="O297" s="68">
        <f t="shared" si="99"/>
        <v>519.74</v>
      </c>
      <c r="P297" s="68">
        <f t="shared" si="102"/>
        <v>539.73</v>
      </c>
      <c r="Q297" s="68">
        <f t="shared" si="103"/>
        <v>559.72</v>
      </c>
      <c r="R297" s="11">
        <f t="shared" si="104"/>
        <v>579.71</v>
      </c>
      <c r="S297" s="11">
        <f t="shared" si="100"/>
        <v>599.70000000000005</v>
      </c>
      <c r="T297" s="11">
        <f t="shared" si="105"/>
        <v>639.67999999999995</v>
      </c>
      <c r="U297" s="38">
        <f t="shared" si="108"/>
        <v>653.07000000000005</v>
      </c>
      <c r="V297" s="38">
        <f t="shared" si="109"/>
        <v>677.26</v>
      </c>
      <c r="W297" s="38">
        <f t="shared" si="110"/>
        <v>701.45</v>
      </c>
      <c r="X297" s="38">
        <f t="shared" si="111"/>
        <v>725.64</v>
      </c>
      <c r="Z297" s="4">
        <f t="shared" si="106"/>
        <v>3198.4</v>
      </c>
      <c r="AA297" s="4">
        <f t="shared" si="107"/>
        <v>3870.0639999999999</v>
      </c>
    </row>
    <row r="298" spans="1:27" x14ac:dyDescent="0.3">
      <c r="A298" s="135"/>
      <c r="B298" s="125"/>
      <c r="C298" s="3" t="s">
        <v>1476</v>
      </c>
      <c r="D298" s="55"/>
      <c r="E298" s="55"/>
      <c r="F298" s="55" t="s">
        <v>268</v>
      </c>
      <c r="G298" s="56">
        <v>0</v>
      </c>
      <c r="H298" s="49">
        <f>50</f>
        <v>50</v>
      </c>
      <c r="I298" s="50"/>
      <c r="J298" s="77">
        <f>+H298-I298</f>
        <v>50</v>
      </c>
      <c r="K298" s="31">
        <v>38.119999999999997</v>
      </c>
      <c r="L298" s="32">
        <v>44013</v>
      </c>
      <c r="M298" s="33">
        <v>0.21</v>
      </c>
      <c r="N298" s="64">
        <f t="shared" si="101"/>
        <v>46.125199999999992</v>
      </c>
      <c r="O298" s="68">
        <f t="shared" si="99"/>
        <v>49.56</v>
      </c>
      <c r="P298" s="68">
        <f t="shared" si="102"/>
        <v>51.46</v>
      </c>
      <c r="Q298" s="68">
        <f t="shared" si="103"/>
        <v>53.37</v>
      </c>
      <c r="R298" s="11">
        <f t="shared" si="104"/>
        <v>55.27</v>
      </c>
      <c r="S298" s="11">
        <f t="shared" si="100"/>
        <v>57.18</v>
      </c>
      <c r="T298" s="11">
        <f t="shared" si="105"/>
        <v>60.99</v>
      </c>
      <c r="U298" s="38">
        <f t="shared" si="108"/>
        <v>62.27</v>
      </c>
      <c r="V298" s="38">
        <f t="shared" si="109"/>
        <v>64.58</v>
      </c>
      <c r="W298" s="38">
        <f t="shared" si="110"/>
        <v>66.88</v>
      </c>
      <c r="X298" s="38">
        <f t="shared" si="111"/>
        <v>69.19</v>
      </c>
      <c r="Z298" s="4">
        <f t="shared" si="106"/>
        <v>1905.9999999999998</v>
      </c>
      <c r="AA298" s="4">
        <f t="shared" si="107"/>
        <v>2306.2599999999998</v>
      </c>
    </row>
    <row r="299" spans="1:27" x14ac:dyDescent="0.3">
      <c r="A299" s="135"/>
      <c r="B299" s="125"/>
      <c r="C299" s="3" t="s">
        <v>1059</v>
      </c>
      <c r="D299" s="55" t="s">
        <v>1006</v>
      </c>
      <c r="E299" s="55" t="s">
        <v>34</v>
      </c>
      <c r="F299" s="55" t="s">
        <v>269</v>
      </c>
      <c r="G299" s="56">
        <v>0</v>
      </c>
      <c r="H299" s="49">
        <v>6</v>
      </c>
      <c r="I299" s="50">
        <f>1+2+1</f>
        <v>4</v>
      </c>
      <c r="J299" s="77">
        <f>+H299-I299</f>
        <v>2</v>
      </c>
      <c r="K299" s="31">
        <v>395</v>
      </c>
      <c r="L299" s="32">
        <v>43888</v>
      </c>
      <c r="M299" s="33">
        <v>0.21</v>
      </c>
      <c r="N299" s="64">
        <f t="shared" si="101"/>
        <v>477.95</v>
      </c>
      <c r="O299" s="68">
        <f t="shared" si="99"/>
        <v>513.5</v>
      </c>
      <c r="P299" s="68">
        <f t="shared" si="102"/>
        <v>533.25</v>
      </c>
      <c r="Q299" s="68">
        <f t="shared" si="103"/>
        <v>553</v>
      </c>
      <c r="R299" s="11">
        <f t="shared" si="104"/>
        <v>572.75</v>
      </c>
      <c r="S299" s="11">
        <f t="shared" si="100"/>
        <v>592.5</v>
      </c>
      <c r="T299" s="11">
        <f t="shared" si="105"/>
        <v>632</v>
      </c>
      <c r="U299" s="38">
        <f t="shared" si="108"/>
        <v>645.23</v>
      </c>
      <c r="V299" s="38">
        <f t="shared" si="109"/>
        <v>669.13</v>
      </c>
      <c r="W299" s="38">
        <f t="shared" si="110"/>
        <v>693.03</v>
      </c>
      <c r="X299" s="38">
        <f t="shared" si="111"/>
        <v>716.93</v>
      </c>
      <c r="Z299" s="4">
        <f t="shared" si="106"/>
        <v>790</v>
      </c>
      <c r="AA299" s="4">
        <f t="shared" si="107"/>
        <v>955.9</v>
      </c>
    </row>
    <row r="300" spans="1:27" x14ac:dyDescent="0.3">
      <c r="A300" s="140"/>
      <c r="B300" s="125"/>
      <c r="C300" s="3" t="s">
        <v>327</v>
      </c>
      <c r="D300" s="55" t="s">
        <v>1448</v>
      </c>
      <c r="E300" s="55" t="s">
        <v>446</v>
      </c>
      <c r="F300" s="55" t="s">
        <v>1410</v>
      </c>
      <c r="G300" s="56">
        <v>5</v>
      </c>
      <c r="H300" s="49">
        <f>1+10+5+10+5+50</f>
        <v>81</v>
      </c>
      <c r="I300" s="50">
        <f>2+1+1+1+6+1+2+12+6+8</f>
        <v>40</v>
      </c>
      <c r="J300" s="77">
        <f>+H300-I300</f>
        <v>41</v>
      </c>
      <c r="K300" s="31">
        <v>292.39999999999998</v>
      </c>
      <c r="L300" s="32">
        <v>44246</v>
      </c>
      <c r="M300" s="33">
        <v>0.21</v>
      </c>
      <c r="N300" s="64">
        <f t="shared" si="101"/>
        <v>353.80399999999997</v>
      </c>
      <c r="O300" s="68">
        <f t="shared" si="99"/>
        <v>380.12</v>
      </c>
      <c r="P300" s="68">
        <f t="shared" si="102"/>
        <v>394.74</v>
      </c>
      <c r="Q300" s="68">
        <f t="shared" si="103"/>
        <v>409.36</v>
      </c>
      <c r="R300" s="11">
        <f t="shared" si="104"/>
        <v>423.98</v>
      </c>
      <c r="S300" s="11">
        <f t="shared" si="100"/>
        <v>438.6</v>
      </c>
      <c r="T300" s="11">
        <f t="shared" si="105"/>
        <v>467.84</v>
      </c>
      <c r="U300" s="38">
        <f t="shared" si="108"/>
        <v>477.64</v>
      </c>
      <c r="V300" s="38">
        <f t="shared" si="109"/>
        <v>495.33</v>
      </c>
      <c r="W300" s="38">
        <f t="shared" si="110"/>
        <v>513.02</v>
      </c>
      <c r="X300" s="38">
        <f t="shared" si="111"/>
        <v>530.71</v>
      </c>
      <c r="Z300" s="4">
        <f t="shared" si="106"/>
        <v>11988.4</v>
      </c>
      <c r="AA300" s="4">
        <f t="shared" si="107"/>
        <v>14505.963999999998</v>
      </c>
    </row>
    <row r="301" spans="1:27" x14ac:dyDescent="0.3">
      <c r="A301" s="135"/>
      <c r="B301" s="125"/>
      <c r="C301" s="3" t="s">
        <v>721</v>
      </c>
      <c r="D301" s="55"/>
      <c r="E301" s="55" t="s">
        <v>543</v>
      </c>
      <c r="F301" s="55"/>
      <c r="G301" s="56">
        <v>1</v>
      </c>
      <c r="H301" s="49">
        <v>3</v>
      </c>
      <c r="I301" s="50">
        <f>0+1</f>
        <v>1</v>
      </c>
      <c r="J301" s="77">
        <f>+H301-I301</f>
        <v>2</v>
      </c>
      <c r="K301" s="31">
        <v>1925</v>
      </c>
      <c r="L301" s="32">
        <v>44026</v>
      </c>
      <c r="M301" s="33">
        <v>0.21</v>
      </c>
      <c r="N301" s="64">
        <f t="shared" si="101"/>
        <v>2329.25</v>
      </c>
      <c r="O301" s="68">
        <f t="shared" si="99"/>
        <v>2502.5</v>
      </c>
      <c r="P301" s="68">
        <f t="shared" si="102"/>
        <v>2598.75</v>
      </c>
      <c r="Q301" s="68">
        <f t="shared" si="103"/>
        <v>2695</v>
      </c>
      <c r="R301" s="11">
        <f t="shared" si="104"/>
        <v>2791.25</v>
      </c>
      <c r="S301" s="11">
        <f t="shared" si="100"/>
        <v>2887.5</v>
      </c>
      <c r="T301" s="11">
        <f t="shared" si="105"/>
        <v>3080</v>
      </c>
      <c r="U301" s="38">
        <f t="shared" si="108"/>
        <v>3144.49</v>
      </c>
      <c r="V301" s="38">
        <f t="shared" si="109"/>
        <v>3260.95</v>
      </c>
      <c r="W301" s="38">
        <f t="shared" si="110"/>
        <v>3377.41</v>
      </c>
      <c r="X301" s="38">
        <f t="shared" si="111"/>
        <v>3493.88</v>
      </c>
      <c r="Z301" s="4">
        <f t="shared" si="106"/>
        <v>3850</v>
      </c>
      <c r="AA301" s="4">
        <f t="shared" si="107"/>
        <v>4658.5</v>
      </c>
    </row>
    <row r="302" spans="1:27" x14ac:dyDescent="0.3">
      <c r="A302" s="135"/>
      <c r="B302" s="125"/>
      <c r="C302" s="3" t="s">
        <v>1337</v>
      </c>
      <c r="D302" s="55" t="s">
        <v>1336</v>
      </c>
      <c r="E302" s="55" t="s">
        <v>1133</v>
      </c>
      <c r="F302" s="55" t="s">
        <v>270</v>
      </c>
      <c r="G302" s="56">
        <v>5</v>
      </c>
      <c r="H302" s="49">
        <f>8+5+25+25+5</f>
        <v>68</v>
      </c>
      <c r="I302" s="50">
        <f>2+1+2+2+2+2+2+5+10+10+25+1+1</f>
        <v>65</v>
      </c>
      <c r="J302" s="77">
        <f>+H302-I302</f>
        <v>3</v>
      </c>
      <c r="K302" s="31">
        <v>45.78</v>
      </c>
      <c r="L302" s="32">
        <v>44145</v>
      </c>
      <c r="M302" s="33">
        <v>0.21</v>
      </c>
      <c r="N302" s="64">
        <f t="shared" si="101"/>
        <v>55.393799999999999</v>
      </c>
      <c r="O302" s="68">
        <f t="shared" si="99"/>
        <v>59.51</v>
      </c>
      <c r="P302" s="68">
        <f t="shared" si="102"/>
        <v>61.8</v>
      </c>
      <c r="Q302" s="68">
        <f t="shared" si="103"/>
        <v>64.09</v>
      </c>
      <c r="R302" s="11">
        <f t="shared" si="104"/>
        <v>66.38</v>
      </c>
      <c r="S302" s="11">
        <f t="shared" ref="S302:S330" si="112">ROUND(K302*(1+$S$3),2)</f>
        <v>68.67</v>
      </c>
      <c r="T302" s="11">
        <f t="shared" si="105"/>
        <v>73.25</v>
      </c>
      <c r="U302" s="38">
        <f t="shared" si="108"/>
        <v>74.78</v>
      </c>
      <c r="V302" s="38">
        <f t="shared" si="109"/>
        <v>77.55</v>
      </c>
      <c r="W302" s="38">
        <v>0</v>
      </c>
      <c r="X302" s="38">
        <v>0</v>
      </c>
      <c r="Z302" s="4">
        <f t="shared" si="106"/>
        <v>137.34</v>
      </c>
      <c r="AA302" s="4">
        <v>0</v>
      </c>
    </row>
    <row r="303" spans="1:27" x14ac:dyDescent="0.3">
      <c r="A303" s="135"/>
      <c r="B303" s="125"/>
      <c r="C303" s="3" t="s">
        <v>1338</v>
      </c>
      <c r="D303" s="55" t="s">
        <v>1327</v>
      </c>
      <c r="E303" s="55" t="s">
        <v>1133</v>
      </c>
      <c r="F303" s="55" t="s">
        <v>270</v>
      </c>
      <c r="G303" s="56">
        <v>5</v>
      </c>
      <c r="H303" s="49">
        <f>1+10+25+25</f>
        <v>61</v>
      </c>
      <c r="I303" s="50">
        <f>1+1+1+2+2+2+2+10+10+10</f>
        <v>41</v>
      </c>
      <c r="J303" s="77">
        <f>+H303-I303</f>
        <v>20</v>
      </c>
      <c r="K303" s="31">
        <v>55.81</v>
      </c>
      <c r="L303" s="32">
        <v>44145</v>
      </c>
      <c r="M303" s="33">
        <v>0.21</v>
      </c>
      <c r="N303" s="64">
        <f t="shared" si="101"/>
        <v>67.530100000000004</v>
      </c>
      <c r="O303" s="68">
        <f t="shared" si="99"/>
        <v>72.55</v>
      </c>
      <c r="P303" s="68">
        <f t="shared" si="102"/>
        <v>75.34</v>
      </c>
      <c r="Q303" s="68">
        <f t="shared" si="103"/>
        <v>78.13</v>
      </c>
      <c r="R303" s="11">
        <f t="shared" si="104"/>
        <v>80.92</v>
      </c>
      <c r="S303" s="11">
        <f t="shared" si="112"/>
        <v>83.72</v>
      </c>
      <c r="T303" s="11">
        <f t="shared" si="105"/>
        <v>89.3</v>
      </c>
      <c r="U303" s="38">
        <f t="shared" si="108"/>
        <v>91.17</v>
      </c>
      <c r="V303" s="38">
        <f t="shared" si="109"/>
        <v>94.54</v>
      </c>
      <c r="W303" s="38">
        <f t="shared" si="110"/>
        <v>97.92</v>
      </c>
      <c r="X303" s="38">
        <f t="shared" si="111"/>
        <v>101.3</v>
      </c>
      <c r="Z303" s="4">
        <f t="shared" si="106"/>
        <v>1116.2</v>
      </c>
      <c r="AA303" s="4">
        <f t="shared" si="107"/>
        <v>1350.6020000000001</v>
      </c>
    </row>
    <row r="304" spans="1:27" x14ac:dyDescent="0.3">
      <c r="A304" s="135"/>
      <c r="B304" s="125"/>
      <c r="C304" s="3" t="s">
        <v>1339</v>
      </c>
      <c r="D304" s="55" t="s">
        <v>1328</v>
      </c>
      <c r="E304" s="55" t="s">
        <v>1133</v>
      </c>
      <c r="F304" s="55" t="s">
        <v>270</v>
      </c>
      <c r="G304" s="56">
        <v>5</v>
      </c>
      <c r="H304" s="49">
        <f>5+10+1+25+5</f>
        <v>46</v>
      </c>
      <c r="I304" s="50">
        <f>2+1+4+1+2+1+2+2+5+5+6+10</f>
        <v>41</v>
      </c>
      <c r="J304" s="77">
        <f>+H304-I304</f>
        <v>5</v>
      </c>
      <c r="K304" s="31">
        <v>72.63</v>
      </c>
      <c r="L304" s="32">
        <v>44048</v>
      </c>
      <c r="M304" s="33">
        <v>0.21</v>
      </c>
      <c r="N304" s="64">
        <f t="shared" si="101"/>
        <v>87.882299999999987</v>
      </c>
      <c r="O304" s="68">
        <f t="shared" si="99"/>
        <v>94.42</v>
      </c>
      <c r="P304" s="68">
        <f t="shared" si="102"/>
        <v>98.05</v>
      </c>
      <c r="Q304" s="68">
        <f t="shared" si="103"/>
        <v>101.68</v>
      </c>
      <c r="R304" s="11">
        <f t="shared" si="104"/>
        <v>105.31</v>
      </c>
      <c r="S304" s="11">
        <f t="shared" si="112"/>
        <v>108.95</v>
      </c>
      <c r="T304" s="11">
        <f t="shared" si="105"/>
        <v>116.21</v>
      </c>
      <c r="U304" s="38">
        <f t="shared" si="108"/>
        <v>118.64</v>
      </c>
      <c r="V304" s="38">
        <f t="shared" si="109"/>
        <v>123.04</v>
      </c>
      <c r="W304" s="38">
        <f t="shared" si="110"/>
        <v>127.43</v>
      </c>
      <c r="X304" s="38">
        <f t="shared" si="111"/>
        <v>131.82</v>
      </c>
      <c r="Z304" s="4">
        <f t="shared" si="106"/>
        <v>363.15</v>
      </c>
      <c r="AA304" s="4">
        <f t="shared" si="107"/>
        <v>439.41149999999993</v>
      </c>
    </row>
    <row r="305" spans="1:27" x14ac:dyDescent="0.3">
      <c r="A305" s="135"/>
      <c r="B305" s="125"/>
      <c r="C305" s="3" t="s">
        <v>1340</v>
      </c>
      <c r="D305" s="55" t="s">
        <v>1329</v>
      </c>
      <c r="E305" s="55" t="s">
        <v>362</v>
      </c>
      <c r="F305" s="55" t="s">
        <v>270</v>
      </c>
      <c r="G305" s="56">
        <v>5</v>
      </c>
      <c r="H305" s="49">
        <f>5+10+5+10</f>
        <v>30</v>
      </c>
      <c r="I305" s="50">
        <f>2+3+10+1+4</f>
        <v>20</v>
      </c>
      <c r="J305" s="77">
        <f>+H305-I305</f>
        <v>10</v>
      </c>
      <c r="K305" s="31">
        <v>82.39</v>
      </c>
      <c r="L305" s="32">
        <v>44048</v>
      </c>
      <c r="M305" s="33">
        <v>0.21</v>
      </c>
      <c r="N305" s="64">
        <f t="shared" si="101"/>
        <v>99.691900000000004</v>
      </c>
      <c r="O305" s="68">
        <f t="shared" ref="O305:O331" si="113">ROUND(K305*(1+$O$3),2)</f>
        <v>107.11</v>
      </c>
      <c r="P305" s="68">
        <f t="shared" si="102"/>
        <v>111.23</v>
      </c>
      <c r="Q305" s="68">
        <f t="shared" si="103"/>
        <v>115.35</v>
      </c>
      <c r="R305" s="11">
        <f t="shared" si="104"/>
        <v>119.47</v>
      </c>
      <c r="S305" s="11">
        <f t="shared" si="112"/>
        <v>123.59</v>
      </c>
      <c r="T305" s="11">
        <f t="shared" si="105"/>
        <v>131.82</v>
      </c>
      <c r="U305" s="38">
        <f t="shared" si="108"/>
        <v>134.58000000000001</v>
      </c>
      <c r="V305" s="38">
        <f t="shared" si="109"/>
        <v>139.57</v>
      </c>
      <c r="W305" s="38">
        <f t="shared" si="110"/>
        <v>144.55000000000001</v>
      </c>
      <c r="X305" s="38">
        <f t="shared" si="111"/>
        <v>149.54</v>
      </c>
      <c r="Z305" s="4">
        <f t="shared" si="106"/>
        <v>823.9</v>
      </c>
      <c r="AA305" s="4">
        <f t="shared" si="107"/>
        <v>996.9190000000001</v>
      </c>
    </row>
    <row r="306" spans="1:27" x14ac:dyDescent="0.3">
      <c r="A306" s="135"/>
      <c r="B306" s="125"/>
      <c r="C306" s="3" t="s">
        <v>1153</v>
      </c>
      <c r="D306" s="55" t="s">
        <v>1446</v>
      </c>
      <c r="E306" s="55"/>
      <c r="F306" s="55" t="s">
        <v>282</v>
      </c>
      <c r="G306" s="56">
        <v>5</v>
      </c>
      <c r="H306" s="49">
        <f>3+2+4+1+3</f>
        <v>13</v>
      </c>
      <c r="I306" s="50">
        <f>3+2+1+2+2</f>
        <v>10</v>
      </c>
      <c r="J306" s="77">
        <f>+H306-I306</f>
        <v>3</v>
      </c>
      <c r="K306" s="31">
        <v>266.8</v>
      </c>
      <c r="L306" s="32">
        <v>44209</v>
      </c>
      <c r="M306" s="33">
        <v>0.21</v>
      </c>
      <c r="N306" s="64">
        <f t="shared" si="101"/>
        <v>322.82800000000003</v>
      </c>
      <c r="O306" s="68">
        <f t="shared" si="113"/>
        <v>346.84</v>
      </c>
      <c r="P306" s="68">
        <f t="shared" si="102"/>
        <v>360.18</v>
      </c>
      <c r="Q306" s="68">
        <f t="shared" si="103"/>
        <v>373.52</v>
      </c>
      <c r="R306" s="11">
        <f t="shared" si="104"/>
        <v>386.86</v>
      </c>
      <c r="S306" s="11">
        <f t="shared" si="112"/>
        <v>400.2</v>
      </c>
      <c r="T306" s="11">
        <f t="shared" si="105"/>
        <v>426.88</v>
      </c>
      <c r="U306" s="38">
        <f t="shared" si="108"/>
        <v>435.82</v>
      </c>
      <c r="V306" s="38">
        <f t="shared" si="109"/>
        <v>451.96</v>
      </c>
      <c r="W306" s="38">
        <f t="shared" si="110"/>
        <v>468.1</v>
      </c>
      <c r="X306" s="38">
        <f t="shared" si="111"/>
        <v>484.24</v>
      </c>
      <c r="Z306" s="4"/>
      <c r="AA306" s="4"/>
    </row>
    <row r="307" spans="1:27" x14ac:dyDescent="0.3">
      <c r="A307" s="135"/>
      <c r="B307" s="125"/>
      <c r="C307" s="3" t="s">
        <v>1520</v>
      </c>
      <c r="D307" s="118" t="s">
        <v>1527</v>
      </c>
      <c r="E307" s="55" t="s">
        <v>362</v>
      </c>
      <c r="F307" s="55" t="s">
        <v>1519</v>
      </c>
      <c r="G307" s="56">
        <v>0</v>
      </c>
      <c r="H307" s="49">
        <f>50+33+17+20+10+50+20+10+20+8+50+100+50+20</f>
        <v>458</v>
      </c>
      <c r="I307" s="50">
        <f>20+20+20+20+20+20+10+50+4+4+10+10+2+10+18+40+30+80+50+10</f>
        <v>448</v>
      </c>
      <c r="J307" s="77">
        <f>+H307-I307</f>
        <v>10</v>
      </c>
      <c r="K307" s="31">
        <v>305</v>
      </c>
      <c r="L307" s="32">
        <v>44146</v>
      </c>
      <c r="M307" s="33">
        <v>0.21</v>
      </c>
      <c r="N307" s="64">
        <f t="shared" si="101"/>
        <v>369.05</v>
      </c>
      <c r="O307" s="68">
        <f t="shared" si="113"/>
        <v>396.5</v>
      </c>
      <c r="P307" s="68">
        <f t="shared" si="102"/>
        <v>411.75</v>
      </c>
      <c r="Q307" s="68">
        <f t="shared" si="103"/>
        <v>427</v>
      </c>
      <c r="R307" s="11">
        <f t="shared" si="104"/>
        <v>442.25</v>
      </c>
      <c r="S307" s="11">
        <f t="shared" si="112"/>
        <v>457.5</v>
      </c>
      <c r="T307" s="11">
        <f t="shared" si="105"/>
        <v>488</v>
      </c>
      <c r="U307" s="38">
        <f t="shared" si="108"/>
        <v>498.22</v>
      </c>
      <c r="V307" s="38">
        <f t="shared" si="109"/>
        <v>516.66999999999996</v>
      </c>
      <c r="W307" s="38">
        <f t="shared" si="110"/>
        <v>535.12</v>
      </c>
      <c r="X307" s="38">
        <f t="shared" si="111"/>
        <v>553.58000000000004</v>
      </c>
      <c r="Z307" s="4">
        <f t="shared" si="106"/>
        <v>3050</v>
      </c>
      <c r="AA307" s="4">
        <f t="shared" si="107"/>
        <v>3690.5</v>
      </c>
    </row>
    <row r="308" spans="1:27" x14ac:dyDescent="0.3">
      <c r="A308" s="135"/>
      <c r="B308" s="125"/>
      <c r="C308" s="3" t="s">
        <v>1521</v>
      </c>
      <c r="D308" s="118"/>
      <c r="E308" s="55"/>
      <c r="F308" s="55" t="s">
        <v>1154</v>
      </c>
      <c r="G308" s="56">
        <v>5</v>
      </c>
      <c r="H308" s="49">
        <f>5</f>
        <v>5</v>
      </c>
      <c r="I308" s="50">
        <f>5</f>
        <v>5</v>
      </c>
      <c r="J308" s="77">
        <f>+H308-I308</f>
        <v>0</v>
      </c>
      <c r="K308" s="31">
        <v>230.85</v>
      </c>
      <c r="L308" s="32">
        <v>44089</v>
      </c>
      <c r="M308" s="33">
        <v>0.21</v>
      </c>
      <c r="N308" s="64">
        <f t="shared" si="101"/>
        <v>279.32849999999996</v>
      </c>
      <c r="O308" s="68">
        <f t="shared" si="113"/>
        <v>300.11</v>
      </c>
      <c r="P308" s="68">
        <f t="shared" si="102"/>
        <v>311.64999999999998</v>
      </c>
      <c r="Q308" s="68">
        <f t="shared" si="103"/>
        <v>323.19</v>
      </c>
      <c r="R308" s="11">
        <f t="shared" si="104"/>
        <v>334.73</v>
      </c>
      <c r="S308" s="11">
        <f t="shared" si="112"/>
        <v>346.28</v>
      </c>
      <c r="T308" s="11">
        <f t="shared" si="105"/>
        <v>369.36</v>
      </c>
      <c r="U308" s="38">
        <f t="shared" si="108"/>
        <v>377.09</v>
      </c>
      <c r="V308" s="38">
        <f t="shared" si="109"/>
        <v>391.06</v>
      </c>
      <c r="W308" s="38">
        <f t="shared" si="110"/>
        <v>405.03</v>
      </c>
      <c r="X308" s="38">
        <f t="shared" si="111"/>
        <v>418.99</v>
      </c>
      <c r="Z308" s="4">
        <f t="shared" si="106"/>
        <v>0</v>
      </c>
      <c r="AA308" s="4">
        <f t="shared" si="107"/>
        <v>0</v>
      </c>
    </row>
    <row r="309" spans="1:27" x14ac:dyDescent="0.3">
      <c r="A309" s="135"/>
      <c r="B309" s="125"/>
      <c r="C309" s="3" t="s">
        <v>1540</v>
      </c>
      <c r="D309" s="118" t="s">
        <v>1541</v>
      </c>
      <c r="E309" s="55"/>
      <c r="F309" s="55" t="s">
        <v>230</v>
      </c>
      <c r="G309" s="56">
        <v>10</v>
      </c>
      <c r="H309" s="49">
        <f>50</f>
        <v>50</v>
      </c>
      <c r="I309" s="50">
        <f>6+12</f>
        <v>18</v>
      </c>
      <c r="J309" s="77">
        <f>+H309-I309</f>
        <v>32</v>
      </c>
      <c r="K309" s="31">
        <v>129.19</v>
      </c>
      <c r="L309" s="32">
        <v>44125</v>
      </c>
      <c r="M309" s="33">
        <v>0.21</v>
      </c>
      <c r="N309" s="64">
        <f t="shared" si="101"/>
        <v>156.31989999999999</v>
      </c>
      <c r="O309" s="68">
        <f t="shared" si="113"/>
        <v>167.95</v>
      </c>
      <c r="P309" s="68">
        <f t="shared" si="102"/>
        <v>174.41</v>
      </c>
      <c r="Q309" s="68">
        <f t="shared" si="103"/>
        <v>180.87</v>
      </c>
      <c r="R309" s="11">
        <f t="shared" si="104"/>
        <v>187.33</v>
      </c>
      <c r="S309" s="11">
        <f t="shared" si="112"/>
        <v>193.79</v>
      </c>
      <c r="T309" s="11">
        <f t="shared" si="105"/>
        <v>206.7</v>
      </c>
      <c r="U309" s="38">
        <f t="shared" si="108"/>
        <v>211.03</v>
      </c>
      <c r="V309" s="38">
        <f t="shared" si="109"/>
        <v>218.85</v>
      </c>
      <c r="W309" s="38">
        <f t="shared" si="110"/>
        <v>226.66</v>
      </c>
      <c r="X309" s="38">
        <f t="shared" si="111"/>
        <v>234.48</v>
      </c>
      <c r="Z309" s="4">
        <f t="shared" si="106"/>
        <v>4134.08</v>
      </c>
      <c r="AA309" s="4">
        <f t="shared" si="107"/>
        <v>5002.2367999999997</v>
      </c>
    </row>
    <row r="310" spans="1:27" x14ac:dyDescent="0.3">
      <c r="A310" s="135"/>
      <c r="C310" s="3" t="s">
        <v>1595</v>
      </c>
      <c r="D310" s="55" t="s">
        <v>1457</v>
      </c>
      <c r="E310" s="55" t="s">
        <v>70</v>
      </c>
      <c r="F310" s="55" t="s">
        <v>1596</v>
      </c>
      <c r="G310" s="56">
        <v>0</v>
      </c>
      <c r="H310" s="49">
        <f>50+20+20+10+90</f>
        <v>190</v>
      </c>
      <c r="I310" s="50">
        <f>20+30+6+11+10+3+12+8</f>
        <v>100</v>
      </c>
      <c r="J310" s="77">
        <f>+H310-I310</f>
        <v>90</v>
      </c>
      <c r="K310" s="31">
        <v>213.44</v>
      </c>
      <c r="L310" s="32">
        <v>44249</v>
      </c>
      <c r="M310" s="33">
        <v>0.21</v>
      </c>
      <c r="N310" s="64">
        <f t="shared" si="101"/>
        <v>258.26240000000001</v>
      </c>
      <c r="O310" s="68">
        <f t="shared" si="113"/>
        <v>277.47000000000003</v>
      </c>
      <c r="P310" s="68">
        <f t="shared" ref="P310:P341" si="114">ROUND(K310*(1+$P$3),2)</f>
        <v>288.14</v>
      </c>
      <c r="Q310" s="68">
        <f t="shared" ref="Q310:Q341" si="115">ROUND(K310*(1+$Q$3),2)</f>
        <v>298.82</v>
      </c>
      <c r="R310" s="11">
        <f t="shared" ref="R310:R341" si="116">ROUND(K310*(1+$R$3),2)</f>
        <v>309.49</v>
      </c>
      <c r="S310" s="11">
        <f t="shared" si="112"/>
        <v>320.16000000000003</v>
      </c>
      <c r="T310" s="11">
        <f t="shared" ref="T310:T341" si="117">ROUND(K310*(1+$T$3),2)</f>
        <v>341.5</v>
      </c>
      <c r="U310" s="38">
        <f t="shared" si="108"/>
        <v>348.65</v>
      </c>
      <c r="V310" s="38">
        <f t="shared" si="109"/>
        <v>361.57</v>
      </c>
      <c r="W310" s="38">
        <f t="shared" si="110"/>
        <v>374.48</v>
      </c>
      <c r="X310" s="38">
        <f t="shared" si="111"/>
        <v>387.39</v>
      </c>
      <c r="Z310" s="4">
        <f t="shared" ref="Z310:Z341" si="118">J310*K310</f>
        <v>19209.599999999999</v>
      </c>
      <c r="AA310" s="4">
        <f t="shared" ref="AA310:AA341" si="119">J310*N310</f>
        <v>23243.616000000002</v>
      </c>
    </row>
    <row r="311" spans="1:27" x14ac:dyDescent="0.3">
      <c r="A311" s="135"/>
      <c r="C311" s="3" t="s">
        <v>1555</v>
      </c>
      <c r="D311" s="55" t="s">
        <v>1380</v>
      </c>
      <c r="E311" s="55" t="s">
        <v>70</v>
      </c>
      <c r="F311" s="55" t="s">
        <v>1538</v>
      </c>
      <c r="G311" s="56">
        <v>20</v>
      </c>
      <c r="H311" s="49">
        <f>100+100+50+100+54+150+200+300+280+20+100+4+160+30+22+50+65+10+10+30</f>
        <v>1835</v>
      </c>
      <c r="I311" s="50">
        <f>1444+14+50+50+20+4+10+100+28+35+30+10+10+20</f>
        <v>1825</v>
      </c>
      <c r="J311" s="77">
        <f>+H311-I311</f>
        <v>10</v>
      </c>
      <c r="K311" s="31">
        <v>192.49</v>
      </c>
      <c r="L311" s="32">
        <v>44152</v>
      </c>
      <c r="M311" s="33">
        <v>0.21</v>
      </c>
      <c r="N311" s="64">
        <f t="shared" si="101"/>
        <v>232.91290000000001</v>
      </c>
      <c r="O311" s="68">
        <f t="shared" si="113"/>
        <v>250.24</v>
      </c>
      <c r="P311" s="68">
        <f t="shared" si="114"/>
        <v>259.86</v>
      </c>
      <c r="Q311" s="68">
        <f t="shared" si="115"/>
        <v>269.49</v>
      </c>
      <c r="R311" s="11">
        <f t="shared" si="116"/>
        <v>279.11</v>
      </c>
      <c r="S311" s="11">
        <f t="shared" si="112"/>
        <v>288.74</v>
      </c>
      <c r="T311" s="11">
        <f t="shared" si="117"/>
        <v>307.98</v>
      </c>
      <c r="U311" s="38">
        <f t="shared" si="108"/>
        <v>314.43</v>
      </c>
      <c r="V311" s="38">
        <f t="shared" si="109"/>
        <v>326.08</v>
      </c>
      <c r="W311" s="38">
        <f t="shared" si="110"/>
        <v>337.72</v>
      </c>
      <c r="X311" s="38">
        <f t="shared" si="111"/>
        <v>349.37</v>
      </c>
      <c r="Z311" s="4">
        <f t="shared" si="118"/>
        <v>1924.9</v>
      </c>
      <c r="AA311" s="4">
        <f t="shared" si="119"/>
        <v>2329.1289999999999</v>
      </c>
    </row>
    <row r="312" spans="1:27" x14ac:dyDescent="0.3">
      <c r="A312" s="135"/>
      <c r="C312" s="3" t="s">
        <v>1470</v>
      </c>
      <c r="D312" s="91" t="s">
        <v>1503</v>
      </c>
      <c r="E312" s="55"/>
      <c r="F312" s="55" t="s">
        <v>1499</v>
      </c>
      <c r="G312" s="56">
        <v>20</v>
      </c>
      <c r="H312" s="49">
        <f>200+50+30</f>
        <v>280</v>
      </c>
      <c r="I312" s="50">
        <f>100+20+30+50+40+10+20</f>
        <v>270</v>
      </c>
      <c r="J312" s="77">
        <f>+H312-I312</f>
        <v>10</v>
      </c>
      <c r="K312" s="31">
        <v>172</v>
      </c>
      <c r="L312" s="32">
        <v>44076</v>
      </c>
      <c r="M312" s="33">
        <v>0.21</v>
      </c>
      <c r="N312" s="64">
        <f t="shared" si="101"/>
        <v>208.12</v>
      </c>
      <c r="O312" s="68">
        <f t="shared" si="113"/>
        <v>223.6</v>
      </c>
      <c r="P312" s="68">
        <f t="shared" si="114"/>
        <v>232.2</v>
      </c>
      <c r="Q312" s="68">
        <f t="shared" si="115"/>
        <v>240.8</v>
      </c>
      <c r="R312" s="11">
        <f t="shared" si="116"/>
        <v>249.4</v>
      </c>
      <c r="S312" s="11">
        <f t="shared" si="112"/>
        <v>258</v>
      </c>
      <c r="T312" s="11">
        <f t="shared" si="117"/>
        <v>275.2</v>
      </c>
      <c r="U312" s="38">
        <f t="shared" si="108"/>
        <v>280.95999999999998</v>
      </c>
      <c r="V312" s="38">
        <f t="shared" si="109"/>
        <v>291.37</v>
      </c>
      <c r="W312" s="38">
        <f t="shared" si="110"/>
        <v>301.77</v>
      </c>
      <c r="X312" s="38">
        <f t="shared" si="111"/>
        <v>312.18</v>
      </c>
      <c r="Z312" s="4">
        <f t="shared" si="118"/>
        <v>1720</v>
      </c>
      <c r="AA312" s="4">
        <f t="shared" si="119"/>
        <v>2081.1999999999998</v>
      </c>
    </row>
    <row r="313" spans="1:27" x14ac:dyDescent="0.3">
      <c r="A313" s="135"/>
      <c r="C313" s="3" t="s">
        <v>1501</v>
      </c>
      <c r="D313" s="91" t="s">
        <v>1500</v>
      </c>
      <c r="E313" s="55"/>
      <c r="F313" s="55"/>
      <c r="G313" s="56">
        <v>0</v>
      </c>
      <c r="H313" s="49">
        <f>10</f>
        <v>10</v>
      </c>
      <c r="I313" s="50"/>
      <c r="J313" s="77">
        <f>+H313-I313</f>
        <v>10</v>
      </c>
      <c r="K313" s="31">
        <v>181.55</v>
      </c>
      <c r="L313" s="32">
        <v>44057</v>
      </c>
      <c r="M313" s="33">
        <v>0.21</v>
      </c>
      <c r="N313" s="64">
        <f t="shared" si="101"/>
        <v>219.6755</v>
      </c>
      <c r="O313" s="68">
        <f t="shared" si="113"/>
        <v>236.02</v>
      </c>
      <c r="P313" s="68">
        <f t="shared" si="114"/>
        <v>245.09</v>
      </c>
      <c r="Q313" s="68">
        <f t="shared" si="115"/>
        <v>254.17</v>
      </c>
      <c r="R313" s="11">
        <f t="shared" si="116"/>
        <v>263.25</v>
      </c>
      <c r="S313" s="11">
        <f t="shared" si="112"/>
        <v>272.33</v>
      </c>
      <c r="T313" s="11">
        <f t="shared" si="117"/>
        <v>290.48</v>
      </c>
      <c r="U313" s="38">
        <f t="shared" si="108"/>
        <v>296.56</v>
      </c>
      <c r="V313" s="38">
        <f t="shared" si="109"/>
        <v>307.55</v>
      </c>
      <c r="W313" s="38">
        <f t="shared" si="110"/>
        <v>318.52999999999997</v>
      </c>
      <c r="X313" s="38">
        <f t="shared" si="111"/>
        <v>329.51</v>
      </c>
      <c r="Z313" s="4">
        <f t="shared" si="118"/>
        <v>1815.5</v>
      </c>
      <c r="AA313" s="4">
        <f t="shared" si="119"/>
        <v>2196.7550000000001</v>
      </c>
    </row>
    <row r="314" spans="1:27" x14ac:dyDescent="0.3">
      <c r="A314" s="135"/>
      <c r="B314" s="125"/>
      <c r="C314" s="3" t="s">
        <v>444</v>
      </c>
      <c r="D314" s="55" t="s">
        <v>205</v>
      </c>
      <c r="E314" s="55" t="s">
        <v>362</v>
      </c>
      <c r="F314" s="55" t="s">
        <v>250</v>
      </c>
      <c r="G314" s="56">
        <v>0</v>
      </c>
      <c r="H314" s="49">
        <f>10+30+20+2+20+10+10</f>
        <v>102</v>
      </c>
      <c r="I314" s="50">
        <f>3+5+30+2+20+2+8+12+10</f>
        <v>92</v>
      </c>
      <c r="J314" s="77">
        <f>+H314-I314</f>
        <v>10</v>
      </c>
      <c r="K314" s="31">
        <v>371.6</v>
      </c>
      <c r="L314" s="32">
        <v>44056</v>
      </c>
      <c r="M314" s="33">
        <v>0.21</v>
      </c>
      <c r="N314" s="64">
        <f t="shared" si="101"/>
        <v>449.63600000000002</v>
      </c>
      <c r="O314" s="68">
        <f t="shared" si="113"/>
        <v>483.08</v>
      </c>
      <c r="P314" s="68">
        <f t="shared" si="114"/>
        <v>501.66</v>
      </c>
      <c r="Q314" s="68">
        <f t="shared" si="115"/>
        <v>520.24</v>
      </c>
      <c r="R314" s="11">
        <f t="shared" si="116"/>
        <v>538.82000000000005</v>
      </c>
      <c r="S314" s="11">
        <f t="shared" si="112"/>
        <v>557.4</v>
      </c>
      <c r="T314" s="11">
        <f t="shared" si="117"/>
        <v>594.55999999999995</v>
      </c>
      <c r="U314" s="38">
        <f t="shared" si="108"/>
        <v>607.01</v>
      </c>
      <c r="V314" s="38">
        <f t="shared" si="109"/>
        <v>629.49</v>
      </c>
      <c r="W314" s="38">
        <f t="shared" si="110"/>
        <v>651.97</v>
      </c>
      <c r="X314" s="38">
        <f t="shared" si="111"/>
        <v>674.45</v>
      </c>
      <c r="Z314" s="4">
        <f t="shared" si="118"/>
        <v>3716</v>
      </c>
      <c r="AA314" s="4">
        <f t="shared" si="119"/>
        <v>4496.3600000000006</v>
      </c>
    </row>
    <row r="315" spans="1:27" x14ac:dyDescent="0.3">
      <c r="A315" s="135"/>
      <c r="B315" s="125"/>
      <c r="C315" s="3" t="s">
        <v>314</v>
      </c>
      <c r="D315" s="55" t="s">
        <v>201</v>
      </c>
      <c r="E315" s="55" t="s">
        <v>362</v>
      </c>
      <c r="F315" s="55" t="s">
        <v>250</v>
      </c>
      <c r="G315" s="56">
        <v>30</v>
      </c>
      <c r="H315" s="49">
        <f>12+18+20+20+70+60+30+20+30+30+50+20+20+30+5+15+30</f>
        <v>480</v>
      </c>
      <c r="I315" s="50">
        <f>17+6+7+6+14+20+30+20+14+6+30+20+20+6+20+10+20+14+20+5+5+20+20+20+10+10+10+20+30+5+10</f>
        <v>465</v>
      </c>
      <c r="J315" s="77">
        <f>+H315-I315</f>
        <v>15</v>
      </c>
      <c r="K315" s="31">
        <v>100.72</v>
      </c>
      <c r="L315" s="32">
        <v>44207</v>
      </c>
      <c r="M315" s="33">
        <v>0.21</v>
      </c>
      <c r="N315" s="64">
        <f t="shared" si="101"/>
        <v>121.8712</v>
      </c>
      <c r="O315" s="68">
        <f t="shared" si="113"/>
        <v>130.94</v>
      </c>
      <c r="P315" s="68">
        <f t="shared" si="114"/>
        <v>135.97</v>
      </c>
      <c r="Q315" s="68">
        <f t="shared" si="115"/>
        <v>141.01</v>
      </c>
      <c r="R315" s="11">
        <f t="shared" si="116"/>
        <v>146.04</v>
      </c>
      <c r="S315" s="11">
        <f t="shared" si="112"/>
        <v>151.08000000000001</v>
      </c>
      <c r="T315" s="11">
        <f t="shared" si="117"/>
        <v>161.15</v>
      </c>
      <c r="U315" s="38">
        <f t="shared" si="108"/>
        <v>164.53</v>
      </c>
      <c r="V315" s="38">
        <f t="shared" si="109"/>
        <v>170.62</v>
      </c>
      <c r="W315" s="38">
        <f t="shared" si="110"/>
        <v>176.71</v>
      </c>
      <c r="X315" s="38">
        <f t="shared" si="111"/>
        <v>182.81</v>
      </c>
      <c r="Z315" s="4">
        <f t="shared" si="118"/>
        <v>1510.8</v>
      </c>
      <c r="AA315" s="4">
        <f t="shared" si="119"/>
        <v>1828.068</v>
      </c>
    </row>
    <row r="316" spans="1:27" x14ac:dyDescent="0.3">
      <c r="A316" s="135"/>
      <c r="B316" s="125"/>
      <c r="C316" s="3" t="s">
        <v>272</v>
      </c>
      <c r="D316" s="55" t="s">
        <v>618</v>
      </c>
      <c r="E316" s="55" t="s">
        <v>70</v>
      </c>
      <c r="F316" s="55" t="s">
        <v>1478</v>
      </c>
      <c r="G316" s="56">
        <v>0</v>
      </c>
      <c r="H316" s="49">
        <f>6+3+6+3+3</f>
        <v>21</v>
      </c>
      <c r="I316" s="50">
        <f>0+2+3+2+2+4+2+3</f>
        <v>18</v>
      </c>
      <c r="J316" s="77">
        <f>+H316-I316</f>
        <v>3</v>
      </c>
      <c r="K316" s="31">
        <v>580</v>
      </c>
      <c r="L316" s="32">
        <v>44041</v>
      </c>
      <c r="M316" s="33">
        <v>0.21</v>
      </c>
      <c r="N316" s="64">
        <f t="shared" si="101"/>
        <v>701.8</v>
      </c>
      <c r="O316" s="68">
        <f t="shared" si="113"/>
        <v>754</v>
      </c>
      <c r="P316" s="68">
        <f t="shared" si="114"/>
        <v>783</v>
      </c>
      <c r="Q316" s="68">
        <f t="shared" si="115"/>
        <v>812</v>
      </c>
      <c r="R316" s="11">
        <f t="shared" si="116"/>
        <v>841</v>
      </c>
      <c r="S316" s="11">
        <f t="shared" si="112"/>
        <v>870</v>
      </c>
      <c r="T316" s="11">
        <f t="shared" si="117"/>
        <v>928</v>
      </c>
      <c r="U316" s="38">
        <f t="shared" si="108"/>
        <v>947.43</v>
      </c>
      <c r="V316" s="38">
        <f t="shared" si="109"/>
        <v>982.52</v>
      </c>
      <c r="W316" s="38">
        <f t="shared" si="110"/>
        <v>1017.61</v>
      </c>
      <c r="X316" s="38">
        <f t="shared" si="111"/>
        <v>1052.7</v>
      </c>
      <c r="Z316" s="4">
        <f t="shared" si="118"/>
        <v>1740</v>
      </c>
      <c r="AA316" s="4">
        <f t="shared" si="119"/>
        <v>2105.3999999999996</v>
      </c>
    </row>
    <row r="317" spans="1:27" x14ac:dyDescent="0.3">
      <c r="B317" s="125"/>
      <c r="C317" s="3" t="s">
        <v>1270</v>
      </c>
      <c r="D317" s="55"/>
      <c r="E317" s="55"/>
      <c r="F317" s="55" t="s">
        <v>282</v>
      </c>
      <c r="G317" s="56">
        <v>2</v>
      </c>
      <c r="H317" s="49">
        <f>5+2</f>
        <v>7</v>
      </c>
      <c r="I317" s="50">
        <f>1+1+3</f>
        <v>5</v>
      </c>
      <c r="J317" s="77">
        <f>+H317-I317</f>
        <v>2</v>
      </c>
      <c r="K317" s="31">
        <v>390</v>
      </c>
      <c r="L317" s="32">
        <v>44210</v>
      </c>
      <c r="M317" s="33">
        <v>0.21</v>
      </c>
      <c r="N317" s="64">
        <f t="shared" si="101"/>
        <v>471.9</v>
      </c>
      <c r="O317" s="68">
        <f t="shared" si="113"/>
        <v>507</v>
      </c>
      <c r="P317" s="68">
        <f t="shared" si="114"/>
        <v>526.5</v>
      </c>
      <c r="Q317" s="68">
        <f t="shared" si="115"/>
        <v>546</v>
      </c>
      <c r="R317" s="11">
        <f t="shared" si="116"/>
        <v>565.5</v>
      </c>
      <c r="S317" s="11">
        <f t="shared" si="112"/>
        <v>585</v>
      </c>
      <c r="T317" s="11">
        <f t="shared" si="117"/>
        <v>624</v>
      </c>
      <c r="U317" s="38">
        <f t="shared" si="108"/>
        <v>637.07000000000005</v>
      </c>
      <c r="V317" s="38">
        <f t="shared" si="109"/>
        <v>660.66</v>
      </c>
      <c r="W317" s="38">
        <f t="shared" si="110"/>
        <v>684.26</v>
      </c>
      <c r="X317" s="38">
        <f t="shared" si="111"/>
        <v>707.85</v>
      </c>
      <c r="Z317" s="4">
        <f t="shared" si="118"/>
        <v>780</v>
      </c>
      <c r="AA317" s="4">
        <f t="shared" si="119"/>
        <v>943.8</v>
      </c>
    </row>
    <row r="318" spans="1:27" x14ac:dyDescent="0.3">
      <c r="C318" s="3" t="s">
        <v>752</v>
      </c>
      <c r="D318" s="55" t="s">
        <v>753</v>
      </c>
      <c r="E318" s="55" t="s">
        <v>1186</v>
      </c>
      <c r="F318" s="55" t="s">
        <v>282</v>
      </c>
      <c r="G318" s="56">
        <v>2</v>
      </c>
      <c r="H318" s="49">
        <f>1</f>
        <v>1</v>
      </c>
      <c r="I318" s="50">
        <f>1</f>
        <v>1</v>
      </c>
      <c r="J318" s="77">
        <f>+H318-I318</f>
        <v>0</v>
      </c>
      <c r="K318" s="31">
        <v>1332</v>
      </c>
      <c r="L318" s="32">
        <v>44044</v>
      </c>
      <c r="M318" s="33">
        <v>0.21</v>
      </c>
      <c r="N318" s="64">
        <f t="shared" si="101"/>
        <v>1611.72</v>
      </c>
      <c r="O318" s="68">
        <f t="shared" si="113"/>
        <v>1731.6</v>
      </c>
      <c r="P318" s="68">
        <f t="shared" si="114"/>
        <v>1798.2</v>
      </c>
      <c r="Q318" s="68">
        <f t="shared" si="115"/>
        <v>1864.8</v>
      </c>
      <c r="R318" s="11">
        <f t="shared" si="116"/>
        <v>1931.4</v>
      </c>
      <c r="S318" s="11">
        <f t="shared" si="112"/>
        <v>1998</v>
      </c>
      <c r="T318" s="11">
        <f t="shared" si="117"/>
        <v>2131.1999999999998</v>
      </c>
      <c r="U318" s="38">
        <f t="shared" si="108"/>
        <v>2175.8200000000002</v>
      </c>
      <c r="V318" s="38">
        <f t="shared" si="109"/>
        <v>2256.41</v>
      </c>
      <c r="W318" s="38">
        <f t="shared" si="110"/>
        <v>2336.9899999999998</v>
      </c>
      <c r="X318" s="38">
        <f t="shared" si="111"/>
        <v>2417.58</v>
      </c>
      <c r="Z318" s="4">
        <f t="shared" si="118"/>
        <v>0</v>
      </c>
      <c r="AA318" s="4">
        <f t="shared" si="119"/>
        <v>0</v>
      </c>
    </row>
    <row r="319" spans="1:27" x14ac:dyDescent="0.3">
      <c r="B319" s="125"/>
      <c r="C319" s="3" t="s">
        <v>1295</v>
      </c>
      <c r="D319" s="55"/>
      <c r="E319" s="55" t="s">
        <v>362</v>
      </c>
      <c r="F319" s="55" t="s">
        <v>757</v>
      </c>
      <c r="G319" s="56">
        <v>20</v>
      </c>
      <c r="H319" s="49">
        <f>200+100+100</f>
        <v>400</v>
      </c>
      <c r="I319" s="50">
        <f>50+10+25+4+40+20+5+15+15+6+15+15+15+15+1+15+8+26+15+10+30</f>
        <v>355</v>
      </c>
      <c r="J319" s="77">
        <f>+H319-I319</f>
        <v>45</v>
      </c>
      <c r="K319" s="31">
        <v>38.5</v>
      </c>
      <c r="L319" s="32">
        <v>44168</v>
      </c>
      <c r="M319" s="33">
        <v>0.21</v>
      </c>
      <c r="N319" s="64">
        <f t="shared" si="101"/>
        <v>46.585000000000001</v>
      </c>
      <c r="O319" s="68">
        <f t="shared" si="113"/>
        <v>50.05</v>
      </c>
      <c r="P319" s="68">
        <f t="shared" si="114"/>
        <v>51.98</v>
      </c>
      <c r="Q319" s="68">
        <f t="shared" si="115"/>
        <v>53.9</v>
      </c>
      <c r="R319" s="11">
        <f t="shared" si="116"/>
        <v>55.83</v>
      </c>
      <c r="S319" s="11">
        <f t="shared" si="112"/>
        <v>57.75</v>
      </c>
      <c r="T319" s="11">
        <f t="shared" si="117"/>
        <v>61.6</v>
      </c>
      <c r="U319" s="38">
        <f t="shared" si="108"/>
        <v>62.89</v>
      </c>
      <c r="V319" s="38">
        <f t="shared" si="109"/>
        <v>65.22</v>
      </c>
      <c r="W319" s="38">
        <f t="shared" si="110"/>
        <v>67.55</v>
      </c>
      <c r="X319" s="38">
        <f t="shared" si="111"/>
        <v>69.88</v>
      </c>
      <c r="Z319" s="4">
        <f t="shared" si="118"/>
        <v>1732.5</v>
      </c>
      <c r="AA319" s="4">
        <f t="shared" si="119"/>
        <v>2096.3249999999998</v>
      </c>
    </row>
    <row r="320" spans="1:27" x14ac:dyDescent="0.3">
      <c r="C320" s="3" t="s">
        <v>743</v>
      </c>
      <c r="D320" s="55"/>
      <c r="E320" s="55" t="s">
        <v>370</v>
      </c>
      <c r="F320" s="55" t="s">
        <v>304</v>
      </c>
      <c r="G320" s="56">
        <v>0</v>
      </c>
      <c r="H320" s="49">
        <f>6+6</f>
        <v>12</v>
      </c>
      <c r="I320" s="50">
        <f>2</f>
        <v>2</v>
      </c>
      <c r="J320" s="77">
        <f>+H320-I320</f>
        <v>10</v>
      </c>
      <c r="K320" s="31">
        <v>265</v>
      </c>
      <c r="L320" s="32">
        <v>44044</v>
      </c>
      <c r="M320" s="33">
        <v>0.21</v>
      </c>
      <c r="N320" s="64">
        <f t="shared" si="101"/>
        <v>320.64999999999998</v>
      </c>
      <c r="O320" s="68">
        <f t="shared" si="113"/>
        <v>344.5</v>
      </c>
      <c r="P320" s="68">
        <f t="shared" si="114"/>
        <v>357.75</v>
      </c>
      <c r="Q320" s="68">
        <f t="shared" si="115"/>
        <v>371</v>
      </c>
      <c r="R320" s="11">
        <f t="shared" si="116"/>
        <v>384.25</v>
      </c>
      <c r="S320" s="11">
        <f t="shared" si="112"/>
        <v>397.5</v>
      </c>
      <c r="T320" s="11">
        <f t="shared" si="117"/>
        <v>424</v>
      </c>
      <c r="U320" s="38">
        <f t="shared" si="108"/>
        <v>432.88</v>
      </c>
      <c r="V320" s="38">
        <f t="shared" si="109"/>
        <v>448.91</v>
      </c>
      <c r="W320" s="38">
        <f t="shared" si="110"/>
        <v>464.94</v>
      </c>
      <c r="X320" s="38">
        <f t="shared" si="111"/>
        <v>480.98</v>
      </c>
      <c r="Z320" s="4">
        <f t="shared" si="118"/>
        <v>2650</v>
      </c>
      <c r="AA320" s="4">
        <f t="shared" si="119"/>
        <v>3206.5</v>
      </c>
    </row>
    <row r="321" spans="1:27" x14ac:dyDescent="0.3">
      <c r="A321" s="135"/>
      <c r="B321" s="125"/>
      <c r="C321" s="3" t="s">
        <v>1242</v>
      </c>
      <c r="D321" s="55" t="s">
        <v>1172</v>
      </c>
      <c r="E321" s="55" t="s">
        <v>965</v>
      </c>
      <c r="F321" s="55" t="s">
        <v>1171</v>
      </c>
      <c r="G321" s="56">
        <v>200</v>
      </c>
      <c r="H321" s="49">
        <f>710</f>
        <v>710</v>
      </c>
      <c r="I321" s="50">
        <f>10+600+70</f>
        <v>680</v>
      </c>
      <c r="J321" s="77">
        <f>H321-I321</f>
        <v>30</v>
      </c>
      <c r="K321" s="31">
        <v>6.3</v>
      </c>
      <c r="L321" s="32">
        <v>44239</v>
      </c>
      <c r="M321" s="33">
        <v>0.21</v>
      </c>
      <c r="N321" s="64">
        <f t="shared" si="101"/>
        <v>7.6229999999999993</v>
      </c>
      <c r="O321" s="68">
        <f t="shared" si="113"/>
        <v>8.19</v>
      </c>
      <c r="P321" s="68">
        <f t="shared" si="114"/>
        <v>8.51</v>
      </c>
      <c r="Q321" s="68">
        <f t="shared" si="115"/>
        <v>8.82</v>
      </c>
      <c r="R321" s="11">
        <f t="shared" si="116"/>
        <v>9.14</v>
      </c>
      <c r="S321" s="11">
        <f t="shared" si="112"/>
        <v>9.4499999999999993</v>
      </c>
      <c r="T321" s="11">
        <f t="shared" si="117"/>
        <v>10.08</v>
      </c>
      <c r="U321" s="38">
        <f t="shared" si="108"/>
        <v>10.29</v>
      </c>
      <c r="V321" s="38">
        <f t="shared" si="109"/>
        <v>10.67</v>
      </c>
      <c r="W321" s="38">
        <f t="shared" si="110"/>
        <v>11.05</v>
      </c>
      <c r="X321" s="38">
        <f t="shared" si="111"/>
        <v>11.43</v>
      </c>
      <c r="Z321" s="4">
        <f t="shared" si="118"/>
        <v>189</v>
      </c>
      <c r="AA321" s="4">
        <f t="shared" si="119"/>
        <v>228.68999999999997</v>
      </c>
    </row>
    <row r="322" spans="1:27" x14ac:dyDescent="0.3">
      <c r="A322" s="135"/>
      <c r="B322" s="125"/>
      <c r="C322" s="3" t="s">
        <v>1414</v>
      </c>
      <c r="D322" s="55"/>
      <c r="E322" s="55"/>
      <c r="F322" s="55" t="s">
        <v>1404</v>
      </c>
      <c r="G322" s="56">
        <v>200</v>
      </c>
      <c r="H322" s="49">
        <f>17+65+50+300</f>
        <v>432</v>
      </c>
      <c r="I322" s="50">
        <f>30+30+15+7+50+100+60+50+88</f>
        <v>430</v>
      </c>
      <c r="J322" s="77">
        <f>+H322-I322</f>
        <v>2</v>
      </c>
      <c r="K322" s="31">
        <v>11.32</v>
      </c>
      <c r="L322" s="32">
        <v>44238</v>
      </c>
      <c r="M322" s="33">
        <v>0.21</v>
      </c>
      <c r="N322" s="64">
        <f t="shared" si="101"/>
        <v>13.6972</v>
      </c>
      <c r="O322" s="68">
        <f t="shared" si="113"/>
        <v>14.72</v>
      </c>
      <c r="P322" s="68">
        <f t="shared" si="114"/>
        <v>15.28</v>
      </c>
      <c r="Q322" s="68">
        <f t="shared" si="115"/>
        <v>15.85</v>
      </c>
      <c r="R322" s="11">
        <f t="shared" si="116"/>
        <v>16.41</v>
      </c>
      <c r="S322" s="11">
        <f t="shared" si="112"/>
        <v>16.98</v>
      </c>
      <c r="T322" s="11">
        <f t="shared" si="117"/>
        <v>18.11</v>
      </c>
      <c r="U322" s="38">
        <f t="shared" si="108"/>
        <v>18.489999999999998</v>
      </c>
      <c r="V322" s="38">
        <f t="shared" si="109"/>
        <v>19.18</v>
      </c>
      <c r="W322" s="38">
        <f t="shared" si="110"/>
        <v>19.86</v>
      </c>
      <c r="X322" s="38">
        <f t="shared" si="111"/>
        <v>20.55</v>
      </c>
      <c r="Z322" s="4">
        <f t="shared" si="118"/>
        <v>22.64</v>
      </c>
      <c r="AA322" s="4">
        <f t="shared" si="119"/>
        <v>27.394400000000001</v>
      </c>
    </row>
    <row r="323" spans="1:27" x14ac:dyDescent="0.3">
      <c r="A323" s="135"/>
      <c r="B323" s="125"/>
      <c r="C323" s="3" t="s">
        <v>1173</v>
      </c>
      <c r="D323" s="55" t="s">
        <v>1341</v>
      </c>
      <c r="E323" s="55" t="s">
        <v>362</v>
      </c>
      <c r="F323" s="55" t="s">
        <v>1171</v>
      </c>
      <c r="G323" s="56">
        <v>200</v>
      </c>
      <c r="H323" s="49">
        <f>280+1000+200+3+60+300+300</f>
        <v>2143</v>
      </c>
      <c r="I323" s="50">
        <f>30+10+5+10+30+35+20+50+85+100+200+100+100+100+50+100+50+20+109+200+20+40+5+2+50+22+40+50+60+30+120</f>
        <v>1843</v>
      </c>
      <c r="J323" s="77">
        <f>+H323-I323</f>
        <v>300</v>
      </c>
      <c r="K323" s="31">
        <v>9.17</v>
      </c>
      <c r="L323" s="32">
        <v>44250</v>
      </c>
      <c r="M323" s="33">
        <v>0.21</v>
      </c>
      <c r="N323" s="64">
        <f t="shared" si="101"/>
        <v>11.095699999999999</v>
      </c>
      <c r="O323" s="68">
        <f t="shared" si="113"/>
        <v>11.92</v>
      </c>
      <c r="P323" s="68">
        <f t="shared" si="114"/>
        <v>12.38</v>
      </c>
      <c r="Q323" s="68">
        <f t="shared" si="115"/>
        <v>12.84</v>
      </c>
      <c r="R323" s="11">
        <f t="shared" si="116"/>
        <v>13.3</v>
      </c>
      <c r="S323" s="11">
        <f t="shared" si="112"/>
        <v>13.76</v>
      </c>
      <c r="T323" s="11">
        <f t="shared" si="117"/>
        <v>14.67</v>
      </c>
      <c r="U323" s="38">
        <f t="shared" si="108"/>
        <v>14.98</v>
      </c>
      <c r="V323" s="38">
        <f t="shared" si="109"/>
        <v>15.53</v>
      </c>
      <c r="W323" s="38">
        <f t="shared" si="110"/>
        <v>16.09</v>
      </c>
      <c r="X323" s="38">
        <f t="shared" si="111"/>
        <v>16.64</v>
      </c>
      <c r="Z323" s="4">
        <f t="shared" si="118"/>
        <v>2751</v>
      </c>
      <c r="AA323" s="4">
        <f t="shared" si="119"/>
        <v>3328.7099999999996</v>
      </c>
    </row>
    <row r="324" spans="1:27" x14ac:dyDescent="0.3">
      <c r="A324" s="135"/>
      <c r="B324" s="125"/>
      <c r="C324" s="3" t="s">
        <v>1330</v>
      </c>
      <c r="D324" s="55" t="s">
        <v>1050</v>
      </c>
      <c r="E324" s="55" t="s">
        <v>362</v>
      </c>
      <c r="F324" s="55" t="s">
        <v>1171</v>
      </c>
      <c r="G324" s="56">
        <v>200</v>
      </c>
      <c r="H324" s="49">
        <f>38+500</f>
        <v>538</v>
      </c>
      <c r="I324" s="50">
        <f>20+18+40+50+30+25+7+50+5+5+5+50+50+5+100+25+7</f>
        <v>492</v>
      </c>
      <c r="J324" s="77">
        <f>+H324-I324</f>
        <v>46</v>
      </c>
      <c r="K324" s="31">
        <v>8.5</v>
      </c>
      <c r="L324" s="32">
        <v>44137</v>
      </c>
      <c r="M324" s="33">
        <v>0.21</v>
      </c>
      <c r="N324" s="64">
        <f t="shared" si="101"/>
        <v>10.285</v>
      </c>
      <c r="O324" s="68">
        <f t="shared" si="113"/>
        <v>11.05</v>
      </c>
      <c r="P324" s="68">
        <f t="shared" si="114"/>
        <v>11.48</v>
      </c>
      <c r="Q324" s="68">
        <f t="shared" si="115"/>
        <v>11.9</v>
      </c>
      <c r="R324" s="11">
        <f t="shared" si="116"/>
        <v>12.33</v>
      </c>
      <c r="S324" s="11">
        <f t="shared" si="112"/>
        <v>12.75</v>
      </c>
      <c r="T324" s="11">
        <f t="shared" si="117"/>
        <v>13.6</v>
      </c>
      <c r="U324" s="38">
        <f t="shared" si="108"/>
        <v>13.88</v>
      </c>
      <c r="V324" s="38">
        <f t="shared" si="109"/>
        <v>14.4</v>
      </c>
      <c r="W324" s="38">
        <f t="shared" si="110"/>
        <v>14.91</v>
      </c>
      <c r="X324" s="38">
        <f t="shared" si="111"/>
        <v>15.43</v>
      </c>
      <c r="Z324" s="4">
        <f t="shared" si="118"/>
        <v>391</v>
      </c>
      <c r="AA324" s="4">
        <f t="shared" si="119"/>
        <v>473.11</v>
      </c>
    </row>
    <row r="325" spans="1:27" x14ac:dyDescent="0.3">
      <c r="A325" s="135"/>
      <c r="B325" s="125"/>
      <c r="C325" s="3" t="s">
        <v>1401</v>
      </c>
      <c r="D325" s="55" t="s">
        <v>1444</v>
      </c>
      <c r="E325" s="55" t="s">
        <v>70</v>
      </c>
      <c r="F325" s="55" t="s">
        <v>1254</v>
      </c>
      <c r="G325" s="56">
        <v>3</v>
      </c>
      <c r="H325" s="49">
        <f>10+1+5+2+5</f>
        <v>23</v>
      </c>
      <c r="I325" s="50">
        <f>4+2+1+3+1+2+2+1+2+2</f>
        <v>20</v>
      </c>
      <c r="J325" s="77">
        <f>+H325-I325</f>
        <v>3</v>
      </c>
      <c r="K325" s="31">
        <v>673</v>
      </c>
      <c r="L325" s="32">
        <v>44175</v>
      </c>
      <c r="M325" s="33">
        <v>0.21</v>
      </c>
      <c r="N325" s="64">
        <f t="shared" si="101"/>
        <v>814.32999999999993</v>
      </c>
      <c r="O325" s="68">
        <f t="shared" si="113"/>
        <v>874.9</v>
      </c>
      <c r="P325" s="68">
        <f t="shared" si="114"/>
        <v>908.55</v>
      </c>
      <c r="Q325" s="68">
        <f t="shared" si="115"/>
        <v>942.2</v>
      </c>
      <c r="R325" s="11">
        <f t="shared" si="116"/>
        <v>975.85</v>
      </c>
      <c r="S325" s="11">
        <f t="shared" si="112"/>
        <v>1009.5</v>
      </c>
      <c r="T325" s="11">
        <f t="shared" si="117"/>
        <v>1076.8</v>
      </c>
      <c r="U325" s="38">
        <f t="shared" si="108"/>
        <v>1099.3499999999999</v>
      </c>
      <c r="V325" s="38">
        <f t="shared" si="109"/>
        <v>1140.06</v>
      </c>
      <c r="W325" s="38">
        <f t="shared" si="110"/>
        <v>1180.78</v>
      </c>
      <c r="X325" s="38">
        <f t="shared" si="111"/>
        <v>1221.5</v>
      </c>
      <c r="Z325" s="4">
        <f t="shared" si="118"/>
        <v>2019</v>
      </c>
      <c r="AA325" s="4">
        <f t="shared" si="119"/>
        <v>2442.9899999999998</v>
      </c>
    </row>
    <row r="326" spans="1:27" x14ac:dyDescent="0.3">
      <c r="A326" s="135"/>
      <c r="B326" s="125"/>
      <c r="C326" s="3" t="s">
        <v>1474</v>
      </c>
      <c r="D326" s="55" t="s">
        <v>1444</v>
      </c>
      <c r="E326" s="55"/>
      <c r="F326" s="55" t="s">
        <v>1600</v>
      </c>
      <c r="G326" s="56">
        <v>3</v>
      </c>
      <c r="H326" s="49">
        <f>5+5+5+30</f>
        <v>45</v>
      </c>
      <c r="I326" s="50">
        <f>4+1+1+1+3+3+2</f>
        <v>15</v>
      </c>
      <c r="J326" s="77">
        <f>+H326-I326</f>
        <v>30</v>
      </c>
      <c r="K326" s="31">
        <v>751</v>
      </c>
      <c r="L326" s="32">
        <v>44250</v>
      </c>
      <c r="M326" s="33">
        <v>0.21</v>
      </c>
      <c r="N326" s="64">
        <f t="shared" si="101"/>
        <v>908.70999999999992</v>
      </c>
      <c r="O326" s="68">
        <f t="shared" si="113"/>
        <v>976.3</v>
      </c>
      <c r="P326" s="68">
        <f t="shared" si="114"/>
        <v>1013.85</v>
      </c>
      <c r="Q326" s="68">
        <f t="shared" si="115"/>
        <v>1051.4000000000001</v>
      </c>
      <c r="R326" s="11">
        <f t="shared" si="116"/>
        <v>1088.95</v>
      </c>
      <c r="S326" s="11">
        <f t="shared" si="112"/>
        <v>1126.5</v>
      </c>
      <c r="T326" s="11">
        <f t="shared" si="117"/>
        <v>1201.5999999999999</v>
      </c>
      <c r="U326" s="38">
        <f t="shared" si="108"/>
        <v>1226.76</v>
      </c>
      <c r="V326" s="38">
        <f t="shared" si="109"/>
        <v>1272.19</v>
      </c>
      <c r="W326" s="38">
        <f t="shared" si="110"/>
        <v>1317.63</v>
      </c>
      <c r="X326" s="38">
        <f t="shared" si="111"/>
        <v>1363.07</v>
      </c>
      <c r="Z326" s="4">
        <f t="shared" si="118"/>
        <v>22530</v>
      </c>
      <c r="AA326" s="4">
        <f t="shared" si="119"/>
        <v>27261.3</v>
      </c>
    </row>
    <row r="327" spans="1:27" x14ac:dyDescent="0.3">
      <c r="A327" s="135"/>
      <c r="B327" s="125"/>
      <c r="C327" s="3" t="s">
        <v>1261</v>
      </c>
      <c r="D327" s="55" t="s">
        <v>1444</v>
      </c>
      <c r="E327" s="55" t="s">
        <v>70</v>
      </c>
      <c r="F327" s="55" t="s">
        <v>273</v>
      </c>
      <c r="G327" s="56">
        <v>3</v>
      </c>
      <c r="H327" s="49">
        <f>2+2+2+3+5+5</f>
        <v>19</v>
      </c>
      <c r="I327" s="50">
        <f>2+4+2+1+2+2+1+1</f>
        <v>15</v>
      </c>
      <c r="J327" s="77">
        <f>+H327-I327</f>
        <v>4</v>
      </c>
      <c r="K327" s="31">
        <v>740</v>
      </c>
      <c r="L327" s="32">
        <v>44137</v>
      </c>
      <c r="M327" s="33">
        <v>0.21</v>
      </c>
      <c r="N327" s="64">
        <f t="shared" si="101"/>
        <v>895.4</v>
      </c>
      <c r="O327" s="68">
        <f t="shared" si="113"/>
        <v>962</v>
      </c>
      <c r="P327" s="68">
        <f t="shared" si="114"/>
        <v>999</v>
      </c>
      <c r="Q327" s="68">
        <f t="shared" si="115"/>
        <v>1036</v>
      </c>
      <c r="R327" s="11">
        <f t="shared" si="116"/>
        <v>1073</v>
      </c>
      <c r="S327" s="11">
        <f t="shared" si="112"/>
        <v>1110</v>
      </c>
      <c r="T327" s="11">
        <f t="shared" si="117"/>
        <v>1184</v>
      </c>
      <c r="U327" s="38">
        <f t="shared" si="108"/>
        <v>1208.79</v>
      </c>
      <c r="V327" s="38">
        <f t="shared" si="109"/>
        <v>1253.56</v>
      </c>
      <c r="W327" s="38">
        <f t="shared" si="110"/>
        <v>1298.33</v>
      </c>
      <c r="X327" s="38">
        <f t="shared" si="111"/>
        <v>1343.1</v>
      </c>
      <c r="Z327" s="4">
        <f t="shared" si="118"/>
        <v>2960</v>
      </c>
      <c r="AA327" s="4">
        <f t="shared" si="119"/>
        <v>3581.6</v>
      </c>
    </row>
    <row r="328" spans="1:27" x14ac:dyDescent="0.3">
      <c r="A328" s="135"/>
      <c r="B328" s="125"/>
      <c r="C328" s="3" t="s">
        <v>367</v>
      </c>
      <c r="D328" s="55" t="s">
        <v>59</v>
      </c>
      <c r="E328" s="55" t="s">
        <v>273</v>
      </c>
      <c r="F328" s="55" t="s">
        <v>273</v>
      </c>
      <c r="G328" s="56">
        <v>60</v>
      </c>
      <c r="H328" s="49">
        <f>150+120+150+10+100+150+120+120+150+150+150+90+90+90+90+10+120+120+120+120+30+120+120+60+120+120+150</f>
        <v>2940</v>
      </c>
      <c r="I328" s="50">
        <f>2077+15+1+20+20+5+1+30+5+1+35+35+1+40+40+40+4+30+1+40+30+30+40+20+1+40+40+28+40+5+40+35+40</f>
        <v>2830</v>
      </c>
      <c r="J328" s="77">
        <f>+H328-I328</f>
        <v>110</v>
      </c>
      <c r="K328" s="31">
        <v>810</v>
      </c>
      <c r="L328" s="32">
        <v>44238</v>
      </c>
      <c r="M328" s="33">
        <v>0.21</v>
      </c>
      <c r="N328" s="64">
        <f t="shared" si="101"/>
        <v>980.1</v>
      </c>
      <c r="O328" s="68">
        <f t="shared" si="113"/>
        <v>1053</v>
      </c>
      <c r="P328" s="68">
        <f t="shared" si="114"/>
        <v>1093.5</v>
      </c>
      <c r="Q328" s="68">
        <f t="shared" si="115"/>
        <v>1134</v>
      </c>
      <c r="R328" s="11">
        <f t="shared" si="116"/>
        <v>1174.5</v>
      </c>
      <c r="S328" s="11">
        <f t="shared" si="112"/>
        <v>1215</v>
      </c>
      <c r="T328" s="11">
        <f t="shared" si="117"/>
        <v>1296</v>
      </c>
      <c r="U328" s="38">
        <f t="shared" si="108"/>
        <v>1323.14</v>
      </c>
      <c r="V328" s="38">
        <f t="shared" si="109"/>
        <v>1372.14</v>
      </c>
      <c r="W328" s="38">
        <f t="shared" si="110"/>
        <v>1421.15</v>
      </c>
      <c r="X328" s="38">
        <f t="shared" si="111"/>
        <v>1470.15</v>
      </c>
      <c r="Z328" s="4">
        <f t="shared" si="118"/>
        <v>89100</v>
      </c>
      <c r="AA328" s="4">
        <f t="shared" si="119"/>
        <v>107811</v>
      </c>
    </row>
    <row r="329" spans="1:27" x14ac:dyDescent="0.3">
      <c r="A329" s="135"/>
      <c r="B329" s="125"/>
      <c r="C329" s="3" t="s">
        <v>354</v>
      </c>
      <c r="D329" s="55" t="s">
        <v>498</v>
      </c>
      <c r="E329" s="55" t="s">
        <v>362</v>
      </c>
      <c r="F329" s="55" t="s">
        <v>781</v>
      </c>
      <c r="G329" s="56">
        <v>12</v>
      </c>
      <c r="H329" s="49">
        <f>12+12+12+24+48+12</f>
        <v>120</v>
      </c>
      <c r="I329" s="50">
        <f>3+3+1+6+9+3+6+1+1+1+1+1+1+50+5+9+3+5</f>
        <v>109</v>
      </c>
      <c r="J329" s="77">
        <f>+H329-I329</f>
        <v>11</v>
      </c>
      <c r="K329" s="31">
        <v>192.22</v>
      </c>
      <c r="L329" s="32">
        <v>44188</v>
      </c>
      <c r="M329" s="33">
        <v>0.21</v>
      </c>
      <c r="N329" s="64">
        <f t="shared" si="101"/>
        <v>232.58619999999999</v>
      </c>
      <c r="O329" s="68">
        <f t="shared" si="113"/>
        <v>249.89</v>
      </c>
      <c r="P329" s="68">
        <f t="shared" si="114"/>
        <v>259.5</v>
      </c>
      <c r="Q329" s="68">
        <f t="shared" si="115"/>
        <v>269.11</v>
      </c>
      <c r="R329" s="11">
        <f t="shared" si="116"/>
        <v>278.72000000000003</v>
      </c>
      <c r="S329" s="11">
        <f t="shared" si="112"/>
        <v>288.33</v>
      </c>
      <c r="T329" s="11">
        <f t="shared" si="117"/>
        <v>307.55</v>
      </c>
      <c r="U329" s="38">
        <f t="shared" si="108"/>
        <v>313.99</v>
      </c>
      <c r="V329" s="38">
        <f t="shared" si="109"/>
        <v>325.62</v>
      </c>
      <c r="W329" s="38">
        <f t="shared" si="110"/>
        <v>337.25</v>
      </c>
      <c r="X329" s="38">
        <f t="shared" si="111"/>
        <v>348.88</v>
      </c>
      <c r="Z329" s="4">
        <f t="shared" si="118"/>
        <v>2114.42</v>
      </c>
      <c r="AA329" s="4">
        <f t="shared" si="119"/>
        <v>2558.4481999999998</v>
      </c>
    </row>
    <row r="330" spans="1:27" x14ac:dyDescent="0.3">
      <c r="A330" s="135"/>
      <c r="B330" s="125"/>
      <c r="C330" s="3" t="s">
        <v>355</v>
      </c>
      <c r="D330" s="55"/>
      <c r="E330" s="55" t="s">
        <v>362</v>
      </c>
      <c r="F330" s="55" t="s">
        <v>781</v>
      </c>
      <c r="G330" s="56">
        <v>10</v>
      </c>
      <c r="H330" s="49">
        <f>24+6+12+6+6+6+12+2+18+6+6+6+12+10+12+6+6+10+10+10+10+15+30+12+12</f>
        <v>265</v>
      </c>
      <c r="I330" s="50">
        <f>149+1+4+1+1+3+1+4+3+2+3+4+1+1+1+5+5+1+3+3+4+3+3+4+1+10+1+1+2+10+1+3+2+2+4+1+1+1+3+2+2+2+3</f>
        <v>262</v>
      </c>
      <c r="J330" s="77">
        <f>+H330-I330</f>
        <v>3</v>
      </c>
      <c r="K330" s="31">
        <v>446.32</v>
      </c>
      <c r="L330" s="32">
        <v>44239</v>
      </c>
      <c r="M330" s="33">
        <v>0.21</v>
      </c>
      <c r="N330" s="64">
        <f t="shared" si="101"/>
        <v>540.04719999999998</v>
      </c>
      <c r="O330" s="68">
        <f t="shared" si="113"/>
        <v>580.22</v>
      </c>
      <c r="P330" s="68">
        <f t="shared" si="114"/>
        <v>602.53</v>
      </c>
      <c r="Q330" s="68">
        <f t="shared" si="115"/>
        <v>624.85</v>
      </c>
      <c r="R330" s="11">
        <f t="shared" si="116"/>
        <v>647.16</v>
      </c>
      <c r="S330" s="11">
        <f t="shared" si="112"/>
        <v>669.48</v>
      </c>
      <c r="T330" s="11">
        <f t="shared" si="117"/>
        <v>714.11</v>
      </c>
      <c r="U330" s="38">
        <f t="shared" si="108"/>
        <v>729.06</v>
      </c>
      <c r="V330" s="38">
        <f t="shared" si="109"/>
        <v>756.07</v>
      </c>
      <c r="W330" s="38">
        <f t="shared" si="110"/>
        <v>783.07</v>
      </c>
      <c r="X330" s="38">
        <f t="shared" si="111"/>
        <v>810.07</v>
      </c>
      <c r="Z330" s="4">
        <f t="shared" si="118"/>
        <v>1338.96</v>
      </c>
      <c r="AA330" s="4">
        <f t="shared" si="119"/>
        <v>1620.1415999999999</v>
      </c>
    </row>
    <row r="331" spans="1:27" x14ac:dyDescent="0.3">
      <c r="A331" s="135"/>
      <c r="B331" s="125"/>
      <c r="C331" s="107" t="s">
        <v>364</v>
      </c>
      <c r="D331" s="55" t="s">
        <v>1</v>
      </c>
      <c r="E331" s="55"/>
      <c r="F331" s="55" t="s">
        <v>306</v>
      </c>
      <c r="G331" s="56">
        <v>0</v>
      </c>
      <c r="H331" s="49">
        <f>1+2+1+1+1+1</f>
        <v>7</v>
      </c>
      <c r="I331" s="50">
        <f>3+2+2</f>
        <v>7</v>
      </c>
      <c r="J331" s="77">
        <f>+H331-I331</f>
        <v>0</v>
      </c>
      <c r="K331" s="31">
        <v>0</v>
      </c>
      <c r="L331" s="32">
        <v>43860</v>
      </c>
      <c r="M331" s="33">
        <v>0.21</v>
      </c>
      <c r="N331" s="64">
        <f t="shared" si="101"/>
        <v>0</v>
      </c>
      <c r="O331" s="68">
        <f t="shared" si="113"/>
        <v>0</v>
      </c>
      <c r="P331" s="68">
        <f t="shared" si="114"/>
        <v>0</v>
      </c>
      <c r="Q331" s="68">
        <f t="shared" si="115"/>
        <v>0</v>
      </c>
      <c r="R331" s="11">
        <f t="shared" si="116"/>
        <v>0</v>
      </c>
      <c r="S331" s="11">
        <f t="shared" ref="S331:S388" si="120">K331*(1+$S$3)</f>
        <v>0</v>
      </c>
      <c r="T331" s="11">
        <f t="shared" si="117"/>
        <v>0</v>
      </c>
      <c r="U331" s="38">
        <f t="shared" si="108"/>
        <v>0</v>
      </c>
      <c r="V331" s="38">
        <f t="shared" si="109"/>
        <v>0</v>
      </c>
      <c r="W331" s="38">
        <f t="shared" si="110"/>
        <v>0</v>
      </c>
      <c r="X331" s="38">
        <f t="shared" si="111"/>
        <v>0</v>
      </c>
      <c r="Z331" s="4">
        <f t="shared" si="118"/>
        <v>0</v>
      </c>
      <c r="AA331" s="4">
        <f t="shared" si="119"/>
        <v>0</v>
      </c>
    </row>
    <row r="332" spans="1:27" x14ac:dyDescent="0.3">
      <c r="A332" s="135"/>
      <c r="B332" s="125"/>
      <c r="C332" s="3" t="s">
        <v>807</v>
      </c>
      <c r="D332" s="55"/>
      <c r="E332" s="55" t="s">
        <v>362</v>
      </c>
      <c r="F332" s="55" t="s">
        <v>1440</v>
      </c>
      <c r="G332" s="56">
        <v>200</v>
      </c>
      <c r="H332" s="49">
        <f>600+400+300+500+600+600+600+500+200+300</f>
        <v>4600</v>
      </c>
      <c r="I332" s="50">
        <f>200+200+50+100+300+5+150+250+500+45+200+50+100+50+10+190+100+200+200+50+10+40+100+400+50+200+100+150+100+50+10+100+40+50</f>
        <v>4350</v>
      </c>
      <c r="J332" s="77">
        <f>+H332-I332</f>
        <v>250</v>
      </c>
      <c r="K332" s="31">
        <v>21.51</v>
      </c>
      <c r="L332" s="32">
        <v>44239</v>
      </c>
      <c r="M332" s="33">
        <v>0.21</v>
      </c>
      <c r="N332" s="64">
        <f t="shared" si="101"/>
        <v>26.027100000000001</v>
      </c>
      <c r="O332" s="68">
        <f t="shared" ref="O332:O391" si="121">ROUND(K332*(1+$O$3),2)</f>
        <v>27.96</v>
      </c>
      <c r="P332" s="68">
        <f t="shared" si="114"/>
        <v>29.04</v>
      </c>
      <c r="Q332" s="68">
        <f t="shared" si="115"/>
        <v>30.11</v>
      </c>
      <c r="R332" s="11">
        <f t="shared" si="116"/>
        <v>31.19</v>
      </c>
      <c r="S332" s="11">
        <f t="shared" si="120"/>
        <v>32.265000000000001</v>
      </c>
      <c r="T332" s="11">
        <f t="shared" si="117"/>
        <v>34.42</v>
      </c>
      <c r="U332" s="38">
        <f t="shared" si="108"/>
        <v>35.14</v>
      </c>
      <c r="V332" s="38">
        <f t="shared" si="109"/>
        <v>36.44</v>
      </c>
      <c r="W332" s="38">
        <f t="shared" si="110"/>
        <v>37.74</v>
      </c>
      <c r="X332" s="38">
        <f t="shared" si="111"/>
        <v>39.04</v>
      </c>
      <c r="Z332" s="4">
        <f t="shared" si="118"/>
        <v>5377.5</v>
      </c>
      <c r="AA332" s="4">
        <f t="shared" si="119"/>
        <v>6506.7750000000005</v>
      </c>
    </row>
    <row r="333" spans="1:27" x14ac:dyDescent="0.3">
      <c r="A333" s="135"/>
      <c r="B333" s="125"/>
      <c r="C333" s="3" t="s">
        <v>204</v>
      </c>
      <c r="D333" s="55" t="s">
        <v>688</v>
      </c>
      <c r="E333" s="55" t="s">
        <v>362</v>
      </c>
      <c r="F333" s="55" t="s">
        <v>219</v>
      </c>
      <c r="G333" s="56">
        <v>200</v>
      </c>
      <c r="H333" s="49">
        <f>200+50+500+600+600+200+50+500+200</f>
        <v>2900</v>
      </c>
      <c r="I333" s="50">
        <f>100+50+1+50+50+250+50+199+200+100+100+5+100+3+50+1+10+6+100+200+20+250+55+200+300+50+50+50+40</f>
        <v>2640</v>
      </c>
      <c r="J333" s="77">
        <f>+H333-I333</f>
        <v>260</v>
      </c>
      <c r="K333" s="31">
        <v>21.51</v>
      </c>
      <c r="L333" s="32">
        <v>44239</v>
      </c>
      <c r="M333" s="33">
        <v>0.21</v>
      </c>
      <c r="N333" s="64">
        <f t="shared" si="101"/>
        <v>26.027100000000001</v>
      </c>
      <c r="O333" s="68">
        <f t="shared" si="121"/>
        <v>27.96</v>
      </c>
      <c r="P333" s="68">
        <f t="shared" si="114"/>
        <v>29.04</v>
      </c>
      <c r="Q333" s="68">
        <f t="shared" si="115"/>
        <v>30.11</v>
      </c>
      <c r="R333" s="11">
        <f t="shared" si="116"/>
        <v>31.19</v>
      </c>
      <c r="S333" s="11">
        <f t="shared" si="120"/>
        <v>32.265000000000001</v>
      </c>
      <c r="T333" s="11">
        <f t="shared" si="117"/>
        <v>34.42</v>
      </c>
      <c r="U333" s="38">
        <f t="shared" si="108"/>
        <v>35.14</v>
      </c>
      <c r="V333" s="38">
        <f t="shared" si="109"/>
        <v>36.44</v>
      </c>
      <c r="W333" s="38">
        <f t="shared" si="110"/>
        <v>37.74</v>
      </c>
      <c r="X333" s="38">
        <f t="shared" si="111"/>
        <v>39.04</v>
      </c>
      <c r="Z333" s="4">
        <f t="shared" si="118"/>
        <v>5592.6</v>
      </c>
      <c r="AA333" s="4">
        <f t="shared" si="119"/>
        <v>6767.0460000000003</v>
      </c>
    </row>
    <row r="334" spans="1:27" x14ac:dyDescent="0.3">
      <c r="A334" s="135"/>
      <c r="B334" s="125"/>
      <c r="C334" s="3" t="s">
        <v>203</v>
      </c>
      <c r="D334" s="55"/>
      <c r="E334" s="55" t="s">
        <v>362</v>
      </c>
      <c r="F334" s="55" t="s">
        <v>1238</v>
      </c>
      <c r="G334" s="56">
        <v>200</v>
      </c>
      <c r="H334" s="139">
        <f>400+200+200+500+600+600+50+200+300+50+500+200</f>
        <v>3800</v>
      </c>
      <c r="I334" s="50">
        <f>150+50+4+1+200+50+50+10+90+100+50+50+150+345+4+200+6+100+2+188+100+200+100+100+100+50+100+50+50+100+150+300+50+50+150+50+50+40+100</f>
        <v>3690</v>
      </c>
      <c r="J334" s="77">
        <f>+H334-I334</f>
        <v>110</v>
      </c>
      <c r="K334" s="31">
        <v>21.51</v>
      </c>
      <c r="L334" s="32">
        <v>44239</v>
      </c>
      <c r="M334" s="33">
        <v>0.21</v>
      </c>
      <c r="N334" s="64">
        <f t="shared" si="101"/>
        <v>26.027100000000001</v>
      </c>
      <c r="O334" s="68">
        <f t="shared" si="121"/>
        <v>27.96</v>
      </c>
      <c r="P334" s="68">
        <f t="shared" si="114"/>
        <v>29.04</v>
      </c>
      <c r="Q334" s="68">
        <f t="shared" si="115"/>
        <v>30.11</v>
      </c>
      <c r="R334" s="11">
        <f t="shared" si="116"/>
        <v>31.19</v>
      </c>
      <c r="S334" s="11">
        <f t="shared" si="120"/>
        <v>32.265000000000001</v>
      </c>
      <c r="T334" s="11">
        <f t="shared" si="117"/>
        <v>34.42</v>
      </c>
      <c r="U334" s="38">
        <f t="shared" si="108"/>
        <v>35.14</v>
      </c>
      <c r="V334" s="38">
        <f t="shared" si="109"/>
        <v>36.44</v>
      </c>
      <c r="W334" s="38">
        <f t="shared" si="110"/>
        <v>37.74</v>
      </c>
      <c r="X334" s="38">
        <f t="shared" si="111"/>
        <v>39.04</v>
      </c>
      <c r="Z334" s="4">
        <f t="shared" si="118"/>
        <v>2366.1000000000004</v>
      </c>
      <c r="AA334" s="4">
        <f t="shared" si="119"/>
        <v>2862.9810000000002</v>
      </c>
    </row>
    <row r="335" spans="1:27" x14ac:dyDescent="0.3">
      <c r="A335" s="135"/>
      <c r="C335" s="3" t="s">
        <v>181</v>
      </c>
      <c r="D335" s="55" t="s">
        <v>688</v>
      </c>
      <c r="E335" s="55" t="s">
        <v>362</v>
      </c>
      <c r="F335" s="55" t="s">
        <v>781</v>
      </c>
      <c r="G335" s="56">
        <v>200</v>
      </c>
      <c r="H335" s="49">
        <f>400+500+400+600+400+600+200+200+500+200</f>
        <v>4000</v>
      </c>
      <c r="I335" s="50">
        <f>100+300+50+250+200+200+200+200+200+200+300+100+200+400+200+300+300+50+50+50+50</f>
        <v>3900</v>
      </c>
      <c r="J335" s="77">
        <f>+H335-I335</f>
        <v>100</v>
      </c>
      <c r="K335" s="31">
        <v>21.51</v>
      </c>
      <c r="L335" s="32">
        <v>44239</v>
      </c>
      <c r="M335" s="33">
        <v>0.21</v>
      </c>
      <c r="N335" s="64">
        <f t="shared" si="101"/>
        <v>26.027100000000001</v>
      </c>
      <c r="O335" s="68">
        <f t="shared" si="121"/>
        <v>27.96</v>
      </c>
      <c r="P335" s="68">
        <f t="shared" si="114"/>
        <v>29.04</v>
      </c>
      <c r="Q335" s="68">
        <f t="shared" si="115"/>
        <v>30.11</v>
      </c>
      <c r="R335" s="11">
        <f t="shared" si="116"/>
        <v>31.19</v>
      </c>
      <c r="S335" s="11">
        <f t="shared" si="120"/>
        <v>32.265000000000001</v>
      </c>
      <c r="T335" s="11">
        <f t="shared" si="117"/>
        <v>34.42</v>
      </c>
      <c r="U335" s="38">
        <f t="shared" si="108"/>
        <v>35.14</v>
      </c>
      <c r="V335" s="38">
        <f t="shared" si="109"/>
        <v>36.44</v>
      </c>
      <c r="W335" s="38">
        <f t="shared" si="110"/>
        <v>37.74</v>
      </c>
      <c r="X335" s="38">
        <f t="shared" si="111"/>
        <v>39.04</v>
      </c>
      <c r="Z335" s="4">
        <f t="shared" si="118"/>
        <v>2151</v>
      </c>
      <c r="AA335" s="4">
        <f t="shared" si="119"/>
        <v>2602.71</v>
      </c>
    </row>
    <row r="336" spans="1:27" x14ac:dyDescent="0.3">
      <c r="A336" s="135"/>
      <c r="B336" s="125"/>
      <c r="C336" s="3" t="s">
        <v>1351</v>
      </c>
      <c r="D336" s="55" t="s">
        <v>499</v>
      </c>
      <c r="E336" s="55" t="s">
        <v>362</v>
      </c>
      <c r="F336" s="55" t="s">
        <v>1530</v>
      </c>
      <c r="G336" s="56">
        <v>200</v>
      </c>
      <c r="H336" s="49">
        <f>700+300</f>
        <v>1000</v>
      </c>
      <c r="I336" s="50">
        <f>50+500+50+50+50+200</f>
        <v>900</v>
      </c>
      <c r="J336" s="77">
        <f>+H336-I336</f>
        <v>100</v>
      </c>
      <c r="K336" s="31">
        <v>21.51</v>
      </c>
      <c r="L336" s="32">
        <v>44239</v>
      </c>
      <c r="M336" s="33">
        <v>0.21</v>
      </c>
      <c r="N336" s="64">
        <f t="shared" si="101"/>
        <v>26.027100000000001</v>
      </c>
      <c r="O336" s="68">
        <f t="shared" si="121"/>
        <v>27.96</v>
      </c>
      <c r="P336" s="68">
        <f t="shared" si="114"/>
        <v>29.04</v>
      </c>
      <c r="Q336" s="68">
        <f t="shared" si="115"/>
        <v>30.11</v>
      </c>
      <c r="R336" s="11">
        <f t="shared" si="116"/>
        <v>31.19</v>
      </c>
      <c r="S336" s="11">
        <f t="shared" si="120"/>
        <v>32.265000000000001</v>
      </c>
      <c r="T336" s="11">
        <f t="shared" si="117"/>
        <v>34.42</v>
      </c>
      <c r="U336" s="38">
        <f t="shared" si="108"/>
        <v>35.14</v>
      </c>
      <c r="V336" s="38">
        <f t="shared" si="109"/>
        <v>36.44</v>
      </c>
      <c r="W336" s="38">
        <f t="shared" si="110"/>
        <v>37.74</v>
      </c>
      <c r="X336" s="38">
        <f t="shared" si="111"/>
        <v>39.04</v>
      </c>
      <c r="Z336" s="4">
        <f t="shared" si="118"/>
        <v>2151</v>
      </c>
      <c r="AA336" s="4">
        <f t="shared" si="119"/>
        <v>2602.71</v>
      </c>
    </row>
    <row r="337" spans="1:27" x14ac:dyDescent="0.3">
      <c r="A337" s="135"/>
      <c r="B337" s="125"/>
      <c r="C337" s="107" t="s">
        <v>770</v>
      </c>
      <c r="D337" s="55" t="s">
        <v>771</v>
      </c>
      <c r="E337" s="55" t="s">
        <v>362</v>
      </c>
      <c r="F337" s="55" t="s">
        <v>219</v>
      </c>
      <c r="G337" s="56">
        <v>5</v>
      </c>
      <c r="H337" s="49">
        <f>10+3+1+20</f>
        <v>34</v>
      </c>
      <c r="I337" s="50">
        <f>3+5+10+1</f>
        <v>19</v>
      </c>
      <c r="J337" s="77">
        <f>+H337-I337</f>
        <v>15</v>
      </c>
      <c r="K337" s="31">
        <v>1197.76</v>
      </c>
      <c r="L337" s="32">
        <v>44230</v>
      </c>
      <c r="M337" s="33">
        <v>0.21</v>
      </c>
      <c r="N337" s="64">
        <f t="shared" si="101"/>
        <v>1449.2895999999998</v>
      </c>
      <c r="O337" s="68">
        <f t="shared" si="121"/>
        <v>1557.09</v>
      </c>
      <c r="P337" s="68">
        <f t="shared" si="114"/>
        <v>1616.98</v>
      </c>
      <c r="Q337" s="68">
        <f t="shared" si="115"/>
        <v>1676.86</v>
      </c>
      <c r="R337" s="11">
        <f t="shared" si="116"/>
        <v>1736.75</v>
      </c>
      <c r="S337" s="11">
        <f t="shared" si="120"/>
        <v>1796.6399999999999</v>
      </c>
      <c r="T337" s="11">
        <f t="shared" si="117"/>
        <v>1916.42</v>
      </c>
      <c r="U337" s="38">
        <f t="shared" si="108"/>
        <v>1956.54</v>
      </c>
      <c r="V337" s="38">
        <f t="shared" si="109"/>
        <v>2029.01</v>
      </c>
      <c r="W337" s="38">
        <f t="shared" si="110"/>
        <v>2101.4699999999998</v>
      </c>
      <c r="X337" s="38">
        <f t="shared" si="111"/>
        <v>2173.9299999999998</v>
      </c>
      <c r="Z337" s="4">
        <f t="shared" si="118"/>
        <v>17966.400000000001</v>
      </c>
      <c r="AA337" s="4">
        <f t="shared" si="119"/>
        <v>21739.343999999997</v>
      </c>
    </row>
    <row r="338" spans="1:27" x14ac:dyDescent="0.3">
      <c r="A338" s="135"/>
      <c r="B338" s="125"/>
      <c r="C338" s="3" t="s">
        <v>36</v>
      </c>
      <c r="D338" s="55" t="s">
        <v>500</v>
      </c>
      <c r="E338" s="55" t="s">
        <v>362</v>
      </c>
      <c r="F338" s="55" t="s">
        <v>219</v>
      </c>
      <c r="G338" s="56">
        <v>6</v>
      </c>
      <c r="H338" s="49">
        <f>20+8+50</f>
        <v>78</v>
      </c>
      <c r="I338" s="50">
        <f>69+6</f>
        <v>75</v>
      </c>
      <c r="J338" s="77">
        <f>+H338-I338</f>
        <v>3</v>
      </c>
      <c r="K338" s="31">
        <v>1197.76</v>
      </c>
      <c r="L338" s="32">
        <v>44230</v>
      </c>
      <c r="M338" s="33">
        <v>0.21</v>
      </c>
      <c r="N338" s="64">
        <f t="shared" si="101"/>
        <v>1449.2895999999998</v>
      </c>
      <c r="O338" s="68">
        <f t="shared" si="121"/>
        <v>1557.09</v>
      </c>
      <c r="P338" s="68">
        <f t="shared" si="114"/>
        <v>1616.98</v>
      </c>
      <c r="Q338" s="68">
        <f t="shared" si="115"/>
        <v>1676.86</v>
      </c>
      <c r="R338" s="11">
        <f t="shared" si="116"/>
        <v>1736.75</v>
      </c>
      <c r="S338" s="11">
        <f t="shared" si="120"/>
        <v>1796.6399999999999</v>
      </c>
      <c r="T338" s="11">
        <f t="shared" si="117"/>
        <v>1916.42</v>
      </c>
      <c r="U338" s="38">
        <f t="shared" si="108"/>
        <v>1956.54</v>
      </c>
      <c r="V338" s="38">
        <f t="shared" si="109"/>
        <v>2029.01</v>
      </c>
      <c r="W338" s="38">
        <f t="shared" si="110"/>
        <v>2101.4699999999998</v>
      </c>
      <c r="X338" s="38">
        <f t="shared" si="111"/>
        <v>2173.9299999999998</v>
      </c>
      <c r="Z338" s="4">
        <f t="shared" si="118"/>
        <v>3593.2799999999997</v>
      </c>
      <c r="AA338" s="4">
        <f t="shared" si="119"/>
        <v>4347.8687999999993</v>
      </c>
    </row>
    <row r="339" spans="1:27" x14ac:dyDescent="0.3">
      <c r="A339" s="135"/>
      <c r="B339" s="125"/>
      <c r="C339" s="3" t="s">
        <v>37</v>
      </c>
      <c r="D339" s="55" t="s">
        <v>501</v>
      </c>
      <c r="E339" s="55" t="s">
        <v>362</v>
      </c>
      <c r="F339" s="55" t="s">
        <v>1583</v>
      </c>
      <c r="G339" s="56">
        <v>6</v>
      </c>
      <c r="H339" s="49">
        <f>10+2+1+10+5+10</f>
        <v>38</v>
      </c>
      <c r="I339" s="50">
        <f>2+5+2+3+1+4+6+5+5</f>
        <v>33</v>
      </c>
      <c r="J339" s="77">
        <f>+H339-I339</f>
        <v>5</v>
      </c>
      <c r="K339" s="31">
        <v>1197.76</v>
      </c>
      <c r="L339" s="32">
        <v>44230</v>
      </c>
      <c r="M339" s="33">
        <v>0.21</v>
      </c>
      <c r="N339" s="64">
        <f t="shared" si="101"/>
        <v>1449.2895999999998</v>
      </c>
      <c r="O339" s="68">
        <f t="shared" si="121"/>
        <v>1557.09</v>
      </c>
      <c r="P339" s="68">
        <f t="shared" si="114"/>
        <v>1616.98</v>
      </c>
      <c r="Q339" s="68">
        <f t="shared" si="115"/>
        <v>1676.86</v>
      </c>
      <c r="R339" s="11">
        <f t="shared" si="116"/>
        <v>1736.75</v>
      </c>
      <c r="S339" s="11">
        <f t="shared" si="120"/>
        <v>1796.6399999999999</v>
      </c>
      <c r="T339" s="11">
        <f t="shared" si="117"/>
        <v>1916.42</v>
      </c>
      <c r="U339" s="38">
        <f t="shared" si="108"/>
        <v>1956.54</v>
      </c>
      <c r="V339" s="38">
        <f t="shared" si="109"/>
        <v>2029.01</v>
      </c>
      <c r="W339" s="38">
        <f t="shared" si="110"/>
        <v>2101.4699999999998</v>
      </c>
      <c r="X339" s="38">
        <f t="shared" si="111"/>
        <v>2173.9299999999998</v>
      </c>
      <c r="Z339" s="4">
        <f t="shared" si="118"/>
        <v>5988.8</v>
      </c>
      <c r="AA339" s="4">
        <f t="shared" si="119"/>
        <v>7246.4479999999994</v>
      </c>
    </row>
    <row r="340" spans="1:27" x14ac:dyDescent="0.3">
      <c r="A340" s="135"/>
      <c r="B340" s="125"/>
      <c r="C340" s="107" t="s">
        <v>1285</v>
      </c>
      <c r="D340" s="55" t="s">
        <v>976</v>
      </c>
      <c r="E340" s="55" t="s">
        <v>70</v>
      </c>
      <c r="F340" s="55" t="s">
        <v>1274</v>
      </c>
      <c r="G340" s="56">
        <v>10</v>
      </c>
      <c r="H340" s="49">
        <f>3+50+40+7</f>
        <v>100</v>
      </c>
      <c r="I340" s="50">
        <f>53+10+10+2+1+10+2+2</f>
        <v>90</v>
      </c>
      <c r="J340" s="77">
        <f>+H340-I340</f>
        <v>10</v>
      </c>
      <c r="K340" s="31">
        <v>543</v>
      </c>
      <c r="L340" s="32">
        <v>44046</v>
      </c>
      <c r="M340" s="33">
        <v>0.21</v>
      </c>
      <c r="N340" s="64">
        <f t="shared" si="101"/>
        <v>657.03</v>
      </c>
      <c r="O340" s="68">
        <f t="shared" si="121"/>
        <v>705.9</v>
      </c>
      <c r="P340" s="68">
        <f t="shared" si="114"/>
        <v>733.05</v>
      </c>
      <c r="Q340" s="68">
        <f t="shared" si="115"/>
        <v>760.2</v>
      </c>
      <c r="R340" s="11">
        <f t="shared" si="116"/>
        <v>787.35</v>
      </c>
      <c r="S340" s="11">
        <f t="shared" si="120"/>
        <v>814.5</v>
      </c>
      <c r="T340" s="11">
        <f t="shared" si="117"/>
        <v>868.8</v>
      </c>
      <c r="U340" s="38">
        <f t="shared" si="108"/>
        <v>886.99</v>
      </c>
      <c r="V340" s="38">
        <f t="shared" si="109"/>
        <v>919.84</v>
      </c>
      <c r="W340" s="38">
        <f t="shared" si="110"/>
        <v>952.69</v>
      </c>
      <c r="X340" s="38">
        <f t="shared" si="111"/>
        <v>985.55</v>
      </c>
      <c r="Z340" s="4">
        <f t="shared" si="118"/>
        <v>5430</v>
      </c>
      <c r="AA340" s="4">
        <f t="shared" si="119"/>
        <v>6570.2999999999993</v>
      </c>
    </row>
    <row r="341" spans="1:27" x14ac:dyDescent="0.3">
      <c r="A341" s="135"/>
      <c r="B341" s="125"/>
      <c r="C341" s="3" t="s">
        <v>1286</v>
      </c>
      <c r="D341" s="55"/>
      <c r="E341" s="55" t="s">
        <v>1109</v>
      </c>
      <c r="F341" s="55" t="s">
        <v>1599</v>
      </c>
      <c r="G341" s="56">
        <v>50</v>
      </c>
      <c r="H341" s="49">
        <f>112+100+100+50+50+100+150+100+300+20+40</f>
        <v>1122</v>
      </c>
      <c r="I341" s="69">
        <f>786+10+1+10+20+12+1+20+2+10+1+1+100+10+10+2+10+2+10+30+24+2+1+2+2+2+1</f>
        <v>1082</v>
      </c>
      <c r="J341" s="77">
        <f>+H341-I341</f>
        <v>40</v>
      </c>
      <c r="K341" s="31">
        <v>645</v>
      </c>
      <c r="L341" s="32">
        <v>44246</v>
      </c>
      <c r="M341" s="33">
        <v>0.21</v>
      </c>
      <c r="N341" s="64">
        <f t="shared" si="101"/>
        <v>780.44999999999993</v>
      </c>
      <c r="O341" s="68">
        <f t="shared" si="121"/>
        <v>838.5</v>
      </c>
      <c r="P341" s="68">
        <f t="shared" si="114"/>
        <v>870.75</v>
      </c>
      <c r="Q341" s="68">
        <f t="shared" si="115"/>
        <v>903</v>
      </c>
      <c r="R341" s="11">
        <f t="shared" si="116"/>
        <v>935.25</v>
      </c>
      <c r="S341" s="11">
        <f t="shared" si="120"/>
        <v>967.5</v>
      </c>
      <c r="T341" s="11">
        <f t="shared" si="117"/>
        <v>1032</v>
      </c>
      <c r="U341" s="38">
        <f t="shared" si="108"/>
        <v>1053.6099999999999</v>
      </c>
      <c r="V341" s="38">
        <f t="shared" si="109"/>
        <v>1092.6300000000001</v>
      </c>
      <c r="W341" s="38">
        <f t="shared" si="110"/>
        <v>1131.6500000000001</v>
      </c>
      <c r="X341" s="38">
        <f t="shared" si="111"/>
        <v>1170.68</v>
      </c>
      <c r="Z341" s="4">
        <f t="shared" si="118"/>
        <v>25800</v>
      </c>
      <c r="AA341" s="4">
        <f t="shared" si="119"/>
        <v>31217.999999999996</v>
      </c>
    </row>
    <row r="342" spans="1:27" x14ac:dyDescent="0.3">
      <c r="A342" s="135"/>
      <c r="B342" s="125"/>
      <c r="C342" s="3" t="s">
        <v>1287</v>
      </c>
      <c r="D342" s="55" t="s">
        <v>10</v>
      </c>
      <c r="E342" s="55" t="s">
        <v>1109</v>
      </c>
      <c r="F342" s="55" t="s">
        <v>1599</v>
      </c>
      <c r="G342" s="56">
        <v>30</v>
      </c>
      <c r="H342" s="49">
        <f>50+100+50+100+10+14+50+1+26+60</f>
        <v>461</v>
      </c>
      <c r="I342" s="50">
        <f>30+4+30+1+1+79+2+10+20+3+3+1+8+20+11+20+10+5+10+5+10+1+10+10+20+1+1+3+8+10+10+7+4+20+2+2+1+2+1+1+1+3</f>
        <v>401</v>
      </c>
      <c r="J342" s="77">
        <f>+H342-I342</f>
        <v>60</v>
      </c>
      <c r="K342" s="31">
        <v>645</v>
      </c>
      <c r="L342" s="32">
        <v>44246</v>
      </c>
      <c r="M342" s="33">
        <v>0.21</v>
      </c>
      <c r="N342" s="64">
        <f t="shared" ref="N342:N401" si="122">+K342*(1+M342)</f>
        <v>780.44999999999993</v>
      </c>
      <c r="O342" s="68">
        <f t="shared" si="121"/>
        <v>838.5</v>
      </c>
      <c r="P342" s="68">
        <f t="shared" ref="P342:P401" si="123">ROUND(K342*(1+$P$3),2)</f>
        <v>870.75</v>
      </c>
      <c r="Q342" s="68">
        <f t="shared" ref="Q342:Q401" si="124">ROUND(K342*(1+$Q$3),2)</f>
        <v>903</v>
      </c>
      <c r="R342" s="11">
        <f t="shared" ref="R342:R401" si="125">ROUND(K342*(1+$R$3),2)</f>
        <v>935.25</v>
      </c>
      <c r="S342" s="11">
        <f t="shared" si="120"/>
        <v>967.5</v>
      </c>
      <c r="T342" s="11">
        <f t="shared" ref="T342:T401" si="126">ROUND(K342*(1+$T$3),2)</f>
        <v>1032</v>
      </c>
      <c r="U342" s="38">
        <f t="shared" si="108"/>
        <v>1053.6099999999999</v>
      </c>
      <c r="V342" s="38">
        <f t="shared" si="109"/>
        <v>1092.6300000000001</v>
      </c>
      <c r="W342" s="38">
        <f t="shared" si="110"/>
        <v>1131.6500000000001</v>
      </c>
      <c r="X342" s="38">
        <f t="shared" si="111"/>
        <v>1170.68</v>
      </c>
      <c r="Z342" s="4">
        <f t="shared" ref="Z342:Z401" si="127">J342*K342</f>
        <v>38700</v>
      </c>
      <c r="AA342" s="4">
        <f t="shared" ref="AA342:AA401" si="128">J342*N342</f>
        <v>46826.999999999993</v>
      </c>
    </row>
    <row r="343" spans="1:27" x14ac:dyDescent="0.3">
      <c r="A343" s="135"/>
      <c r="B343" s="125"/>
      <c r="C343" s="3" t="s">
        <v>1288</v>
      </c>
      <c r="D343" s="55"/>
      <c r="E343" s="55" t="s">
        <v>1109</v>
      </c>
      <c r="F343" s="55" t="s">
        <v>1599</v>
      </c>
      <c r="G343" s="56">
        <v>50</v>
      </c>
      <c r="H343" s="49">
        <f>100+100+6+50+68+100+100+100+100+29+100+100+50+50+50+1+150+100+20+200+70</f>
        <v>1644</v>
      </c>
      <c r="I343" s="50">
        <f>4+1446+1+10+6+20+1+3+1+6+1+2+10+2+8+10+5+10+1+30+10+7</f>
        <v>1594</v>
      </c>
      <c r="J343" s="77">
        <f>+H343-I343</f>
        <v>50</v>
      </c>
      <c r="K343" s="31">
        <v>645</v>
      </c>
      <c r="L343" s="32">
        <v>44246</v>
      </c>
      <c r="M343" s="33">
        <v>0.21</v>
      </c>
      <c r="N343" s="64">
        <f t="shared" si="122"/>
        <v>780.44999999999993</v>
      </c>
      <c r="O343" s="68">
        <f t="shared" si="121"/>
        <v>838.5</v>
      </c>
      <c r="P343" s="68">
        <f t="shared" si="123"/>
        <v>870.75</v>
      </c>
      <c r="Q343" s="68">
        <f t="shared" si="124"/>
        <v>903</v>
      </c>
      <c r="R343" s="11">
        <f t="shared" si="125"/>
        <v>935.25</v>
      </c>
      <c r="S343" s="11">
        <f t="shared" si="120"/>
        <v>967.5</v>
      </c>
      <c r="T343" s="11">
        <f t="shared" si="126"/>
        <v>1032</v>
      </c>
      <c r="U343" s="38">
        <f t="shared" si="108"/>
        <v>1053.6099999999999</v>
      </c>
      <c r="V343" s="38">
        <f t="shared" si="109"/>
        <v>1092.6300000000001</v>
      </c>
      <c r="W343" s="38">
        <f t="shared" si="110"/>
        <v>1131.6500000000001</v>
      </c>
      <c r="X343" s="38">
        <f t="shared" si="111"/>
        <v>1170.68</v>
      </c>
      <c r="Z343" s="4">
        <f t="shared" si="127"/>
        <v>32250</v>
      </c>
      <c r="AA343" s="4">
        <f t="shared" si="128"/>
        <v>39022.5</v>
      </c>
    </row>
    <row r="344" spans="1:27" x14ac:dyDescent="0.3">
      <c r="A344" s="135"/>
      <c r="B344" s="125"/>
      <c r="C344" s="107" t="s">
        <v>1286</v>
      </c>
      <c r="D344" s="55"/>
      <c r="E344" s="55"/>
      <c r="F344" s="55" t="s">
        <v>1450</v>
      </c>
      <c r="G344" s="56">
        <v>50</v>
      </c>
      <c r="H344" s="49">
        <f>150+50+50+21+10+100+150+20+3+50+100+50+3+50+10+30+50</f>
        <v>897</v>
      </c>
      <c r="I344" s="50">
        <f>10+10+24+3+40+40+20+3+50+20+10+3+17+15+6+6+20+20+10+10+10+50+5+1+2+20+1+2+1+16+1+10+5+40+2+2+30+3+5+1+1+2+24+10+1+10+2+20+10+1+30+2+5+40+54+10+20+1+5+10+12+5+10+1+10+1+10+10+1+20+10+1</f>
        <v>893</v>
      </c>
      <c r="J344" s="77">
        <f>+H344-I344</f>
        <v>4</v>
      </c>
      <c r="K344" s="31">
        <v>645</v>
      </c>
      <c r="L344" s="32">
        <v>44246</v>
      </c>
      <c r="M344" s="33">
        <v>0.21</v>
      </c>
      <c r="N344" s="64">
        <f t="shared" si="122"/>
        <v>780.44999999999993</v>
      </c>
      <c r="O344" s="68">
        <f t="shared" si="121"/>
        <v>838.5</v>
      </c>
      <c r="P344" s="68">
        <f t="shared" si="123"/>
        <v>870.75</v>
      </c>
      <c r="Q344" s="68">
        <f t="shared" si="124"/>
        <v>903</v>
      </c>
      <c r="R344" s="11">
        <f t="shared" si="125"/>
        <v>935.25</v>
      </c>
      <c r="S344" s="11">
        <f t="shared" si="120"/>
        <v>967.5</v>
      </c>
      <c r="T344" s="11">
        <f t="shared" si="126"/>
        <v>1032</v>
      </c>
      <c r="U344" s="38">
        <f t="shared" si="108"/>
        <v>1053.6099999999999</v>
      </c>
      <c r="V344" s="38">
        <f t="shared" si="109"/>
        <v>1092.6300000000001</v>
      </c>
      <c r="W344" s="38">
        <f t="shared" si="110"/>
        <v>1131.6500000000001</v>
      </c>
      <c r="X344" s="38">
        <f t="shared" si="111"/>
        <v>1170.68</v>
      </c>
      <c r="Z344" s="4">
        <f t="shared" si="127"/>
        <v>2580</v>
      </c>
      <c r="AA344" s="4">
        <f t="shared" si="128"/>
        <v>3121.7999999999997</v>
      </c>
    </row>
    <row r="345" spans="1:27" x14ac:dyDescent="0.3">
      <c r="A345" s="135"/>
      <c r="B345" s="125"/>
      <c r="C345" s="107" t="s">
        <v>1288</v>
      </c>
      <c r="D345" s="55"/>
      <c r="E345" s="55"/>
      <c r="F345" s="55" t="s">
        <v>1451</v>
      </c>
      <c r="G345" s="56">
        <v>50</v>
      </c>
      <c r="H345" s="49">
        <f>50+100+100+10+100+1+50+100+50+100+50+50+50</f>
        <v>811</v>
      </c>
      <c r="I345" s="50">
        <f>0+10+3+10+20+3+4+10+10+10+10+10+50+100+10+4+20+20+5+10+1+5+1+2+1+1+1+1+3+10+1+1+1+10+1+G3390+2+10+12+10+5+3+1+2+2+2+2+1+2+1+20+2+43+3+20+8+1+20+12+4+5+30+2+1+20+4+10+1+10+5+3+30+5+2+10+3+2+1+15+10+1+20+10+2+10+1+2+1+4+1+2+6+2+1+20+10+2</f>
        <v>811</v>
      </c>
      <c r="J345" s="77">
        <f>+H345-I345</f>
        <v>0</v>
      </c>
      <c r="K345" s="31">
        <v>645</v>
      </c>
      <c r="L345" s="32">
        <v>44246</v>
      </c>
      <c r="M345" s="33">
        <v>0.21</v>
      </c>
      <c r="N345" s="64">
        <f t="shared" si="122"/>
        <v>780.44999999999993</v>
      </c>
      <c r="O345" s="68">
        <f t="shared" si="121"/>
        <v>838.5</v>
      </c>
      <c r="P345" s="68">
        <f t="shared" si="123"/>
        <v>870.75</v>
      </c>
      <c r="Q345" s="68">
        <f t="shared" si="124"/>
        <v>903</v>
      </c>
      <c r="R345" s="11">
        <f t="shared" si="125"/>
        <v>935.25</v>
      </c>
      <c r="S345" s="11">
        <f t="shared" si="120"/>
        <v>967.5</v>
      </c>
      <c r="T345" s="11">
        <f t="shared" si="126"/>
        <v>1032</v>
      </c>
      <c r="U345" s="38">
        <f t="shared" si="108"/>
        <v>1053.6099999999999</v>
      </c>
      <c r="V345" s="38">
        <f t="shared" si="109"/>
        <v>1092.6300000000001</v>
      </c>
      <c r="W345" s="38">
        <f t="shared" si="110"/>
        <v>1131.6500000000001</v>
      </c>
      <c r="X345" s="38">
        <f t="shared" si="111"/>
        <v>1170.68</v>
      </c>
      <c r="Z345" s="4">
        <f t="shared" si="127"/>
        <v>0</v>
      </c>
      <c r="AA345" s="4">
        <f t="shared" si="128"/>
        <v>0</v>
      </c>
    </row>
    <row r="346" spans="1:27" x14ac:dyDescent="0.3">
      <c r="A346" s="135"/>
      <c r="B346" s="125"/>
      <c r="C346" s="107" t="s">
        <v>1287</v>
      </c>
      <c r="D346" s="55"/>
      <c r="E346" s="55"/>
      <c r="F346" s="55" t="s">
        <v>1452</v>
      </c>
      <c r="G346" s="56">
        <v>30</v>
      </c>
      <c r="H346" s="49">
        <f>50+10+50+100+50+50+50+50+50</f>
        <v>460</v>
      </c>
      <c r="I346" s="50">
        <f>10+10+10+20+3+20+10+10+10+2+1+4+50+20+10+10+7+3+50+40+10+50+50+50</f>
        <v>460</v>
      </c>
      <c r="J346" s="77">
        <f>+H346-I346</f>
        <v>0</v>
      </c>
      <c r="K346" s="31">
        <v>645</v>
      </c>
      <c r="L346" s="32">
        <v>44246</v>
      </c>
      <c r="M346" s="33">
        <v>0.21</v>
      </c>
      <c r="N346" s="64">
        <f t="shared" si="122"/>
        <v>780.44999999999993</v>
      </c>
      <c r="O346" s="68">
        <f t="shared" si="121"/>
        <v>838.5</v>
      </c>
      <c r="P346" s="68">
        <f t="shared" si="123"/>
        <v>870.75</v>
      </c>
      <c r="Q346" s="68">
        <f t="shared" si="124"/>
        <v>903</v>
      </c>
      <c r="R346" s="11">
        <f t="shared" si="125"/>
        <v>935.25</v>
      </c>
      <c r="S346" s="11">
        <f t="shared" si="120"/>
        <v>967.5</v>
      </c>
      <c r="T346" s="11">
        <f t="shared" si="126"/>
        <v>1032</v>
      </c>
      <c r="U346" s="38">
        <f t="shared" si="108"/>
        <v>1053.6099999999999</v>
      </c>
      <c r="V346" s="38">
        <f t="shared" si="109"/>
        <v>1092.6300000000001</v>
      </c>
      <c r="W346" s="38">
        <f t="shared" si="110"/>
        <v>1131.6500000000001</v>
      </c>
      <c r="X346" s="38">
        <f t="shared" si="111"/>
        <v>1170.68</v>
      </c>
      <c r="Z346" s="4">
        <f t="shared" si="127"/>
        <v>0</v>
      </c>
      <c r="AA346" s="4">
        <f t="shared" si="128"/>
        <v>0</v>
      </c>
    </row>
    <row r="347" spans="1:27" x14ac:dyDescent="0.3">
      <c r="A347" s="135"/>
      <c r="B347" s="125"/>
      <c r="C347" s="3" t="s">
        <v>1467</v>
      </c>
      <c r="D347" s="55"/>
      <c r="E347" s="55"/>
      <c r="F347" s="55" t="s">
        <v>1466</v>
      </c>
      <c r="G347" s="56">
        <v>0</v>
      </c>
      <c r="H347" s="49">
        <f>40</f>
        <v>40</v>
      </c>
      <c r="I347" s="50">
        <f>1+10+10+1+1+2+2+2+5+4</f>
        <v>38</v>
      </c>
      <c r="J347" s="77">
        <f>+H347-I347</f>
        <v>2</v>
      </c>
      <c r="K347" s="31">
        <v>630</v>
      </c>
      <c r="L347" s="32">
        <v>44006</v>
      </c>
      <c r="M347" s="33">
        <v>0.21</v>
      </c>
      <c r="N347" s="64">
        <f t="shared" si="122"/>
        <v>762.3</v>
      </c>
      <c r="O347" s="68">
        <f t="shared" si="121"/>
        <v>819</v>
      </c>
      <c r="P347" s="68">
        <f t="shared" si="123"/>
        <v>850.5</v>
      </c>
      <c r="Q347" s="68">
        <f t="shared" si="124"/>
        <v>882</v>
      </c>
      <c r="R347" s="11">
        <f t="shared" si="125"/>
        <v>913.5</v>
      </c>
      <c r="S347" s="11">
        <f t="shared" si="120"/>
        <v>945</v>
      </c>
      <c r="T347" s="11">
        <f t="shared" si="126"/>
        <v>1008</v>
      </c>
      <c r="U347" s="38">
        <f t="shared" si="108"/>
        <v>1029.1099999999999</v>
      </c>
      <c r="V347" s="38">
        <f t="shared" si="109"/>
        <v>1067.22</v>
      </c>
      <c r="W347" s="38">
        <f t="shared" si="110"/>
        <v>1105.3399999999999</v>
      </c>
      <c r="X347" s="38">
        <f t="shared" si="111"/>
        <v>1143.45</v>
      </c>
      <c r="Z347" s="4">
        <f t="shared" si="127"/>
        <v>1260</v>
      </c>
      <c r="AA347" s="4">
        <f t="shared" si="128"/>
        <v>1524.6</v>
      </c>
    </row>
    <row r="348" spans="1:27" x14ac:dyDescent="0.3">
      <c r="A348" s="135"/>
      <c r="B348" s="125"/>
      <c r="C348" s="3" t="s">
        <v>987</v>
      </c>
      <c r="D348" s="55" t="s">
        <v>1284</v>
      </c>
      <c r="E348" s="55" t="s">
        <v>362</v>
      </c>
      <c r="F348" s="55" t="s">
        <v>1314</v>
      </c>
      <c r="G348" s="56">
        <v>20</v>
      </c>
      <c r="H348" s="49">
        <f>20+20+10+10+30+20+20+10+10+10+20+20+30+2+11+1+20+20+20+20+10+100+20+80+24+10</f>
        <v>568</v>
      </c>
      <c r="I348" s="50">
        <f>271+1+2+1+9+20+6+10+3+20+1+1+2+1+1+1+10+2+3+10+55+2+10+8+1+20+12+20+1+2+1+24+12+3+10+2+3+1+1+1+4</f>
        <v>568</v>
      </c>
      <c r="J348" s="77">
        <f>+H348-I348</f>
        <v>0</v>
      </c>
      <c r="K348" s="31">
        <v>630</v>
      </c>
      <c r="L348" s="32">
        <v>44006</v>
      </c>
      <c r="M348" s="33">
        <v>0.21</v>
      </c>
      <c r="N348" s="64">
        <f t="shared" si="122"/>
        <v>762.3</v>
      </c>
      <c r="O348" s="68">
        <f t="shared" si="121"/>
        <v>819</v>
      </c>
      <c r="P348" s="68">
        <f t="shared" si="123"/>
        <v>850.5</v>
      </c>
      <c r="Q348" s="68">
        <f t="shared" si="124"/>
        <v>882</v>
      </c>
      <c r="R348" s="11">
        <f t="shared" si="125"/>
        <v>913.5</v>
      </c>
      <c r="S348" s="11">
        <f t="shared" si="120"/>
        <v>945</v>
      </c>
      <c r="T348" s="11">
        <f t="shared" si="126"/>
        <v>1008</v>
      </c>
      <c r="U348" s="38">
        <f t="shared" si="108"/>
        <v>1029.1099999999999</v>
      </c>
      <c r="V348" s="38">
        <f t="shared" si="109"/>
        <v>1067.22</v>
      </c>
      <c r="W348" s="38">
        <f t="shared" si="110"/>
        <v>1105.3399999999999</v>
      </c>
      <c r="X348" s="38">
        <f t="shared" si="111"/>
        <v>1143.45</v>
      </c>
      <c r="Z348" s="4">
        <f t="shared" si="127"/>
        <v>0</v>
      </c>
      <c r="AA348" s="4">
        <f t="shared" si="128"/>
        <v>0</v>
      </c>
    </row>
    <row r="349" spans="1:27" x14ac:dyDescent="0.3">
      <c r="A349" s="135"/>
      <c r="B349" s="125"/>
      <c r="C349" s="3" t="s">
        <v>988</v>
      </c>
      <c r="D349" s="55" t="s">
        <v>1260</v>
      </c>
      <c r="E349" s="55" t="s">
        <v>362</v>
      </c>
      <c r="F349" s="55" t="s">
        <v>1314</v>
      </c>
      <c r="G349" s="56">
        <v>20</v>
      </c>
      <c r="H349" s="49">
        <f>20+10+10+10+10+20+1+20+10+50</f>
        <v>161</v>
      </c>
      <c r="I349" s="50">
        <f>2+6+1+2+3+1+10+1+2+6+5+10+1+2+1+1+1+1+1+3+8+2+2+2+4+1+2+10+9+6+3+1+2+1+10+10+3+2+2+2+19</f>
        <v>161</v>
      </c>
      <c r="J349" s="77">
        <f>+H349-I349</f>
        <v>0</v>
      </c>
      <c r="K349" s="31">
        <v>630</v>
      </c>
      <c r="L349" s="32">
        <v>44006</v>
      </c>
      <c r="M349" s="33">
        <v>0.21</v>
      </c>
      <c r="N349" s="64">
        <f t="shared" si="122"/>
        <v>762.3</v>
      </c>
      <c r="O349" s="68">
        <f t="shared" si="121"/>
        <v>819</v>
      </c>
      <c r="P349" s="68">
        <f t="shared" si="123"/>
        <v>850.5</v>
      </c>
      <c r="Q349" s="68">
        <f t="shared" si="124"/>
        <v>882</v>
      </c>
      <c r="R349" s="11">
        <f t="shared" si="125"/>
        <v>913.5</v>
      </c>
      <c r="S349" s="11">
        <f t="shared" si="120"/>
        <v>945</v>
      </c>
      <c r="T349" s="11">
        <f t="shared" si="126"/>
        <v>1008</v>
      </c>
      <c r="U349" s="38">
        <f t="shared" si="108"/>
        <v>1029.1099999999999</v>
      </c>
      <c r="V349" s="38">
        <f t="shared" si="109"/>
        <v>1067.22</v>
      </c>
      <c r="W349" s="38">
        <f t="shared" si="110"/>
        <v>1105.3399999999999</v>
      </c>
      <c r="X349" s="38">
        <f t="shared" si="111"/>
        <v>1143.45</v>
      </c>
      <c r="Z349" s="4">
        <f t="shared" si="127"/>
        <v>0</v>
      </c>
      <c r="AA349" s="4">
        <f t="shared" si="128"/>
        <v>0</v>
      </c>
    </row>
    <row r="350" spans="1:27" x14ac:dyDescent="0.3">
      <c r="A350" s="135"/>
      <c r="B350" s="125"/>
      <c r="C350" s="3" t="s">
        <v>1358</v>
      </c>
      <c r="D350" s="55" t="s">
        <v>1359</v>
      </c>
      <c r="E350" s="55" t="s">
        <v>362</v>
      </c>
      <c r="F350" s="55" t="s">
        <v>1314</v>
      </c>
      <c r="G350" s="56">
        <v>20</v>
      </c>
      <c r="H350" s="49">
        <f>62+10+10+20+20+6+20+20+20+20+10+100+140</f>
        <v>458</v>
      </c>
      <c r="I350" s="50">
        <f>448+2+2+6</f>
        <v>458</v>
      </c>
      <c r="J350" s="77">
        <f>+H350-I350</f>
        <v>0</v>
      </c>
      <c r="K350" s="31">
        <v>630</v>
      </c>
      <c r="L350" s="32">
        <v>44006</v>
      </c>
      <c r="M350" s="33">
        <v>0.21</v>
      </c>
      <c r="N350" s="64">
        <f t="shared" si="122"/>
        <v>762.3</v>
      </c>
      <c r="O350" s="68">
        <f t="shared" si="121"/>
        <v>819</v>
      </c>
      <c r="P350" s="68">
        <f t="shared" si="123"/>
        <v>850.5</v>
      </c>
      <c r="Q350" s="68">
        <f t="shared" si="124"/>
        <v>882</v>
      </c>
      <c r="R350" s="11">
        <f t="shared" si="125"/>
        <v>913.5</v>
      </c>
      <c r="S350" s="11">
        <f t="shared" si="120"/>
        <v>945</v>
      </c>
      <c r="T350" s="11">
        <f t="shared" si="126"/>
        <v>1008</v>
      </c>
      <c r="U350" s="38">
        <f t="shared" si="108"/>
        <v>1029.1099999999999</v>
      </c>
      <c r="V350" s="38">
        <f t="shared" si="109"/>
        <v>1067.22</v>
      </c>
      <c r="W350" s="38">
        <f t="shared" si="110"/>
        <v>1105.3399999999999</v>
      </c>
      <c r="X350" s="38">
        <f t="shared" si="111"/>
        <v>1143.45</v>
      </c>
      <c r="Z350" s="4">
        <f t="shared" si="127"/>
        <v>0</v>
      </c>
      <c r="AA350" s="4">
        <f t="shared" si="128"/>
        <v>0</v>
      </c>
    </row>
    <row r="351" spans="1:27" x14ac:dyDescent="0.3">
      <c r="A351" s="135"/>
      <c r="B351" s="125"/>
      <c r="C351" s="3" t="s">
        <v>1465</v>
      </c>
      <c r="D351" s="55"/>
      <c r="E351" s="55"/>
      <c r="F351" s="55" t="s">
        <v>1466</v>
      </c>
      <c r="G351" s="56">
        <v>0</v>
      </c>
      <c r="H351" s="49">
        <f>40</f>
        <v>40</v>
      </c>
      <c r="I351" s="50">
        <f>2+1+2+20+10+1+4</f>
        <v>40</v>
      </c>
      <c r="J351" s="77">
        <f>+H351-I351</f>
        <v>0</v>
      </c>
      <c r="K351" s="31">
        <v>630</v>
      </c>
      <c r="L351" s="32">
        <v>44006</v>
      </c>
      <c r="M351" s="33">
        <v>0.21</v>
      </c>
      <c r="N351" s="64">
        <f t="shared" si="122"/>
        <v>762.3</v>
      </c>
      <c r="O351" s="68">
        <f t="shared" si="121"/>
        <v>819</v>
      </c>
      <c r="P351" s="68">
        <f t="shared" si="123"/>
        <v>850.5</v>
      </c>
      <c r="Q351" s="68">
        <f t="shared" si="124"/>
        <v>882</v>
      </c>
      <c r="R351" s="11">
        <f t="shared" si="125"/>
        <v>913.5</v>
      </c>
      <c r="S351" s="11">
        <f t="shared" si="120"/>
        <v>945</v>
      </c>
      <c r="T351" s="11">
        <f t="shared" si="126"/>
        <v>1008</v>
      </c>
      <c r="U351" s="38">
        <f t="shared" si="108"/>
        <v>1029.1099999999999</v>
      </c>
      <c r="V351" s="38">
        <f t="shared" si="109"/>
        <v>1067.22</v>
      </c>
      <c r="W351" s="38">
        <f t="shared" si="110"/>
        <v>1105.3399999999999</v>
      </c>
      <c r="X351" s="38">
        <f t="shared" si="111"/>
        <v>1143.45</v>
      </c>
      <c r="Z351" s="4">
        <f t="shared" si="127"/>
        <v>0</v>
      </c>
      <c r="AA351" s="4">
        <f t="shared" si="128"/>
        <v>0</v>
      </c>
    </row>
    <row r="352" spans="1:27" x14ac:dyDescent="0.3">
      <c r="A352" s="135"/>
      <c r="C352" s="3" t="s">
        <v>957</v>
      </c>
      <c r="D352" s="55" t="s">
        <v>958</v>
      </c>
      <c r="E352" s="55" t="s">
        <v>362</v>
      </c>
      <c r="F352" s="55"/>
      <c r="G352" s="56">
        <v>100</v>
      </c>
      <c r="H352" s="49">
        <f>5+5+100+100+100+1000+10</f>
        <v>1320</v>
      </c>
      <c r="I352" s="50">
        <f>2+3+2+3+7+3+3+2+7+5+2+10+20+3+15+5+18+80+5+15+33+5+30+32+300+10+500+10</f>
        <v>1130</v>
      </c>
      <c r="J352" s="77">
        <f>+H352-I352</f>
        <v>190</v>
      </c>
      <c r="K352" s="31">
        <v>53.75</v>
      </c>
      <c r="L352" s="32">
        <v>44232</v>
      </c>
      <c r="M352" s="33">
        <v>0.21</v>
      </c>
      <c r="N352" s="64">
        <f t="shared" si="122"/>
        <v>65.037499999999994</v>
      </c>
      <c r="O352" s="68">
        <f t="shared" si="121"/>
        <v>69.88</v>
      </c>
      <c r="P352" s="68">
        <f t="shared" si="123"/>
        <v>72.56</v>
      </c>
      <c r="Q352" s="68">
        <f t="shared" si="124"/>
        <v>75.25</v>
      </c>
      <c r="R352" s="11">
        <f t="shared" si="125"/>
        <v>77.94</v>
      </c>
      <c r="S352" s="11">
        <f t="shared" si="120"/>
        <v>80.625</v>
      </c>
      <c r="T352" s="11">
        <f t="shared" si="126"/>
        <v>86</v>
      </c>
      <c r="U352" s="38">
        <f t="shared" si="108"/>
        <v>87.8</v>
      </c>
      <c r="V352" s="38">
        <f t="shared" si="109"/>
        <v>91.05</v>
      </c>
      <c r="W352" s="38">
        <f t="shared" si="110"/>
        <v>94.3</v>
      </c>
      <c r="X352" s="38">
        <f t="shared" si="111"/>
        <v>97.56</v>
      </c>
      <c r="Z352" s="4">
        <f t="shared" si="127"/>
        <v>10212.5</v>
      </c>
      <c r="AA352" s="4">
        <f t="shared" si="128"/>
        <v>12357.124999999998</v>
      </c>
    </row>
    <row r="353" spans="1:27" x14ac:dyDescent="0.3">
      <c r="A353" s="135"/>
      <c r="B353" s="123"/>
      <c r="C353" s="137" t="s">
        <v>1458</v>
      </c>
      <c r="D353" s="55" t="s">
        <v>1060</v>
      </c>
      <c r="E353" s="55" t="s">
        <v>1442</v>
      </c>
      <c r="F353" s="55" t="s">
        <v>250</v>
      </c>
      <c r="G353" s="56">
        <v>100</v>
      </c>
      <c r="H353" s="49">
        <f>52+100+200+43+200+100+100+200+200+154+52+100</f>
        <v>1501</v>
      </c>
      <c r="I353" s="50">
        <f>52+100+100+50+50+43+150+50+50+50+100+100+100+200+100+60</f>
        <v>1355</v>
      </c>
      <c r="J353" s="77">
        <f>+H353-I353</f>
        <v>146</v>
      </c>
      <c r="K353" s="31">
        <v>106.15</v>
      </c>
      <c r="L353" s="32">
        <v>44250</v>
      </c>
      <c r="M353" s="33">
        <v>0.21</v>
      </c>
      <c r="N353" s="64">
        <f t="shared" si="122"/>
        <v>128.44149999999999</v>
      </c>
      <c r="O353" s="68">
        <f t="shared" si="121"/>
        <v>138</v>
      </c>
      <c r="P353" s="68">
        <f t="shared" si="123"/>
        <v>143.30000000000001</v>
      </c>
      <c r="Q353" s="68">
        <f t="shared" si="124"/>
        <v>148.61000000000001</v>
      </c>
      <c r="R353" s="11">
        <f t="shared" si="125"/>
        <v>153.91999999999999</v>
      </c>
      <c r="S353" s="11">
        <f t="shared" si="120"/>
        <v>159.22500000000002</v>
      </c>
      <c r="T353" s="11">
        <f t="shared" si="126"/>
        <v>169.84</v>
      </c>
      <c r="U353" s="38">
        <f t="shared" ref="U353:U410" si="129">ROUND((N353*(1+$U$3)),2)</f>
        <v>173.4</v>
      </c>
      <c r="V353" s="38">
        <f t="shared" ref="V353:V410" si="130">ROUND((N353*(1+$V$3)),2)</f>
        <v>179.82</v>
      </c>
      <c r="W353" s="38">
        <f t="shared" ref="W353:W410" si="131">ROUND((N353*(1+$W$3)),2)</f>
        <v>186.24</v>
      </c>
      <c r="X353" s="38">
        <f t="shared" ref="X353:X412" si="132">ROUND((N353*(1+$X$3)),2)</f>
        <v>192.66</v>
      </c>
      <c r="Z353" s="4">
        <f t="shared" si="127"/>
        <v>15497.900000000001</v>
      </c>
      <c r="AA353" s="4">
        <f t="shared" si="128"/>
        <v>18752.458999999999</v>
      </c>
    </row>
    <row r="354" spans="1:27" x14ac:dyDescent="0.3">
      <c r="A354" s="135"/>
      <c r="B354" s="125"/>
      <c r="C354" s="3" t="s">
        <v>438</v>
      </c>
      <c r="D354" s="55" t="s">
        <v>502</v>
      </c>
      <c r="E354" s="55" t="s">
        <v>362</v>
      </c>
      <c r="F354" s="55" t="s">
        <v>1510</v>
      </c>
      <c r="G354" s="56">
        <v>5</v>
      </c>
      <c r="H354" s="49">
        <f>84+25</f>
        <v>109</v>
      </c>
      <c r="I354" s="50">
        <f>20+4+10+10+30+10+10</f>
        <v>94</v>
      </c>
      <c r="J354" s="77">
        <f>+H354-I354</f>
        <v>15</v>
      </c>
      <c r="K354" s="31">
        <v>31</v>
      </c>
      <c r="L354" s="32">
        <v>44076</v>
      </c>
      <c r="M354" s="33">
        <v>0.21</v>
      </c>
      <c r="N354" s="64">
        <f t="shared" si="122"/>
        <v>37.51</v>
      </c>
      <c r="O354" s="68">
        <f t="shared" si="121"/>
        <v>40.299999999999997</v>
      </c>
      <c r="P354" s="68">
        <f t="shared" si="123"/>
        <v>41.85</v>
      </c>
      <c r="Q354" s="68">
        <f t="shared" si="124"/>
        <v>43.4</v>
      </c>
      <c r="R354" s="11">
        <f t="shared" si="125"/>
        <v>44.95</v>
      </c>
      <c r="S354" s="11">
        <f t="shared" si="120"/>
        <v>46.5</v>
      </c>
      <c r="T354" s="11">
        <f t="shared" si="126"/>
        <v>49.6</v>
      </c>
      <c r="U354" s="38">
        <f t="shared" si="129"/>
        <v>50.64</v>
      </c>
      <c r="V354" s="38">
        <f t="shared" si="130"/>
        <v>52.51</v>
      </c>
      <c r="W354" s="38">
        <f t="shared" si="131"/>
        <v>54.39</v>
      </c>
      <c r="X354" s="38">
        <f t="shared" si="132"/>
        <v>56.27</v>
      </c>
      <c r="Z354" s="4">
        <f t="shared" si="127"/>
        <v>465</v>
      </c>
      <c r="AA354" s="4">
        <f t="shared" si="128"/>
        <v>562.65</v>
      </c>
    </row>
    <row r="355" spans="1:27" s="109" customFormat="1" x14ac:dyDescent="0.3">
      <c r="A355" s="135"/>
      <c r="B355" s="119"/>
      <c r="C355" s="5" t="s">
        <v>172</v>
      </c>
      <c r="D355" s="5" t="s">
        <v>1391</v>
      </c>
      <c r="E355" s="55" t="s">
        <v>362</v>
      </c>
      <c r="F355" s="55" t="s">
        <v>287</v>
      </c>
      <c r="G355" s="56">
        <v>200</v>
      </c>
      <c r="H355" s="115">
        <f>200+400+200+400+400+400+400+400+400+200+400+200+400+400+200+400+400+200+200+200+400+400+370+30+200+200</f>
        <v>8000</v>
      </c>
      <c r="I355" s="50">
        <f>100+100+200+300+2+95+50+240+100+13+20+300+80+5+200+195+300+50+200+250+200+200+180+120+150+6+130+170+25+214+200+50+300+10+200+45+200+200+200+15+5+10+300+15+250+200+400+30+300+70+230+15+3+300</f>
        <v>7743</v>
      </c>
      <c r="J355" s="114">
        <f>+H355-I355</f>
        <v>257</v>
      </c>
      <c r="K355" s="111">
        <v>49.22</v>
      </c>
      <c r="L355" s="112">
        <v>44250</v>
      </c>
      <c r="M355" s="113">
        <v>0.21</v>
      </c>
      <c r="N355" s="116">
        <f t="shared" si="122"/>
        <v>59.556199999999997</v>
      </c>
      <c r="O355" s="68">
        <f t="shared" si="121"/>
        <v>63.99</v>
      </c>
      <c r="P355" s="68">
        <f t="shared" si="123"/>
        <v>66.45</v>
      </c>
      <c r="Q355" s="68">
        <f t="shared" si="124"/>
        <v>68.91</v>
      </c>
      <c r="R355" s="11">
        <f t="shared" si="125"/>
        <v>71.37</v>
      </c>
      <c r="S355" s="11">
        <f t="shared" si="120"/>
        <v>73.83</v>
      </c>
      <c r="T355" s="11">
        <f t="shared" si="126"/>
        <v>78.75</v>
      </c>
      <c r="U355" s="38">
        <f t="shared" si="129"/>
        <v>80.400000000000006</v>
      </c>
      <c r="V355" s="38">
        <f t="shared" si="130"/>
        <v>83.38</v>
      </c>
      <c r="W355" s="38">
        <f t="shared" si="131"/>
        <v>86.36</v>
      </c>
      <c r="X355" s="38">
        <f t="shared" si="132"/>
        <v>89.33</v>
      </c>
      <c r="Y355" s="110"/>
      <c r="Z355" s="132">
        <f t="shared" si="127"/>
        <v>12649.539999999999</v>
      </c>
      <c r="AA355" s="132">
        <f t="shared" si="128"/>
        <v>15305.9434</v>
      </c>
    </row>
    <row r="356" spans="1:27" s="109" customFormat="1" x14ac:dyDescent="0.3">
      <c r="A356" s="135"/>
      <c r="B356" s="119"/>
      <c r="C356" s="5" t="s">
        <v>1568</v>
      </c>
      <c r="D356" s="5" t="s">
        <v>1511</v>
      </c>
      <c r="E356" s="55"/>
      <c r="F356" s="55" t="s">
        <v>781</v>
      </c>
      <c r="G356" s="56">
        <v>100</v>
      </c>
      <c r="H356" s="115">
        <f>200+15+500+500</f>
        <v>1215</v>
      </c>
      <c r="I356" s="50">
        <f>100+50+15+50+100+30+100+50+80+140+30+52+50</f>
        <v>847</v>
      </c>
      <c r="J356" s="114">
        <f>+H356-I356</f>
        <v>368</v>
      </c>
      <c r="K356" s="111">
        <v>14.22</v>
      </c>
      <c r="L356" s="112">
        <v>44230</v>
      </c>
      <c r="M356" s="113">
        <v>0.21</v>
      </c>
      <c r="N356" s="116"/>
      <c r="O356" s="68">
        <f t="shared" si="121"/>
        <v>18.489999999999998</v>
      </c>
      <c r="P356" s="68">
        <f t="shared" si="123"/>
        <v>19.2</v>
      </c>
      <c r="Q356" s="68">
        <f t="shared" si="124"/>
        <v>19.91</v>
      </c>
      <c r="R356" s="11">
        <f t="shared" si="125"/>
        <v>20.62</v>
      </c>
      <c r="S356" s="11">
        <f t="shared" si="120"/>
        <v>21.330000000000002</v>
      </c>
      <c r="T356" s="11">
        <f t="shared" si="126"/>
        <v>22.75</v>
      </c>
      <c r="U356" s="38"/>
      <c r="V356" s="38"/>
      <c r="W356" s="38"/>
      <c r="X356" s="38"/>
      <c r="Y356" s="110"/>
      <c r="Z356" s="132">
        <f t="shared" si="127"/>
        <v>5232.96</v>
      </c>
      <c r="AA356" s="132"/>
    </row>
    <row r="357" spans="1:27" s="109" customFormat="1" x14ac:dyDescent="0.3">
      <c r="A357" s="135"/>
      <c r="B357" s="125"/>
      <c r="C357" s="5" t="s">
        <v>1375</v>
      </c>
      <c r="D357" s="5" t="s">
        <v>1047</v>
      </c>
      <c r="E357" s="55" t="s">
        <v>362</v>
      </c>
      <c r="F357" s="55" t="s">
        <v>290</v>
      </c>
      <c r="G357" s="56">
        <v>0</v>
      </c>
      <c r="H357" s="115">
        <f>500+200+200+14+200+100</f>
        <v>1214</v>
      </c>
      <c r="I357" s="50">
        <f>25+25+50+25+200+50+15+110+100+75+25+3+5+50+2+6+2+25+30+10+2+10+10+3+28+28+6+1+3+4+20+15+6+5+15+20+3+15+30+15+2+15+25+100</f>
        <v>1214</v>
      </c>
      <c r="J357" s="114">
        <f>+H357-I357</f>
        <v>0</v>
      </c>
      <c r="K357" s="111">
        <v>42.6</v>
      </c>
      <c r="L357" s="112">
        <v>44036</v>
      </c>
      <c r="M357" s="113">
        <v>0.21</v>
      </c>
      <c r="N357" s="116">
        <f t="shared" si="122"/>
        <v>51.545999999999999</v>
      </c>
      <c r="O357" s="68">
        <f t="shared" si="121"/>
        <v>55.38</v>
      </c>
      <c r="P357" s="68">
        <f t="shared" si="123"/>
        <v>57.51</v>
      </c>
      <c r="Q357" s="68">
        <f t="shared" si="124"/>
        <v>59.64</v>
      </c>
      <c r="R357" s="11">
        <f t="shared" si="125"/>
        <v>61.77</v>
      </c>
      <c r="S357" s="11">
        <f t="shared" si="120"/>
        <v>63.900000000000006</v>
      </c>
      <c r="T357" s="11">
        <f t="shared" si="126"/>
        <v>68.16</v>
      </c>
      <c r="U357" s="38">
        <f t="shared" si="129"/>
        <v>69.59</v>
      </c>
      <c r="V357" s="38">
        <f t="shared" si="130"/>
        <v>72.16</v>
      </c>
      <c r="W357" s="38">
        <f t="shared" si="131"/>
        <v>74.739999999999995</v>
      </c>
      <c r="X357" s="38">
        <f t="shared" si="132"/>
        <v>77.319999999999993</v>
      </c>
      <c r="Y357" s="110"/>
      <c r="Z357" s="132">
        <f t="shared" si="127"/>
        <v>0</v>
      </c>
      <c r="AA357" s="132">
        <f t="shared" si="128"/>
        <v>0</v>
      </c>
    </row>
    <row r="358" spans="1:27" x14ac:dyDescent="0.3">
      <c r="A358" s="135"/>
      <c r="B358" s="125"/>
      <c r="C358" s="3" t="s">
        <v>1360</v>
      </c>
      <c r="D358" s="55"/>
      <c r="E358" s="55" t="s">
        <v>1133</v>
      </c>
      <c r="F358" s="55" t="s">
        <v>1357</v>
      </c>
      <c r="G358" s="56">
        <v>0</v>
      </c>
      <c r="H358" s="49">
        <f>50+100</f>
        <v>150</v>
      </c>
      <c r="I358" s="50">
        <f>25+25+50+15+15+20</f>
        <v>150</v>
      </c>
      <c r="J358" s="77">
        <f>+H358-I358</f>
        <v>0</v>
      </c>
      <c r="K358" s="31">
        <v>16</v>
      </c>
      <c r="L358" s="32">
        <v>44044</v>
      </c>
      <c r="M358" s="46">
        <v>0.105</v>
      </c>
      <c r="N358" s="64">
        <f t="shared" si="122"/>
        <v>17.68</v>
      </c>
      <c r="O358" s="68">
        <f t="shared" si="121"/>
        <v>20.8</v>
      </c>
      <c r="P358" s="68">
        <f t="shared" si="123"/>
        <v>21.6</v>
      </c>
      <c r="Q358" s="68">
        <f t="shared" si="124"/>
        <v>22.4</v>
      </c>
      <c r="R358" s="11">
        <f t="shared" si="125"/>
        <v>23.2</v>
      </c>
      <c r="S358" s="11">
        <f t="shared" si="120"/>
        <v>24</v>
      </c>
      <c r="T358" s="11">
        <f t="shared" si="126"/>
        <v>25.6</v>
      </c>
      <c r="U358" s="38">
        <f t="shared" si="129"/>
        <v>23.87</v>
      </c>
      <c r="V358" s="38">
        <f t="shared" si="130"/>
        <v>24.75</v>
      </c>
      <c r="W358" s="38">
        <f t="shared" si="131"/>
        <v>25.64</v>
      </c>
      <c r="X358" s="38">
        <f t="shared" si="132"/>
        <v>26.52</v>
      </c>
      <c r="Z358" s="4">
        <f t="shared" si="127"/>
        <v>0</v>
      </c>
      <c r="AA358" s="4">
        <f t="shared" si="128"/>
        <v>0</v>
      </c>
    </row>
    <row r="359" spans="1:27" x14ac:dyDescent="0.3">
      <c r="A359" s="135"/>
      <c r="B359" s="125"/>
      <c r="C359" s="3" t="s">
        <v>1086</v>
      </c>
      <c r="D359" s="55" t="s">
        <v>1087</v>
      </c>
      <c r="E359" s="55" t="s">
        <v>362</v>
      </c>
      <c r="F359" s="55" t="s">
        <v>219</v>
      </c>
      <c r="G359" s="56">
        <v>0</v>
      </c>
      <c r="H359" s="49">
        <v>50</v>
      </c>
      <c r="I359" s="50">
        <f>10+20+4</f>
        <v>34</v>
      </c>
      <c r="J359" s="77">
        <f>+H359-I359</f>
        <v>16</v>
      </c>
      <c r="K359" s="31">
        <v>35</v>
      </c>
      <c r="L359" s="32">
        <v>44044</v>
      </c>
      <c r="M359" s="33">
        <v>0.21</v>
      </c>
      <c r="N359" s="64">
        <f t="shared" si="122"/>
        <v>42.35</v>
      </c>
      <c r="O359" s="68">
        <f t="shared" si="121"/>
        <v>45.5</v>
      </c>
      <c r="P359" s="68">
        <f t="shared" si="123"/>
        <v>47.25</v>
      </c>
      <c r="Q359" s="68">
        <f t="shared" si="124"/>
        <v>49</v>
      </c>
      <c r="R359" s="11">
        <f t="shared" si="125"/>
        <v>50.75</v>
      </c>
      <c r="S359" s="11">
        <f t="shared" si="120"/>
        <v>52.5</v>
      </c>
      <c r="T359" s="11">
        <f t="shared" si="126"/>
        <v>56</v>
      </c>
      <c r="U359" s="38">
        <f t="shared" si="129"/>
        <v>57.17</v>
      </c>
      <c r="V359" s="38">
        <f t="shared" si="130"/>
        <v>59.29</v>
      </c>
      <c r="W359" s="38">
        <f t="shared" si="131"/>
        <v>61.41</v>
      </c>
      <c r="X359" s="38">
        <f t="shared" si="132"/>
        <v>63.53</v>
      </c>
      <c r="Z359" s="4">
        <f t="shared" si="127"/>
        <v>560</v>
      </c>
      <c r="AA359" s="4">
        <f t="shared" si="128"/>
        <v>677.6</v>
      </c>
    </row>
    <row r="360" spans="1:27" x14ac:dyDescent="0.3">
      <c r="B360" s="125"/>
      <c r="C360" s="3" t="s">
        <v>1122</v>
      </c>
      <c r="D360" s="55" t="s">
        <v>1123</v>
      </c>
      <c r="E360" s="55" t="s">
        <v>34</v>
      </c>
      <c r="F360" s="55" t="s">
        <v>232</v>
      </c>
      <c r="G360" s="56">
        <v>0</v>
      </c>
      <c r="H360" s="49">
        <f>10</f>
        <v>10</v>
      </c>
      <c r="I360" s="50">
        <f>0+4+6</f>
        <v>10</v>
      </c>
      <c r="J360" s="77">
        <f>+H360-I360</f>
        <v>0</v>
      </c>
      <c r="K360" s="31">
        <v>28</v>
      </c>
      <c r="L360" s="32">
        <v>42935</v>
      </c>
      <c r="M360" s="33">
        <v>0.21</v>
      </c>
      <c r="N360" s="64">
        <f t="shared" si="122"/>
        <v>33.879999999999995</v>
      </c>
      <c r="O360" s="68">
        <f t="shared" si="121"/>
        <v>36.4</v>
      </c>
      <c r="P360" s="68">
        <f t="shared" si="123"/>
        <v>37.799999999999997</v>
      </c>
      <c r="Q360" s="68">
        <f t="shared" si="124"/>
        <v>39.200000000000003</v>
      </c>
      <c r="R360" s="11">
        <f t="shared" si="125"/>
        <v>40.6</v>
      </c>
      <c r="S360" s="11">
        <f t="shared" si="120"/>
        <v>42</v>
      </c>
      <c r="T360" s="11">
        <f t="shared" si="126"/>
        <v>44.8</v>
      </c>
      <c r="U360" s="38">
        <f t="shared" si="129"/>
        <v>45.74</v>
      </c>
      <c r="V360" s="38">
        <f t="shared" si="130"/>
        <v>47.43</v>
      </c>
      <c r="W360" s="38">
        <f t="shared" si="131"/>
        <v>49.13</v>
      </c>
      <c r="X360" s="38">
        <f t="shared" si="132"/>
        <v>50.82</v>
      </c>
      <c r="Z360" s="4">
        <f t="shared" si="127"/>
        <v>0</v>
      </c>
      <c r="AA360" s="4">
        <f t="shared" si="128"/>
        <v>0</v>
      </c>
    </row>
    <row r="361" spans="1:27" x14ac:dyDescent="0.3">
      <c r="A361" s="135"/>
      <c r="B361" s="125"/>
      <c r="C361" s="3" t="s">
        <v>1149</v>
      </c>
      <c r="D361" s="55" t="s">
        <v>1355</v>
      </c>
      <c r="E361" s="55" t="s">
        <v>1150</v>
      </c>
      <c r="F361" s="91" t="s">
        <v>1356</v>
      </c>
      <c r="G361" s="56">
        <v>0</v>
      </c>
      <c r="H361" s="49">
        <f>5+3+3+3</f>
        <v>14</v>
      </c>
      <c r="I361" s="69">
        <f>2+3+3+1</f>
        <v>9</v>
      </c>
      <c r="J361" s="77">
        <f>+H361-I361</f>
        <v>5</v>
      </c>
      <c r="K361" s="31">
        <v>633.29999999999995</v>
      </c>
      <c r="L361" s="32">
        <v>43955</v>
      </c>
      <c r="M361" s="33">
        <v>0.21</v>
      </c>
      <c r="N361" s="64">
        <f t="shared" si="122"/>
        <v>766.29299999999989</v>
      </c>
      <c r="O361" s="68">
        <f t="shared" si="121"/>
        <v>823.29</v>
      </c>
      <c r="P361" s="68">
        <f t="shared" si="123"/>
        <v>854.96</v>
      </c>
      <c r="Q361" s="68">
        <f t="shared" si="124"/>
        <v>886.62</v>
      </c>
      <c r="R361" s="11">
        <f t="shared" si="125"/>
        <v>918.29</v>
      </c>
      <c r="S361" s="11">
        <f t="shared" si="120"/>
        <v>949.94999999999993</v>
      </c>
      <c r="T361" s="11">
        <f t="shared" si="126"/>
        <v>1013.28</v>
      </c>
      <c r="U361" s="38">
        <f t="shared" si="129"/>
        <v>1034.5</v>
      </c>
      <c r="V361" s="38">
        <f t="shared" si="130"/>
        <v>1072.81</v>
      </c>
      <c r="W361" s="38">
        <f t="shared" si="131"/>
        <v>1111.1199999999999</v>
      </c>
      <c r="X361" s="38">
        <f t="shared" si="132"/>
        <v>1149.44</v>
      </c>
      <c r="Z361" s="4">
        <f t="shared" si="127"/>
        <v>3166.5</v>
      </c>
      <c r="AA361" s="4">
        <f t="shared" si="128"/>
        <v>3831.4649999999992</v>
      </c>
    </row>
    <row r="362" spans="1:27" x14ac:dyDescent="0.3">
      <c r="A362" s="135"/>
      <c r="B362" s="125"/>
      <c r="C362" s="5" t="s">
        <v>14</v>
      </c>
      <c r="D362" s="55" t="s">
        <v>620</v>
      </c>
      <c r="E362" s="55" t="s">
        <v>70</v>
      </c>
      <c r="F362" s="55" t="s">
        <v>332</v>
      </c>
      <c r="G362" s="56">
        <v>2</v>
      </c>
      <c r="H362" s="49">
        <f>3+2+2</f>
        <v>7</v>
      </c>
      <c r="I362" s="50">
        <f>2+1+2+1</f>
        <v>6</v>
      </c>
      <c r="J362" s="77">
        <f>+H362-I362</f>
        <v>1</v>
      </c>
      <c r="K362" s="31">
        <v>1452.92</v>
      </c>
      <c r="L362" s="32">
        <v>44130</v>
      </c>
      <c r="M362" s="33">
        <v>0.21</v>
      </c>
      <c r="N362" s="64">
        <f t="shared" si="122"/>
        <v>1758.0332000000001</v>
      </c>
      <c r="O362" s="68">
        <f t="shared" si="121"/>
        <v>1888.8</v>
      </c>
      <c r="P362" s="68">
        <f t="shared" si="123"/>
        <v>1961.44</v>
      </c>
      <c r="Q362" s="68">
        <f t="shared" si="124"/>
        <v>2034.09</v>
      </c>
      <c r="R362" s="11">
        <f t="shared" si="125"/>
        <v>2106.73</v>
      </c>
      <c r="S362" s="11">
        <f t="shared" si="120"/>
        <v>2179.38</v>
      </c>
      <c r="T362" s="11">
        <f>ROUND(K362*(1+$T$3),2)</f>
        <v>2324.67</v>
      </c>
      <c r="U362" s="38">
        <f t="shared" si="129"/>
        <v>2373.34</v>
      </c>
      <c r="V362" s="38">
        <f t="shared" si="130"/>
        <v>2461.25</v>
      </c>
      <c r="W362" s="38">
        <f t="shared" si="131"/>
        <v>2549.15</v>
      </c>
      <c r="X362" s="38">
        <f t="shared" si="132"/>
        <v>2637.05</v>
      </c>
      <c r="Z362" s="4">
        <f t="shared" si="127"/>
        <v>1452.92</v>
      </c>
      <c r="AA362" s="4">
        <f t="shared" si="128"/>
        <v>1758.0332000000001</v>
      </c>
    </row>
    <row r="363" spans="1:27" x14ac:dyDescent="0.3">
      <c r="A363" s="135"/>
      <c r="B363" s="125"/>
      <c r="C363" s="3" t="s">
        <v>15</v>
      </c>
      <c r="D363" s="55" t="s">
        <v>822</v>
      </c>
      <c r="E363" s="55" t="s">
        <v>362</v>
      </c>
      <c r="F363" s="55" t="s">
        <v>332</v>
      </c>
      <c r="G363" s="56">
        <v>2</v>
      </c>
      <c r="H363" s="49">
        <f>2+2+2+3+4+4+2+2+4+1+1</f>
        <v>27</v>
      </c>
      <c r="I363" s="50">
        <f>2+1+2+2+1+2+2+5+2+2+2+2</f>
        <v>25</v>
      </c>
      <c r="J363" s="77">
        <f>+H363-I363</f>
        <v>2</v>
      </c>
      <c r="K363" s="31">
        <v>616.51</v>
      </c>
      <c r="L363" s="32">
        <v>44044</v>
      </c>
      <c r="M363" s="33">
        <v>0.21</v>
      </c>
      <c r="N363" s="64">
        <f t="shared" si="122"/>
        <v>745.97709999999995</v>
      </c>
      <c r="O363" s="68">
        <f t="shared" si="121"/>
        <v>801.46</v>
      </c>
      <c r="P363" s="68">
        <f t="shared" si="123"/>
        <v>832.29</v>
      </c>
      <c r="Q363" s="68">
        <f t="shared" si="124"/>
        <v>863.11</v>
      </c>
      <c r="R363" s="11">
        <f t="shared" si="125"/>
        <v>893.94</v>
      </c>
      <c r="S363" s="11">
        <f t="shared" si="120"/>
        <v>924.76499999999999</v>
      </c>
      <c r="T363" s="11">
        <f t="shared" si="126"/>
        <v>986.42</v>
      </c>
      <c r="U363" s="38">
        <f t="shared" si="129"/>
        <v>1007.07</v>
      </c>
      <c r="V363" s="38">
        <f t="shared" si="130"/>
        <v>1044.3699999999999</v>
      </c>
      <c r="W363" s="38">
        <f t="shared" si="131"/>
        <v>1081.67</v>
      </c>
      <c r="X363" s="38">
        <f t="shared" si="132"/>
        <v>1118.97</v>
      </c>
      <c r="Z363" s="4">
        <f t="shared" si="127"/>
        <v>1233.02</v>
      </c>
      <c r="AA363" s="4">
        <f t="shared" si="128"/>
        <v>1491.9541999999999</v>
      </c>
    </row>
    <row r="364" spans="1:27" x14ac:dyDescent="0.3">
      <c r="A364" s="135"/>
      <c r="B364" s="125"/>
      <c r="C364" s="3" t="s">
        <v>16</v>
      </c>
      <c r="D364" s="55" t="s">
        <v>823</v>
      </c>
      <c r="E364" s="55" t="s">
        <v>1133</v>
      </c>
      <c r="F364" s="55" t="s">
        <v>332</v>
      </c>
      <c r="G364" s="56">
        <v>2</v>
      </c>
      <c r="H364" s="49">
        <f>2+3+3+2+5+2</f>
        <v>17</v>
      </c>
      <c r="I364" s="50">
        <f>1+1+1+2+1+2+2+2+3+1+1</f>
        <v>17</v>
      </c>
      <c r="J364" s="77">
        <f>+H364-I364</f>
        <v>0</v>
      </c>
      <c r="K364" s="31">
        <v>676.81</v>
      </c>
      <c r="L364" s="32">
        <v>44044</v>
      </c>
      <c r="M364" s="33">
        <v>0.21</v>
      </c>
      <c r="N364" s="64">
        <f t="shared" si="122"/>
        <v>818.94009999999992</v>
      </c>
      <c r="O364" s="68">
        <f t="shared" si="121"/>
        <v>879.85</v>
      </c>
      <c r="P364" s="68">
        <f t="shared" si="123"/>
        <v>913.69</v>
      </c>
      <c r="Q364" s="68">
        <f t="shared" si="124"/>
        <v>947.53</v>
      </c>
      <c r="R364" s="11">
        <f t="shared" si="125"/>
        <v>981.37</v>
      </c>
      <c r="S364" s="11">
        <f t="shared" si="120"/>
        <v>1015.2149999999999</v>
      </c>
      <c r="T364" s="11">
        <f t="shared" si="126"/>
        <v>1082.9000000000001</v>
      </c>
      <c r="U364" s="38">
        <f t="shared" si="129"/>
        <v>1105.57</v>
      </c>
      <c r="V364" s="38">
        <f t="shared" si="130"/>
        <v>1146.52</v>
      </c>
      <c r="W364" s="38">
        <f t="shared" si="131"/>
        <v>1187.46</v>
      </c>
      <c r="X364" s="38">
        <f t="shared" si="132"/>
        <v>1228.4100000000001</v>
      </c>
      <c r="Z364" s="4">
        <f t="shared" si="127"/>
        <v>0</v>
      </c>
      <c r="AA364" s="4">
        <f t="shared" si="128"/>
        <v>0</v>
      </c>
    </row>
    <row r="365" spans="1:27" x14ac:dyDescent="0.3">
      <c r="A365" s="135"/>
      <c r="B365" s="125"/>
      <c r="C365" s="3" t="s">
        <v>17</v>
      </c>
      <c r="D365" s="55" t="s">
        <v>824</v>
      </c>
      <c r="E365" s="55" t="s">
        <v>70</v>
      </c>
      <c r="F365" s="55" t="s">
        <v>332</v>
      </c>
      <c r="G365" s="56">
        <v>4</v>
      </c>
      <c r="H365" s="49">
        <f>3+3+4+4+5+2+2+2+4+2+2+2</f>
        <v>35</v>
      </c>
      <c r="I365" s="50">
        <f>1+2+2+2+2+4+2+2+2+1+2+2+1+1+3+2+2+2</f>
        <v>35</v>
      </c>
      <c r="J365" s="77">
        <f>+H365-I365</f>
        <v>0</v>
      </c>
      <c r="K365" s="31">
        <v>924</v>
      </c>
      <c r="L365" s="32">
        <v>44236</v>
      </c>
      <c r="M365" s="33">
        <v>0.21</v>
      </c>
      <c r="N365" s="64">
        <f t="shared" si="122"/>
        <v>1118.04</v>
      </c>
      <c r="O365" s="68">
        <f t="shared" si="121"/>
        <v>1201.2</v>
      </c>
      <c r="P365" s="68">
        <f t="shared" si="123"/>
        <v>1247.4000000000001</v>
      </c>
      <c r="Q365" s="68">
        <f t="shared" si="124"/>
        <v>1293.5999999999999</v>
      </c>
      <c r="R365" s="11">
        <f t="shared" si="125"/>
        <v>1339.8</v>
      </c>
      <c r="S365" s="11">
        <f t="shared" si="120"/>
        <v>1386</v>
      </c>
      <c r="T365" s="11">
        <f t="shared" si="126"/>
        <v>1478.4</v>
      </c>
      <c r="U365" s="38">
        <f t="shared" si="129"/>
        <v>1509.35</v>
      </c>
      <c r="V365" s="38">
        <f t="shared" si="130"/>
        <v>1565.26</v>
      </c>
      <c r="W365" s="38">
        <f t="shared" si="131"/>
        <v>1621.16</v>
      </c>
      <c r="X365" s="38">
        <f t="shared" si="132"/>
        <v>1677.06</v>
      </c>
      <c r="Z365" s="4">
        <f t="shared" si="127"/>
        <v>0</v>
      </c>
      <c r="AA365" s="4">
        <f t="shared" si="128"/>
        <v>0</v>
      </c>
    </row>
    <row r="366" spans="1:27" x14ac:dyDescent="0.3">
      <c r="A366" s="135"/>
      <c r="B366" s="125"/>
      <c r="C366" s="3" t="s">
        <v>1409</v>
      </c>
      <c r="D366" s="55" t="s">
        <v>621</v>
      </c>
      <c r="E366" s="55" t="s">
        <v>70</v>
      </c>
      <c r="F366" s="55" t="s">
        <v>332</v>
      </c>
      <c r="G366" s="56">
        <v>2</v>
      </c>
      <c r="H366" s="49">
        <f>3</f>
        <v>3</v>
      </c>
      <c r="I366" s="50">
        <f>2+1</f>
        <v>3</v>
      </c>
      <c r="J366" s="77">
        <f>+H366-I366</f>
        <v>0</v>
      </c>
      <c r="K366" s="31">
        <v>769.42</v>
      </c>
      <c r="L366" s="32">
        <v>44044</v>
      </c>
      <c r="M366" s="33">
        <v>0.21</v>
      </c>
      <c r="N366" s="64">
        <f t="shared" si="122"/>
        <v>930.99819999999988</v>
      </c>
      <c r="O366" s="68">
        <f t="shared" si="121"/>
        <v>1000.25</v>
      </c>
      <c r="P366" s="68">
        <f t="shared" si="123"/>
        <v>1038.72</v>
      </c>
      <c r="Q366" s="68">
        <f t="shared" si="124"/>
        <v>1077.19</v>
      </c>
      <c r="R366" s="11">
        <f t="shared" si="125"/>
        <v>1115.6600000000001</v>
      </c>
      <c r="S366" s="11">
        <f t="shared" si="120"/>
        <v>1154.1299999999999</v>
      </c>
      <c r="T366" s="11">
        <f t="shared" si="126"/>
        <v>1231.07</v>
      </c>
      <c r="U366" s="38">
        <f t="shared" si="129"/>
        <v>1256.8499999999999</v>
      </c>
      <c r="V366" s="38">
        <f t="shared" si="130"/>
        <v>1303.4000000000001</v>
      </c>
      <c r="W366" s="38">
        <f t="shared" si="131"/>
        <v>1349.95</v>
      </c>
      <c r="X366" s="38">
        <f t="shared" si="132"/>
        <v>1396.5</v>
      </c>
      <c r="Z366" s="4">
        <f t="shared" si="127"/>
        <v>0</v>
      </c>
      <c r="AA366" s="4">
        <f t="shared" si="128"/>
        <v>0</v>
      </c>
    </row>
    <row r="367" spans="1:27" x14ac:dyDescent="0.3">
      <c r="A367" s="135"/>
      <c r="B367" s="125"/>
      <c r="C367" s="3" t="s">
        <v>18</v>
      </c>
      <c r="D367" s="55" t="s">
        <v>622</v>
      </c>
      <c r="E367" s="55" t="s">
        <v>68</v>
      </c>
      <c r="F367" s="55" t="s">
        <v>332</v>
      </c>
      <c r="G367" s="56">
        <v>2</v>
      </c>
      <c r="H367" s="49">
        <f>2+2+2+2+4+3+2+2</f>
        <v>19</v>
      </c>
      <c r="I367" s="50">
        <f>1+1+1+2+1+2+2+2+2+1+1+2</f>
        <v>18</v>
      </c>
      <c r="J367" s="77">
        <f>+H367-I367</f>
        <v>1</v>
      </c>
      <c r="K367" s="31">
        <v>841.31</v>
      </c>
      <c r="L367" s="32">
        <v>44044</v>
      </c>
      <c r="M367" s="33">
        <v>0.21</v>
      </c>
      <c r="N367" s="64">
        <f t="shared" si="122"/>
        <v>1017.9850999999999</v>
      </c>
      <c r="O367" s="68">
        <f t="shared" si="121"/>
        <v>1093.7</v>
      </c>
      <c r="P367" s="68">
        <f t="shared" si="123"/>
        <v>1135.77</v>
      </c>
      <c r="Q367" s="68">
        <f t="shared" si="124"/>
        <v>1177.83</v>
      </c>
      <c r="R367" s="11">
        <f t="shared" si="125"/>
        <v>1219.9000000000001</v>
      </c>
      <c r="S367" s="11">
        <f t="shared" si="120"/>
        <v>1261.9649999999999</v>
      </c>
      <c r="T367" s="11">
        <f t="shared" si="126"/>
        <v>1346.1</v>
      </c>
      <c r="U367" s="38">
        <f t="shared" si="129"/>
        <v>1374.28</v>
      </c>
      <c r="V367" s="38">
        <f t="shared" si="130"/>
        <v>1425.18</v>
      </c>
      <c r="W367" s="38">
        <f t="shared" si="131"/>
        <v>1476.08</v>
      </c>
      <c r="X367" s="38">
        <f t="shared" si="132"/>
        <v>1526.98</v>
      </c>
      <c r="Z367" s="4">
        <f t="shared" si="127"/>
        <v>841.31</v>
      </c>
      <c r="AA367" s="4">
        <f t="shared" si="128"/>
        <v>1017.9850999999999</v>
      </c>
    </row>
    <row r="368" spans="1:27" x14ac:dyDescent="0.3">
      <c r="A368" s="135"/>
      <c r="B368" s="125"/>
      <c r="C368" s="3" t="s">
        <v>19</v>
      </c>
      <c r="D368" s="55" t="s">
        <v>623</v>
      </c>
      <c r="E368" s="55" t="s">
        <v>70</v>
      </c>
      <c r="F368" s="55" t="s">
        <v>332</v>
      </c>
      <c r="G368" s="56">
        <v>2</v>
      </c>
      <c r="H368" s="49">
        <f>1+3+3+1+2</f>
        <v>10</v>
      </c>
      <c r="I368" s="50">
        <f>2+1+1+2+1+1+2</f>
        <v>10</v>
      </c>
      <c r="J368" s="77">
        <f>+H368-I368</f>
        <v>0</v>
      </c>
      <c r="K368" s="31">
        <v>1055.81</v>
      </c>
      <c r="L368" s="32">
        <v>44130</v>
      </c>
      <c r="M368" s="33">
        <v>0.21</v>
      </c>
      <c r="N368" s="64">
        <f t="shared" si="122"/>
        <v>1277.5300999999999</v>
      </c>
      <c r="O368" s="68">
        <f t="shared" si="121"/>
        <v>1372.55</v>
      </c>
      <c r="P368" s="68">
        <f t="shared" si="123"/>
        <v>1425.34</v>
      </c>
      <c r="Q368" s="68">
        <f t="shared" si="124"/>
        <v>1478.13</v>
      </c>
      <c r="R368" s="11">
        <f t="shared" si="125"/>
        <v>1530.92</v>
      </c>
      <c r="S368" s="11">
        <f t="shared" si="120"/>
        <v>1583.7149999999999</v>
      </c>
      <c r="T368" s="11">
        <f t="shared" si="126"/>
        <v>1689.3</v>
      </c>
      <c r="U368" s="38">
        <f t="shared" si="129"/>
        <v>1724.67</v>
      </c>
      <c r="V368" s="38">
        <f t="shared" si="130"/>
        <v>1788.54</v>
      </c>
      <c r="W368" s="38">
        <f t="shared" si="131"/>
        <v>1852.42</v>
      </c>
      <c r="X368" s="38">
        <f t="shared" si="132"/>
        <v>1916.3</v>
      </c>
      <c r="Z368" s="4">
        <f t="shared" si="127"/>
        <v>0</v>
      </c>
      <c r="AA368" s="4">
        <f t="shared" si="128"/>
        <v>0</v>
      </c>
    </row>
    <row r="369" spans="1:27" x14ac:dyDescent="0.3">
      <c r="A369" s="135"/>
      <c r="B369" s="129"/>
      <c r="C369" s="3" t="s">
        <v>20</v>
      </c>
      <c r="D369" s="55" t="s">
        <v>624</v>
      </c>
      <c r="E369" s="55" t="s">
        <v>70</v>
      </c>
      <c r="F369" s="55" t="s">
        <v>332</v>
      </c>
      <c r="G369" s="56">
        <v>2</v>
      </c>
      <c r="H369" s="49">
        <f>4+3</f>
        <v>7</v>
      </c>
      <c r="I369" s="50">
        <f>2+1+1+2</f>
        <v>6</v>
      </c>
      <c r="J369" s="77">
        <f>+H369-I369</f>
        <v>1</v>
      </c>
      <c r="K369" s="31">
        <v>1044.3900000000001</v>
      </c>
      <c r="L369" s="32">
        <v>44044</v>
      </c>
      <c r="M369" s="33">
        <v>0.21</v>
      </c>
      <c r="N369" s="64">
        <f t="shared" si="122"/>
        <v>1263.7119</v>
      </c>
      <c r="O369" s="68">
        <f t="shared" si="121"/>
        <v>1357.71</v>
      </c>
      <c r="P369" s="68">
        <f t="shared" si="123"/>
        <v>1409.93</v>
      </c>
      <c r="Q369" s="68">
        <f t="shared" si="124"/>
        <v>1462.15</v>
      </c>
      <c r="R369" s="11">
        <f t="shared" si="125"/>
        <v>1514.37</v>
      </c>
      <c r="S369" s="11">
        <f t="shared" si="120"/>
        <v>1566.585</v>
      </c>
      <c r="T369" s="11">
        <f t="shared" si="126"/>
        <v>1671.02</v>
      </c>
      <c r="U369" s="38">
        <f t="shared" si="129"/>
        <v>1706.01</v>
      </c>
      <c r="V369" s="38">
        <f t="shared" si="130"/>
        <v>1769.2</v>
      </c>
      <c r="W369" s="38">
        <f t="shared" si="131"/>
        <v>1832.38</v>
      </c>
      <c r="X369" s="38">
        <f t="shared" si="132"/>
        <v>1895.57</v>
      </c>
      <c r="Z369" s="4">
        <f t="shared" si="127"/>
        <v>1044.3900000000001</v>
      </c>
      <c r="AA369" s="4">
        <f t="shared" si="128"/>
        <v>1263.7119</v>
      </c>
    </row>
    <row r="370" spans="1:27" x14ac:dyDescent="0.3">
      <c r="A370" s="135"/>
      <c r="B370" s="125"/>
      <c r="C370" s="3" t="s">
        <v>21</v>
      </c>
      <c r="D370" s="55" t="s">
        <v>625</v>
      </c>
      <c r="E370" s="55" t="s">
        <v>70</v>
      </c>
      <c r="F370" s="55" t="s">
        <v>332</v>
      </c>
      <c r="G370" s="56">
        <v>2</v>
      </c>
      <c r="H370" s="49">
        <f>3</f>
        <v>3</v>
      </c>
      <c r="I370" s="50">
        <f>0</f>
        <v>0</v>
      </c>
      <c r="J370" s="77">
        <f>+H370-I370</f>
        <v>3</v>
      </c>
      <c r="K370" s="31">
        <v>1212.26</v>
      </c>
      <c r="L370" s="32">
        <v>44044</v>
      </c>
      <c r="M370" s="33">
        <v>0.21</v>
      </c>
      <c r="N370" s="64">
        <f t="shared" si="122"/>
        <v>1466.8345999999999</v>
      </c>
      <c r="O370" s="68">
        <f t="shared" si="121"/>
        <v>1575.94</v>
      </c>
      <c r="P370" s="68">
        <f t="shared" si="123"/>
        <v>1636.55</v>
      </c>
      <c r="Q370" s="68">
        <f t="shared" si="124"/>
        <v>1697.16</v>
      </c>
      <c r="R370" s="11">
        <f t="shared" si="125"/>
        <v>1757.78</v>
      </c>
      <c r="S370" s="11">
        <f t="shared" si="120"/>
        <v>1818.3899999999999</v>
      </c>
      <c r="T370" s="11">
        <f t="shared" si="126"/>
        <v>1939.62</v>
      </c>
      <c r="U370" s="38">
        <f t="shared" si="129"/>
        <v>1980.23</v>
      </c>
      <c r="V370" s="38">
        <f t="shared" si="130"/>
        <v>2053.5700000000002</v>
      </c>
      <c r="W370" s="38">
        <f t="shared" si="131"/>
        <v>2126.91</v>
      </c>
      <c r="X370" s="38">
        <f t="shared" si="132"/>
        <v>2200.25</v>
      </c>
      <c r="Z370" s="4">
        <f t="shared" si="127"/>
        <v>3636.7799999999997</v>
      </c>
      <c r="AA370" s="4">
        <f t="shared" si="128"/>
        <v>4400.5037999999995</v>
      </c>
    </row>
    <row r="371" spans="1:27" x14ac:dyDescent="0.3">
      <c r="A371" s="135"/>
      <c r="B371" s="125"/>
      <c r="C371" s="5" t="s">
        <v>67</v>
      </c>
      <c r="D371" s="55" t="s">
        <v>589</v>
      </c>
      <c r="E371" s="55" t="s">
        <v>732</v>
      </c>
      <c r="F371" s="55" t="s">
        <v>1393</v>
      </c>
      <c r="G371" s="56">
        <v>10</v>
      </c>
      <c r="H371" s="49">
        <f>3+10+20+10+10+5+30</f>
        <v>88</v>
      </c>
      <c r="I371" s="50">
        <f>2+1+4+1+5+2+1+5+1+2+4+5+2+2+5+2+2+2+3+2+1+2+1+1+30</f>
        <v>88</v>
      </c>
      <c r="J371" s="77">
        <f>+H371-I371</f>
        <v>0</v>
      </c>
      <c r="K371" s="31">
        <v>60</v>
      </c>
      <c r="L371" s="32">
        <v>44230</v>
      </c>
      <c r="M371" s="33">
        <v>0.21</v>
      </c>
      <c r="N371" s="64">
        <f t="shared" si="122"/>
        <v>72.599999999999994</v>
      </c>
      <c r="O371" s="68">
        <f t="shared" si="121"/>
        <v>78</v>
      </c>
      <c r="P371" s="68">
        <f t="shared" si="123"/>
        <v>81</v>
      </c>
      <c r="Q371" s="68">
        <f t="shared" si="124"/>
        <v>84</v>
      </c>
      <c r="R371" s="11">
        <f t="shared" si="125"/>
        <v>87</v>
      </c>
      <c r="S371" s="11">
        <f t="shared" si="120"/>
        <v>90</v>
      </c>
      <c r="T371" s="11">
        <f t="shared" si="126"/>
        <v>96</v>
      </c>
      <c r="U371" s="38">
        <f t="shared" si="129"/>
        <v>98.01</v>
      </c>
      <c r="V371" s="38">
        <f t="shared" si="130"/>
        <v>101.64</v>
      </c>
      <c r="W371" s="38">
        <f t="shared" si="131"/>
        <v>105.27</v>
      </c>
      <c r="X371" s="38">
        <f t="shared" si="132"/>
        <v>108.9</v>
      </c>
      <c r="Z371" s="4">
        <f t="shared" si="127"/>
        <v>0</v>
      </c>
      <c r="AA371" s="4">
        <f t="shared" si="128"/>
        <v>0</v>
      </c>
    </row>
    <row r="372" spans="1:27" x14ac:dyDescent="0.3">
      <c r="A372" s="135"/>
      <c r="B372" s="125"/>
      <c r="C372" s="3" t="s">
        <v>554</v>
      </c>
      <c r="D372" s="55" t="s">
        <v>555</v>
      </c>
      <c r="E372" s="55" t="s">
        <v>70</v>
      </c>
      <c r="F372" s="55" t="s">
        <v>783</v>
      </c>
      <c r="G372" s="56">
        <v>10</v>
      </c>
      <c r="H372" s="49">
        <f>154+100</f>
        <v>254</v>
      </c>
      <c r="I372" s="50">
        <f>20+10+20+20+20+5+10+5+40+4+10+10</f>
        <v>174</v>
      </c>
      <c r="J372" s="77">
        <f>+H372-I372</f>
        <v>80</v>
      </c>
      <c r="K372" s="31">
        <v>19.2</v>
      </c>
      <c r="L372" s="32">
        <v>44102</v>
      </c>
      <c r="M372" s="33">
        <v>0.21</v>
      </c>
      <c r="N372" s="64">
        <f t="shared" si="122"/>
        <v>23.231999999999999</v>
      </c>
      <c r="O372" s="68">
        <f t="shared" si="121"/>
        <v>24.96</v>
      </c>
      <c r="P372" s="68">
        <f t="shared" si="123"/>
        <v>25.92</v>
      </c>
      <c r="Q372" s="68">
        <f t="shared" si="124"/>
        <v>26.88</v>
      </c>
      <c r="R372" s="11">
        <f t="shared" si="125"/>
        <v>27.84</v>
      </c>
      <c r="S372" s="11">
        <f t="shared" si="120"/>
        <v>28.799999999999997</v>
      </c>
      <c r="T372" s="11">
        <f t="shared" si="126"/>
        <v>30.72</v>
      </c>
      <c r="U372" s="38">
        <f t="shared" si="129"/>
        <v>31.36</v>
      </c>
      <c r="V372" s="38">
        <f t="shared" si="130"/>
        <v>32.520000000000003</v>
      </c>
      <c r="W372" s="38">
        <f t="shared" si="131"/>
        <v>33.69</v>
      </c>
      <c r="X372" s="38">
        <f t="shared" si="132"/>
        <v>34.85</v>
      </c>
      <c r="Z372" s="4">
        <f t="shared" si="127"/>
        <v>1536</v>
      </c>
      <c r="AA372" s="4">
        <f t="shared" si="128"/>
        <v>1858.56</v>
      </c>
    </row>
    <row r="373" spans="1:27" x14ac:dyDescent="0.3">
      <c r="A373" s="135"/>
      <c r="B373" s="125"/>
      <c r="C373" s="5" t="s">
        <v>707</v>
      </c>
      <c r="D373" s="55" t="s">
        <v>503</v>
      </c>
      <c r="E373" s="55" t="s">
        <v>437</v>
      </c>
      <c r="F373" s="55" t="s">
        <v>219</v>
      </c>
      <c r="G373" s="56">
        <v>1</v>
      </c>
      <c r="H373" s="49">
        <f>3+2+3+2</f>
        <v>10</v>
      </c>
      <c r="I373" s="50">
        <f>1+1+1+1+1+3+1</f>
        <v>9</v>
      </c>
      <c r="J373" s="77">
        <f>+H373-I373</f>
        <v>1</v>
      </c>
      <c r="K373" s="31">
        <v>375</v>
      </c>
      <c r="L373" s="32">
        <v>44230</v>
      </c>
      <c r="M373" s="33">
        <v>0.21</v>
      </c>
      <c r="N373" s="64">
        <f t="shared" si="122"/>
        <v>453.75</v>
      </c>
      <c r="O373" s="68">
        <f t="shared" si="121"/>
        <v>487.5</v>
      </c>
      <c r="P373" s="68">
        <f t="shared" si="123"/>
        <v>506.25</v>
      </c>
      <c r="Q373" s="68">
        <f t="shared" si="124"/>
        <v>525</v>
      </c>
      <c r="R373" s="11">
        <f t="shared" si="125"/>
        <v>543.75</v>
      </c>
      <c r="S373" s="11">
        <f t="shared" si="120"/>
        <v>562.5</v>
      </c>
      <c r="T373" s="11">
        <f t="shared" si="126"/>
        <v>600</v>
      </c>
      <c r="U373" s="38">
        <f t="shared" si="129"/>
        <v>612.55999999999995</v>
      </c>
      <c r="V373" s="38">
        <f t="shared" si="130"/>
        <v>635.25</v>
      </c>
      <c r="W373" s="38">
        <f t="shared" si="131"/>
        <v>657.94</v>
      </c>
      <c r="X373" s="38">
        <f t="shared" si="132"/>
        <v>680.63</v>
      </c>
      <c r="Z373" s="4">
        <f t="shared" si="127"/>
        <v>375</v>
      </c>
      <c r="AA373" s="4">
        <f t="shared" si="128"/>
        <v>453.75</v>
      </c>
    </row>
    <row r="374" spans="1:27" x14ac:dyDescent="0.3">
      <c r="A374" s="135"/>
      <c r="B374" s="125"/>
      <c r="C374" s="5" t="s">
        <v>1383</v>
      </c>
      <c r="D374" s="55" t="s">
        <v>1384</v>
      </c>
      <c r="E374" s="55" t="s">
        <v>70</v>
      </c>
      <c r="F374" s="55" t="s">
        <v>1385</v>
      </c>
      <c r="G374" s="56">
        <v>1</v>
      </c>
      <c r="H374" s="49">
        <f>2+2+1+2</f>
        <v>7</v>
      </c>
      <c r="I374" s="50">
        <f>1+1+1+2+1</f>
        <v>6</v>
      </c>
      <c r="J374" s="77">
        <f>+H374-I374</f>
        <v>1</v>
      </c>
      <c r="K374" s="89">
        <v>695.52</v>
      </c>
      <c r="L374" s="32">
        <v>44186</v>
      </c>
      <c r="M374" s="33">
        <v>0.21</v>
      </c>
      <c r="N374" s="64">
        <f t="shared" si="122"/>
        <v>841.5791999999999</v>
      </c>
      <c r="O374" s="68">
        <f t="shared" si="121"/>
        <v>904.18</v>
      </c>
      <c r="P374" s="68">
        <f t="shared" si="123"/>
        <v>938.95</v>
      </c>
      <c r="Q374" s="68">
        <f t="shared" si="124"/>
        <v>973.73</v>
      </c>
      <c r="R374" s="11">
        <f t="shared" si="125"/>
        <v>1008.5</v>
      </c>
      <c r="S374" s="11">
        <f t="shared" si="120"/>
        <v>1043.28</v>
      </c>
      <c r="T374" s="11">
        <f t="shared" si="126"/>
        <v>1112.83</v>
      </c>
      <c r="U374" s="38">
        <f t="shared" si="129"/>
        <v>1136.1300000000001</v>
      </c>
      <c r="V374" s="38">
        <f t="shared" si="130"/>
        <v>1178.21</v>
      </c>
      <c r="W374" s="38">
        <f t="shared" si="131"/>
        <v>1220.29</v>
      </c>
      <c r="X374" s="38">
        <f t="shared" si="132"/>
        <v>1262.3699999999999</v>
      </c>
      <c r="Z374" s="4"/>
      <c r="AA374" s="4"/>
    </row>
    <row r="375" spans="1:27" x14ac:dyDescent="0.3">
      <c r="A375" s="135"/>
      <c r="B375" s="125"/>
      <c r="C375" s="5" t="s">
        <v>449</v>
      </c>
      <c r="D375" s="55" t="s">
        <v>545</v>
      </c>
      <c r="E375" s="55" t="s">
        <v>362</v>
      </c>
      <c r="F375" s="55" t="s">
        <v>219</v>
      </c>
      <c r="G375" s="56">
        <v>5</v>
      </c>
      <c r="H375" s="49">
        <f>2+3+3+5+5+3+5+10+5+5+5</f>
        <v>51</v>
      </c>
      <c r="I375" s="50">
        <f>1+1+2+1+3+2+1+1+1+3+1+2+2+1+2+2+5+4+4+1+1+1+1+3+1</f>
        <v>47</v>
      </c>
      <c r="J375" s="77">
        <f>+H375-I375</f>
        <v>4</v>
      </c>
      <c r="K375" s="133">
        <v>375</v>
      </c>
      <c r="L375" s="32">
        <v>44230</v>
      </c>
      <c r="M375" s="33">
        <v>0.21</v>
      </c>
      <c r="N375" s="64">
        <f t="shared" si="122"/>
        <v>453.75</v>
      </c>
      <c r="O375" s="68">
        <f t="shared" si="121"/>
        <v>487.5</v>
      </c>
      <c r="P375" s="68">
        <f t="shared" si="123"/>
        <v>506.25</v>
      </c>
      <c r="Q375" s="68">
        <f t="shared" si="124"/>
        <v>525</v>
      </c>
      <c r="R375" s="11">
        <f t="shared" si="125"/>
        <v>543.75</v>
      </c>
      <c r="S375" s="11">
        <f t="shared" si="120"/>
        <v>562.5</v>
      </c>
      <c r="T375" s="11">
        <f t="shared" si="126"/>
        <v>600</v>
      </c>
      <c r="U375" s="38">
        <f t="shared" si="129"/>
        <v>612.55999999999995</v>
      </c>
      <c r="V375" s="38">
        <f t="shared" si="130"/>
        <v>635.25</v>
      </c>
      <c r="W375" s="38">
        <f t="shared" si="131"/>
        <v>657.94</v>
      </c>
      <c r="X375" s="38">
        <f t="shared" si="132"/>
        <v>680.63</v>
      </c>
      <c r="Z375" s="4">
        <f t="shared" si="127"/>
        <v>1500</v>
      </c>
      <c r="AA375" s="4">
        <f t="shared" si="128"/>
        <v>1815</v>
      </c>
    </row>
    <row r="376" spans="1:27" x14ac:dyDescent="0.3">
      <c r="A376" s="135"/>
      <c r="B376" s="125"/>
      <c r="C376" s="5" t="s">
        <v>450</v>
      </c>
      <c r="D376" s="55" t="s">
        <v>546</v>
      </c>
      <c r="E376" s="55" t="s">
        <v>362</v>
      </c>
      <c r="F376" s="55" t="s">
        <v>219</v>
      </c>
      <c r="G376" s="56">
        <v>5</v>
      </c>
      <c r="H376" s="49">
        <f>4+5+5+5+10+5+5+5+5</f>
        <v>49</v>
      </c>
      <c r="I376" s="50">
        <f>2+2+2+1+1+1+4+1+1+10+1+2+1+5+2+2+1+1+3+1+1+1</f>
        <v>46</v>
      </c>
      <c r="J376" s="77">
        <f>+H376-I376</f>
        <v>3</v>
      </c>
      <c r="K376" s="31">
        <v>375</v>
      </c>
      <c r="L376" s="32">
        <v>44230</v>
      </c>
      <c r="M376" s="33">
        <v>0.21</v>
      </c>
      <c r="N376" s="64">
        <f t="shared" si="122"/>
        <v>453.75</v>
      </c>
      <c r="O376" s="68">
        <f t="shared" si="121"/>
        <v>487.5</v>
      </c>
      <c r="P376" s="68">
        <f t="shared" si="123"/>
        <v>506.25</v>
      </c>
      <c r="Q376" s="68">
        <f t="shared" si="124"/>
        <v>525</v>
      </c>
      <c r="R376" s="11">
        <f t="shared" si="125"/>
        <v>543.75</v>
      </c>
      <c r="S376" s="11">
        <f t="shared" si="120"/>
        <v>562.5</v>
      </c>
      <c r="T376" s="11">
        <f t="shared" si="126"/>
        <v>600</v>
      </c>
      <c r="U376" s="38">
        <f t="shared" si="129"/>
        <v>612.55999999999995</v>
      </c>
      <c r="V376" s="38">
        <f t="shared" si="130"/>
        <v>635.25</v>
      </c>
      <c r="W376" s="38">
        <f t="shared" si="131"/>
        <v>657.94</v>
      </c>
      <c r="X376" s="38">
        <f t="shared" si="132"/>
        <v>680.63</v>
      </c>
      <c r="Z376" s="4">
        <f t="shared" si="127"/>
        <v>1125</v>
      </c>
      <c r="AA376" s="4">
        <f t="shared" si="128"/>
        <v>1361.25</v>
      </c>
    </row>
    <row r="377" spans="1:27" x14ac:dyDescent="0.3">
      <c r="A377" s="135"/>
      <c r="B377" s="125"/>
      <c r="C377" s="5" t="s">
        <v>978</v>
      </c>
      <c r="D377" s="55"/>
      <c r="E377" s="55" t="s">
        <v>362</v>
      </c>
      <c r="F377" s="55" t="s">
        <v>219</v>
      </c>
      <c r="G377" s="56">
        <v>0</v>
      </c>
      <c r="H377" s="49">
        <v>6</v>
      </c>
      <c r="I377" s="50">
        <f>2+1+2+1</f>
        <v>6</v>
      </c>
      <c r="J377" s="77">
        <f>+H377-I377</f>
        <v>0</v>
      </c>
      <c r="K377" s="31">
        <v>375</v>
      </c>
      <c r="L377" s="32">
        <v>44230</v>
      </c>
      <c r="M377" s="33">
        <v>0.21</v>
      </c>
      <c r="N377" s="64">
        <f t="shared" si="122"/>
        <v>453.75</v>
      </c>
      <c r="O377" s="68">
        <f t="shared" si="121"/>
        <v>487.5</v>
      </c>
      <c r="P377" s="68">
        <f t="shared" si="123"/>
        <v>506.25</v>
      </c>
      <c r="Q377" s="68">
        <f t="shared" si="124"/>
        <v>525</v>
      </c>
      <c r="R377" s="11">
        <f t="shared" si="125"/>
        <v>543.75</v>
      </c>
      <c r="S377" s="11">
        <f t="shared" si="120"/>
        <v>562.5</v>
      </c>
      <c r="T377" s="11">
        <f t="shared" si="126"/>
        <v>600</v>
      </c>
      <c r="U377" s="38">
        <f t="shared" si="129"/>
        <v>612.55999999999995</v>
      </c>
      <c r="V377" s="38">
        <f t="shared" si="130"/>
        <v>635.25</v>
      </c>
      <c r="W377" s="38">
        <f t="shared" si="131"/>
        <v>657.94</v>
      </c>
      <c r="X377" s="38">
        <f t="shared" si="132"/>
        <v>680.63</v>
      </c>
      <c r="Z377" s="4">
        <f t="shared" si="127"/>
        <v>0</v>
      </c>
      <c r="AA377" s="4">
        <f t="shared" si="128"/>
        <v>0</v>
      </c>
    </row>
    <row r="378" spans="1:27" x14ac:dyDescent="0.3">
      <c r="A378" s="135"/>
      <c r="B378" s="125"/>
      <c r="C378" s="5" t="s">
        <v>1331</v>
      </c>
      <c r="D378" s="55"/>
      <c r="E378" s="55" t="s">
        <v>362</v>
      </c>
      <c r="F378" s="55" t="s">
        <v>219</v>
      </c>
      <c r="G378" s="56">
        <v>0</v>
      </c>
      <c r="H378" s="49">
        <f>4+2+4</f>
        <v>10</v>
      </c>
      <c r="I378" s="50">
        <f>1+1+2+2+2</f>
        <v>8</v>
      </c>
      <c r="J378" s="77">
        <f>+H378-I378</f>
        <v>2</v>
      </c>
      <c r="K378" s="31">
        <v>375</v>
      </c>
      <c r="L378" s="32">
        <v>44230</v>
      </c>
      <c r="M378" s="33">
        <v>0.21</v>
      </c>
      <c r="N378" s="64">
        <f t="shared" si="122"/>
        <v>453.75</v>
      </c>
      <c r="O378" s="68">
        <f t="shared" si="121"/>
        <v>487.5</v>
      </c>
      <c r="P378" s="68">
        <f t="shared" si="123"/>
        <v>506.25</v>
      </c>
      <c r="Q378" s="68">
        <f t="shared" si="124"/>
        <v>525</v>
      </c>
      <c r="R378" s="11">
        <f t="shared" si="125"/>
        <v>543.75</v>
      </c>
      <c r="S378" s="11">
        <f t="shared" si="120"/>
        <v>562.5</v>
      </c>
      <c r="T378" s="11">
        <f t="shared" si="126"/>
        <v>600</v>
      </c>
      <c r="U378" s="38">
        <f t="shared" si="129"/>
        <v>612.55999999999995</v>
      </c>
      <c r="V378" s="38">
        <f t="shared" si="130"/>
        <v>635.25</v>
      </c>
      <c r="W378" s="38">
        <f t="shared" si="131"/>
        <v>657.94</v>
      </c>
      <c r="X378" s="38">
        <f t="shared" si="132"/>
        <v>680.63</v>
      </c>
      <c r="Z378" s="4"/>
      <c r="AA378" s="4"/>
    </row>
    <row r="379" spans="1:27" x14ac:dyDescent="0.3">
      <c r="A379" s="135"/>
      <c r="B379" s="125"/>
      <c r="C379" s="5" t="s">
        <v>1161</v>
      </c>
      <c r="D379" s="55"/>
      <c r="E379" s="55" t="s">
        <v>362</v>
      </c>
      <c r="F379" s="55" t="s">
        <v>219</v>
      </c>
      <c r="G379" s="56">
        <v>5</v>
      </c>
      <c r="H379" s="49">
        <f>5+5+5+5+5+5+5+5</f>
        <v>40</v>
      </c>
      <c r="I379" s="50">
        <f>1+4+1+4+1+1+1+2+2+1+2+1+2+2+2+1+2+3+1+1+2+3</f>
        <v>40</v>
      </c>
      <c r="J379" s="77">
        <f>+H379-I379</f>
        <v>0</v>
      </c>
      <c r="K379" s="31">
        <v>375</v>
      </c>
      <c r="L379" s="32">
        <v>44230</v>
      </c>
      <c r="M379" s="33">
        <v>0.21</v>
      </c>
      <c r="N379" s="64">
        <f t="shared" si="122"/>
        <v>453.75</v>
      </c>
      <c r="O379" s="68">
        <f t="shared" si="121"/>
        <v>487.5</v>
      </c>
      <c r="P379" s="68">
        <f t="shared" si="123"/>
        <v>506.25</v>
      </c>
      <c r="Q379" s="68">
        <f t="shared" si="124"/>
        <v>525</v>
      </c>
      <c r="R379" s="11">
        <f t="shared" si="125"/>
        <v>543.75</v>
      </c>
      <c r="S379" s="11">
        <f t="shared" si="120"/>
        <v>562.5</v>
      </c>
      <c r="T379" s="11">
        <f t="shared" si="126"/>
        <v>600</v>
      </c>
      <c r="U379" s="38">
        <f t="shared" si="129"/>
        <v>612.55999999999995</v>
      </c>
      <c r="V379" s="38">
        <f t="shared" si="130"/>
        <v>635.25</v>
      </c>
      <c r="W379" s="38">
        <f t="shared" si="131"/>
        <v>657.94</v>
      </c>
      <c r="X379" s="38">
        <f t="shared" si="132"/>
        <v>680.63</v>
      </c>
      <c r="Z379" s="4">
        <f t="shared" si="127"/>
        <v>0</v>
      </c>
      <c r="AA379" s="4">
        <f t="shared" si="128"/>
        <v>0</v>
      </c>
    </row>
    <row r="380" spans="1:27" x14ac:dyDescent="0.3">
      <c r="B380" s="125"/>
      <c r="C380" s="3" t="s">
        <v>919</v>
      </c>
      <c r="D380" s="60" t="s">
        <v>677</v>
      </c>
      <c r="E380" s="55" t="s">
        <v>70</v>
      </c>
      <c r="F380" s="55" t="s">
        <v>547</v>
      </c>
      <c r="G380" s="56">
        <v>0</v>
      </c>
      <c r="H380" s="49">
        <f>1</f>
        <v>1</v>
      </c>
      <c r="I380" s="50">
        <f>0</f>
        <v>0</v>
      </c>
      <c r="J380" s="77">
        <f>+H380-I380</f>
        <v>1</v>
      </c>
      <c r="K380" s="31">
        <v>773.5</v>
      </c>
      <c r="L380" s="32">
        <v>43609</v>
      </c>
      <c r="M380" s="33">
        <v>0.21</v>
      </c>
      <c r="N380" s="64">
        <f t="shared" si="122"/>
        <v>935.93499999999995</v>
      </c>
      <c r="O380" s="68">
        <f t="shared" si="121"/>
        <v>1005.55</v>
      </c>
      <c r="P380" s="68">
        <f t="shared" si="123"/>
        <v>1044.23</v>
      </c>
      <c r="Q380" s="68">
        <f t="shared" si="124"/>
        <v>1082.9000000000001</v>
      </c>
      <c r="R380" s="11">
        <f t="shared" si="125"/>
        <v>1121.58</v>
      </c>
      <c r="S380" s="11">
        <f t="shared" si="120"/>
        <v>1160.25</v>
      </c>
      <c r="T380" s="11">
        <f t="shared" si="126"/>
        <v>1237.5999999999999</v>
      </c>
      <c r="U380" s="38">
        <f t="shared" si="129"/>
        <v>1263.51</v>
      </c>
      <c r="V380" s="38">
        <f t="shared" si="130"/>
        <v>1310.31</v>
      </c>
      <c r="W380" s="38">
        <f t="shared" si="131"/>
        <v>1357.11</v>
      </c>
      <c r="X380" s="38">
        <f t="shared" si="132"/>
        <v>1403.9</v>
      </c>
      <c r="Z380" s="4">
        <f t="shared" si="127"/>
        <v>773.5</v>
      </c>
      <c r="AA380" s="4">
        <f t="shared" si="128"/>
        <v>935.93499999999995</v>
      </c>
    </row>
    <row r="381" spans="1:27" x14ac:dyDescent="0.3">
      <c r="B381" s="125"/>
      <c r="C381" s="3" t="s">
        <v>1208</v>
      </c>
      <c r="D381" s="60" t="s">
        <v>963</v>
      </c>
      <c r="E381" s="55" t="s">
        <v>34</v>
      </c>
      <c r="F381" s="55"/>
      <c r="G381" s="56">
        <v>1</v>
      </c>
      <c r="H381" s="49">
        <f>2</f>
        <v>2</v>
      </c>
      <c r="I381" s="50">
        <f>0+2</f>
        <v>2</v>
      </c>
      <c r="J381" s="77">
        <f>+H381-I381</f>
        <v>0</v>
      </c>
      <c r="K381" s="31">
        <v>499.8</v>
      </c>
      <c r="L381" s="32">
        <v>43118</v>
      </c>
      <c r="M381" s="33">
        <v>0.21</v>
      </c>
      <c r="N381" s="64">
        <f t="shared" si="122"/>
        <v>604.75800000000004</v>
      </c>
      <c r="O381" s="68">
        <f t="shared" si="121"/>
        <v>649.74</v>
      </c>
      <c r="P381" s="68">
        <f t="shared" si="123"/>
        <v>674.73</v>
      </c>
      <c r="Q381" s="68">
        <f t="shared" si="124"/>
        <v>699.72</v>
      </c>
      <c r="R381" s="11">
        <f t="shared" si="125"/>
        <v>724.71</v>
      </c>
      <c r="S381" s="11">
        <f t="shared" si="120"/>
        <v>749.7</v>
      </c>
      <c r="T381" s="11">
        <f t="shared" si="126"/>
        <v>799.68</v>
      </c>
      <c r="U381" s="38">
        <f t="shared" si="129"/>
        <v>816.42</v>
      </c>
      <c r="V381" s="38">
        <f t="shared" si="130"/>
        <v>846.66</v>
      </c>
      <c r="W381" s="38">
        <f t="shared" si="131"/>
        <v>876.9</v>
      </c>
      <c r="X381" s="38">
        <f t="shared" si="132"/>
        <v>907.14</v>
      </c>
      <c r="Z381" s="4">
        <f t="shared" si="127"/>
        <v>0</v>
      </c>
      <c r="AA381" s="4">
        <f t="shared" si="128"/>
        <v>0</v>
      </c>
    </row>
    <row r="382" spans="1:27" x14ac:dyDescent="0.3">
      <c r="B382" s="125"/>
      <c r="C382" s="3" t="s">
        <v>1146</v>
      </c>
      <c r="D382" s="60" t="s">
        <v>962</v>
      </c>
      <c r="E382" s="55" t="s">
        <v>34</v>
      </c>
      <c r="F382" s="55"/>
      <c r="G382" s="56">
        <v>0</v>
      </c>
      <c r="H382" s="49">
        <v>2</v>
      </c>
      <c r="I382" s="50">
        <f>0+2</f>
        <v>2</v>
      </c>
      <c r="J382" s="77">
        <f>+H382-I382</f>
        <v>0</v>
      </c>
      <c r="K382" s="31">
        <v>622.37</v>
      </c>
      <c r="L382" s="32">
        <v>42936</v>
      </c>
      <c r="M382" s="33">
        <v>0.21</v>
      </c>
      <c r="N382" s="64">
        <f t="shared" si="122"/>
        <v>753.06769999999995</v>
      </c>
      <c r="O382" s="68">
        <f t="shared" si="121"/>
        <v>809.08</v>
      </c>
      <c r="P382" s="68">
        <f t="shared" si="123"/>
        <v>840.2</v>
      </c>
      <c r="Q382" s="68">
        <f t="shared" si="124"/>
        <v>871.32</v>
      </c>
      <c r="R382" s="11">
        <f t="shared" si="125"/>
        <v>902.44</v>
      </c>
      <c r="S382" s="11">
        <f t="shared" si="120"/>
        <v>933.55500000000006</v>
      </c>
      <c r="T382" s="11">
        <f t="shared" si="126"/>
        <v>995.79</v>
      </c>
      <c r="U382" s="38">
        <f t="shared" si="129"/>
        <v>1016.64</v>
      </c>
      <c r="V382" s="38">
        <f t="shared" si="130"/>
        <v>1054.29</v>
      </c>
      <c r="W382" s="38">
        <f t="shared" si="131"/>
        <v>1091.95</v>
      </c>
      <c r="X382" s="38">
        <f t="shared" si="132"/>
        <v>1129.5999999999999</v>
      </c>
      <c r="Z382" s="4">
        <f t="shared" si="127"/>
        <v>0</v>
      </c>
      <c r="AA382" s="4">
        <f t="shared" si="128"/>
        <v>0</v>
      </c>
    </row>
    <row r="383" spans="1:27" x14ac:dyDescent="0.3">
      <c r="B383" s="125"/>
      <c r="C383" s="3" t="s">
        <v>1145</v>
      </c>
      <c r="D383" s="60" t="s">
        <v>1147</v>
      </c>
      <c r="E383" s="55"/>
      <c r="F383" s="55"/>
      <c r="G383" s="56">
        <v>1</v>
      </c>
      <c r="H383" s="49">
        <f>1+2</f>
        <v>3</v>
      </c>
      <c r="I383" s="50"/>
      <c r="J383" s="77">
        <f>+H383-I383</f>
        <v>3</v>
      </c>
      <c r="K383" s="31">
        <v>622.37</v>
      </c>
      <c r="L383" s="32">
        <v>42936</v>
      </c>
      <c r="M383" s="33">
        <v>0.21</v>
      </c>
      <c r="N383" s="64">
        <f t="shared" si="122"/>
        <v>753.06769999999995</v>
      </c>
      <c r="O383" s="68">
        <f t="shared" si="121"/>
        <v>809.08</v>
      </c>
      <c r="P383" s="68">
        <f t="shared" si="123"/>
        <v>840.2</v>
      </c>
      <c r="Q383" s="68">
        <f t="shared" si="124"/>
        <v>871.32</v>
      </c>
      <c r="R383" s="11">
        <f t="shared" si="125"/>
        <v>902.44</v>
      </c>
      <c r="S383" s="11">
        <f t="shared" si="120"/>
        <v>933.55500000000006</v>
      </c>
      <c r="T383" s="11">
        <f t="shared" si="126"/>
        <v>995.79</v>
      </c>
      <c r="U383" s="38">
        <f t="shared" si="129"/>
        <v>1016.64</v>
      </c>
      <c r="V383" s="38">
        <f t="shared" si="130"/>
        <v>1054.29</v>
      </c>
      <c r="W383" s="38">
        <f t="shared" si="131"/>
        <v>1091.95</v>
      </c>
      <c r="X383" s="38">
        <f t="shared" si="132"/>
        <v>1129.5999999999999</v>
      </c>
      <c r="Z383" s="4">
        <f t="shared" si="127"/>
        <v>1867.1100000000001</v>
      </c>
      <c r="AA383" s="4">
        <f t="shared" si="128"/>
        <v>2259.2030999999997</v>
      </c>
    </row>
    <row r="384" spans="1:27" x14ac:dyDescent="0.3">
      <c r="B384" s="125"/>
      <c r="C384" s="3" t="s">
        <v>1004</v>
      </c>
      <c r="D384" s="60" t="s">
        <v>1005</v>
      </c>
      <c r="E384" s="55" t="s">
        <v>34</v>
      </c>
      <c r="F384" s="55"/>
      <c r="G384" s="56">
        <v>1</v>
      </c>
      <c r="H384" s="49">
        <f>1+1</f>
        <v>2</v>
      </c>
      <c r="I384" s="50">
        <f>0</f>
        <v>0</v>
      </c>
      <c r="J384" s="77">
        <f>+H384-I384</f>
        <v>2</v>
      </c>
      <c r="K384" s="31">
        <v>844.2</v>
      </c>
      <c r="L384" s="32">
        <v>42936</v>
      </c>
      <c r="M384" s="33">
        <v>0.21</v>
      </c>
      <c r="N384" s="64">
        <f t="shared" si="122"/>
        <v>1021.482</v>
      </c>
      <c r="O384" s="68">
        <f t="shared" si="121"/>
        <v>1097.46</v>
      </c>
      <c r="P384" s="68">
        <f t="shared" si="123"/>
        <v>1139.67</v>
      </c>
      <c r="Q384" s="68">
        <f t="shared" si="124"/>
        <v>1181.8800000000001</v>
      </c>
      <c r="R384" s="11">
        <f t="shared" si="125"/>
        <v>1224.0899999999999</v>
      </c>
      <c r="S384" s="11">
        <f t="shared" si="120"/>
        <v>1266.3000000000002</v>
      </c>
      <c r="T384" s="11">
        <f t="shared" si="126"/>
        <v>1350.72</v>
      </c>
      <c r="U384" s="38">
        <f t="shared" si="129"/>
        <v>1379</v>
      </c>
      <c r="V384" s="38">
        <f t="shared" si="130"/>
        <v>1430.07</v>
      </c>
      <c r="W384" s="38">
        <f t="shared" si="131"/>
        <v>1481.15</v>
      </c>
      <c r="X384" s="38">
        <f t="shared" si="132"/>
        <v>1532.22</v>
      </c>
      <c r="Z384" s="4">
        <f t="shared" si="127"/>
        <v>1688.4</v>
      </c>
      <c r="AA384" s="4">
        <f t="shared" si="128"/>
        <v>2042.9639999999999</v>
      </c>
    </row>
    <row r="385" spans="1:27" x14ac:dyDescent="0.3">
      <c r="B385" s="125"/>
      <c r="C385" s="3" t="s">
        <v>1294</v>
      </c>
      <c r="D385" s="71" t="s">
        <v>1103</v>
      </c>
      <c r="E385" s="55" t="s">
        <v>34</v>
      </c>
      <c r="F385" s="55"/>
      <c r="G385" s="56">
        <v>2</v>
      </c>
      <c r="H385" s="49">
        <v>5</v>
      </c>
      <c r="I385" s="50">
        <f>1+1+1</f>
        <v>3</v>
      </c>
      <c r="J385" s="77">
        <f>+H385-I385</f>
        <v>2</v>
      </c>
      <c r="K385" s="31">
        <v>2500</v>
      </c>
      <c r="L385" s="32">
        <v>44218</v>
      </c>
      <c r="M385" s="33">
        <v>0.21</v>
      </c>
      <c r="N385" s="64">
        <f t="shared" si="122"/>
        <v>3025</v>
      </c>
      <c r="O385" s="68">
        <f t="shared" si="121"/>
        <v>3250</v>
      </c>
      <c r="P385" s="68">
        <f t="shared" si="123"/>
        <v>3375</v>
      </c>
      <c r="Q385" s="68">
        <f t="shared" si="124"/>
        <v>3500</v>
      </c>
      <c r="R385" s="11">
        <f t="shared" si="125"/>
        <v>3625</v>
      </c>
      <c r="S385" s="11">
        <f t="shared" si="120"/>
        <v>3750</v>
      </c>
      <c r="T385" s="11">
        <f t="shared" si="126"/>
        <v>4000</v>
      </c>
      <c r="U385" s="38">
        <f t="shared" si="129"/>
        <v>4083.75</v>
      </c>
      <c r="V385" s="38">
        <f t="shared" si="130"/>
        <v>4235</v>
      </c>
      <c r="W385" s="38">
        <f t="shared" si="131"/>
        <v>4386.25</v>
      </c>
      <c r="X385" s="38">
        <f t="shared" si="132"/>
        <v>4537.5</v>
      </c>
      <c r="Z385" s="4">
        <f t="shared" si="127"/>
        <v>5000</v>
      </c>
      <c r="AA385" s="4">
        <f t="shared" si="128"/>
        <v>6050</v>
      </c>
    </row>
    <row r="386" spans="1:27" x14ac:dyDescent="0.3">
      <c r="B386" s="125"/>
      <c r="C386" s="3" t="s">
        <v>1299</v>
      </c>
      <c r="D386" s="60" t="s">
        <v>1300</v>
      </c>
      <c r="E386" s="55" t="s">
        <v>34</v>
      </c>
      <c r="F386" s="55"/>
      <c r="G386" s="56"/>
      <c r="H386" s="49">
        <f>4+2</f>
        <v>6</v>
      </c>
      <c r="I386" s="50">
        <f>1+1+1+1</f>
        <v>4</v>
      </c>
      <c r="J386" s="77">
        <f>+H386-I386</f>
        <v>2</v>
      </c>
      <c r="K386" s="31">
        <v>2500</v>
      </c>
      <c r="L386" s="32">
        <v>44218</v>
      </c>
      <c r="M386" s="33">
        <v>0.21</v>
      </c>
      <c r="N386" s="64">
        <f t="shared" si="122"/>
        <v>3025</v>
      </c>
      <c r="O386" s="68">
        <f t="shared" si="121"/>
        <v>3250</v>
      </c>
      <c r="P386" s="68">
        <f t="shared" si="123"/>
        <v>3375</v>
      </c>
      <c r="Q386" s="68">
        <f t="shared" si="124"/>
        <v>3500</v>
      </c>
      <c r="R386" s="11">
        <f t="shared" si="125"/>
        <v>3625</v>
      </c>
      <c r="S386" s="11">
        <f t="shared" si="120"/>
        <v>3750</v>
      </c>
      <c r="T386" s="11">
        <f t="shared" si="126"/>
        <v>4000</v>
      </c>
      <c r="U386" s="38">
        <f t="shared" si="129"/>
        <v>4083.75</v>
      </c>
      <c r="V386" s="38">
        <f t="shared" si="130"/>
        <v>4235</v>
      </c>
      <c r="W386" s="38">
        <f t="shared" si="131"/>
        <v>4386.25</v>
      </c>
      <c r="X386" s="38">
        <f t="shared" si="132"/>
        <v>4537.5</v>
      </c>
      <c r="Z386" s="4">
        <f t="shared" si="127"/>
        <v>5000</v>
      </c>
      <c r="AA386" s="4">
        <f t="shared" si="128"/>
        <v>6050</v>
      </c>
    </row>
    <row r="387" spans="1:27" x14ac:dyDescent="0.3">
      <c r="B387" s="125"/>
      <c r="C387" s="3" t="s">
        <v>1350</v>
      </c>
      <c r="D387" s="60" t="s">
        <v>1205</v>
      </c>
      <c r="E387" s="55" t="s">
        <v>829</v>
      </c>
      <c r="F387" s="55"/>
      <c r="G387" s="56">
        <v>2</v>
      </c>
      <c r="H387" s="49">
        <f>3+4</f>
        <v>7</v>
      </c>
      <c r="I387" s="50">
        <f>1+1+1+1+1</f>
        <v>5</v>
      </c>
      <c r="J387" s="77">
        <f>+H387-I387</f>
        <v>2</v>
      </c>
      <c r="K387" s="31">
        <v>2500</v>
      </c>
      <c r="L387" s="32">
        <v>44218</v>
      </c>
      <c r="M387" s="33">
        <v>0.21</v>
      </c>
      <c r="N387" s="64">
        <f t="shared" si="122"/>
        <v>3025</v>
      </c>
      <c r="O387" s="68">
        <f t="shared" si="121"/>
        <v>3250</v>
      </c>
      <c r="P387" s="68">
        <f t="shared" si="123"/>
        <v>3375</v>
      </c>
      <c r="Q387" s="68">
        <f t="shared" si="124"/>
        <v>3500</v>
      </c>
      <c r="R387" s="11">
        <f t="shared" si="125"/>
        <v>3625</v>
      </c>
      <c r="S387" s="11">
        <f t="shared" si="120"/>
        <v>3750</v>
      </c>
      <c r="T387" s="11">
        <f t="shared" si="126"/>
        <v>4000</v>
      </c>
      <c r="U387" s="38">
        <f t="shared" si="129"/>
        <v>4083.75</v>
      </c>
      <c r="V387" s="38">
        <f t="shared" si="130"/>
        <v>4235</v>
      </c>
      <c r="W387" s="38">
        <f t="shared" si="131"/>
        <v>4386.25</v>
      </c>
      <c r="X387" s="38">
        <f t="shared" si="132"/>
        <v>4537.5</v>
      </c>
      <c r="Z387" s="4">
        <f t="shared" si="127"/>
        <v>5000</v>
      </c>
      <c r="AA387" s="4">
        <f t="shared" si="128"/>
        <v>6050</v>
      </c>
    </row>
    <row r="388" spans="1:27" x14ac:dyDescent="0.3">
      <c r="B388" s="125"/>
      <c r="C388" s="3" t="s">
        <v>1531</v>
      </c>
      <c r="D388" s="60"/>
      <c r="E388" s="55"/>
      <c r="F388" s="55" t="s">
        <v>274</v>
      </c>
      <c r="G388" s="56">
        <v>5</v>
      </c>
      <c r="H388" s="49">
        <f>12</f>
        <v>12</v>
      </c>
      <c r="I388" s="50">
        <f>6+1+1+1+1</f>
        <v>10</v>
      </c>
      <c r="J388" s="77">
        <f>+H388-I388</f>
        <v>2</v>
      </c>
      <c r="K388" s="31">
        <v>322.32</v>
      </c>
      <c r="L388" s="32">
        <v>44238</v>
      </c>
      <c r="M388" s="33">
        <v>0.21</v>
      </c>
      <c r="N388" s="64"/>
      <c r="O388" s="68">
        <f t="shared" si="121"/>
        <v>419.02</v>
      </c>
      <c r="P388" s="68">
        <f t="shared" si="123"/>
        <v>435.13</v>
      </c>
      <c r="Q388" s="68">
        <f t="shared" si="124"/>
        <v>451.25</v>
      </c>
      <c r="R388" s="11">
        <f t="shared" si="125"/>
        <v>467.36</v>
      </c>
      <c r="S388" s="11">
        <f t="shared" si="120"/>
        <v>483.48</v>
      </c>
      <c r="T388" s="11">
        <f t="shared" si="126"/>
        <v>515.71</v>
      </c>
      <c r="U388" s="38"/>
      <c r="V388" s="38"/>
      <c r="W388" s="38"/>
      <c r="X388" s="38"/>
      <c r="Z388" s="4">
        <f t="shared" si="127"/>
        <v>644.64</v>
      </c>
      <c r="AA388" s="4"/>
    </row>
    <row r="389" spans="1:27" x14ac:dyDescent="0.3">
      <c r="A389" s="135"/>
      <c r="C389" s="3" t="s">
        <v>705</v>
      </c>
      <c r="D389" s="55" t="s">
        <v>504</v>
      </c>
      <c r="E389" s="55" t="s">
        <v>362</v>
      </c>
      <c r="F389" s="55" t="s">
        <v>223</v>
      </c>
      <c r="G389" s="56">
        <v>24</v>
      </c>
      <c r="H389" s="49">
        <f>12+24+24+2+10+12+9+12</f>
        <v>105</v>
      </c>
      <c r="I389" s="50">
        <f>12+10+10+4+6+6+10+4+10+1+1+9+1+7+1+1</f>
        <v>93</v>
      </c>
      <c r="J389" s="77">
        <f>+H389-I389</f>
        <v>12</v>
      </c>
      <c r="K389" s="31">
        <v>412.83</v>
      </c>
      <c r="L389" s="32">
        <v>44104</v>
      </c>
      <c r="M389" s="33">
        <v>0.21</v>
      </c>
      <c r="N389" s="64">
        <f t="shared" si="122"/>
        <v>499.52429999999998</v>
      </c>
      <c r="O389" s="68">
        <f t="shared" si="121"/>
        <v>536.67999999999995</v>
      </c>
      <c r="P389" s="68">
        <f t="shared" si="123"/>
        <v>557.32000000000005</v>
      </c>
      <c r="Q389" s="68">
        <f t="shared" si="124"/>
        <v>577.96</v>
      </c>
      <c r="R389" s="11">
        <f t="shared" si="125"/>
        <v>598.6</v>
      </c>
      <c r="S389" s="11">
        <f t="shared" ref="S389:S450" si="133">K389*(1+$S$3)</f>
        <v>619.245</v>
      </c>
      <c r="T389" s="11">
        <f t="shared" si="126"/>
        <v>660.53</v>
      </c>
      <c r="U389" s="38">
        <f t="shared" si="129"/>
        <v>674.36</v>
      </c>
      <c r="V389" s="38">
        <f t="shared" si="130"/>
        <v>699.33</v>
      </c>
      <c r="W389" s="38">
        <f t="shared" si="131"/>
        <v>724.31</v>
      </c>
      <c r="X389" s="38">
        <f t="shared" si="132"/>
        <v>749.29</v>
      </c>
      <c r="Z389" s="4">
        <f t="shared" si="127"/>
        <v>4953.96</v>
      </c>
      <c r="AA389" s="4">
        <f t="shared" si="128"/>
        <v>5994.2915999999996</v>
      </c>
    </row>
    <row r="390" spans="1:27" x14ac:dyDescent="0.3">
      <c r="A390" s="135"/>
      <c r="B390" s="125"/>
      <c r="C390" s="3" t="s">
        <v>1066</v>
      </c>
      <c r="D390" s="60" t="s">
        <v>626</v>
      </c>
      <c r="E390" s="55" t="s">
        <v>70</v>
      </c>
      <c r="F390" s="55" t="s">
        <v>229</v>
      </c>
      <c r="G390" s="56">
        <v>0</v>
      </c>
      <c r="H390" s="49">
        <f>6+6</f>
        <v>12</v>
      </c>
      <c r="I390" s="50">
        <f>1+1+1</f>
        <v>3</v>
      </c>
      <c r="J390" s="77">
        <f>+H390-I390</f>
        <v>9</v>
      </c>
      <c r="K390" s="31">
        <v>422.23</v>
      </c>
      <c r="L390" s="32">
        <v>43588</v>
      </c>
      <c r="M390" s="33">
        <v>0.21</v>
      </c>
      <c r="N390" s="64">
        <f t="shared" si="122"/>
        <v>510.89830000000001</v>
      </c>
      <c r="O390" s="68">
        <f t="shared" si="121"/>
        <v>548.9</v>
      </c>
      <c r="P390" s="68">
        <f t="shared" si="123"/>
        <v>570.01</v>
      </c>
      <c r="Q390" s="68">
        <f t="shared" si="124"/>
        <v>591.12</v>
      </c>
      <c r="R390" s="11">
        <f t="shared" si="125"/>
        <v>612.23</v>
      </c>
      <c r="S390" s="11">
        <f t="shared" si="133"/>
        <v>633.34500000000003</v>
      </c>
      <c r="T390" s="11">
        <f t="shared" si="126"/>
        <v>675.57</v>
      </c>
      <c r="U390" s="38">
        <f t="shared" si="129"/>
        <v>689.71</v>
      </c>
      <c r="V390" s="38">
        <f t="shared" si="130"/>
        <v>715.26</v>
      </c>
      <c r="W390" s="38">
        <f t="shared" si="131"/>
        <v>740.8</v>
      </c>
      <c r="X390" s="38">
        <f t="shared" si="132"/>
        <v>766.35</v>
      </c>
      <c r="Z390" s="4">
        <f t="shared" si="127"/>
        <v>3800.07</v>
      </c>
      <c r="AA390" s="4">
        <f t="shared" si="128"/>
        <v>4598.0847000000003</v>
      </c>
    </row>
    <row r="391" spans="1:27" x14ac:dyDescent="0.3">
      <c r="A391" s="135"/>
      <c r="B391" s="125"/>
      <c r="C391" s="3" t="s">
        <v>1236</v>
      </c>
      <c r="D391" s="60"/>
      <c r="E391" s="55"/>
      <c r="F391" s="55" t="s">
        <v>1237</v>
      </c>
      <c r="G391" s="56">
        <v>0</v>
      </c>
      <c r="H391" s="49">
        <v>5</v>
      </c>
      <c r="I391" s="50">
        <v>0</v>
      </c>
      <c r="J391" s="77">
        <f>+H391-I391</f>
        <v>5</v>
      </c>
      <c r="K391" s="31">
        <v>350</v>
      </c>
      <c r="L391" s="32">
        <v>43251</v>
      </c>
      <c r="M391" s="33">
        <v>0.21</v>
      </c>
      <c r="N391" s="64">
        <f t="shared" si="122"/>
        <v>423.5</v>
      </c>
      <c r="O391" s="68">
        <f t="shared" si="121"/>
        <v>455</v>
      </c>
      <c r="P391" s="68">
        <f t="shared" si="123"/>
        <v>472.5</v>
      </c>
      <c r="Q391" s="68">
        <f t="shared" si="124"/>
        <v>490</v>
      </c>
      <c r="R391" s="11">
        <f t="shared" si="125"/>
        <v>507.5</v>
      </c>
      <c r="S391" s="11">
        <f t="shared" si="133"/>
        <v>525</v>
      </c>
      <c r="T391" s="11">
        <f t="shared" si="126"/>
        <v>560</v>
      </c>
      <c r="U391" s="38">
        <f t="shared" si="129"/>
        <v>571.73</v>
      </c>
      <c r="V391" s="38">
        <f t="shared" si="130"/>
        <v>592.9</v>
      </c>
      <c r="W391" s="38">
        <f t="shared" si="131"/>
        <v>614.08000000000004</v>
      </c>
      <c r="X391" s="38">
        <f t="shared" si="132"/>
        <v>635.25</v>
      </c>
      <c r="Z391" s="4">
        <f t="shared" si="127"/>
        <v>1750</v>
      </c>
      <c r="AA391" s="4">
        <f t="shared" si="128"/>
        <v>2117.5</v>
      </c>
    </row>
    <row r="392" spans="1:27" x14ac:dyDescent="0.3">
      <c r="B392" s="125"/>
      <c r="C392" s="3" t="s">
        <v>462</v>
      </c>
      <c r="D392" s="60" t="s">
        <v>590</v>
      </c>
      <c r="E392" s="55" t="s">
        <v>70</v>
      </c>
      <c r="F392" s="55" t="s">
        <v>44</v>
      </c>
      <c r="G392" s="56">
        <v>5</v>
      </c>
      <c r="H392" s="49">
        <v>5</v>
      </c>
      <c r="I392" s="50">
        <f>5</f>
        <v>5</v>
      </c>
      <c r="J392" s="77">
        <f>+H392-I392</f>
        <v>0</v>
      </c>
      <c r="K392" s="31">
        <v>422.23</v>
      </c>
      <c r="L392" s="32">
        <v>43487</v>
      </c>
      <c r="M392" s="33">
        <v>0.21</v>
      </c>
      <c r="N392" s="64">
        <f t="shared" si="122"/>
        <v>510.89830000000001</v>
      </c>
      <c r="O392" s="68">
        <f t="shared" ref="O392:O458" si="134">ROUND(K392*(1+$O$3),2)</f>
        <v>548.9</v>
      </c>
      <c r="P392" s="68">
        <f t="shared" si="123"/>
        <v>570.01</v>
      </c>
      <c r="Q392" s="68">
        <f t="shared" si="124"/>
        <v>591.12</v>
      </c>
      <c r="R392" s="11">
        <f t="shared" si="125"/>
        <v>612.23</v>
      </c>
      <c r="S392" s="11">
        <f t="shared" si="133"/>
        <v>633.34500000000003</v>
      </c>
      <c r="T392" s="11">
        <f t="shared" si="126"/>
        <v>675.57</v>
      </c>
      <c r="U392" s="38">
        <f t="shared" si="129"/>
        <v>689.71</v>
      </c>
      <c r="V392" s="38">
        <f t="shared" si="130"/>
        <v>715.26</v>
      </c>
      <c r="W392" s="38">
        <f t="shared" si="131"/>
        <v>740.8</v>
      </c>
      <c r="X392" s="38">
        <f t="shared" si="132"/>
        <v>766.35</v>
      </c>
      <c r="Z392" s="4">
        <f t="shared" si="127"/>
        <v>0</v>
      </c>
      <c r="AA392" s="4">
        <f t="shared" si="128"/>
        <v>0</v>
      </c>
    </row>
    <row r="393" spans="1:27" x14ac:dyDescent="0.3">
      <c r="A393" s="135"/>
      <c r="B393" s="125"/>
      <c r="C393" s="3" t="s">
        <v>275</v>
      </c>
      <c r="D393" s="55" t="s">
        <v>627</v>
      </c>
      <c r="E393" s="55" t="s">
        <v>723</v>
      </c>
      <c r="F393" s="55" t="s">
        <v>1267</v>
      </c>
      <c r="G393" s="56">
        <v>10</v>
      </c>
      <c r="H393" s="49">
        <f>20+10+300+30+20+10+10+10</f>
        <v>410</v>
      </c>
      <c r="I393" s="50">
        <f>16+10+300+4+6+10+10+4+10+10+8+6+6+10</f>
        <v>410</v>
      </c>
      <c r="J393" s="77">
        <f>+H393-I393</f>
        <v>0</v>
      </c>
      <c r="K393" s="31">
        <v>152.65</v>
      </c>
      <c r="L393" s="32">
        <v>44203</v>
      </c>
      <c r="M393" s="33">
        <v>0.21</v>
      </c>
      <c r="N393" s="64">
        <f t="shared" si="122"/>
        <v>184.70650000000001</v>
      </c>
      <c r="O393" s="68">
        <f t="shared" si="134"/>
        <v>198.45</v>
      </c>
      <c r="P393" s="68">
        <f t="shared" si="123"/>
        <v>206.08</v>
      </c>
      <c r="Q393" s="68">
        <f t="shared" si="124"/>
        <v>213.71</v>
      </c>
      <c r="R393" s="11">
        <f t="shared" si="125"/>
        <v>221.34</v>
      </c>
      <c r="S393" s="11">
        <f t="shared" si="133"/>
        <v>228.97500000000002</v>
      </c>
      <c r="T393" s="11">
        <f t="shared" si="126"/>
        <v>244.24</v>
      </c>
      <c r="U393" s="38">
        <f t="shared" si="129"/>
        <v>249.35</v>
      </c>
      <c r="V393" s="38">
        <f t="shared" si="130"/>
        <v>258.58999999999997</v>
      </c>
      <c r="W393" s="38">
        <f t="shared" si="131"/>
        <v>267.82</v>
      </c>
      <c r="X393" s="38">
        <f t="shared" si="132"/>
        <v>277.06</v>
      </c>
      <c r="Z393" s="4">
        <f t="shared" si="127"/>
        <v>0</v>
      </c>
      <c r="AA393" s="4">
        <f t="shared" si="128"/>
        <v>0</v>
      </c>
    </row>
    <row r="394" spans="1:27" x14ac:dyDescent="0.3">
      <c r="A394" s="135"/>
      <c r="B394" s="125"/>
      <c r="C394" s="5" t="s">
        <v>178</v>
      </c>
      <c r="D394" s="55" t="s">
        <v>1197</v>
      </c>
      <c r="E394" s="55" t="s">
        <v>362</v>
      </c>
      <c r="F394" s="55" t="s">
        <v>781</v>
      </c>
      <c r="G394" s="56">
        <v>1000</v>
      </c>
      <c r="H394" s="49">
        <f>1600+1600+1600+1600+1600+1000+1000+16+1000+1000+1000+1000+2000+1000+1000+2000+2000+30+1600+1000+1000</f>
        <v>25646</v>
      </c>
      <c r="I394" s="50">
        <f>100+12700+200+30+50+40+996+160+100+100+200+15+300+50+200+875+200+500+100+200+100+200+60+100+100+1000+100+30+200+100+1000+60+20+300+300+300+100+60+200+100+100+300+100+200+100+100+100+100+100+200+200+600+500+100+100+100+200+200+100+100</f>
        <v>25146</v>
      </c>
      <c r="J394" s="77">
        <f>+H394-I394</f>
        <v>500</v>
      </c>
      <c r="K394" s="31">
        <v>4.9800000000000004</v>
      </c>
      <c r="L394" s="32">
        <v>44239</v>
      </c>
      <c r="M394" s="33">
        <v>0.21</v>
      </c>
      <c r="N394" s="64">
        <f t="shared" si="122"/>
        <v>6.0258000000000003</v>
      </c>
      <c r="O394" s="68">
        <f t="shared" si="134"/>
        <v>6.47</v>
      </c>
      <c r="P394" s="68">
        <f t="shared" si="123"/>
        <v>6.72</v>
      </c>
      <c r="Q394" s="68">
        <f t="shared" si="124"/>
        <v>6.97</v>
      </c>
      <c r="R394" s="11">
        <f t="shared" si="125"/>
        <v>7.22</v>
      </c>
      <c r="S394" s="11">
        <f t="shared" si="133"/>
        <v>7.4700000000000006</v>
      </c>
      <c r="T394" s="11">
        <f t="shared" si="126"/>
        <v>7.97</v>
      </c>
      <c r="U394" s="38">
        <f t="shared" si="129"/>
        <v>8.1300000000000008</v>
      </c>
      <c r="V394" s="38">
        <f t="shared" si="130"/>
        <v>8.44</v>
      </c>
      <c r="W394" s="38">
        <f t="shared" si="131"/>
        <v>8.74</v>
      </c>
      <c r="X394" s="38">
        <f t="shared" si="132"/>
        <v>9.0399999999999991</v>
      </c>
      <c r="Z394" s="4">
        <f t="shared" si="127"/>
        <v>2490</v>
      </c>
      <c r="AA394" s="4">
        <f t="shared" si="128"/>
        <v>3012.9</v>
      </c>
    </row>
    <row r="395" spans="1:27" x14ac:dyDescent="0.3">
      <c r="A395" s="135"/>
      <c r="B395" s="125"/>
      <c r="C395" s="5" t="s">
        <v>1561</v>
      </c>
      <c r="D395" s="55"/>
      <c r="E395" s="55" t="s">
        <v>362</v>
      </c>
      <c r="F395" s="55" t="s">
        <v>220</v>
      </c>
      <c r="G395" s="56">
        <v>0</v>
      </c>
      <c r="H395" s="49">
        <f>900+400+100+200</f>
        <v>1600</v>
      </c>
      <c r="I395" s="50">
        <f>300+100+400+100+300+93+7+100+100</f>
        <v>1500</v>
      </c>
      <c r="J395" s="77">
        <f>+H395-I395</f>
        <v>100</v>
      </c>
      <c r="K395" s="31">
        <v>20</v>
      </c>
      <c r="L395" s="32">
        <v>44175</v>
      </c>
      <c r="M395" s="33">
        <v>0.21</v>
      </c>
      <c r="N395" s="64">
        <f>+K395*(1+M395)</f>
        <v>24.2</v>
      </c>
      <c r="O395" s="68">
        <f>ROUND(K395*(1+$O$3),2)</f>
        <v>26</v>
      </c>
      <c r="P395" s="68">
        <f>ROUND(K395*(1+$P$3),2)</f>
        <v>27</v>
      </c>
      <c r="Q395" s="68">
        <f>ROUND(K395*(1+$Q$3),2)</f>
        <v>28</v>
      </c>
      <c r="R395" s="11">
        <f>ROUND(K395*(1+$R$3),2)</f>
        <v>29</v>
      </c>
      <c r="S395" s="11">
        <f>K395*(1+$S$3)</f>
        <v>30</v>
      </c>
      <c r="T395" s="11">
        <f>ROUND(K395*(1+$T$3),2)</f>
        <v>32</v>
      </c>
      <c r="U395" s="38">
        <f>ROUND((N395*(1+$U$3)),2)</f>
        <v>32.67</v>
      </c>
      <c r="V395" s="38">
        <f>ROUND((N395*(1+$V$3)),2)</f>
        <v>33.880000000000003</v>
      </c>
      <c r="W395" s="38">
        <f>ROUND((N395*(1+$W$3)),2)</f>
        <v>35.090000000000003</v>
      </c>
      <c r="X395" s="38">
        <f>ROUND((N395*(1+$X$3)),2)</f>
        <v>36.299999999999997</v>
      </c>
      <c r="Z395" s="4">
        <f>J395*K395</f>
        <v>2000</v>
      </c>
      <c r="AA395" s="4">
        <f>J395*N395</f>
        <v>2420</v>
      </c>
    </row>
    <row r="396" spans="1:27" x14ac:dyDescent="0.3">
      <c r="A396" s="135"/>
      <c r="B396" s="125"/>
      <c r="C396" s="137" t="s">
        <v>703</v>
      </c>
      <c r="D396" s="55" t="s">
        <v>849</v>
      </c>
      <c r="E396" s="55" t="s">
        <v>362</v>
      </c>
      <c r="F396" s="55" t="s">
        <v>219</v>
      </c>
      <c r="G396" s="56">
        <v>1000</v>
      </c>
      <c r="H396" s="49">
        <f>11100+3600+200</f>
        <v>14900</v>
      </c>
      <c r="I396" s="50">
        <f>6200+100+100+100+100+100+100+100+100+200+100+100+200+100+100+100+100+100+200+100+200+100+200+100+100+100+100+100+100+1000+100+100+200+200+100+100+400+200+300+100+400+100+100+200+300+100+100+100+500</f>
        <v>14200</v>
      </c>
      <c r="J396" s="77">
        <f>+H396-I396</f>
        <v>700</v>
      </c>
      <c r="K396" s="31">
        <v>3.1</v>
      </c>
      <c r="L396" s="32">
        <v>44239</v>
      </c>
      <c r="M396" s="33">
        <v>0.21</v>
      </c>
      <c r="N396" s="64">
        <f>+K396*(1+M396)</f>
        <v>3.7509999999999999</v>
      </c>
      <c r="O396" s="68">
        <f>ROUND(K396*(1+$O$3),2)</f>
        <v>4.03</v>
      </c>
      <c r="P396" s="68">
        <f>ROUND(K396*(1+$P$3),2)</f>
        <v>4.1900000000000004</v>
      </c>
      <c r="Q396" s="68">
        <f>ROUND(K396*(1+$Q$3),2)</f>
        <v>4.34</v>
      </c>
      <c r="R396" s="11">
        <f>ROUND(K396*(1+$R$3),2)</f>
        <v>4.5</v>
      </c>
      <c r="S396" s="11">
        <f>K396*(1+$S$3)</f>
        <v>4.6500000000000004</v>
      </c>
      <c r="T396" s="11">
        <f>ROUND(K396*(1+$T$3),2)</f>
        <v>4.96</v>
      </c>
      <c r="U396" s="38">
        <f>ROUND((N396*(1+$U$3)),2)</f>
        <v>5.0599999999999996</v>
      </c>
      <c r="V396" s="38">
        <f>ROUND((N396*(1+$V$3)),2)</f>
        <v>5.25</v>
      </c>
      <c r="W396" s="38">
        <f>ROUND((N396*(1+$W$3)),2)</f>
        <v>5.44</v>
      </c>
      <c r="X396" s="38">
        <f>ROUND((N396*(1+$X$3)),2)</f>
        <v>5.63</v>
      </c>
      <c r="Z396" s="4">
        <f>J396*K396</f>
        <v>2170</v>
      </c>
      <c r="AA396" s="4">
        <f>J396*N396</f>
        <v>2625.7</v>
      </c>
    </row>
    <row r="397" spans="1:27" x14ac:dyDescent="0.3">
      <c r="A397" s="135"/>
      <c r="B397" s="125"/>
      <c r="C397" s="5" t="s">
        <v>703</v>
      </c>
      <c r="D397" s="55"/>
      <c r="E397" s="55"/>
      <c r="F397" s="55" t="s">
        <v>220</v>
      </c>
      <c r="G397" s="56">
        <v>0</v>
      </c>
      <c r="H397" s="49">
        <f>336+2</f>
        <v>338</v>
      </c>
      <c r="I397" s="69">
        <f>1</f>
        <v>1</v>
      </c>
      <c r="J397" s="77">
        <f>+H397-I397</f>
        <v>337</v>
      </c>
      <c r="K397" s="31">
        <v>4.8099999999999996</v>
      </c>
      <c r="L397" s="32">
        <v>43601</v>
      </c>
      <c r="M397" s="33">
        <v>0.21</v>
      </c>
      <c r="N397" s="64">
        <f>+K397*(1+M397)</f>
        <v>5.8200999999999992</v>
      </c>
      <c r="O397" s="68">
        <f>ROUND(K397*(1+$O$3),2)</f>
        <v>6.25</v>
      </c>
      <c r="P397" s="68">
        <f>ROUND(K397*(1+$P$3),2)</f>
        <v>6.49</v>
      </c>
      <c r="Q397" s="68">
        <f>ROUND(K397*(1+$Q$3),2)</f>
        <v>6.73</v>
      </c>
      <c r="R397" s="11">
        <f>ROUND(K397*(1+$R$3),2)</f>
        <v>6.97</v>
      </c>
      <c r="S397" s="11">
        <f>K397*(1+$S$3)</f>
        <v>7.2149999999999999</v>
      </c>
      <c r="T397" s="11">
        <f>ROUND(K397*(1+$T$3),2)</f>
        <v>7.7</v>
      </c>
      <c r="U397" s="38">
        <f>ROUND((N397*(1+$U$3)),2)</f>
        <v>7.86</v>
      </c>
      <c r="V397" s="38">
        <f>ROUND((N397*(1+$V$3)),2)</f>
        <v>8.15</v>
      </c>
      <c r="W397" s="38">
        <f>ROUND((N397*(1+$W$3)),2)</f>
        <v>8.44</v>
      </c>
      <c r="X397" s="38">
        <f>ROUND((N397*(1+$X$3)),2)</f>
        <v>8.73</v>
      </c>
      <c r="Z397" s="4"/>
      <c r="AA397" s="4"/>
    </row>
    <row r="398" spans="1:27" x14ac:dyDescent="0.3">
      <c r="A398" s="135"/>
      <c r="B398" s="125"/>
      <c r="C398" s="3" t="s">
        <v>417</v>
      </c>
      <c r="D398" s="55" t="s">
        <v>1256</v>
      </c>
      <c r="E398" s="55" t="s">
        <v>362</v>
      </c>
      <c r="F398" s="55" t="s">
        <v>781</v>
      </c>
      <c r="G398" s="56">
        <v>600</v>
      </c>
      <c r="H398" s="49">
        <f>800+900+5+24+20+900+500+400+400+800+400+800+800+400+400</f>
        <v>7549</v>
      </c>
      <c r="I398" s="50">
        <f>3149+50+60+50+145+95+200+200+200+50+200+100+50+200+50+150+50+50+100+50+100+50+50+50+150+50+300+150+50+150+50+50+50+50+50+100+200+150</f>
        <v>6999</v>
      </c>
      <c r="J398" s="77">
        <f>+H398-I398</f>
        <v>550</v>
      </c>
      <c r="K398" s="31">
        <v>7.98</v>
      </c>
      <c r="L398" s="32">
        <v>44239</v>
      </c>
      <c r="M398" s="33">
        <v>0.21</v>
      </c>
      <c r="N398" s="64">
        <f t="shared" si="122"/>
        <v>9.655800000000001</v>
      </c>
      <c r="O398" s="68">
        <f t="shared" si="134"/>
        <v>10.37</v>
      </c>
      <c r="P398" s="68">
        <f t="shared" si="123"/>
        <v>10.77</v>
      </c>
      <c r="Q398" s="68">
        <f t="shared" si="124"/>
        <v>11.17</v>
      </c>
      <c r="R398" s="11">
        <f t="shared" si="125"/>
        <v>11.57</v>
      </c>
      <c r="S398" s="11">
        <f t="shared" si="133"/>
        <v>11.97</v>
      </c>
      <c r="T398" s="11">
        <f t="shared" si="126"/>
        <v>12.77</v>
      </c>
      <c r="U398" s="38">
        <f t="shared" si="129"/>
        <v>13.04</v>
      </c>
      <c r="V398" s="38">
        <f t="shared" si="130"/>
        <v>13.52</v>
      </c>
      <c r="W398" s="38">
        <f t="shared" si="131"/>
        <v>14</v>
      </c>
      <c r="X398" s="38">
        <f t="shared" si="132"/>
        <v>14.48</v>
      </c>
      <c r="Z398" s="4">
        <f t="shared" si="127"/>
        <v>4389</v>
      </c>
      <c r="AA398" s="4">
        <f t="shared" si="128"/>
        <v>5310.6900000000005</v>
      </c>
    </row>
    <row r="399" spans="1:27" x14ac:dyDescent="0.3">
      <c r="A399" s="135"/>
      <c r="B399" s="125"/>
      <c r="C399" s="3" t="s">
        <v>1425</v>
      </c>
      <c r="D399" s="55" t="s">
        <v>220</v>
      </c>
      <c r="E399" s="55"/>
      <c r="F399" s="55" t="s">
        <v>220</v>
      </c>
      <c r="G399" s="56">
        <v>0</v>
      </c>
      <c r="H399" s="49">
        <f>150</f>
        <v>150</v>
      </c>
      <c r="I399" s="50"/>
      <c r="J399" s="77">
        <f>+H399-I399</f>
        <v>150</v>
      </c>
      <c r="K399" s="31">
        <v>36.22</v>
      </c>
      <c r="L399" s="32">
        <v>44044</v>
      </c>
      <c r="M399" s="33">
        <v>0.21</v>
      </c>
      <c r="N399" s="64">
        <f t="shared" si="122"/>
        <v>43.8262</v>
      </c>
      <c r="O399" s="68">
        <f t="shared" si="134"/>
        <v>47.09</v>
      </c>
      <c r="P399" s="68">
        <f t="shared" si="123"/>
        <v>48.9</v>
      </c>
      <c r="Q399" s="68">
        <f t="shared" si="124"/>
        <v>50.71</v>
      </c>
      <c r="R399" s="11">
        <f t="shared" si="125"/>
        <v>52.52</v>
      </c>
      <c r="S399" s="11">
        <f t="shared" si="133"/>
        <v>54.33</v>
      </c>
      <c r="T399" s="11">
        <f t="shared" si="126"/>
        <v>57.95</v>
      </c>
      <c r="U399" s="38">
        <f t="shared" si="129"/>
        <v>59.17</v>
      </c>
      <c r="V399" s="38">
        <f t="shared" si="130"/>
        <v>61.36</v>
      </c>
      <c r="W399" s="38">
        <f t="shared" si="131"/>
        <v>63.55</v>
      </c>
      <c r="X399" s="38">
        <f t="shared" si="132"/>
        <v>65.739999999999995</v>
      </c>
      <c r="Z399" s="4">
        <f t="shared" si="127"/>
        <v>5433</v>
      </c>
      <c r="AA399" s="4">
        <f t="shared" si="128"/>
        <v>6573.93</v>
      </c>
    </row>
    <row r="400" spans="1:27" x14ac:dyDescent="0.3">
      <c r="A400" s="135"/>
      <c r="B400" s="125"/>
      <c r="C400" s="3" t="s">
        <v>435</v>
      </c>
      <c r="D400" s="55" t="s">
        <v>910</v>
      </c>
      <c r="E400" s="55" t="s">
        <v>437</v>
      </c>
      <c r="F400" s="55" t="s">
        <v>781</v>
      </c>
      <c r="G400" s="56">
        <v>500</v>
      </c>
      <c r="H400" s="49">
        <f>200+500+450+900+225</f>
        <v>2275</v>
      </c>
      <c r="I400" s="50">
        <f>50+50+50+25+1+50+50+10+25+100+2+10+100+150+470+7+900+25</f>
        <v>2075</v>
      </c>
      <c r="J400" s="77">
        <f>+H400-I400</f>
        <v>200</v>
      </c>
      <c r="K400" s="31">
        <v>19</v>
      </c>
      <c r="L400" s="32">
        <v>44203</v>
      </c>
      <c r="M400" s="33">
        <v>0.21</v>
      </c>
      <c r="N400" s="64">
        <f t="shared" si="122"/>
        <v>22.99</v>
      </c>
      <c r="O400" s="68">
        <f t="shared" si="134"/>
        <v>24.7</v>
      </c>
      <c r="P400" s="68">
        <f t="shared" si="123"/>
        <v>25.65</v>
      </c>
      <c r="Q400" s="68">
        <f t="shared" si="124"/>
        <v>26.6</v>
      </c>
      <c r="R400" s="11">
        <f t="shared" si="125"/>
        <v>27.55</v>
      </c>
      <c r="S400" s="11">
        <f t="shared" si="133"/>
        <v>28.5</v>
      </c>
      <c r="T400" s="11">
        <f t="shared" si="126"/>
        <v>30.4</v>
      </c>
      <c r="U400" s="38">
        <f t="shared" si="129"/>
        <v>31.04</v>
      </c>
      <c r="V400" s="38">
        <f t="shared" si="130"/>
        <v>32.19</v>
      </c>
      <c r="W400" s="38">
        <f t="shared" si="131"/>
        <v>33.340000000000003</v>
      </c>
      <c r="X400" s="38">
        <f t="shared" si="132"/>
        <v>34.49</v>
      </c>
      <c r="Z400" s="4">
        <f t="shared" si="127"/>
        <v>3800</v>
      </c>
      <c r="AA400" s="4">
        <f t="shared" si="128"/>
        <v>4598</v>
      </c>
    </row>
    <row r="401" spans="1:27" x14ac:dyDescent="0.3">
      <c r="A401" s="135"/>
      <c r="B401" s="125"/>
      <c r="C401" s="3" t="s">
        <v>1220</v>
      </c>
      <c r="D401" s="55" t="s">
        <v>1219</v>
      </c>
      <c r="E401" s="55" t="s">
        <v>437</v>
      </c>
      <c r="F401" s="55" t="s">
        <v>1552</v>
      </c>
      <c r="G401" s="56">
        <v>500</v>
      </c>
      <c r="H401" s="49">
        <f>300+300+500+625+300+15+310+150</f>
        <v>2500</v>
      </c>
      <c r="I401" s="50">
        <f>50+35+50+75+75+15+75+4+10+25+50+25+50+50+50+1+25+50+20+250+100+100+50+100+100+100+15+200+600+25+50</f>
        <v>2425</v>
      </c>
      <c r="J401" s="77">
        <f>+H401-I401</f>
        <v>75</v>
      </c>
      <c r="K401" s="31">
        <v>27.24</v>
      </c>
      <c r="L401" s="32">
        <v>44225</v>
      </c>
      <c r="M401" s="33">
        <v>0.21</v>
      </c>
      <c r="N401" s="64">
        <f t="shared" si="122"/>
        <v>32.9604</v>
      </c>
      <c r="O401" s="68">
        <f t="shared" si="134"/>
        <v>35.409999999999997</v>
      </c>
      <c r="P401" s="68">
        <f t="shared" si="123"/>
        <v>36.770000000000003</v>
      </c>
      <c r="Q401" s="68">
        <f t="shared" si="124"/>
        <v>38.14</v>
      </c>
      <c r="R401" s="11">
        <f t="shared" si="125"/>
        <v>39.5</v>
      </c>
      <c r="S401" s="11">
        <f t="shared" si="133"/>
        <v>40.86</v>
      </c>
      <c r="T401" s="11">
        <f t="shared" si="126"/>
        <v>43.58</v>
      </c>
      <c r="U401" s="38">
        <f t="shared" si="129"/>
        <v>44.5</v>
      </c>
      <c r="V401" s="38">
        <f t="shared" si="130"/>
        <v>46.14</v>
      </c>
      <c r="W401" s="38">
        <f t="shared" si="131"/>
        <v>47.79</v>
      </c>
      <c r="X401" s="38">
        <f t="shared" si="132"/>
        <v>49.44</v>
      </c>
      <c r="Z401" s="4">
        <f t="shared" si="127"/>
        <v>2042.9999999999998</v>
      </c>
      <c r="AA401" s="4">
        <f t="shared" si="128"/>
        <v>2472.0300000000002</v>
      </c>
    </row>
    <row r="402" spans="1:27" x14ac:dyDescent="0.3">
      <c r="A402" s="135"/>
      <c r="B402" s="125"/>
      <c r="C402" s="3" t="s">
        <v>177</v>
      </c>
      <c r="D402" s="55" t="s">
        <v>854</v>
      </c>
      <c r="E402" s="55" t="s">
        <v>362</v>
      </c>
      <c r="F402" s="55" t="s">
        <v>219</v>
      </c>
      <c r="G402" s="56">
        <v>1000</v>
      </c>
      <c r="H402" s="49">
        <f>3600+3000+1500+1500+1500+1500+200+3000+2400+1500+1500+100</f>
        <v>21300</v>
      </c>
      <c r="I402" s="50">
        <f>9890+100+100+1000+100+200+100+100+200+100+500+100+200+110+100+200+100+100+200+100+60+100+200+60+300+60+200+100+220+200+100+100+100+100+100+200+100+200+400+200+1000+100+1000+100+200+100+200</f>
        <v>19400</v>
      </c>
      <c r="J402" s="77">
        <f>+H402-I402</f>
        <v>1900</v>
      </c>
      <c r="K402" s="81">
        <v>3.38</v>
      </c>
      <c r="L402" s="32">
        <v>44239</v>
      </c>
      <c r="M402" s="33">
        <v>0.21</v>
      </c>
      <c r="N402" s="64">
        <f t="shared" ref="N402:N469" si="135">+K402*(1+M402)</f>
        <v>4.0897999999999994</v>
      </c>
      <c r="O402" s="68">
        <f t="shared" si="134"/>
        <v>4.3899999999999997</v>
      </c>
      <c r="P402" s="68">
        <f t="shared" ref="P402:P469" si="136">ROUND(K402*(1+$P$3),2)</f>
        <v>4.5599999999999996</v>
      </c>
      <c r="Q402" s="68">
        <f t="shared" ref="Q402:Q469" si="137">ROUND(K402*(1+$Q$3),2)</f>
        <v>4.7300000000000004</v>
      </c>
      <c r="R402" s="11">
        <f t="shared" ref="R402:R469" si="138">ROUND(K402*(1+$R$3),2)</f>
        <v>4.9000000000000004</v>
      </c>
      <c r="S402" s="11">
        <f t="shared" si="133"/>
        <v>5.07</v>
      </c>
      <c r="T402" s="11">
        <f t="shared" ref="T402:T469" si="139">ROUND(K402*(1+$T$3),2)</f>
        <v>5.41</v>
      </c>
      <c r="U402" s="38">
        <f t="shared" si="129"/>
        <v>5.52</v>
      </c>
      <c r="V402" s="38">
        <f t="shared" si="130"/>
        <v>5.73</v>
      </c>
      <c r="W402" s="38">
        <f t="shared" si="131"/>
        <v>5.93</v>
      </c>
      <c r="X402" s="38">
        <f t="shared" si="132"/>
        <v>6.13</v>
      </c>
      <c r="Z402" s="4">
        <f t="shared" ref="Z402:Z470" si="140">J402*K402</f>
        <v>6422</v>
      </c>
      <c r="AA402" s="4">
        <f t="shared" ref="AA402:AA468" si="141">J402*N402</f>
        <v>7770.619999999999</v>
      </c>
    </row>
    <row r="403" spans="1:27" x14ac:dyDescent="0.3">
      <c r="A403" s="135"/>
      <c r="B403" s="125"/>
      <c r="C403" s="3" t="s">
        <v>1365</v>
      </c>
      <c r="D403" s="55"/>
      <c r="E403" s="55" t="s">
        <v>1366</v>
      </c>
      <c r="F403" s="55" t="s">
        <v>220</v>
      </c>
      <c r="G403" s="56">
        <v>0</v>
      </c>
      <c r="H403" s="49">
        <v>700</v>
      </c>
      <c r="I403" s="50">
        <f>400+120+100+80</f>
        <v>700</v>
      </c>
      <c r="J403" s="77">
        <f>+H403-I403</f>
        <v>0</v>
      </c>
      <c r="K403" s="81">
        <v>6.78</v>
      </c>
      <c r="L403" s="32">
        <v>43903</v>
      </c>
      <c r="M403" s="33">
        <v>0.21</v>
      </c>
      <c r="N403" s="64">
        <f t="shared" si="135"/>
        <v>8.2037999999999993</v>
      </c>
      <c r="O403" s="68">
        <f t="shared" si="134"/>
        <v>8.81</v>
      </c>
      <c r="P403" s="68">
        <f t="shared" si="136"/>
        <v>9.15</v>
      </c>
      <c r="Q403" s="68">
        <f t="shared" si="137"/>
        <v>9.49</v>
      </c>
      <c r="R403" s="11">
        <f t="shared" si="138"/>
        <v>9.83</v>
      </c>
      <c r="S403" s="11">
        <f t="shared" si="133"/>
        <v>10.17</v>
      </c>
      <c r="T403" s="11">
        <f t="shared" si="139"/>
        <v>10.85</v>
      </c>
      <c r="U403" s="38">
        <f t="shared" si="129"/>
        <v>11.08</v>
      </c>
      <c r="V403" s="38">
        <f t="shared" si="130"/>
        <v>11.49</v>
      </c>
      <c r="W403" s="38">
        <f t="shared" si="131"/>
        <v>11.9</v>
      </c>
      <c r="X403" s="38">
        <f t="shared" si="132"/>
        <v>12.31</v>
      </c>
      <c r="Z403" s="4">
        <f t="shared" si="140"/>
        <v>0</v>
      </c>
      <c r="AA403" s="4">
        <f t="shared" si="141"/>
        <v>0</v>
      </c>
    </row>
    <row r="404" spans="1:27" x14ac:dyDescent="0.3">
      <c r="A404" s="135"/>
      <c r="B404" s="125"/>
      <c r="C404" s="3" t="s">
        <v>1131</v>
      </c>
      <c r="D404" s="55" t="s">
        <v>1378</v>
      </c>
      <c r="E404" s="55" t="s">
        <v>362</v>
      </c>
      <c r="F404" s="55" t="s">
        <v>219</v>
      </c>
      <c r="G404" s="56">
        <v>1000</v>
      </c>
      <c r="H404" s="49">
        <f>2700+1600+1500+1500+1500+390+60+2700+1500</f>
        <v>13450</v>
      </c>
      <c r="I404" s="50">
        <f>200+2500+100+100+100+400+200+100+200+300+100+200+400+100+100+100+200+100+100+200+200+500+200+60+100+200+80+60+300+200+60+100+200+200+500+40+200+60+400+100+300+200+200+500+500+100+300</f>
        <v>11660</v>
      </c>
      <c r="J404" s="77">
        <f>+H404-I404</f>
        <v>1790</v>
      </c>
      <c r="K404" s="81">
        <v>3.1</v>
      </c>
      <c r="L404" s="32">
        <v>44239</v>
      </c>
      <c r="M404" s="33">
        <v>0.21</v>
      </c>
      <c r="N404" s="64">
        <f t="shared" si="135"/>
        <v>3.7509999999999999</v>
      </c>
      <c r="O404" s="68">
        <f t="shared" si="134"/>
        <v>4.03</v>
      </c>
      <c r="P404" s="68">
        <f t="shared" si="136"/>
        <v>4.1900000000000004</v>
      </c>
      <c r="Q404" s="68">
        <f t="shared" si="137"/>
        <v>4.34</v>
      </c>
      <c r="R404" s="11">
        <f t="shared" si="138"/>
        <v>4.5</v>
      </c>
      <c r="S404" s="11">
        <f t="shared" si="133"/>
        <v>4.6500000000000004</v>
      </c>
      <c r="T404" s="11">
        <f t="shared" si="139"/>
        <v>4.96</v>
      </c>
      <c r="U404" s="38">
        <f t="shared" si="129"/>
        <v>5.0599999999999996</v>
      </c>
      <c r="V404" s="38">
        <f t="shared" si="130"/>
        <v>5.25</v>
      </c>
      <c r="W404" s="38">
        <f t="shared" si="131"/>
        <v>5.44</v>
      </c>
      <c r="X404" s="38">
        <f t="shared" si="132"/>
        <v>5.63</v>
      </c>
      <c r="Z404" s="4">
        <f t="shared" si="140"/>
        <v>5549</v>
      </c>
      <c r="AA404" s="4">
        <f t="shared" si="141"/>
        <v>6714.29</v>
      </c>
    </row>
    <row r="405" spans="1:27" x14ac:dyDescent="0.3">
      <c r="A405" s="135"/>
      <c r="B405" s="125"/>
      <c r="C405" s="3" t="s">
        <v>398</v>
      </c>
      <c r="D405" s="55" t="s">
        <v>1434</v>
      </c>
      <c r="E405" s="55" t="s">
        <v>70</v>
      </c>
      <c r="F405" s="55" t="s">
        <v>315</v>
      </c>
      <c r="G405" s="56">
        <v>1</v>
      </c>
      <c r="H405" s="49">
        <f>2+3</f>
        <v>5</v>
      </c>
      <c r="I405" s="50">
        <f>1+1+2+1</f>
        <v>5</v>
      </c>
      <c r="J405" s="77">
        <f>+H405-I405</f>
        <v>0</v>
      </c>
      <c r="K405" s="31">
        <v>1500</v>
      </c>
      <c r="L405" s="32">
        <v>43923</v>
      </c>
      <c r="M405" s="33">
        <v>0.21</v>
      </c>
      <c r="N405" s="64">
        <f t="shared" si="135"/>
        <v>1815</v>
      </c>
      <c r="O405" s="68">
        <f t="shared" si="134"/>
        <v>1950</v>
      </c>
      <c r="P405" s="68">
        <f t="shared" si="136"/>
        <v>2025</v>
      </c>
      <c r="Q405" s="68">
        <f t="shared" si="137"/>
        <v>2100</v>
      </c>
      <c r="R405" s="11">
        <f t="shared" si="138"/>
        <v>2175</v>
      </c>
      <c r="S405" s="11">
        <f t="shared" si="133"/>
        <v>2250</v>
      </c>
      <c r="T405" s="11">
        <f t="shared" si="139"/>
        <v>2400</v>
      </c>
      <c r="U405" s="38">
        <f t="shared" si="129"/>
        <v>2450.25</v>
      </c>
      <c r="V405" s="38">
        <f t="shared" si="130"/>
        <v>2541</v>
      </c>
      <c r="W405" s="38">
        <f t="shared" si="131"/>
        <v>2631.75</v>
      </c>
      <c r="X405" s="38">
        <f t="shared" si="132"/>
        <v>2722.5</v>
      </c>
      <c r="Z405" s="4">
        <f t="shared" si="140"/>
        <v>0</v>
      </c>
      <c r="AA405" s="4">
        <f t="shared" si="141"/>
        <v>0</v>
      </c>
    </row>
    <row r="406" spans="1:27" x14ac:dyDescent="0.3">
      <c r="B406" s="125"/>
      <c r="C406" s="3" t="s">
        <v>1246</v>
      </c>
      <c r="D406" s="55" t="s">
        <v>1090</v>
      </c>
      <c r="E406" s="55" t="s">
        <v>70</v>
      </c>
      <c r="F406" s="55" t="s">
        <v>222</v>
      </c>
      <c r="G406" s="56">
        <v>20</v>
      </c>
      <c r="H406" s="49">
        <f>10+18+5</f>
        <v>33</v>
      </c>
      <c r="I406" s="50">
        <f>6+1+10+1</f>
        <v>18</v>
      </c>
      <c r="J406" s="77">
        <f>+H406-I406</f>
        <v>15</v>
      </c>
      <c r="K406" s="31">
        <v>108.82</v>
      </c>
      <c r="L406" s="32">
        <v>43634</v>
      </c>
      <c r="M406" s="33">
        <v>0.21</v>
      </c>
      <c r="N406" s="64">
        <f t="shared" si="135"/>
        <v>131.67219999999998</v>
      </c>
      <c r="O406" s="68">
        <f t="shared" si="134"/>
        <v>141.47</v>
      </c>
      <c r="P406" s="68">
        <f t="shared" si="136"/>
        <v>146.91</v>
      </c>
      <c r="Q406" s="68">
        <f t="shared" si="137"/>
        <v>152.35</v>
      </c>
      <c r="R406" s="11">
        <f t="shared" si="138"/>
        <v>157.79</v>
      </c>
      <c r="S406" s="11">
        <f t="shared" si="133"/>
        <v>163.22999999999999</v>
      </c>
      <c r="T406" s="11">
        <f t="shared" si="139"/>
        <v>174.11</v>
      </c>
      <c r="U406" s="38">
        <f t="shared" si="129"/>
        <v>177.76</v>
      </c>
      <c r="V406" s="38">
        <f t="shared" si="130"/>
        <v>184.34</v>
      </c>
      <c r="W406" s="38">
        <f t="shared" si="131"/>
        <v>190.92</v>
      </c>
      <c r="X406" s="38">
        <f t="shared" si="132"/>
        <v>197.51</v>
      </c>
      <c r="Z406" s="4">
        <f t="shared" si="140"/>
        <v>1632.3</v>
      </c>
      <c r="AA406" s="4">
        <f t="shared" si="141"/>
        <v>1975.0829999999996</v>
      </c>
    </row>
    <row r="407" spans="1:27" x14ac:dyDescent="0.3">
      <c r="A407" s="135"/>
      <c r="B407" s="125"/>
      <c r="C407" s="3" t="s">
        <v>1235</v>
      </c>
      <c r="D407" s="55">
        <v>5262</v>
      </c>
      <c r="E407" s="55" t="s">
        <v>70</v>
      </c>
      <c r="F407" s="55" t="s">
        <v>219</v>
      </c>
      <c r="G407" s="56">
        <v>0</v>
      </c>
      <c r="H407" s="49">
        <f>10+20+10+8</f>
        <v>48</v>
      </c>
      <c r="I407" s="50">
        <f>8+20+2+10</f>
        <v>40</v>
      </c>
      <c r="J407" s="77">
        <f>+H407-I407</f>
        <v>8</v>
      </c>
      <c r="K407" s="31">
        <v>56.13</v>
      </c>
      <c r="L407" s="32">
        <v>44044</v>
      </c>
      <c r="M407" s="33">
        <v>0.21</v>
      </c>
      <c r="N407" s="64">
        <f t="shared" si="135"/>
        <v>67.917299999999997</v>
      </c>
      <c r="O407" s="68">
        <f t="shared" si="134"/>
        <v>72.97</v>
      </c>
      <c r="P407" s="68">
        <f t="shared" si="136"/>
        <v>75.78</v>
      </c>
      <c r="Q407" s="68">
        <f t="shared" si="137"/>
        <v>78.58</v>
      </c>
      <c r="R407" s="11">
        <f t="shared" si="138"/>
        <v>81.39</v>
      </c>
      <c r="S407" s="11">
        <f t="shared" si="133"/>
        <v>84.195000000000007</v>
      </c>
      <c r="T407" s="11">
        <f t="shared" si="139"/>
        <v>89.81</v>
      </c>
      <c r="U407" s="38">
        <f t="shared" si="129"/>
        <v>91.69</v>
      </c>
      <c r="V407" s="38">
        <f t="shared" si="130"/>
        <v>95.08</v>
      </c>
      <c r="W407" s="38">
        <f t="shared" si="131"/>
        <v>98.48</v>
      </c>
      <c r="X407" s="38">
        <f t="shared" si="132"/>
        <v>101.88</v>
      </c>
      <c r="Z407" s="4">
        <f t="shared" si="140"/>
        <v>449.04</v>
      </c>
      <c r="AA407" s="4">
        <f t="shared" si="141"/>
        <v>543.33839999999998</v>
      </c>
    </row>
    <row r="408" spans="1:27" x14ac:dyDescent="0.3">
      <c r="A408" s="135"/>
      <c r="B408" s="125"/>
      <c r="C408" s="3" t="s">
        <v>1001</v>
      </c>
      <c r="D408" s="55" t="s">
        <v>628</v>
      </c>
      <c r="E408" s="55" t="s">
        <v>70</v>
      </c>
      <c r="F408" s="55" t="s">
        <v>413</v>
      </c>
      <c r="G408" s="56">
        <v>1</v>
      </c>
      <c r="H408" s="49">
        <f>3+2</f>
        <v>5</v>
      </c>
      <c r="I408" s="50">
        <f>1+1+1+1</f>
        <v>4</v>
      </c>
      <c r="J408" s="77">
        <f>+H408-I408</f>
        <v>1</v>
      </c>
      <c r="K408" s="31">
        <v>5259.84</v>
      </c>
      <c r="L408" s="32">
        <v>44057</v>
      </c>
      <c r="M408" s="33">
        <v>0.21</v>
      </c>
      <c r="N408" s="64">
        <f t="shared" si="135"/>
        <v>6364.4063999999998</v>
      </c>
      <c r="O408" s="68">
        <f t="shared" si="134"/>
        <v>6837.79</v>
      </c>
      <c r="P408" s="68">
        <f t="shared" si="136"/>
        <v>7100.78</v>
      </c>
      <c r="Q408" s="68">
        <f t="shared" si="137"/>
        <v>7363.78</v>
      </c>
      <c r="R408" s="11">
        <f t="shared" si="138"/>
        <v>7626.77</v>
      </c>
      <c r="S408" s="11">
        <f t="shared" si="133"/>
        <v>7889.76</v>
      </c>
      <c r="T408" s="11">
        <f t="shared" si="139"/>
        <v>8415.74</v>
      </c>
      <c r="U408" s="38">
        <f t="shared" si="129"/>
        <v>8591.9500000000007</v>
      </c>
      <c r="V408" s="38">
        <f t="shared" si="130"/>
        <v>8910.17</v>
      </c>
      <c r="W408" s="38">
        <f t="shared" si="131"/>
        <v>9228.39</v>
      </c>
      <c r="X408" s="38">
        <f t="shared" si="132"/>
        <v>9546.61</v>
      </c>
      <c r="Z408" s="4">
        <f t="shared" si="140"/>
        <v>5259.84</v>
      </c>
      <c r="AA408" s="4">
        <f t="shared" si="141"/>
        <v>6364.4063999999998</v>
      </c>
    </row>
    <row r="409" spans="1:27" x14ac:dyDescent="0.3">
      <c r="A409" s="135"/>
      <c r="B409" s="125"/>
      <c r="C409" s="3" t="s">
        <v>1496</v>
      </c>
      <c r="D409" s="55" t="s">
        <v>1094</v>
      </c>
      <c r="E409" s="55" t="s">
        <v>362</v>
      </c>
      <c r="F409" s="55" t="s">
        <v>1497</v>
      </c>
      <c r="G409" s="56">
        <v>50</v>
      </c>
      <c r="H409" s="49">
        <f>30+80+25+140+100+320</f>
        <v>695</v>
      </c>
      <c r="I409" s="50">
        <f>10+5+15+25+24+55+141+100+100+2+5+2</f>
        <v>484</v>
      </c>
      <c r="J409" s="77">
        <f>+H409-I409</f>
        <v>211</v>
      </c>
      <c r="K409" s="31">
        <v>30.13</v>
      </c>
      <c r="L409" s="32">
        <v>44245</v>
      </c>
      <c r="M409" s="33">
        <v>0.21</v>
      </c>
      <c r="N409" s="64">
        <f t="shared" si="135"/>
        <v>36.457299999999996</v>
      </c>
      <c r="O409" s="68">
        <f t="shared" si="134"/>
        <v>39.17</v>
      </c>
      <c r="P409" s="68">
        <f t="shared" si="136"/>
        <v>40.68</v>
      </c>
      <c r="Q409" s="68">
        <f t="shared" si="137"/>
        <v>42.18</v>
      </c>
      <c r="R409" s="11">
        <f t="shared" si="138"/>
        <v>43.69</v>
      </c>
      <c r="S409" s="11">
        <f t="shared" si="133"/>
        <v>45.195</v>
      </c>
      <c r="T409" s="11">
        <f t="shared" si="139"/>
        <v>48.21</v>
      </c>
      <c r="U409" s="38">
        <f t="shared" si="129"/>
        <v>49.22</v>
      </c>
      <c r="V409" s="38">
        <f t="shared" si="130"/>
        <v>51.04</v>
      </c>
      <c r="W409" s="38">
        <f t="shared" si="131"/>
        <v>52.86</v>
      </c>
      <c r="X409" s="38">
        <f t="shared" si="132"/>
        <v>54.69</v>
      </c>
      <c r="Z409" s="4">
        <f t="shared" si="140"/>
        <v>6357.4299999999994</v>
      </c>
      <c r="AA409" s="4">
        <f t="shared" si="141"/>
        <v>7692.4902999999995</v>
      </c>
    </row>
    <row r="410" spans="1:27" x14ac:dyDescent="0.3">
      <c r="A410" s="135"/>
      <c r="B410" s="125"/>
      <c r="C410" s="3" t="s">
        <v>277</v>
      </c>
      <c r="D410" s="55" t="s">
        <v>1394</v>
      </c>
      <c r="E410" s="55" t="s">
        <v>362</v>
      </c>
      <c r="F410" s="55" t="s">
        <v>1395</v>
      </c>
      <c r="G410" s="56">
        <v>200</v>
      </c>
      <c r="H410" s="49">
        <f>400+200+400+200+100+100</f>
        <v>1400</v>
      </c>
      <c r="I410" s="50">
        <f>10+20+5+165+70+25+30+75+100+100+300+20+10+2+68+132+30+24+3+11+19+80+50+50</f>
        <v>1399</v>
      </c>
      <c r="J410" s="77">
        <f>+H410-I410</f>
        <v>1</v>
      </c>
      <c r="K410" s="31">
        <v>15.24</v>
      </c>
      <c r="L410" s="32">
        <v>44137</v>
      </c>
      <c r="M410" s="33">
        <v>0.21</v>
      </c>
      <c r="N410" s="64">
        <f t="shared" si="135"/>
        <v>18.4404</v>
      </c>
      <c r="O410" s="68">
        <f t="shared" si="134"/>
        <v>19.809999999999999</v>
      </c>
      <c r="P410" s="68">
        <f t="shared" si="136"/>
        <v>20.57</v>
      </c>
      <c r="Q410" s="68">
        <f t="shared" si="137"/>
        <v>21.34</v>
      </c>
      <c r="R410" s="11">
        <f t="shared" si="138"/>
        <v>22.1</v>
      </c>
      <c r="S410" s="11">
        <f t="shared" si="133"/>
        <v>22.86</v>
      </c>
      <c r="T410" s="11">
        <f t="shared" si="139"/>
        <v>24.38</v>
      </c>
      <c r="U410" s="38">
        <f t="shared" si="129"/>
        <v>24.89</v>
      </c>
      <c r="V410" s="38">
        <f t="shared" si="130"/>
        <v>25.82</v>
      </c>
      <c r="W410" s="38">
        <f t="shared" si="131"/>
        <v>26.74</v>
      </c>
      <c r="X410" s="38">
        <f t="shared" si="132"/>
        <v>27.66</v>
      </c>
      <c r="Z410" s="4">
        <f t="shared" si="140"/>
        <v>15.24</v>
      </c>
      <c r="AA410" s="4">
        <f t="shared" si="141"/>
        <v>18.4404</v>
      </c>
    </row>
    <row r="411" spans="1:27" x14ac:dyDescent="0.3">
      <c r="A411" s="135"/>
      <c r="B411" s="125"/>
      <c r="C411" s="3" t="s">
        <v>179</v>
      </c>
      <c r="D411" s="55" t="s">
        <v>1046</v>
      </c>
      <c r="E411" s="55" t="s">
        <v>362</v>
      </c>
      <c r="F411" s="55" t="s">
        <v>1390</v>
      </c>
      <c r="G411" s="56">
        <v>3</v>
      </c>
      <c r="H411" s="49">
        <f>5+2+3+2+3+5+1+2+3+2+3</f>
        <v>31</v>
      </c>
      <c r="I411" s="50">
        <f>1+1+1+1+2+1+1+1+2+1+2+1+1+1+1+1+1+1+1+1+1+1+1+1+1+1+1</f>
        <v>30</v>
      </c>
      <c r="J411" s="77">
        <f>+H411-I411</f>
        <v>1</v>
      </c>
      <c r="K411" s="31">
        <v>1905</v>
      </c>
      <c r="L411" s="32">
        <v>44155</v>
      </c>
      <c r="M411" s="33">
        <v>0.21</v>
      </c>
      <c r="N411" s="64">
        <f t="shared" si="135"/>
        <v>2305.0499999999997</v>
      </c>
      <c r="O411" s="68">
        <f t="shared" si="134"/>
        <v>2476.5</v>
      </c>
      <c r="P411" s="68">
        <f t="shared" si="136"/>
        <v>2571.75</v>
      </c>
      <c r="Q411" s="68">
        <f t="shared" si="137"/>
        <v>2667</v>
      </c>
      <c r="R411" s="11">
        <f t="shared" si="138"/>
        <v>2762.25</v>
      </c>
      <c r="S411" s="11">
        <f t="shared" si="133"/>
        <v>2857.5</v>
      </c>
      <c r="T411" s="11">
        <f t="shared" si="139"/>
        <v>3048</v>
      </c>
      <c r="U411" s="38">
        <f t="shared" ref="U411:U472" si="142">ROUND((N411*(1+$U$3)),2)</f>
        <v>3111.82</v>
      </c>
      <c r="V411" s="38">
        <f t="shared" ref="V411:V472" si="143">ROUND((N411*(1+$V$3)),2)</f>
        <v>3227.07</v>
      </c>
      <c r="W411" s="38">
        <f t="shared" ref="W411:W472" si="144">ROUND((N411*(1+$W$3)),2)</f>
        <v>3342.32</v>
      </c>
      <c r="X411" s="38">
        <f t="shared" si="132"/>
        <v>3457.58</v>
      </c>
      <c r="Z411" s="4">
        <f t="shared" si="140"/>
        <v>1905</v>
      </c>
      <c r="AA411" s="4">
        <f t="shared" si="141"/>
        <v>2305.0499999999997</v>
      </c>
    </row>
    <row r="412" spans="1:27" x14ac:dyDescent="0.3">
      <c r="A412" s="135"/>
      <c r="B412" s="125"/>
      <c r="C412" s="3" t="s">
        <v>179</v>
      </c>
      <c r="D412" s="55"/>
      <c r="E412" s="55" t="s">
        <v>70</v>
      </c>
      <c r="F412" s="55" t="s">
        <v>278</v>
      </c>
      <c r="G412" s="56">
        <v>3</v>
      </c>
      <c r="H412" s="49">
        <f>3+3+3</f>
        <v>9</v>
      </c>
      <c r="I412" s="50">
        <f>1+1+1+3+2+1</f>
        <v>9</v>
      </c>
      <c r="J412" s="77">
        <f>+H412-I412</f>
        <v>0</v>
      </c>
      <c r="K412" s="31">
        <v>2014.96</v>
      </c>
      <c r="L412" s="32">
        <v>44130</v>
      </c>
      <c r="M412" s="33">
        <v>0.21</v>
      </c>
      <c r="N412" s="64">
        <f t="shared" si="135"/>
        <v>2438.1016</v>
      </c>
      <c r="O412" s="68">
        <f t="shared" si="134"/>
        <v>2619.4499999999998</v>
      </c>
      <c r="P412" s="68">
        <f t="shared" si="136"/>
        <v>2720.2</v>
      </c>
      <c r="Q412" s="68">
        <f t="shared" si="137"/>
        <v>2820.94</v>
      </c>
      <c r="R412" s="11">
        <f t="shared" si="138"/>
        <v>2921.69</v>
      </c>
      <c r="S412" s="11">
        <f t="shared" si="133"/>
        <v>3022.44</v>
      </c>
      <c r="T412" s="11">
        <f t="shared" si="139"/>
        <v>3223.94</v>
      </c>
      <c r="U412" s="38">
        <f t="shared" si="142"/>
        <v>3291.44</v>
      </c>
      <c r="V412" s="38">
        <f t="shared" si="143"/>
        <v>3413.34</v>
      </c>
      <c r="W412" s="38">
        <f t="shared" si="144"/>
        <v>3535.25</v>
      </c>
      <c r="X412" s="38">
        <f t="shared" si="132"/>
        <v>3657.15</v>
      </c>
      <c r="Z412" s="4">
        <f t="shared" si="140"/>
        <v>0</v>
      </c>
      <c r="AA412" s="4">
        <f t="shared" si="141"/>
        <v>0</v>
      </c>
    </row>
    <row r="413" spans="1:27" x14ac:dyDescent="0.3">
      <c r="A413" s="135"/>
      <c r="B413" s="125"/>
      <c r="C413" s="3" t="s">
        <v>325</v>
      </c>
      <c r="D413" s="55" t="s">
        <v>207</v>
      </c>
      <c r="E413" s="55" t="s">
        <v>70</v>
      </c>
      <c r="F413" s="55" t="s">
        <v>278</v>
      </c>
      <c r="G413" s="56">
        <v>2</v>
      </c>
      <c r="H413" s="49">
        <f>2+3+1+2+1+3</f>
        <v>12</v>
      </c>
      <c r="I413" s="50">
        <f>1+1+1+1+1+1+1+1+1+1</f>
        <v>10</v>
      </c>
      <c r="J413" s="77">
        <f>+H413-I413</f>
        <v>2</v>
      </c>
      <c r="K413" s="31">
        <v>3334.5</v>
      </c>
      <c r="L413" s="32">
        <v>43943</v>
      </c>
      <c r="M413" s="33">
        <v>0.21</v>
      </c>
      <c r="N413" s="64">
        <f t="shared" si="135"/>
        <v>4034.7449999999999</v>
      </c>
      <c r="O413" s="68">
        <f t="shared" si="134"/>
        <v>4334.8500000000004</v>
      </c>
      <c r="P413" s="68">
        <f t="shared" si="136"/>
        <v>4501.58</v>
      </c>
      <c r="Q413" s="68">
        <f t="shared" si="137"/>
        <v>4668.3</v>
      </c>
      <c r="R413" s="11">
        <f t="shared" si="138"/>
        <v>4835.03</v>
      </c>
      <c r="S413" s="11">
        <f t="shared" si="133"/>
        <v>5001.75</v>
      </c>
      <c r="T413" s="11">
        <f t="shared" si="139"/>
        <v>5335.2</v>
      </c>
      <c r="U413" s="38">
        <f t="shared" si="142"/>
        <v>5446.91</v>
      </c>
      <c r="V413" s="38">
        <f t="shared" si="143"/>
        <v>5648.64</v>
      </c>
      <c r="W413" s="38">
        <f t="shared" si="144"/>
        <v>5850.38</v>
      </c>
      <c r="X413" s="38">
        <f t="shared" ref="X413:X472" si="145">ROUND((N413*(1+$X$3)),2)</f>
        <v>6052.12</v>
      </c>
      <c r="Z413" s="4">
        <f t="shared" si="140"/>
        <v>6669</v>
      </c>
      <c r="AA413" s="4">
        <f t="shared" si="141"/>
        <v>8069.49</v>
      </c>
    </row>
    <row r="414" spans="1:27" x14ac:dyDescent="0.3">
      <c r="A414" s="135"/>
      <c r="B414" s="125"/>
      <c r="C414" s="3" t="s">
        <v>351</v>
      </c>
      <c r="D414" s="55" t="s">
        <v>208</v>
      </c>
      <c r="E414" s="55" t="s">
        <v>1133</v>
      </c>
      <c r="F414" s="55" t="s">
        <v>280</v>
      </c>
      <c r="G414" s="56">
        <v>2</v>
      </c>
      <c r="H414" s="49">
        <f>5+3+2</f>
        <v>10</v>
      </c>
      <c r="I414" s="50">
        <f>1+2+2+1+1+2</f>
        <v>9</v>
      </c>
      <c r="J414" s="77">
        <f>+H414-I414</f>
        <v>1</v>
      </c>
      <c r="K414" s="31">
        <v>574.26</v>
      </c>
      <c r="L414" s="32">
        <v>44225</v>
      </c>
      <c r="M414" s="33">
        <v>0.21</v>
      </c>
      <c r="N414" s="64">
        <f t="shared" si="135"/>
        <v>694.8546</v>
      </c>
      <c r="O414" s="68">
        <f t="shared" si="134"/>
        <v>746.54</v>
      </c>
      <c r="P414" s="68">
        <f t="shared" si="136"/>
        <v>775.25</v>
      </c>
      <c r="Q414" s="68">
        <f t="shared" si="137"/>
        <v>803.96</v>
      </c>
      <c r="R414" s="11">
        <f t="shared" si="138"/>
        <v>832.68</v>
      </c>
      <c r="S414" s="11">
        <f t="shared" si="133"/>
        <v>861.39</v>
      </c>
      <c r="T414" s="11">
        <f t="shared" si="139"/>
        <v>918.82</v>
      </c>
      <c r="U414" s="38">
        <f t="shared" si="142"/>
        <v>938.05</v>
      </c>
      <c r="V414" s="38">
        <f t="shared" si="143"/>
        <v>972.8</v>
      </c>
      <c r="W414" s="38">
        <f t="shared" si="144"/>
        <v>1007.54</v>
      </c>
      <c r="X414" s="38">
        <f t="shared" si="145"/>
        <v>1042.28</v>
      </c>
      <c r="Z414" s="4">
        <f t="shared" si="140"/>
        <v>574.26</v>
      </c>
      <c r="AA414" s="4">
        <f t="shared" si="141"/>
        <v>694.8546</v>
      </c>
    </row>
    <row r="415" spans="1:27" x14ac:dyDescent="0.3">
      <c r="A415" s="135"/>
      <c r="B415" s="125"/>
      <c r="C415" s="3" t="s">
        <v>352</v>
      </c>
      <c r="D415" s="55" t="s">
        <v>209</v>
      </c>
      <c r="E415" s="55" t="s">
        <v>1133</v>
      </c>
      <c r="F415" s="55" t="s">
        <v>1216</v>
      </c>
      <c r="G415" s="56">
        <v>2</v>
      </c>
      <c r="H415" s="49">
        <f>3+2</f>
        <v>5</v>
      </c>
      <c r="I415" s="69">
        <f>2+1+1+1</f>
        <v>5</v>
      </c>
      <c r="J415" s="77">
        <f>+H415-I415</f>
        <v>0</v>
      </c>
      <c r="K415" s="31">
        <v>393.68</v>
      </c>
      <c r="L415" s="32">
        <v>43955</v>
      </c>
      <c r="M415" s="33">
        <v>0.21</v>
      </c>
      <c r="N415" s="64">
        <f t="shared" si="135"/>
        <v>476.3528</v>
      </c>
      <c r="O415" s="68">
        <f t="shared" si="134"/>
        <v>511.78</v>
      </c>
      <c r="P415" s="68">
        <f t="shared" si="136"/>
        <v>531.47</v>
      </c>
      <c r="Q415" s="68">
        <f t="shared" si="137"/>
        <v>551.15</v>
      </c>
      <c r="R415" s="11">
        <f t="shared" si="138"/>
        <v>570.84</v>
      </c>
      <c r="S415" s="11">
        <f t="shared" si="133"/>
        <v>590.52</v>
      </c>
      <c r="T415" s="11">
        <f t="shared" si="139"/>
        <v>629.89</v>
      </c>
      <c r="U415" s="38">
        <f t="shared" si="142"/>
        <v>643.08000000000004</v>
      </c>
      <c r="V415" s="38">
        <f t="shared" si="143"/>
        <v>666.89</v>
      </c>
      <c r="W415" s="38">
        <f t="shared" si="144"/>
        <v>690.71</v>
      </c>
      <c r="X415" s="38">
        <f t="shared" si="145"/>
        <v>714.53</v>
      </c>
      <c r="Z415" s="4">
        <f t="shared" si="140"/>
        <v>0</v>
      </c>
      <c r="AA415" s="4">
        <f t="shared" si="141"/>
        <v>0</v>
      </c>
    </row>
    <row r="416" spans="1:27" x14ac:dyDescent="0.3">
      <c r="A416" s="135"/>
      <c r="B416" s="125"/>
      <c r="C416" s="3" t="s">
        <v>353</v>
      </c>
      <c r="D416" s="55" t="s">
        <v>210</v>
      </c>
      <c r="E416" s="55" t="s">
        <v>1133</v>
      </c>
      <c r="F416" s="55" t="s">
        <v>1216</v>
      </c>
      <c r="G416" s="56">
        <v>2</v>
      </c>
      <c r="H416" s="49">
        <f>3</f>
        <v>3</v>
      </c>
      <c r="I416" s="69">
        <f>2+1</f>
        <v>3</v>
      </c>
      <c r="J416" s="77">
        <f>+H416-I416</f>
        <v>0</v>
      </c>
      <c r="K416" s="31">
        <v>1019</v>
      </c>
      <c r="L416" s="32">
        <v>44225</v>
      </c>
      <c r="M416" s="33">
        <v>0.21</v>
      </c>
      <c r="N416" s="64">
        <f t="shared" si="135"/>
        <v>1232.99</v>
      </c>
      <c r="O416" s="68">
        <f t="shared" si="134"/>
        <v>1324.7</v>
      </c>
      <c r="P416" s="68">
        <f t="shared" si="136"/>
        <v>1375.65</v>
      </c>
      <c r="Q416" s="68">
        <f t="shared" si="137"/>
        <v>1426.6</v>
      </c>
      <c r="R416" s="11">
        <f t="shared" si="138"/>
        <v>1477.55</v>
      </c>
      <c r="S416" s="11">
        <f t="shared" si="133"/>
        <v>1528.5</v>
      </c>
      <c r="T416" s="11">
        <f t="shared" si="139"/>
        <v>1630.4</v>
      </c>
      <c r="U416" s="38">
        <f t="shared" si="142"/>
        <v>1664.54</v>
      </c>
      <c r="V416" s="38">
        <f t="shared" si="143"/>
        <v>1726.19</v>
      </c>
      <c r="W416" s="38">
        <f t="shared" si="144"/>
        <v>1787.84</v>
      </c>
      <c r="X416" s="38">
        <f t="shared" si="145"/>
        <v>1849.49</v>
      </c>
      <c r="Z416" s="4">
        <f t="shared" si="140"/>
        <v>0</v>
      </c>
      <c r="AA416" s="4">
        <f t="shared" si="141"/>
        <v>0</v>
      </c>
    </row>
    <row r="417" spans="1:27" x14ac:dyDescent="0.3">
      <c r="A417" s="135"/>
      <c r="B417" s="125"/>
      <c r="C417" s="3" t="s">
        <v>279</v>
      </c>
      <c r="D417" s="55" t="s">
        <v>211</v>
      </c>
      <c r="E417" s="55" t="s">
        <v>70</v>
      </c>
      <c r="F417" s="55" t="s">
        <v>280</v>
      </c>
      <c r="G417" s="56">
        <v>2</v>
      </c>
      <c r="H417" s="49">
        <v>0</v>
      </c>
      <c r="I417" s="50">
        <f>0</f>
        <v>0</v>
      </c>
      <c r="J417" s="77">
        <f>+H417-I417</f>
        <v>0</v>
      </c>
      <c r="K417" s="31">
        <v>1043.1500000000001</v>
      </c>
      <c r="L417" s="32">
        <v>44225</v>
      </c>
      <c r="M417" s="33">
        <v>0.21</v>
      </c>
      <c r="N417" s="64">
        <f t="shared" si="135"/>
        <v>1262.2115000000001</v>
      </c>
      <c r="O417" s="68">
        <f t="shared" si="134"/>
        <v>1356.1</v>
      </c>
      <c r="P417" s="68">
        <f t="shared" si="136"/>
        <v>1408.25</v>
      </c>
      <c r="Q417" s="68">
        <f t="shared" si="137"/>
        <v>1460.41</v>
      </c>
      <c r="R417" s="11">
        <f t="shared" si="138"/>
        <v>1512.57</v>
      </c>
      <c r="S417" s="11">
        <f t="shared" si="133"/>
        <v>1564.7250000000001</v>
      </c>
      <c r="T417" s="11">
        <f t="shared" si="139"/>
        <v>1669.04</v>
      </c>
      <c r="U417" s="38">
        <f t="shared" si="142"/>
        <v>1703.99</v>
      </c>
      <c r="V417" s="38">
        <f t="shared" si="143"/>
        <v>1767.1</v>
      </c>
      <c r="W417" s="38">
        <f t="shared" si="144"/>
        <v>1830.21</v>
      </c>
      <c r="X417" s="38">
        <f t="shared" si="145"/>
        <v>1893.32</v>
      </c>
      <c r="Z417" s="4">
        <f t="shared" si="140"/>
        <v>0</v>
      </c>
      <c r="AA417" s="4">
        <f t="shared" si="141"/>
        <v>0</v>
      </c>
    </row>
    <row r="418" spans="1:27" x14ac:dyDescent="0.3">
      <c r="A418" s="135"/>
      <c r="B418" s="125"/>
      <c r="C418" s="3" t="s">
        <v>348</v>
      </c>
      <c r="D418" s="55" t="s">
        <v>212</v>
      </c>
      <c r="E418" s="55" t="s">
        <v>70</v>
      </c>
      <c r="F418" s="55" t="s">
        <v>280</v>
      </c>
      <c r="G418" s="56">
        <v>2</v>
      </c>
      <c r="H418" s="49">
        <v>1</v>
      </c>
      <c r="I418" s="50">
        <f>1</f>
        <v>1</v>
      </c>
      <c r="J418" s="77">
        <f>+H418-I418</f>
        <v>0</v>
      </c>
      <c r="K418" s="31">
        <v>272.77999999999997</v>
      </c>
      <c r="L418" s="32">
        <v>43955</v>
      </c>
      <c r="M418" s="33">
        <v>0.21</v>
      </c>
      <c r="N418" s="64">
        <f t="shared" si="135"/>
        <v>330.06379999999996</v>
      </c>
      <c r="O418" s="68">
        <f t="shared" si="134"/>
        <v>354.61</v>
      </c>
      <c r="P418" s="68">
        <f t="shared" si="136"/>
        <v>368.25</v>
      </c>
      <c r="Q418" s="68">
        <f t="shared" si="137"/>
        <v>381.89</v>
      </c>
      <c r="R418" s="11">
        <f t="shared" si="138"/>
        <v>395.53</v>
      </c>
      <c r="S418" s="11">
        <f t="shared" si="133"/>
        <v>409.16999999999996</v>
      </c>
      <c r="T418" s="11">
        <f t="shared" si="139"/>
        <v>436.45</v>
      </c>
      <c r="U418" s="38">
        <f t="shared" si="142"/>
        <v>445.59</v>
      </c>
      <c r="V418" s="38">
        <f t="shared" si="143"/>
        <v>462.09</v>
      </c>
      <c r="W418" s="38">
        <f t="shared" si="144"/>
        <v>478.59</v>
      </c>
      <c r="X418" s="38">
        <f t="shared" si="145"/>
        <v>495.1</v>
      </c>
      <c r="Z418" s="4">
        <f t="shared" si="140"/>
        <v>0</v>
      </c>
      <c r="AA418" s="4">
        <f t="shared" si="141"/>
        <v>0</v>
      </c>
    </row>
    <row r="419" spans="1:27" x14ac:dyDescent="0.3">
      <c r="A419" s="135"/>
      <c r="B419" s="125"/>
      <c r="C419" s="3" t="s">
        <v>349</v>
      </c>
      <c r="D419" s="55" t="s">
        <v>213</v>
      </c>
      <c r="E419" s="55" t="s">
        <v>362</v>
      </c>
      <c r="F419" s="55" t="s">
        <v>280</v>
      </c>
      <c r="G419" s="56">
        <v>2</v>
      </c>
      <c r="H419" s="49">
        <f>10+10+5</f>
        <v>25</v>
      </c>
      <c r="I419" s="50">
        <f>8+1+1+5+5+1+1+2+1</f>
        <v>25</v>
      </c>
      <c r="J419" s="77">
        <f>+H419-I419</f>
        <v>0</v>
      </c>
      <c r="K419" s="31">
        <v>412.8</v>
      </c>
      <c r="L419" s="32">
        <v>44225</v>
      </c>
      <c r="M419" s="33">
        <v>0.21</v>
      </c>
      <c r="N419" s="64">
        <f t="shared" si="135"/>
        <v>499.488</v>
      </c>
      <c r="O419" s="68">
        <f t="shared" si="134"/>
        <v>536.64</v>
      </c>
      <c r="P419" s="68">
        <f t="shared" si="136"/>
        <v>557.28</v>
      </c>
      <c r="Q419" s="68">
        <f t="shared" si="137"/>
        <v>577.91999999999996</v>
      </c>
      <c r="R419" s="11">
        <f t="shared" si="138"/>
        <v>598.55999999999995</v>
      </c>
      <c r="S419" s="11">
        <f t="shared" si="133"/>
        <v>619.20000000000005</v>
      </c>
      <c r="T419" s="11">
        <f t="shared" si="139"/>
        <v>660.48</v>
      </c>
      <c r="U419" s="38">
        <f t="shared" si="142"/>
        <v>674.31</v>
      </c>
      <c r="V419" s="38">
        <f t="shared" si="143"/>
        <v>699.28</v>
      </c>
      <c r="W419" s="38">
        <f t="shared" si="144"/>
        <v>724.26</v>
      </c>
      <c r="X419" s="38">
        <f t="shared" si="145"/>
        <v>749.23</v>
      </c>
      <c r="Z419" s="4">
        <f t="shared" si="140"/>
        <v>0</v>
      </c>
      <c r="AA419" s="4">
        <f t="shared" si="141"/>
        <v>0</v>
      </c>
    </row>
    <row r="420" spans="1:27" x14ac:dyDescent="0.3">
      <c r="A420" s="135"/>
      <c r="B420" s="125"/>
      <c r="C420" s="3" t="s">
        <v>350</v>
      </c>
      <c r="D420" s="55" t="s">
        <v>629</v>
      </c>
      <c r="E420" s="55" t="s">
        <v>70</v>
      </c>
      <c r="F420" s="55" t="s">
        <v>280</v>
      </c>
      <c r="G420" s="56">
        <v>2</v>
      </c>
      <c r="H420" s="49">
        <v>3</v>
      </c>
      <c r="I420" s="50">
        <f>1+2</f>
        <v>3</v>
      </c>
      <c r="J420" s="77">
        <f>+H420-I420</f>
        <v>0</v>
      </c>
      <c r="K420" s="31">
        <v>412.8</v>
      </c>
      <c r="L420" s="32">
        <v>44225</v>
      </c>
      <c r="M420" s="33">
        <v>0.21</v>
      </c>
      <c r="N420" s="64">
        <f t="shared" si="135"/>
        <v>499.488</v>
      </c>
      <c r="O420" s="68">
        <f t="shared" si="134"/>
        <v>536.64</v>
      </c>
      <c r="P420" s="68">
        <f t="shared" si="136"/>
        <v>557.28</v>
      </c>
      <c r="Q420" s="68">
        <f t="shared" si="137"/>
        <v>577.91999999999996</v>
      </c>
      <c r="R420" s="11">
        <f t="shared" si="138"/>
        <v>598.55999999999995</v>
      </c>
      <c r="S420" s="11">
        <f t="shared" si="133"/>
        <v>619.20000000000005</v>
      </c>
      <c r="T420" s="11">
        <f t="shared" si="139"/>
        <v>660.48</v>
      </c>
      <c r="U420" s="38">
        <f t="shared" si="142"/>
        <v>674.31</v>
      </c>
      <c r="V420" s="38">
        <f t="shared" si="143"/>
        <v>699.28</v>
      </c>
      <c r="W420" s="38">
        <f t="shared" si="144"/>
        <v>724.26</v>
      </c>
      <c r="X420" s="38">
        <f t="shared" si="145"/>
        <v>749.23</v>
      </c>
      <c r="Z420" s="4">
        <f t="shared" si="140"/>
        <v>0</v>
      </c>
      <c r="AA420" s="4">
        <f t="shared" si="141"/>
        <v>0</v>
      </c>
    </row>
    <row r="421" spans="1:27" x14ac:dyDescent="0.3">
      <c r="A421" s="135"/>
      <c r="B421" s="125"/>
      <c r="C421" s="3" t="s">
        <v>461</v>
      </c>
      <c r="D421" s="55" t="s">
        <v>630</v>
      </c>
      <c r="E421" s="55" t="s">
        <v>1133</v>
      </c>
      <c r="F421" s="55" t="s">
        <v>280</v>
      </c>
      <c r="G421" s="56">
        <v>2</v>
      </c>
      <c r="H421" s="49">
        <f>5+5+5+3</f>
        <v>18</v>
      </c>
      <c r="I421" s="50">
        <f>5+4+4+2+3</f>
        <v>18</v>
      </c>
      <c r="J421" s="77">
        <f>+H421-I421</f>
        <v>0</v>
      </c>
      <c r="K421" s="31">
        <v>418</v>
      </c>
      <c r="L421" s="32">
        <v>44225</v>
      </c>
      <c r="M421" s="33">
        <v>0.21</v>
      </c>
      <c r="N421" s="64">
        <f t="shared" si="135"/>
        <v>505.78</v>
      </c>
      <c r="O421" s="68">
        <f t="shared" si="134"/>
        <v>543.4</v>
      </c>
      <c r="P421" s="68">
        <f t="shared" si="136"/>
        <v>564.29999999999995</v>
      </c>
      <c r="Q421" s="68">
        <f t="shared" si="137"/>
        <v>585.20000000000005</v>
      </c>
      <c r="R421" s="11">
        <f t="shared" si="138"/>
        <v>606.1</v>
      </c>
      <c r="S421" s="11">
        <f t="shared" si="133"/>
        <v>627</v>
      </c>
      <c r="T421" s="11">
        <f t="shared" si="139"/>
        <v>668.8</v>
      </c>
      <c r="U421" s="38">
        <f t="shared" si="142"/>
        <v>682.8</v>
      </c>
      <c r="V421" s="38">
        <f t="shared" si="143"/>
        <v>708.09</v>
      </c>
      <c r="W421" s="38">
        <f t="shared" si="144"/>
        <v>733.38</v>
      </c>
      <c r="X421" s="38">
        <f t="shared" si="145"/>
        <v>758.67</v>
      </c>
      <c r="Z421" s="4">
        <f t="shared" si="140"/>
        <v>0</v>
      </c>
      <c r="AA421" s="4">
        <f t="shared" si="141"/>
        <v>0</v>
      </c>
    </row>
    <row r="422" spans="1:27" x14ac:dyDescent="0.3">
      <c r="B422" s="125"/>
      <c r="C422" s="3" t="s">
        <v>1129</v>
      </c>
      <c r="D422" s="55"/>
      <c r="E422" s="55" t="s">
        <v>362</v>
      </c>
      <c r="F422" s="55" t="s">
        <v>1130</v>
      </c>
      <c r="G422" s="56">
        <v>0</v>
      </c>
      <c r="H422" s="49">
        <v>4</v>
      </c>
      <c r="I422" s="50">
        <v>4</v>
      </c>
      <c r="J422" s="77">
        <f>+H422-I422</f>
        <v>0</v>
      </c>
      <c r="K422" s="31">
        <v>317</v>
      </c>
      <c r="L422" s="32">
        <v>44044</v>
      </c>
      <c r="M422" s="33">
        <v>0.21</v>
      </c>
      <c r="N422" s="64">
        <f t="shared" si="135"/>
        <v>383.57</v>
      </c>
      <c r="O422" s="68">
        <f t="shared" si="134"/>
        <v>412.1</v>
      </c>
      <c r="P422" s="68">
        <f t="shared" si="136"/>
        <v>427.95</v>
      </c>
      <c r="Q422" s="68">
        <f t="shared" si="137"/>
        <v>443.8</v>
      </c>
      <c r="R422" s="11">
        <f t="shared" si="138"/>
        <v>459.65</v>
      </c>
      <c r="S422" s="11">
        <f t="shared" si="133"/>
        <v>475.5</v>
      </c>
      <c r="T422" s="11">
        <f t="shared" si="139"/>
        <v>507.2</v>
      </c>
      <c r="U422" s="38">
        <f t="shared" si="142"/>
        <v>517.82000000000005</v>
      </c>
      <c r="V422" s="38">
        <f t="shared" si="143"/>
        <v>537</v>
      </c>
      <c r="W422" s="38">
        <f t="shared" si="144"/>
        <v>556.17999999999995</v>
      </c>
      <c r="X422" s="38">
        <f t="shared" si="145"/>
        <v>575.36</v>
      </c>
      <c r="Z422" s="4">
        <f t="shared" si="140"/>
        <v>0</v>
      </c>
      <c r="AA422" s="4">
        <f t="shared" si="141"/>
        <v>0</v>
      </c>
    </row>
    <row r="423" spans="1:27" x14ac:dyDescent="0.3">
      <c r="B423" s="125"/>
      <c r="C423" s="3" t="s">
        <v>937</v>
      </c>
      <c r="D423" s="55" t="s">
        <v>938</v>
      </c>
      <c r="E423" s="55" t="s">
        <v>70</v>
      </c>
      <c r="F423" s="55" t="s">
        <v>939</v>
      </c>
      <c r="G423" s="56">
        <v>0</v>
      </c>
      <c r="H423" s="49">
        <f>1+4</f>
        <v>5</v>
      </c>
      <c r="I423" s="50">
        <f>3+1</f>
        <v>4</v>
      </c>
      <c r="J423" s="77">
        <f>H423-I423</f>
        <v>1</v>
      </c>
      <c r="K423" s="31">
        <v>317</v>
      </c>
      <c r="L423" s="32">
        <v>44044</v>
      </c>
      <c r="M423" s="33">
        <v>0.21</v>
      </c>
      <c r="N423" s="64">
        <f t="shared" si="135"/>
        <v>383.57</v>
      </c>
      <c r="O423" s="68">
        <f t="shared" si="134"/>
        <v>412.1</v>
      </c>
      <c r="P423" s="68">
        <f t="shared" si="136"/>
        <v>427.95</v>
      </c>
      <c r="Q423" s="68">
        <f t="shared" si="137"/>
        <v>443.8</v>
      </c>
      <c r="R423" s="11">
        <f t="shared" si="138"/>
        <v>459.65</v>
      </c>
      <c r="S423" s="11">
        <f t="shared" si="133"/>
        <v>475.5</v>
      </c>
      <c r="T423" s="11">
        <f t="shared" si="139"/>
        <v>507.2</v>
      </c>
      <c r="U423" s="38">
        <f t="shared" si="142"/>
        <v>517.82000000000005</v>
      </c>
      <c r="V423" s="38">
        <f t="shared" si="143"/>
        <v>537</v>
      </c>
      <c r="W423" s="38">
        <f t="shared" si="144"/>
        <v>556.17999999999995</v>
      </c>
      <c r="X423" s="38">
        <f t="shared" si="145"/>
        <v>575.36</v>
      </c>
      <c r="Z423" s="4">
        <f t="shared" si="140"/>
        <v>317</v>
      </c>
      <c r="AA423" s="4">
        <f t="shared" si="141"/>
        <v>383.57</v>
      </c>
    </row>
    <row r="424" spans="1:27" x14ac:dyDescent="0.3">
      <c r="B424" s="125"/>
      <c r="C424" s="3" t="s">
        <v>940</v>
      </c>
      <c r="D424" s="55" t="s">
        <v>941</v>
      </c>
      <c r="E424" s="55" t="s">
        <v>70</v>
      </c>
      <c r="F424" s="55" t="s">
        <v>939</v>
      </c>
      <c r="G424" s="56">
        <v>0</v>
      </c>
      <c r="H424" s="49">
        <v>1</v>
      </c>
      <c r="I424" s="50">
        <f>0</f>
        <v>0</v>
      </c>
      <c r="J424" s="77">
        <f>H424-I424</f>
        <v>1</v>
      </c>
      <c r="K424" s="31">
        <v>317</v>
      </c>
      <c r="L424" s="32">
        <v>44044</v>
      </c>
      <c r="M424" s="33">
        <v>0.21</v>
      </c>
      <c r="N424" s="64">
        <f t="shared" si="135"/>
        <v>383.57</v>
      </c>
      <c r="O424" s="68">
        <f t="shared" si="134"/>
        <v>412.1</v>
      </c>
      <c r="P424" s="68">
        <f t="shared" si="136"/>
        <v>427.95</v>
      </c>
      <c r="Q424" s="68">
        <f t="shared" si="137"/>
        <v>443.8</v>
      </c>
      <c r="R424" s="11">
        <f t="shared" si="138"/>
        <v>459.65</v>
      </c>
      <c r="S424" s="11">
        <f t="shared" si="133"/>
        <v>475.5</v>
      </c>
      <c r="T424" s="11">
        <f t="shared" si="139"/>
        <v>507.2</v>
      </c>
      <c r="U424" s="38">
        <f t="shared" si="142"/>
        <v>517.82000000000005</v>
      </c>
      <c r="V424" s="38">
        <f t="shared" si="143"/>
        <v>537</v>
      </c>
      <c r="W424" s="38">
        <f t="shared" si="144"/>
        <v>556.17999999999995</v>
      </c>
      <c r="X424" s="38">
        <f t="shared" si="145"/>
        <v>575.36</v>
      </c>
      <c r="Z424" s="4">
        <f t="shared" si="140"/>
        <v>317</v>
      </c>
      <c r="AA424" s="4">
        <f t="shared" si="141"/>
        <v>383.57</v>
      </c>
    </row>
    <row r="425" spans="1:27" x14ac:dyDescent="0.3">
      <c r="B425" s="125"/>
      <c r="C425" s="3" t="s">
        <v>1152</v>
      </c>
      <c r="D425" s="55" t="s">
        <v>973</v>
      </c>
      <c r="E425" s="55" t="s">
        <v>70</v>
      </c>
      <c r="F425" s="55" t="s">
        <v>949</v>
      </c>
      <c r="G425" s="56">
        <v>0</v>
      </c>
      <c r="H425" s="49">
        <v>10</v>
      </c>
      <c r="I425" s="50">
        <f>1+1</f>
        <v>2</v>
      </c>
      <c r="J425" s="77">
        <f>+H425-I425</f>
        <v>8</v>
      </c>
      <c r="K425" s="31">
        <v>317</v>
      </c>
      <c r="L425" s="32">
        <v>44044</v>
      </c>
      <c r="M425" s="33">
        <v>0.21</v>
      </c>
      <c r="N425" s="64">
        <f t="shared" si="135"/>
        <v>383.57</v>
      </c>
      <c r="O425" s="68">
        <f t="shared" si="134"/>
        <v>412.1</v>
      </c>
      <c r="P425" s="68">
        <f t="shared" si="136"/>
        <v>427.95</v>
      </c>
      <c r="Q425" s="68">
        <f t="shared" si="137"/>
        <v>443.8</v>
      </c>
      <c r="R425" s="11">
        <f t="shared" si="138"/>
        <v>459.65</v>
      </c>
      <c r="S425" s="11">
        <f t="shared" si="133"/>
        <v>475.5</v>
      </c>
      <c r="T425" s="11">
        <f t="shared" si="139"/>
        <v>507.2</v>
      </c>
      <c r="U425" s="38">
        <f t="shared" si="142"/>
        <v>517.82000000000005</v>
      </c>
      <c r="V425" s="38">
        <f t="shared" si="143"/>
        <v>537</v>
      </c>
      <c r="W425" s="38">
        <f t="shared" si="144"/>
        <v>556.17999999999995</v>
      </c>
      <c r="X425" s="38">
        <f t="shared" si="145"/>
        <v>575.36</v>
      </c>
      <c r="Z425" s="4">
        <f t="shared" si="140"/>
        <v>2536</v>
      </c>
      <c r="AA425" s="4">
        <f t="shared" si="141"/>
        <v>3068.56</v>
      </c>
    </row>
    <row r="426" spans="1:27" x14ac:dyDescent="0.3">
      <c r="B426" s="125"/>
      <c r="C426" s="3" t="s">
        <v>1301</v>
      </c>
      <c r="D426" s="55" t="s">
        <v>1302</v>
      </c>
      <c r="E426" s="55" t="s">
        <v>34</v>
      </c>
      <c r="F426" s="55" t="s">
        <v>269</v>
      </c>
      <c r="G426" s="56">
        <v>1</v>
      </c>
      <c r="H426" s="49">
        <v>5</v>
      </c>
      <c r="I426" s="50">
        <f>1+4</f>
        <v>5</v>
      </c>
      <c r="J426" s="77">
        <f>+H426-I426</f>
        <v>0</v>
      </c>
      <c r="K426" s="31">
        <v>194.84</v>
      </c>
      <c r="L426" s="32">
        <v>43413</v>
      </c>
      <c r="M426" s="33">
        <v>0.21</v>
      </c>
      <c r="N426" s="64">
        <f t="shared" si="135"/>
        <v>235.75639999999999</v>
      </c>
      <c r="O426" s="68">
        <f t="shared" si="134"/>
        <v>253.29</v>
      </c>
      <c r="P426" s="68">
        <f t="shared" si="136"/>
        <v>263.02999999999997</v>
      </c>
      <c r="Q426" s="68">
        <f t="shared" si="137"/>
        <v>272.77999999999997</v>
      </c>
      <c r="R426" s="11">
        <f t="shared" si="138"/>
        <v>282.52</v>
      </c>
      <c r="S426" s="11">
        <f t="shared" si="133"/>
        <v>292.26</v>
      </c>
      <c r="T426" s="11">
        <f t="shared" si="139"/>
        <v>311.74</v>
      </c>
      <c r="U426" s="38">
        <f t="shared" si="142"/>
        <v>318.27</v>
      </c>
      <c r="V426" s="38">
        <f t="shared" si="143"/>
        <v>330.06</v>
      </c>
      <c r="W426" s="38">
        <f t="shared" si="144"/>
        <v>341.85</v>
      </c>
      <c r="X426" s="38">
        <f t="shared" si="145"/>
        <v>353.63</v>
      </c>
      <c r="Z426" s="4">
        <f t="shared" si="140"/>
        <v>0</v>
      </c>
      <c r="AA426" s="4">
        <f t="shared" si="141"/>
        <v>0</v>
      </c>
    </row>
    <row r="427" spans="1:27" x14ac:dyDescent="0.3">
      <c r="A427" s="135"/>
      <c r="B427" s="125"/>
      <c r="C427" s="3" t="s">
        <v>947</v>
      </c>
      <c r="D427" s="55" t="s">
        <v>946</v>
      </c>
      <c r="E427" s="55" t="s">
        <v>1133</v>
      </c>
      <c r="F427" s="55" t="s">
        <v>1475</v>
      </c>
      <c r="G427" s="56">
        <v>5</v>
      </c>
      <c r="H427" s="49">
        <f>30+100+20+50+12+10+10</f>
        <v>232</v>
      </c>
      <c r="I427" s="50">
        <f>0+15+14+80+15+6+20+25+10+2+12+13+10</f>
        <v>222</v>
      </c>
      <c r="J427" s="77">
        <f>+H427-I427</f>
        <v>10</v>
      </c>
      <c r="K427" s="31">
        <v>386.44</v>
      </c>
      <c r="L427" s="32">
        <v>44083</v>
      </c>
      <c r="M427" s="33">
        <v>0.21</v>
      </c>
      <c r="N427" s="64">
        <f t="shared" si="135"/>
        <v>467.5924</v>
      </c>
      <c r="O427" s="68">
        <f t="shared" si="134"/>
        <v>502.37</v>
      </c>
      <c r="P427" s="68">
        <f t="shared" si="136"/>
        <v>521.69000000000005</v>
      </c>
      <c r="Q427" s="68">
        <f t="shared" si="137"/>
        <v>541.02</v>
      </c>
      <c r="R427" s="11">
        <f t="shared" si="138"/>
        <v>560.34</v>
      </c>
      <c r="S427" s="11">
        <f t="shared" si="133"/>
        <v>579.66</v>
      </c>
      <c r="T427" s="11">
        <f t="shared" si="139"/>
        <v>618.29999999999995</v>
      </c>
      <c r="U427" s="38">
        <f t="shared" si="142"/>
        <v>631.25</v>
      </c>
      <c r="V427" s="38">
        <f t="shared" si="143"/>
        <v>654.63</v>
      </c>
      <c r="W427" s="38">
        <f t="shared" si="144"/>
        <v>678.01</v>
      </c>
      <c r="X427" s="38">
        <f t="shared" si="145"/>
        <v>701.39</v>
      </c>
      <c r="Z427" s="4">
        <f t="shared" si="140"/>
        <v>3864.4</v>
      </c>
      <c r="AA427" s="4">
        <f t="shared" si="141"/>
        <v>4675.924</v>
      </c>
    </row>
    <row r="428" spans="1:27" x14ac:dyDescent="0.3">
      <c r="A428" s="135"/>
      <c r="B428" s="125"/>
      <c r="C428" s="3" t="s">
        <v>22</v>
      </c>
      <c r="D428" s="55" t="s">
        <v>466</v>
      </c>
      <c r="E428" s="55" t="s">
        <v>70</v>
      </c>
      <c r="F428" s="55" t="s">
        <v>222</v>
      </c>
      <c r="G428" s="56">
        <v>5</v>
      </c>
      <c r="H428" s="49">
        <f>5+5+5</f>
        <v>15</v>
      </c>
      <c r="I428" s="50">
        <f>2+1+2+2+3</f>
        <v>10</v>
      </c>
      <c r="J428" s="77">
        <f>+H428-I428</f>
        <v>5</v>
      </c>
      <c r="K428" s="31">
        <v>102</v>
      </c>
      <c r="L428" s="32">
        <v>44104</v>
      </c>
      <c r="M428" s="33">
        <v>0.21</v>
      </c>
      <c r="N428" s="64">
        <f t="shared" si="135"/>
        <v>123.42</v>
      </c>
      <c r="O428" s="68">
        <f t="shared" si="134"/>
        <v>132.6</v>
      </c>
      <c r="P428" s="68">
        <f t="shared" si="136"/>
        <v>137.69999999999999</v>
      </c>
      <c r="Q428" s="68">
        <f t="shared" si="137"/>
        <v>142.80000000000001</v>
      </c>
      <c r="R428" s="11">
        <f t="shared" si="138"/>
        <v>147.9</v>
      </c>
      <c r="S428" s="11">
        <f t="shared" si="133"/>
        <v>153</v>
      </c>
      <c r="T428" s="11">
        <f t="shared" si="139"/>
        <v>163.19999999999999</v>
      </c>
      <c r="U428" s="38">
        <f t="shared" si="142"/>
        <v>166.62</v>
      </c>
      <c r="V428" s="38">
        <f t="shared" si="143"/>
        <v>172.79</v>
      </c>
      <c r="W428" s="38">
        <f t="shared" si="144"/>
        <v>178.96</v>
      </c>
      <c r="X428" s="38">
        <f t="shared" si="145"/>
        <v>185.13</v>
      </c>
      <c r="Z428" s="4">
        <f t="shared" si="140"/>
        <v>510</v>
      </c>
      <c r="AA428" s="4">
        <f t="shared" si="141"/>
        <v>617.1</v>
      </c>
    </row>
    <row r="429" spans="1:27" x14ac:dyDescent="0.3">
      <c r="A429" s="135"/>
      <c r="B429" s="125"/>
      <c r="C429" s="3" t="s">
        <v>23</v>
      </c>
      <c r="D429" s="55" t="s">
        <v>467</v>
      </c>
      <c r="E429" s="55" t="s">
        <v>70</v>
      </c>
      <c r="F429" s="55" t="s">
        <v>222</v>
      </c>
      <c r="G429" s="56">
        <v>5</v>
      </c>
      <c r="H429" s="49">
        <f>10+20+2+5+5</f>
        <v>42</v>
      </c>
      <c r="I429" s="50">
        <f>1+6+5+1+1+1+1+9+7+5+3+1</f>
        <v>41</v>
      </c>
      <c r="J429" s="77">
        <f>+H429-I429</f>
        <v>1</v>
      </c>
      <c r="K429" s="31">
        <v>102</v>
      </c>
      <c r="L429" s="32">
        <v>44104</v>
      </c>
      <c r="M429" s="33">
        <v>0.21</v>
      </c>
      <c r="N429" s="64">
        <f t="shared" si="135"/>
        <v>123.42</v>
      </c>
      <c r="O429" s="68">
        <f t="shared" si="134"/>
        <v>132.6</v>
      </c>
      <c r="P429" s="68">
        <f t="shared" si="136"/>
        <v>137.69999999999999</v>
      </c>
      <c r="Q429" s="68">
        <f t="shared" si="137"/>
        <v>142.80000000000001</v>
      </c>
      <c r="R429" s="11">
        <f t="shared" si="138"/>
        <v>147.9</v>
      </c>
      <c r="S429" s="11">
        <f t="shared" si="133"/>
        <v>153</v>
      </c>
      <c r="T429" s="11">
        <f t="shared" si="139"/>
        <v>163.19999999999999</v>
      </c>
      <c r="U429" s="38">
        <f t="shared" si="142"/>
        <v>166.62</v>
      </c>
      <c r="V429" s="38">
        <f t="shared" si="143"/>
        <v>172.79</v>
      </c>
      <c r="W429" s="38">
        <f t="shared" si="144"/>
        <v>178.96</v>
      </c>
      <c r="X429" s="38">
        <f t="shared" si="145"/>
        <v>185.13</v>
      </c>
      <c r="Z429" s="4">
        <f t="shared" si="140"/>
        <v>102</v>
      </c>
      <c r="AA429" s="4">
        <f t="shared" si="141"/>
        <v>123.42</v>
      </c>
    </row>
    <row r="430" spans="1:27" x14ac:dyDescent="0.3">
      <c r="A430" s="135"/>
      <c r="B430" s="125"/>
      <c r="C430" s="3" t="s">
        <v>281</v>
      </c>
      <c r="D430" s="55" t="s">
        <v>678</v>
      </c>
      <c r="E430" s="55" t="s">
        <v>846</v>
      </c>
      <c r="F430" s="55" t="s">
        <v>1570</v>
      </c>
      <c r="G430" s="56">
        <v>50</v>
      </c>
      <c r="H430" s="49">
        <f>100+60+50+150+20+100+300+100+50+50+100+110+40+100+160+100+110+210+50+200+100+240+102+180+72+120+90+50+120+288</f>
        <v>3522</v>
      </c>
      <c r="I430" s="50">
        <f>30+70+50+200+10+200+200+20+50+150+60+50+140+100+150+200+10+200+10+200+50+50+100+200+50+20+200+12+50+142+22+58+50+10+100</f>
        <v>3214</v>
      </c>
      <c r="J430" s="77">
        <f>+H430-I430</f>
        <v>308</v>
      </c>
      <c r="K430" s="31">
        <v>25</v>
      </c>
      <c r="L430" s="32">
        <v>44245</v>
      </c>
      <c r="M430" s="33">
        <v>0.21</v>
      </c>
      <c r="N430" s="64">
        <f t="shared" si="135"/>
        <v>30.25</v>
      </c>
      <c r="O430" s="68">
        <f t="shared" si="134"/>
        <v>32.5</v>
      </c>
      <c r="P430" s="68">
        <f t="shared" si="136"/>
        <v>33.75</v>
      </c>
      <c r="Q430" s="68">
        <f t="shared" si="137"/>
        <v>35</v>
      </c>
      <c r="R430" s="11">
        <f t="shared" si="138"/>
        <v>36.25</v>
      </c>
      <c r="S430" s="11">
        <f t="shared" si="133"/>
        <v>37.5</v>
      </c>
      <c r="T430" s="11">
        <f t="shared" si="139"/>
        <v>40</v>
      </c>
      <c r="U430" s="38">
        <f t="shared" si="142"/>
        <v>40.840000000000003</v>
      </c>
      <c r="V430" s="38">
        <f t="shared" si="143"/>
        <v>42.35</v>
      </c>
      <c r="W430" s="38">
        <f t="shared" si="144"/>
        <v>43.86</v>
      </c>
      <c r="X430" s="38">
        <f t="shared" si="145"/>
        <v>45.38</v>
      </c>
      <c r="Z430" s="4">
        <f t="shared" si="140"/>
        <v>7700</v>
      </c>
      <c r="AA430" s="4">
        <f t="shared" si="141"/>
        <v>9317</v>
      </c>
    </row>
    <row r="431" spans="1:27" x14ac:dyDescent="0.3">
      <c r="B431" s="125"/>
      <c r="C431" s="3" t="s">
        <v>1447</v>
      </c>
      <c r="D431" s="55"/>
      <c r="E431" s="55" t="s">
        <v>70</v>
      </c>
      <c r="F431" s="55"/>
      <c r="G431" s="56">
        <v>5</v>
      </c>
      <c r="H431" s="49">
        <f>50+50+3+1+19+30+20</f>
        <v>173</v>
      </c>
      <c r="I431" s="50">
        <f>3+1+2+6+1+15+1+1+3+1+1+10+1+4+7+2+3+1+1+20+1+15+3+10+10+4+4+10+10+10+4+8</f>
        <v>173</v>
      </c>
      <c r="J431" s="77">
        <f>+H431-I431</f>
        <v>0</v>
      </c>
      <c r="K431" s="31">
        <v>150</v>
      </c>
      <c r="L431" s="32">
        <v>44152</v>
      </c>
      <c r="M431" s="90">
        <v>0.21</v>
      </c>
      <c r="N431" s="64">
        <f t="shared" si="135"/>
        <v>181.5</v>
      </c>
      <c r="O431" s="68">
        <f t="shared" si="134"/>
        <v>195</v>
      </c>
      <c r="P431" s="68">
        <f t="shared" si="136"/>
        <v>202.5</v>
      </c>
      <c r="Q431" s="68">
        <f t="shared" si="137"/>
        <v>210</v>
      </c>
      <c r="R431" s="11">
        <f t="shared" si="138"/>
        <v>217.5</v>
      </c>
      <c r="S431" s="11">
        <f t="shared" si="133"/>
        <v>225</v>
      </c>
      <c r="T431" s="11">
        <f t="shared" si="139"/>
        <v>240</v>
      </c>
      <c r="U431" s="38">
        <f t="shared" si="142"/>
        <v>245.03</v>
      </c>
      <c r="V431" s="38">
        <f t="shared" si="143"/>
        <v>254.1</v>
      </c>
      <c r="W431" s="38">
        <f t="shared" si="144"/>
        <v>263.18</v>
      </c>
      <c r="X431" s="38">
        <f t="shared" si="145"/>
        <v>272.25</v>
      </c>
      <c r="Z431" s="4">
        <f t="shared" si="140"/>
        <v>0</v>
      </c>
      <c r="AA431" s="4">
        <f t="shared" si="141"/>
        <v>0</v>
      </c>
    </row>
    <row r="432" spans="1:27" x14ac:dyDescent="0.3">
      <c r="C432" s="3" t="s">
        <v>702</v>
      </c>
      <c r="D432" s="55" t="s">
        <v>631</v>
      </c>
      <c r="E432" s="55" t="s">
        <v>694</v>
      </c>
      <c r="F432" s="55" t="s">
        <v>229</v>
      </c>
      <c r="G432" s="56">
        <v>2</v>
      </c>
      <c r="H432" s="49">
        <f>3+2+2+50</f>
        <v>57</v>
      </c>
      <c r="I432" s="50">
        <f>1+1+1+1+1+2</f>
        <v>7</v>
      </c>
      <c r="J432" s="77">
        <f>+H432-I432</f>
        <v>50</v>
      </c>
      <c r="K432" s="31">
        <v>4350</v>
      </c>
      <c r="L432" s="32">
        <v>44054</v>
      </c>
      <c r="M432" s="90">
        <v>0.21</v>
      </c>
      <c r="N432" s="64">
        <f t="shared" si="135"/>
        <v>5263.5</v>
      </c>
      <c r="O432" s="68">
        <f t="shared" si="134"/>
        <v>5655</v>
      </c>
      <c r="P432" s="68">
        <f t="shared" si="136"/>
        <v>5872.5</v>
      </c>
      <c r="Q432" s="68">
        <f t="shared" si="137"/>
        <v>6090</v>
      </c>
      <c r="R432" s="11">
        <f t="shared" si="138"/>
        <v>6307.5</v>
      </c>
      <c r="S432" s="11">
        <f t="shared" si="133"/>
        <v>6525</v>
      </c>
      <c r="T432" s="11">
        <f t="shared" si="139"/>
        <v>6960</v>
      </c>
      <c r="U432" s="38">
        <f t="shared" si="142"/>
        <v>7105.73</v>
      </c>
      <c r="V432" s="38">
        <f t="shared" si="143"/>
        <v>7368.9</v>
      </c>
      <c r="W432" s="38">
        <f t="shared" si="144"/>
        <v>7632.08</v>
      </c>
      <c r="X432" s="38">
        <f t="shared" si="145"/>
        <v>7895.25</v>
      </c>
      <c r="Z432" s="4">
        <f t="shared" si="140"/>
        <v>217500</v>
      </c>
      <c r="AA432" s="4">
        <f t="shared" si="141"/>
        <v>263175</v>
      </c>
    </row>
    <row r="433" spans="1:27" x14ac:dyDescent="0.3">
      <c r="C433" s="3" t="s">
        <v>1148</v>
      </c>
      <c r="D433" s="55" t="s">
        <v>632</v>
      </c>
      <c r="E433" s="55" t="s">
        <v>70</v>
      </c>
      <c r="F433" s="55" t="s">
        <v>229</v>
      </c>
      <c r="G433" s="56">
        <v>1</v>
      </c>
      <c r="H433" s="49">
        <f>3+2+2</f>
        <v>7</v>
      </c>
      <c r="I433" s="50">
        <v>5</v>
      </c>
      <c r="J433" s="77">
        <f>+H433-I433</f>
        <v>2</v>
      </c>
      <c r="K433" s="31">
        <v>4350</v>
      </c>
      <c r="L433" s="32">
        <v>44054</v>
      </c>
      <c r="M433" s="90">
        <v>0.21</v>
      </c>
      <c r="N433" s="64">
        <f t="shared" si="135"/>
        <v>5263.5</v>
      </c>
      <c r="O433" s="68">
        <f t="shared" si="134"/>
        <v>5655</v>
      </c>
      <c r="P433" s="68">
        <f t="shared" si="136"/>
        <v>5872.5</v>
      </c>
      <c r="Q433" s="68">
        <f t="shared" si="137"/>
        <v>6090</v>
      </c>
      <c r="R433" s="11">
        <f t="shared" si="138"/>
        <v>6307.5</v>
      </c>
      <c r="S433" s="11">
        <f t="shared" si="133"/>
        <v>6525</v>
      </c>
      <c r="T433" s="11">
        <f t="shared" si="139"/>
        <v>6960</v>
      </c>
      <c r="U433" s="38">
        <f t="shared" si="142"/>
        <v>7105.73</v>
      </c>
      <c r="V433" s="38">
        <f t="shared" si="143"/>
        <v>7368.9</v>
      </c>
      <c r="W433" s="38">
        <f t="shared" si="144"/>
        <v>7632.08</v>
      </c>
      <c r="X433" s="38">
        <f t="shared" si="145"/>
        <v>7895.25</v>
      </c>
      <c r="Z433" s="4">
        <f t="shared" si="140"/>
        <v>8700</v>
      </c>
      <c r="AA433" s="4">
        <f t="shared" si="141"/>
        <v>10527</v>
      </c>
    </row>
    <row r="434" spans="1:27" x14ac:dyDescent="0.3">
      <c r="C434" s="3" t="s">
        <v>1166</v>
      </c>
      <c r="D434" s="55" t="s">
        <v>1167</v>
      </c>
      <c r="E434" s="55" t="s">
        <v>70</v>
      </c>
      <c r="F434" s="55" t="s">
        <v>229</v>
      </c>
      <c r="G434" s="56">
        <v>1</v>
      </c>
      <c r="H434" s="49">
        <f>2+1+1+2</f>
        <v>6</v>
      </c>
      <c r="I434" s="50">
        <f>1+1+1+1+2</f>
        <v>6</v>
      </c>
      <c r="J434" s="77">
        <f>+H434-I434</f>
        <v>0</v>
      </c>
      <c r="K434" s="31">
        <v>4350</v>
      </c>
      <c r="L434" s="32">
        <v>44054</v>
      </c>
      <c r="M434" s="90">
        <v>0.21</v>
      </c>
      <c r="N434" s="64">
        <f t="shared" si="135"/>
        <v>5263.5</v>
      </c>
      <c r="O434" s="68">
        <f t="shared" si="134"/>
        <v>5655</v>
      </c>
      <c r="P434" s="68">
        <f t="shared" si="136"/>
        <v>5872.5</v>
      </c>
      <c r="Q434" s="68">
        <f t="shared" si="137"/>
        <v>6090</v>
      </c>
      <c r="R434" s="11">
        <f t="shared" si="138"/>
        <v>6307.5</v>
      </c>
      <c r="S434" s="11">
        <f t="shared" si="133"/>
        <v>6525</v>
      </c>
      <c r="T434" s="11">
        <f t="shared" si="139"/>
        <v>6960</v>
      </c>
      <c r="U434" s="38">
        <f t="shared" si="142"/>
        <v>7105.73</v>
      </c>
      <c r="V434" s="38">
        <f t="shared" si="143"/>
        <v>7368.9</v>
      </c>
      <c r="W434" s="38">
        <f t="shared" si="144"/>
        <v>7632.08</v>
      </c>
      <c r="X434" s="38">
        <f t="shared" si="145"/>
        <v>7895.25</v>
      </c>
      <c r="Z434" s="4">
        <f t="shared" si="140"/>
        <v>0</v>
      </c>
      <c r="AA434" s="4">
        <f t="shared" si="141"/>
        <v>0</v>
      </c>
    </row>
    <row r="435" spans="1:27" x14ac:dyDescent="0.3">
      <c r="A435" s="135"/>
      <c r="B435" s="125"/>
      <c r="C435" s="124" t="s">
        <v>1023</v>
      </c>
      <c r="D435" s="55"/>
      <c r="E435" s="55"/>
      <c r="F435" s="55" t="s">
        <v>925</v>
      </c>
      <c r="G435" s="56">
        <v>3</v>
      </c>
      <c r="H435" s="49">
        <f>3+1+2+1+2</f>
        <v>9</v>
      </c>
      <c r="I435" s="50">
        <f>1+2+1+1+1</f>
        <v>6</v>
      </c>
      <c r="J435" s="77">
        <f>+H435-I435</f>
        <v>3</v>
      </c>
      <c r="K435" s="31">
        <v>5278</v>
      </c>
      <c r="L435" s="32">
        <v>44218</v>
      </c>
      <c r="M435" s="90">
        <v>0.21</v>
      </c>
      <c r="N435" s="64">
        <f t="shared" si="135"/>
        <v>6386.38</v>
      </c>
      <c r="O435" s="68">
        <f t="shared" si="134"/>
        <v>6861.4</v>
      </c>
      <c r="P435" s="68">
        <f t="shared" si="136"/>
        <v>7125.3</v>
      </c>
      <c r="Q435" s="68">
        <f t="shared" si="137"/>
        <v>7389.2</v>
      </c>
      <c r="R435" s="11">
        <f t="shared" si="138"/>
        <v>7653.1</v>
      </c>
      <c r="S435" s="11">
        <f t="shared" si="133"/>
        <v>7917</v>
      </c>
      <c r="T435" s="11">
        <f t="shared" si="139"/>
        <v>8444.7999999999993</v>
      </c>
      <c r="U435" s="38">
        <f t="shared" si="142"/>
        <v>8621.61</v>
      </c>
      <c r="V435" s="38">
        <f t="shared" si="143"/>
        <v>8940.93</v>
      </c>
      <c r="W435" s="38">
        <f t="shared" si="144"/>
        <v>9260.25</v>
      </c>
      <c r="X435" s="38">
        <f t="shared" si="145"/>
        <v>9579.57</v>
      </c>
      <c r="Z435" s="4">
        <f t="shared" si="140"/>
        <v>15834</v>
      </c>
      <c r="AA435" s="4">
        <f t="shared" si="141"/>
        <v>19159.14</v>
      </c>
    </row>
    <row r="436" spans="1:27" x14ac:dyDescent="0.3">
      <c r="A436" s="135"/>
      <c r="B436" s="125"/>
      <c r="C436" s="124" t="s">
        <v>1007</v>
      </c>
      <c r="D436" s="55" t="s">
        <v>1189</v>
      </c>
      <c r="E436" s="55"/>
      <c r="F436" s="55" t="s">
        <v>925</v>
      </c>
      <c r="G436" s="56">
        <v>3</v>
      </c>
      <c r="H436" s="49">
        <f>3+3+2+2+2+2+3+1</f>
        <v>18</v>
      </c>
      <c r="I436" s="50">
        <f>1+1+1+1+1+1+2+1+1+1+1+1+1+1+1</f>
        <v>16</v>
      </c>
      <c r="J436" s="77">
        <f>+H436-I436</f>
        <v>2</v>
      </c>
      <c r="K436" s="31">
        <v>5278</v>
      </c>
      <c r="L436" s="32">
        <v>44218</v>
      </c>
      <c r="M436" s="90">
        <v>0.21</v>
      </c>
      <c r="N436" s="64">
        <f t="shared" si="135"/>
        <v>6386.38</v>
      </c>
      <c r="O436" s="68">
        <f t="shared" si="134"/>
        <v>6861.4</v>
      </c>
      <c r="P436" s="68">
        <f t="shared" si="136"/>
        <v>7125.3</v>
      </c>
      <c r="Q436" s="68">
        <f t="shared" si="137"/>
        <v>7389.2</v>
      </c>
      <c r="R436" s="11">
        <f t="shared" si="138"/>
        <v>7653.1</v>
      </c>
      <c r="S436" s="11">
        <f t="shared" si="133"/>
        <v>7917</v>
      </c>
      <c r="T436" s="11">
        <f t="shared" si="139"/>
        <v>8444.7999999999993</v>
      </c>
      <c r="U436" s="38">
        <f t="shared" si="142"/>
        <v>8621.61</v>
      </c>
      <c r="V436" s="38">
        <f t="shared" si="143"/>
        <v>8940.93</v>
      </c>
      <c r="W436" s="38">
        <f t="shared" si="144"/>
        <v>9260.25</v>
      </c>
      <c r="X436" s="38">
        <f t="shared" si="145"/>
        <v>9579.57</v>
      </c>
      <c r="Z436" s="4">
        <f t="shared" si="140"/>
        <v>10556</v>
      </c>
      <c r="AA436" s="4">
        <f t="shared" si="141"/>
        <v>12772.76</v>
      </c>
    </row>
    <row r="437" spans="1:27" x14ac:dyDescent="0.3">
      <c r="A437" s="135"/>
      <c r="B437" s="125"/>
      <c r="C437" s="124" t="s">
        <v>1024</v>
      </c>
      <c r="D437" s="55"/>
      <c r="E437" s="55"/>
      <c r="F437" s="55" t="s">
        <v>1556</v>
      </c>
      <c r="G437" s="56">
        <v>3</v>
      </c>
      <c r="H437" s="49">
        <f>2+3+1+2+1+1+3+10</f>
        <v>23</v>
      </c>
      <c r="I437" s="50">
        <f>2+2+1+1+1+1+1+1+3</f>
        <v>13</v>
      </c>
      <c r="J437" s="77">
        <f>+H437-I437</f>
        <v>10</v>
      </c>
      <c r="K437" s="31">
        <v>5278</v>
      </c>
      <c r="L437" s="32">
        <v>44160</v>
      </c>
      <c r="M437" s="90">
        <v>0.21</v>
      </c>
      <c r="N437" s="64">
        <f t="shared" si="135"/>
        <v>6386.38</v>
      </c>
      <c r="O437" s="68">
        <f t="shared" si="134"/>
        <v>6861.4</v>
      </c>
      <c r="P437" s="68">
        <f t="shared" si="136"/>
        <v>7125.3</v>
      </c>
      <c r="Q437" s="68">
        <f t="shared" si="137"/>
        <v>7389.2</v>
      </c>
      <c r="R437" s="11">
        <f t="shared" si="138"/>
        <v>7653.1</v>
      </c>
      <c r="S437" s="11">
        <f t="shared" si="133"/>
        <v>7917</v>
      </c>
      <c r="T437" s="11">
        <f t="shared" si="139"/>
        <v>8444.7999999999993</v>
      </c>
      <c r="U437" s="38">
        <f t="shared" si="142"/>
        <v>8621.61</v>
      </c>
      <c r="V437" s="38">
        <f t="shared" si="143"/>
        <v>8940.93</v>
      </c>
      <c r="W437" s="38">
        <f t="shared" si="144"/>
        <v>9260.25</v>
      </c>
      <c r="X437" s="38">
        <f t="shared" si="145"/>
        <v>9579.57</v>
      </c>
      <c r="Z437" s="4">
        <f t="shared" si="140"/>
        <v>52780</v>
      </c>
      <c r="AA437" s="4">
        <f t="shared" si="141"/>
        <v>63863.8</v>
      </c>
    </row>
    <row r="438" spans="1:27" x14ac:dyDescent="0.3">
      <c r="A438" s="135"/>
      <c r="B438" s="125"/>
      <c r="C438" s="3" t="s">
        <v>303</v>
      </c>
      <c r="D438" s="55" t="s">
        <v>619</v>
      </c>
      <c r="E438" s="55" t="s">
        <v>70</v>
      </c>
      <c r="F438" s="55" t="s">
        <v>229</v>
      </c>
      <c r="G438" s="56">
        <v>5</v>
      </c>
      <c r="H438" s="49">
        <f>45+25+5</f>
        <v>75</v>
      </c>
      <c r="I438" s="50">
        <f>21+4+2+2+2+2+5+6</f>
        <v>44</v>
      </c>
      <c r="J438" s="77">
        <f>+H438-I438</f>
        <v>31</v>
      </c>
      <c r="K438" s="31">
        <v>291.19</v>
      </c>
      <c r="L438" s="32">
        <v>43486</v>
      </c>
      <c r="M438" s="90">
        <v>0.21</v>
      </c>
      <c r="N438" s="64">
        <f t="shared" si="135"/>
        <v>352.3399</v>
      </c>
      <c r="O438" s="68">
        <f t="shared" si="134"/>
        <v>378.55</v>
      </c>
      <c r="P438" s="68">
        <f t="shared" si="136"/>
        <v>393.11</v>
      </c>
      <c r="Q438" s="68">
        <f t="shared" si="137"/>
        <v>407.67</v>
      </c>
      <c r="R438" s="11">
        <f t="shared" si="138"/>
        <v>422.23</v>
      </c>
      <c r="S438" s="11">
        <f t="shared" si="133"/>
        <v>436.78499999999997</v>
      </c>
      <c r="T438" s="11">
        <f t="shared" si="139"/>
        <v>465.9</v>
      </c>
      <c r="U438" s="38">
        <f t="shared" si="142"/>
        <v>475.66</v>
      </c>
      <c r="V438" s="38">
        <f t="shared" si="143"/>
        <v>493.28</v>
      </c>
      <c r="W438" s="38">
        <f t="shared" si="144"/>
        <v>510.89</v>
      </c>
      <c r="X438" s="38">
        <f t="shared" si="145"/>
        <v>528.51</v>
      </c>
      <c r="Z438" s="4">
        <f t="shared" si="140"/>
        <v>9026.89</v>
      </c>
      <c r="AA438" s="4">
        <f t="shared" si="141"/>
        <v>10922.536899999999</v>
      </c>
    </row>
    <row r="439" spans="1:27" x14ac:dyDescent="0.3">
      <c r="A439" s="135"/>
      <c r="B439" s="125"/>
      <c r="C439" s="3" t="s">
        <v>749</v>
      </c>
      <c r="D439" s="55" t="s">
        <v>576</v>
      </c>
      <c r="E439" s="55" t="s">
        <v>304</v>
      </c>
      <c r="F439" s="55" t="s">
        <v>249</v>
      </c>
      <c r="G439" s="56">
        <v>5</v>
      </c>
      <c r="H439" s="49">
        <v>17</v>
      </c>
      <c r="I439" s="50">
        <f>2+1+1+5+2</f>
        <v>11</v>
      </c>
      <c r="J439" s="77">
        <f>+H439-I439</f>
        <v>6</v>
      </c>
      <c r="K439" s="31">
        <v>53.54</v>
      </c>
      <c r="L439" s="32">
        <v>43222</v>
      </c>
      <c r="M439" s="90">
        <v>0.21</v>
      </c>
      <c r="N439" s="64">
        <f t="shared" si="135"/>
        <v>64.7834</v>
      </c>
      <c r="O439" s="68">
        <f t="shared" si="134"/>
        <v>69.599999999999994</v>
      </c>
      <c r="P439" s="68">
        <f t="shared" si="136"/>
        <v>72.28</v>
      </c>
      <c r="Q439" s="68">
        <f t="shared" si="137"/>
        <v>74.959999999999994</v>
      </c>
      <c r="R439" s="11">
        <f t="shared" si="138"/>
        <v>77.63</v>
      </c>
      <c r="S439" s="11">
        <f t="shared" si="133"/>
        <v>80.31</v>
      </c>
      <c r="T439" s="11">
        <f t="shared" si="139"/>
        <v>85.66</v>
      </c>
      <c r="U439" s="38">
        <f t="shared" si="142"/>
        <v>87.46</v>
      </c>
      <c r="V439" s="38">
        <f t="shared" si="143"/>
        <v>90.7</v>
      </c>
      <c r="W439" s="38">
        <f t="shared" si="144"/>
        <v>93.94</v>
      </c>
      <c r="X439" s="38">
        <f t="shared" si="145"/>
        <v>97.18</v>
      </c>
      <c r="Z439" s="4">
        <f t="shared" si="140"/>
        <v>321.24</v>
      </c>
      <c r="AA439" s="4">
        <f t="shared" si="141"/>
        <v>388.7004</v>
      </c>
    </row>
    <row r="440" spans="1:27" x14ac:dyDescent="0.3">
      <c r="A440" s="135"/>
      <c r="B440" s="125"/>
      <c r="C440" s="3" t="s">
        <v>24</v>
      </c>
      <c r="D440" s="55" t="s">
        <v>1179</v>
      </c>
      <c r="E440" s="55" t="s">
        <v>70</v>
      </c>
      <c r="F440" s="55" t="s">
        <v>229</v>
      </c>
      <c r="G440" s="56">
        <v>5</v>
      </c>
      <c r="H440" s="49">
        <f>9+3+2</f>
        <v>14</v>
      </c>
      <c r="I440" s="50">
        <f>2+4+2+2+2+1+1</f>
        <v>14</v>
      </c>
      <c r="J440" s="77">
        <f>+H440-I440</f>
        <v>0</v>
      </c>
      <c r="K440" s="31">
        <v>143.53</v>
      </c>
      <c r="L440" s="32">
        <v>44076</v>
      </c>
      <c r="M440" s="90">
        <v>0.21</v>
      </c>
      <c r="N440" s="64">
        <f t="shared" si="135"/>
        <v>173.6713</v>
      </c>
      <c r="O440" s="68">
        <f t="shared" si="134"/>
        <v>186.59</v>
      </c>
      <c r="P440" s="68">
        <f t="shared" si="136"/>
        <v>193.77</v>
      </c>
      <c r="Q440" s="68">
        <f t="shared" si="137"/>
        <v>200.94</v>
      </c>
      <c r="R440" s="11">
        <f t="shared" si="138"/>
        <v>208.12</v>
      </c>
      <c r="S440" s="11">
        <f t="shared" si="133"/>
        <v>215.29500000000002</v>
      </c>
      <c r="T440" s="11">
        <f t="shared" si="139"/>
        <v>229.65</v>
      </c>
      <c r="U440" s="38">
        <f t="shared" si="142"/>
        <v>234.46</v>
      </c>
      <c r="V440" s="38">
        <f t="shared" si="143"/>
        <v>243.14</v>
      </c>
      <c r="W440" s="38">
        <f t="shared" si="144"/>
        <v>251.82</v>
      </c>
      <c r="X440" s="38">
        <f t="shared" si="145"/>
        <v>260.51</v>
      </c>
      <c r="Z440" s="4">
        <f t="shared" si="140"/>
        <v>0</v>
      </c>
      <c r="AA440" s="4">
        <f t="shared" si="141"/>
        <v>0</v>
      </c>
    </row>
    <row r="441" spans="1:27" ht="15.75" customHeight="1" x14ac:dyDescent="0.3">
      <c r="A441" s="135"/>
      <c r="B441" s="125"/>
      <c r="C441" s="3" t="s">
        <v>305</v>
      </c>
      <c r="D441" s="55" t="s">
        <v>633</v>
      </c>
      <c r="E441" s="55" t="s">
        <v>70</v>
      </c>
      <c r="F441" s="55" t="s">
        <v>229</v>
      </c>
      <c r="G441" s="56">
        <v>5</v>
      </c>
      <c r="H441" s="49">
        <v>0</v>
      </c>
      <c r="I441" s="50">
        <f>0</f>
        <v>0</v>
      </c>
      <c r="J441" s="77">
        <f>+H441-I441</f>
        <v>0</v>
      </c>
      <c r="K441" s="31">
        <v>143.53</v>
      </c>
      <c r="L441" s="32">
        <v>44076</v>
      </c>
      <c r="M441" s="90">
        <v>0.21</v>
      </c>
      <c r="N441" s="64">
        <f t="shared" si="135"/>
        <v>173.6713</v>
      </c>
      <c r="O441" s="68">
        <f t="shared" si="134"/>
        <v>186.59</v>
      </c>
      <c r="P441" s="68">
        <f t="shared" si="136"/>
        <v>193.77</v>
      </c>
      <c r="Q441" s="68">
        <f t="shared" si="137"/>
        <v>200.94</v>
      </c>
      <c r="R441" s="11">
        <f t="shared" si="138"/>
        <v>208.12</v>
      </c>
      <c r="S441" s="11">
        <f t="shared" si="133"/>
        <v>215.29500000000002</v>
      </c>
      <c r="T441" s="11">
        <f t="shared" si="139"/>
        <v>229.65</v>
      </c>
      <c r="U441" s="38">
        <f t="shared" si="142"/>
        <v>234.46</v>
      </c>
      <c r="V441" s="38">
        <f t="shared" si="143"/>
        <v>243.14</v>
      </c>
      <c r="W441" s="38">
        <f t="shared" si="144"/>
        <v>251.82</v>
      </c>
      <c r="X441" s="38">
        <f t="shared" si="145"/>
        <v>260.51</v>
      </c>
      <c r="Z441" s="4">
        <f t="shared" si="140"/>
        <v>0</v>
      </c>
      <c r="AA441" s="4">
        <f t="shared" si="141"/>
        <v>0</v>
      </c>
    </row>
    <row r="442" spans="1:27" ht="15.75" customHeight="1" x14ac:dyDescent="0.3">
      <c r="A442" s="135"/>
      <c r="B442" s="125"/>
      <c r="C442" s="3" t="s">
        <v>25</v>
      </c>
      <c r="D442" s="55" t="s">
        <v>972</v>
      </c>
      <c r="E442" s="55" t="s">
        <v>70</v>
      </c>
      <c r="F442" s="55" t="s">
        <v>229</v>
      </c>
      <c r="G442" s="56">
        <v>5</v>
      </c>
      <c r="H442" s="49">
        <f>16+4+2</f>
        <v>22</v>
      </c>
      <c r="I442" s="69">
        <f>2+2+1+2</f>
        <v>7</v>
      </c>
      <c r="J442" s="77">
        <f>+H442-I442</f>
        <v>15</v>
      </c>
      <c r="K442" s="31">
        <v>143.53</v>
      </c>
      <c r="L442" s="32">
        <v>44076</v>
      </c>
      <c r="M442" s="90">
        <v>0.21</v>
      </c>
      <c r="N442" s="64">
        <f t="shared" si="135"/>
        <v>173.6713</v>
      </c>
      <c r="O442" s="68">
        <f t="shared" si="134"/>
        <v>186.59</v>
      </c>
      <c r="P442" s="68">
        <f t="shared" si="136"/>
        <v>193.77</v>
      </c>
      <c r="Q442" s="68">
        <f t="shared" si="137"/>
        <v>200.94</v>
      </c>
      <c r="R442" s="11">
        <f t="shared" si="138"/>
        <v>208.12</v>
      </c>
      <c r="S442" s="11">
        <f t="shared" si="133"/>
        <v>215.29500000000002</v>
      </c>
      <c r="T442" s="11">
        <f t="shared" si="139"/>
        <v>229.65</v>
      </c>
      <c r="U442" s="38">
        <f t="shared" si="142"/>
        <v>234.46</v>
      </c>
      <c r="V442" s="38">
        <f t="shared" si="143"/>
        <v>243.14</v>
      </c>
      <c r="W442" s="38">
        <f t="shared" si="144"/>
        <v>251.82</v>
      </c>
      <c r="X442" s="38">
        <f t="shared" si="145"/>
        <v>260.51</v>
      </c>
      <c r="Z442" s="4">
        <f t="shared" si="140"/>
        <v>2152.9499999999998</v>
      </c>
      <c r="AA442" s="4">
        <f t="shared" si="141"/>
        <v>2605.0695000000001</v>
      </c>
    </row>
    <row r="443" spans="1:27" x14ac:dyDescent="0.3">
      <c r="A443" s="135"/>
      <c r="B443" s="125"/>
      <c r="C443" s="3" t="s">
        <v>26</v>
      </c>
      <c r="D443" s="55" t="s">
        <v>634</v>
      </c>
      <c r="E443" s="55" t="s">
        <v>70</v>
      </c>
      <c r="F443" s="55" t="s">
        <v>432</v>
      </c>
      <c r="G443" s="56">
        <v>5</v>
      </c>
      <c r="H443" s="49">
        <f>12+5+5</f>
        <v>22</v>
      </c>
      <c r="I443" s="50">
        <f>5+1+1+1+3+1+5+2</f>
        <v>19</v>
      </c>
      <c r="J443" s="77">
        <f>+H443-I443</f>
        <v>3</v>
      </c>
      <c r="K443" s="31">
        <v>143.53</v>
      </c>
      <c r="L443" s="32">
        <v>44076</v>
      </c>
      <c r="M443" s="33">
        <v>0.21</v>
      </c>
      <c r="N443" s="64">
        <f t="shared" si="135"/>
        <v>173.6713</v>
      </c>
      <c r="O443" s="68">
        <f t="shared" si="134"/>
        <v>186.59</v>
      </c>
      <c r="P443" s="68">
        <f t="shared" si="136"/>
        <v>193.77</v>
      </c>
      <c r="Q443" s="68">
        <f t="shared" si="137"/>
        <v>200.94</v>
      </c>
      <c r="R443" s="11">
        <f t="shared" si="138"/>
        <v>208.12</v>
      </c>
      <c r="S443" s="11">
        <f t="shared" si="133"/>
        <v>215.29500000000002</v>
      </c>
      <c r="T443" s="11">
        <f t="shared" si="139"/>
        <v>229.65</v>
      </c>
      <c r="U443" s="38">
        <f t="shared" si="142"/>
        <v>234.46</v>
      </c>
      <c r="V443" s="38">
        <f t="shared" si="143"/>
        <v>243.14</v>
      </c>
      <c r="W443" s="38">
        <f t="shared" si="144"/>
        <v>251.82</v>
      </c>
      <c r="X443" s="38">
        <f t="shared" si="145"/>
        <v>260.51</v>
      </c>
      <c r="Z443" s="4">
        <f t="shared" si="140"/>
        <v>430.59000000000003</v>
      </c>
      <c r="AA443" s="4">
        <f t="shared" si="141"/>
        <v>521.01390000000004</v>
      </c>
    </row>
    <row r="444" spans="1:27" x14ac:dyDescent="0.3">
      <c r="A444" s="135"/>
      <c r="B444" s="125"/>
      <c r="C444" s="3" t="s">
        <v>27</v>
      </c>
      <c r="D444" s="55" t="s">
        <v>635</v>
      </c>
      <c r="E444" s="55" t="s">
        <v>70</v>
      </c>
      <c r="F444" s="55" t="s">
        <v>229</v>
      </c>
      <c r="G444" s="56">
        <v>5</v>
      </c>
      <c r="H444" s="49">
        <f>10+5+3+4</f>
        <v>22</v>
      </c>
      <c r="I444" s="50">
        <f>4+2+2+4+5+5</f>
        <v>22</v>
      </c>
      <c r="J444" s="77">
        <f>+H444-I444</f>
        <v>0</v>
      </c>
      <c r="K444" s="31">
        <v>143.53</v>
      </c>
      <c r="L444" s="32">
        <v>44076</v>
      </c>
      <c r="M444" s="33">
        <v>0.21</v>
      </c>
      <c r="N444" s="64">
        <f t="shared" si="135"/>
        <v>173.6713</v>
      </c>
      <c r="O444" s="68">
        <f t="shared" si="134"/>
        <v>186.59</v>
      </c>
      <c r="P444" s="68">
        <f t="shared" si="136"/>
        <v>193.77</v>
      </c>
      <c r="Q444" s="68">
        <f t="shared" si="137"/>
        <v>200.94</v>
      </c>
      <c r="R444" s="11">
        <f t="shared" si="138"/>
        <v>208.12</v>
      </c>
      <c r="S444" s="11">
        <f t="shared" si="133"/>
        <v>215.29500000000002</v>
      </c>
      <c r="T444" s="11">
        <f t="shared" si="139"/>
        <v>229.65</v>
      </c>
      <c r="U444" s="38">
        <f t="shared" si="142"/>
        <v>234.46</v>
      </c>
      <c r="V444" s="38">
        <f t="shared" si="143"/>
        <v>243.14</v>
      </c>
      <c r="W444" s="38">
        <f t="shared" si="144"/>
        <v>251.82</v>
      </c>
      <c r="X444" s="38">
        <f t="shared" si="145"/>
        <v>260.51</v>
      </c>
      <c r="Z444" s="4">
        <f t="shared" si="140"/>
        <v>0</v>
      </c>
      <c r="AA444" s="4">
        <f t="shared" si="141"/>
        <v>0</v>
      </c>
    </row>
    <row r="445" spans="1:27" x14ac:dyDescent="0.3">
      <c r="A445" s="135"/>
      <c r="B445" s="125"/>
      <c r="C445" s="3" t="s">
        <v>28</v>
      </c>
      <c r="D445" s="55" t="s">
        <v>636</v>
      </c>
      <c r="E445" s="55" t="s">
        <v>70</v>
      </c>
      <c r="F445" s="55" t="s">
        <v>229</v>
      </c>
      <c r="G445" s="56">
        <v>5</v>
      </c>
      <c r="H445" s="49">
        <v>0</v>
      </c>
      <c r="I445" s="50">
        <f>0</f>
        <v>0</v>
      </c>
      <c r="J445" s="77">
        <f>+H445-I445</f>
        <v>0</v>
      </c>
      <c r="K445" s="31">
        <v>143.53</v>
      </c>
      <c r="L445" s="32">
        <v>44076</v>
      </c>
      <c r="M445" s="33">
        <v>0.21</v>
      </c>
      <c r="N445" s="64">
        <f t="shared" si="135"/>
        <v>173.6713</v>
      </c>
      <c r="O445" s="68">
        <f t="shared" si="134"/>
        <v>186.59</v>
      </c>
      <c r="P445" s="68">
        <f t="shared" si="136"/>
        <v>193.77</v>
      </c>
      <c r="Q445" s="68">
        <f t="shared" si="137"/>
        <v>200.94</v>
      </c>
      <c r="R445" s="11">
        <f t="shared" si="138"/>
        <v>208.12</v>
      </c>
      <c r="S445" s="11">
        <f t="shared" si="133"/>
        <v>215.29500000000002</v>
      </c>
      <c r="T445" s="11">
        <f t="shared" si="139"/>
        <v>229.65</v>
      </c>
      <c r="U445" s="38">
        <f t="shared" si="142"/>
        <v>234.46</v>
      </c>
      <c r="V445" s="38">
        <f t="shared" si="143"/>
        <v>243.14</v>
      </c>
      <c r="W445" s="38">
        <f t="shared" si="144"/>
        <v>251.82</v>
      </c>
      <c r="X445" s="38">
        <f t="shared" si="145"/>
        <v>260.51</v>
      </c>
      <c r="Z445" s="4">
        <f t="shared" si="140"/>
        <v>0</v>
      </c>
      <c r="AA445" s="4">
        <f t="shared" si="141"/>
        <v>0</v>
      </c>
    </row>
    <row r="446" spans="1:27" x14ac:dyDescent="0.3">
      <c r="A446" s="135"/>
      <c r="C446" s="3" t="s">
        <v>1277</v>
      </c>
      <c r="D446" s="55" t="s">
        <v>1432</v>
      </c>
      <c r="E446" s="55" t="s">
        <v>362</v>
      </c>
      <c r="F446" s="55" t="s">
        <v>222</v>
      </c>
      <c r="G446" s="56">
        <v>20</v>
      </c>
      <c r="H446" s="49">
        <f>118+4+45+30+20</f>
        <v>217</v>
      </c>
      <c r="I446" s="50">
        <f>30+10+1+1+1+1+10+50+4+59+10</f>
        <v>177</v>
      </c>
      <c r="J446" s="77">
        <f>+H446-I446</f>
        <v>40</v>
      </c>
      <c r="K446" s="31">
        <v>114.05</v>
      </c>
      <c r="L446" s="32">
        <v>44236</v>
      </c>
      <c r="M446" s="33">
        <v>0.21</v>
      </c>
      <c r="N446" s="64">
        <f t="shared" si="135"/>
        <v>138.00049999999999</v>
      </c>
      <c r="O446" s="68">
        <f t="shared" si="134"/>
        <v>148.27000000000001</v>
      </c>
      <c r="P446" s="68">
        <f t="shared" si="136"/>
        <v>153.97</v>
      </c>
      <c r="Q446" s="68">
        <f t="shared" si="137"/>
        <v>159.66999999999999</v>
      </c>
      <c r="R446" s="11">
        <f t="shared" si="138"/>
        <v>165.37</v>
      </c>
      <c r="S446" s="11">
        <f t="shared" si="133"/>
        <v>171.07499999999999</v>
      </c>
      <c r="T446" s="11">
        <f t="shared" si="139"/>
        <v>182.48</v>
      </c>
      <c r="U446" s="38">
        <f t="shared" si="142"/>
        <v>186.3</v>
      </c>
      <c r="V446" s="38">
        <f t="shared" si="143"/>
        <v>193.2</v>
      </c>
      <c r="W446" s="38">
        <f t="shared" si="144"/>
        <v>200.1</v>
      </c>
      <c r="X446" s="38">
        <f t="shared" si="145"/>
        <v>207</v>
      </c>
      <c r="Z446" s="4">
        <f t="shared" si="140"/>
        <v>4562</v>
      </c>
      <c r="AA446" s="4">
        <f t="shared" si="141"/>
        <v>5520.0199999999995</v>
      </c>
    </row>
    <row r="447" spans="1:27" x14ac:dyDescent="0.3">
      <c r="A447" s="135"/>
      <c r="C447" s="3" t="s">
        <v>1278</v>
      </c>
      <c r="D447" s="55" t="s">
        <v>1234</v>
      </c>
      <c r="E447" s="55" t="s">
        <v>362</v>
      </c>
      <c r="F447" s="55" t="s">
        <v>222</v>
      </c>
      <c r="G447" s="56">
        <v>23</v>
      </c>
      <c r="H447" s="49">
        <v>370</v>
      </c>
      <c r="I447" s="69">
        <f>1+30+50+5+50+10+1+50+20+1+10+40+72+27</f>
        <v>367</v>
      </c>
      <c r="J447" s="77">
        <f>+H447-I447</f>
        <v>3</v>
      </c>
      <c r="K447" s="31">
        <v>114.05</v>
      </c>
      <c r="L447" s="32">
        <v>44236</v>
      </c>
      <c r="M447" s="33">
        <v>0.21</v>
      </c>
      <c r="N447" s="64">
        <f t="shared" si="135"/>
        <v>138.00049999999999</v>
      </c>
      <c r="O447" s="68">
        <f t="shared" si="134"/>
        <v>148.27000000000001</v>
      </c>
      <c r="P447" s="68">
        <f t="shared" si="136"/>
        <v>153.97</v>
      </c>
      <c r="Q447" s="68">
        <f t="shared" si="137"/>
        <v>159.66999999999999</v>
      </c>
      <c r="R447" s="11">
        <f t="shared" si="138"/>
        <v>165.37</v>
      </c>
      <c r="S447" s="11">
        <f t="shared" si="133"/>
        <v>171.07499999999999</v>
      </c>
      <c r="T447" s="11">
        <f t="shared" si="139"/>
        <v>182.48</v>
      </c>
      <c r="U447" s="38">
        <f t="shared" si="142"/>
        <v>186.3</v>
      </c>
      <c r="V447" s="38">
        <f t="shared" si="143"/>
        <v>193.2</v>
      </c>
      <c r="W447" s="38">
        <f t="shared" si="144"/>
        <v>200.1</v>
      </c>
      <c r="X447" s="38">
        <f t="shared" si="145"/>
        <v>207</v>
      </c>
      <c r="Z447" s="4">
        <f t="shared" si="140"/>
        <v>342.15</v>
      </c>
      <c r="AA447" s="4">
        <f t="shared" si="141"/>
        <v>414.00149999999996</v>
      </c>
    </row>
    <row r="448" spans="1:27" x14ac:dyDescent="0.3">
      <c r="A448" s="135"/>
      <c r="C448" s="3" t="s">
        <v>1554</v>
      </c>
      <c r="D448" s="55"/>
      <c r="E448" s="55"/>
      <c r="F448" s="55" t="s">
        <v>222</v>
      </c>
      <c r="G448" s="56">
        <v>0</v>
      </c>
      <c r="H448" s="49">
        <f>5</f>
        <v>5</v>
      </c>
      <c r="I448" s="69">
        <f>4</f>
        <v>4</v>
      </c>
      <c r="J448" s="77">
        <f>+H448-I448</f>
        <v>1</v>
      </c>
      <c r="K448" s="31">
        <v>674.31</v>
      </c>
      <c r="L448" s="32">
        <v>44155</v>
      </c>
      <c r="M448" s="33">
        <v>0.21</v>
      </c>
      <c r="N448" s="64"/>
      <c r="O448" s="68">
        <f t="shared" si="134"/>
        <v>876.6</v>
      </c>
      <c r="P448" s="68">
        <f t="shared" si="136"/>
        <v>910.32</v>
      </c>
      <c r="Q448" s="68">
        <f t="shared" si="137"/>
        <v>944.03</v>
      </c>
      <c r="R448" s="11">
        <f t="shared" si="138"/>
        <v>977.75</v>
      </c>
      <c r="S448" s="11">
        <f t="shared" si="133"/>
        <v>1011.4649999999999</v>
      </c>
      <c r="T448" s="11">
        <f t="shared" si="139"/>
        <v>1078.9000000000001</v>
      </c>
      <c r="U448" s="38"/>
      <c r="V448" s="38"/>
      <c r="W448" s="38"/>
      <c r="X448" s="38"/>
      <c r="Z448" s="4">
        <f t="shared" si="140"/>
        <v>674.31</v>
      </c>
      <c r="AA448" s="4"/>
    </row>
    <row r="449" spans="1:27" x14ac:dyDescent="0.3">
      <c r="A449" s="135"/>
      <c r="B449" s="125"/>
      <c r="C449" s="3" t="s">
        <v>911</v>
      </c>
      <c r="D449" s="55" t="s">
        <v>57</v>
      </c>
      <c r="E449" s="55" t="s">
        <v>53</v>
      </c>
      <c r="F449" s="55" t="s">
        <v>54</v>
      </c>
      <c r="G449" s="56">
        <v>1</v>
      </c>
      <c r="H449" s="49">
        <f>6+5+1+1</f>
        <v>13</v>
      </c>
      <c r="I449" s="50">
        <f>1+1+1+1+1+1+1+1+1+1+1</f>
        <v>11</v>
      </c>
      <c r="J449" s="77">
        <f>+H449-I449</f>
        <v>2</v>
      </c>
      <c r="K449" s="31">
        <v>2870</v>
      </c>
      <c r="L449" s="32">
        <v>43984</v>
      </c>
      <c r="M449" s="33">
        <v>0.21</v>
      </c>
      <c r="N449" s="64">
        <f t="shared" si="135"/>
        <v>3472.7</v>
      </c>
      <c r="O449" s="68">
        <f t="shared" si="134"/>
        <v>3731</v>
      </c>
      <c r="P449" s="68">
        <f t="shared" si="136"/>
        <v>3874.5</v>
      </c>
      <c r="Q449" s="68">
        <f t="shared" si="137"/>
        <v>4018</v>
      </c>
      <c r="R449" s="11">
        <f t="shared" si="138"/>
        <v>4161.5</v>
      </c>
      <c r="S449" s="11">
        <f t="shared" si="133"/>
        <v>4305</v>
      </c>
      <c r="T449" s="11">
        <f t="shared" si="139"/>
        <v>4592</v>
      </c>
      <c r="U449" s="38">
        <f t="shared" si="142"/>
        <v>4688.1499999999996</v>
      </c>
      <c r="V449" s="38">
        <f t="shared" si="143"/>
        <v>4861.78</v>
      </c>
      <c r="W449" s="38">
        <f t="shared" si="144"/>
        <v>5035.42</v>
      </c>
      <c r="X449" s="38">
        <f t="shared" si="145"/>
        <v>5209.05</v>
      </c>
      <c r="Z449" s="4">
        <f t="shared" si="140"/>
        <v>5740</v>
      </c>
      <c r="AA449" s="4">
        <f t="shared" si="141"/>
        <v>6945.4</v>
      </c>
    </row>
    <row r="450" spans="1:27" x14ac:dyDescent="0.3">
      <c r="A450" s="135"/>
      <c r="B450" s="125"/>
      <c r="C450" s="3" t="s">
        <v>55</v>
      </c>
      <c r="D450" s="55" t="s">
        <v>56</v>
      </c>
      <c r="E450" s="55" t="s">
        <v>53</v>
      </c>
      <c r="F450" s="55" t="s">
        <v>54</v>
      </c>
      <c r="G450" s="56">
        <v>1</v>
      </c>
      <c r="H450" s="49">
        <v>5</v>
      </c>
      <c r="I450" s="50">
        <f>0+2</f>
        <v>2</v>
      </c>
      <c r="J450" s="77">
        <f>+H450-I450</f>
        <v>3</v>
      </c>
      <c r="K450" s="31">
        <v>2870</v>
      </c>
      <c r="L450" s="32">
        <v>43984</v>
      </c>
      <c r="M450" s="33">
        <v>0.21</v>
      </c>
      <c r="N450" s="64">
        <f t="shared" si="135"/>
        <v>3472.7</v>
      </c>
      <c r="O450" s="68">
        <f t="shared" si="134"/>
        <v>3731</v>
      </c>
      <c r="P450" s="68">
        <f t="shared" si="136"/>
        <v>3874.5</v>
      </c>
      <c r="Q450" s="68">
        <f t="shared" si="137"/>
        <v>4018</v>
      </c>
      <c r="R450" s="11">
        <f t="shared" si="138"/>
        <v>4161.5</v>
      </c>
      <c r="S450" s="11">
        <f t="shared" si="133"/>
        <v>4305</v>
      </c>
      <c r="T450" s="11">
        <f t="shared" si="139"/>
        <v>4592</v>
      </c>
      <c r="U450" s="38">
        <f t="shared" si="142"/>
        <v>4688.1499999999996</v>
      </c>
      <c r="V450" s="38">
        <f t="shared" si="143"/>
        <v>4861.78</v>
      </c>
      <c r="W450" s="38">
        <f t="shared" si="144"/>
        <v>5035.42</v>
      </c>
      <c r="X450" s="38">
        <f t="shared" si="145"/>
        <v>5209.05</v>
      </c>
      <c r="Z450" s="4">
        <f t="shared" si="140"/>
        <v>8610</v>
      </c>
      <c r="AA450" s="4">
        <f t="shared" si="141"/>
        <v>10418.099999999999</v>
      </c>
    </row>
    <row r="451" spans="1:27" x14ac:dyDescent="0.3">
      <c r="C451" s="3" t="s">
        <v>1008</v>
      </c>
      <c r="D451" s="55"/>
      <c r="E451" s="55" t="s">
        <v>561</v>
      </c>
      <c r="F451" s="55" t="s">
        <v>229</v>
      </c>
      <c r="G451" s="56">
        <v>0</v>
      </c>
      <c r="H451" s="49">
        <f>2+1</f>
        <v>3</v>
      </c>
      <c r="I451" s="50">
        <f>2</f>
        <v>2</v>
      </c>
      <c r="J451" s="77">
        <f>+H451-I451</f>
        <v>1</v>
      </c>
      <c r="K451" s="31">
        <v>3075</v>
      </c>
      <c r="L451" s="32">
        <v>44054</v>
      </c>
      <c r="M451" s="33">
        <v>0.21</v>
      </c>
      <c r="N451" s="64">
        <f t="shared" si="135"/>
        <v>3720.75</v>
      </c>
      <c r="O451" s="68">
        <f t="shared" si="134"/>
        <v>3997.5</v>
      </c>
      <c r="P451" s="68">
        <f t="shared" si="136"/>
        <v>4151.25</v>
      </c>
      <c r="Q451" s="68">
        <f t="shared" si="137"/>
        <v>4305</v>
      </c>
      <c r="R451" s="11">
        <f t="shared" si="138"/>
        <v>4458.75</v>
      </c>
      <c r="S451" s="11">
        <f t="shared" ref="S451:S528" si="146">K451*(1+$S$3)</f>
        <v>4612.5</v>
      </c>
      <c r="T451" s="11">
        <f t="shared" si="139"/>
        <v>4920</v>
      </c>
      <c r="U451" s="38">
        <f t="shared" si="142"/>
        <v>5023.01</v>
      </c>
      <c r="V451" s="38">
        <f t="shared" si="143"/>
        <v>5209.05</v>
      </c>
      <c r="W451" s="38">
        <f t="shared" si="144"/>
        <v>5395.09</v>
      </c>
      <c r="X451" s="38">
        <f t="shared" si="145"/>
        <v>5581.13</v>
      </c>
      <c r="Z451" s="4">
        <f t="shared" si="140"/>
        <v>3075</v>
      </c>
      <c r="AA451" s="4">
        <f t="shared" si="141"/>
        <v>3720.75</v>
      </c>
    </row>
    <row r="452" spans="1:27" x14ac:dyDescent="0.3">
      <c r="C452" s="3" t="s">
        <v>1009</v>
      </c>
      <c r="D452" s="55"/>
      <c r="E452" s="55" t="s">
        <v>695</v>
      </c>
      <c r="F452" s="55" t="s">
        <v>229</v>
      </c>
      <c r="G452" s="56">
        <v>0</v>
      </c>
      <c r="H452" s="49">
        <f>2+1+1</f>
        <v>4</v>
      </c>
      <c r="I452" s="50">
        <f>1+2+1</f>
        <v>4</v>
      </c>
      <c r="J452" s="77">
        <f>+H452-I452</f>
        <v>0</v>
      </c>
      <c r="K452" s="31">
        <v>3075</v>
      </c>
      <c r="L452" s="32">
        <v>44054</v>
      </c>
      <c r="M452" s="33">
        <v>0.21</v>
      </c>
      <c r="N452" s="64">
        <f t="shared" si="135"/>
        <v>3720.75</v>
      </c>
      <c r="O452" s="68">
        <f t="shared" si="134"/>
        <v>3997.5</v>
      </c>
      <c r="P452" s="68">
        <f t="shared" si="136"/>
        <v>4151.25</v>
      </c>
      <c r="Q452" s="68">
        <f t="shared" si="137"/>
        <v>4305</v>
      </c>
      <c r="R452" s="11">
        <f t="shared" si="138"/>
        <v>4458.75</v>
      </c>
      <c r="S452" s="11">
        <f t="shared" si="146"/>
        <v>4612.5</v>
      </c>
      <c r="T452" s="11">
        <f t="shared" si="139"/>
        <v>4920</v>
      </c>
      <c r="U452" s="38">
        <f t="shared" si="142"/>
        <v>5023.01</v>
      </c>
      <c r="V452" s="38">
        <f t="shared" si="143"/>
        <v>5209.05</v>
      </c>
      <c r="W452" s="38">
        <f t="shared" si="144"/>
        <v>5395.09</v>
      </c>
      <c r="X452" s="38">
        <f t="shared" si="145"/>
        <v>5581.13</v>
      </c>
      <c r="Z452" s="4">
        <f t="shared" si="140"/>
        <v>0</v>
      </c>
      <c r="AA452" s="4">
        <f t="shared" si="141"/>
        <v>0</v>
      </c>
    </row>
    <row r="453" spans="1:27" x14ac:dyDescent="0.3">
      <c r="A453" s="135"/>
      <c r="C453" s="3" t="s">
        <v>1008</v>
      </c>
      <c r="D453" s="55"/>
      <c r="E453" s="55" t="s">
        <v>443</v>
      </c>
      <c r="F453" s="55" t="s">
        <v>925</v>
      </c>
      <c r="G453" s="56">
        <v>2</v>
      </c>
      <c r="H453" s="49">
        <f>8+3+1</f>
        <v>12</v>
      </c>
      <c r="I453" s="50">
        <f>1+1+1+2+3+1+1</f>
        <v>10</v>
      </c>
      <c r="J453" s="77">
        <f>+H453-I453</f>
        <v>2</v>
      </c>
      <c r="K453" s="31">
        <v>3485</v>
      </c>
      <c r="L453" s="32">
        <v>44137</v>
      </c>
      <c r="M453" s="33">
        <v>0.21</v>
      </c>
      <c r="N453" s="64">
        <f t="shared" si="135"/>
        <v>4216.8499999999995</v>
      </c>
      <c r="O453" s="68">
        <f t="shared" si="134"/>
        <v>4530.5</v>
      </c>
      <c r="P453" s="68">
        <f t="shared" si="136"/>
        <v>4704.75</v>
      </c>
      <c r="Q453" s="68">
        <f t="shared" si="137"/>
        <v>4879</v>
      </c>
      <c r="R453" s="11">
        <f t="shared" si="138"/>
        <v>5053.25</v>
      </c>
      <c r="S453" s="11">
        <f t="shared" si="146"/>
        <v>5227.5</v>
      </c>
      <c r="T453" s="11">
        <f t="shared" si="139"/>
        <v>5576</v>
      </c>
      <c r="U453" s="38">
        <f t="shared" si="142"/>
        <v>5692.75</v>
      </c>
      <c r="V453" s="38">
        <f t="shared" si="143"/>
        <v>5903.59</v>
      </c>
      <c r="W453" s="38">
        <f t="shared" si="144"/>
        <v>6114.43</v>
      </c>
      <c r="X453" s="38">
        <f t="shared" si="145"/>
        <v>6325.28</v>
      </c>
      <c r="Z453" s="4">
        <f t="shared" si="140"/>
        <v>6970</v>
      </c>
      <c r="AA453" s="4">
        <f t="shared" si="141"/>
        <v>8433.6999999999989</v>
      </c>
    </row>
    <row r="454" spans="1:27" x14ac:dyDescent="0.3">
      <c r="A454" s="135"/>
      <c r="C454" s="3" t="s">
        <v>1009</v>
      </c>
      <c r="D454" s="55"/>
      <c r="E454" s="55" t="s">
        <v>443</v>
      </c>
      <c r="F454" s="55" t="s">
        <v>925</v>
      </c>
      <c r="G454" s="56">
        <v>2</v>
      </c>
      <c r="H454" s="49">
        <v>6</v>
      </c>
      <c r="I454" s="50">
        <f>1+1+1</f>
        <v>3</v>
      </c>
      <c r="J454" s="77">
        <f>+H454-I454</f>
        <v>3</v>
      </c>
      <c r="K454" s="31">
        <v>3485</v>
      </c>
      <c r="L454" s="32">
        <v>44137</v>
      </c>
      <c r="M454" s="33">
        <v>0.21</v>
      </c>
      <c r="N454" s="64">
        <f t="shared" si="135"/>
        <v>4216.8499999999995</v>
      </c>
      <c r="O454" s="68">
        <f t="shared" si="134"/>
        <v>4530.5</v>
      </c>
      <c r="P454" s="68">
        <f t="shared" si="136"/>
        <v>4704.75</v>
      </c>
      <c r="Q454" s="68">
        <f t="shared" si="137"/>
        <v>4879</v>
      </c>
      <c r="R454" s="11">
        <f t="shared" si="138"/>
        <v>5053.25</v>
      </c>
      <c r="S454" s="11">
        <f t="shared" si="146"/>
        <v>5227.5</v>
      </c>
      <c r="T454" s="11">
        <f t="shared" si="139"/>
        <v>5576</v>
      </c>
      <c r="U454" s="38">
        <f t="shared" si="142"/>
        <v>5692.75</v>
      </c>
      <c r="V454" s="38">
        <f t="shared" si="143"/>
        <v>5903.59</v>
      </c>
      <c r="W454" s="38">
        <f t="shared" si="144"/>
        <v>6114.43</v>
      </c>
      <c r="X454" s="38">
        <f t="shared" si="145"/>
        <v>6325.28</v>
      </c>
      <c r="Z454" s="4">
        <f t="shared" si="140"/>
        <v>10455</v>
      </c>
      <c r="AA454" s="4">
        <f t="shared" si="141"/>
        <v>12650.55</v>
      </c>
    </row>
    <row r="455" spans="1:27" x14ac:dyDescent="0.3">
      <c r="A455" s="135"/>
      <c r="C455" s="3" t="s">
        <v>1022</v>
      </c>
      <c r="D455" s="55" t="s">
        <v>1189</v>
      </c>
      <c r="E455" s="55" t="s">
        <v>443</v>
      </c>
      <c r="F455" s="55" t="s">
        <v>925</v>
      </c>
      <c r="G455" s="56">
        <v>2</v>
      </c>
      <c r="H455" s="49">
        <f>3+2+3+2+3+2+3+1+3</f>
        <v>22</v>
      </c>
      <c r="I455" s="50">
        <f>1+1+2+1+3+1+1+6+1+1+1</f>
        <v>19</v>
      </c>
      <c r="J455" s="77">
        <f>+H455-I455</f>
        <v>3</v>
      </c>
      <c r="K455" s="31">
        <v>3485</v>
      </c>
      <c r="L455" s="32">
        <v>44137</v>
      </c>
      <c r="M455" s="33">
        <v>0.21</v>
      </c>
      <c r="N455" s="64">
        <f t="shared" si="135"/>
        <v>4216.8499999999995</v>
      </c>
      <c r="O455" s="68">
        <f t="shared" si="134"/>
        <v>4530.5</v>
      </c>
      <c r="P455" s="68">
        <f t="shared" si="136"/>
        <v>4704.75</v>
      </c>
      <c r="Q455" s="68">
        <f t="shared" si="137"/>
        <v>4879</v>
      </c>
      <c r="R455" s="11">
        <f t="shared" si="138"/>
        <v>5053.25</v>
      </c>
      <c r="S455" s="11">
        <f t="shared" si="146"/>
        <v>5227.5</v>
      </c>
      <c r="T455" s="11">
        <f t="shared" si="139"/>
        <v>5576</v>
      </c>
      <c r="U455" s="38">
        <f t="shared" si="142"/>
        <v>5692.75</v>
      </c>
      <c r="V455" s="38">
        <f t="shared" si="143"/>
        <v>5903.59</v>
      </c>
      <c r="W455" s="38">
        <f t="shared" si="144"/>
        <v>6114.43</v>
      </c>
      <c r="X455" s="38">
        <f t="shared" si="145"/>
        <v>6325.28</v>
      </c>
      <c r="Z455" s="4">
        <f t="shared" si="140"/>
        <v>10455</v>
      </c>
      <c r="AA455" s="4">
        <f t="shared" si="141"/>
        <v>12650.55</v>
      </c>
    </row>
    <row r="456" spans="1:27" x14ac:dyDescent="0.3">
      <c r="A456" s="135"/>
      <c r="C456" s="3" t="s">
        <v>1135</v>
      </c>
      <c r="D456" s="55" t="s">
        <v>1477</v>
      </c>
      <c r="E456" s="55" t="s">
        <v>1158</v>
      </c>
      <c r="F456" s="55" t="s">
        <v>925</v>
      </c>
      <c r="G456" s="56">
        <v>20</v>
      </c>
      <c r="H456" s="49">
        <f>2+2+1+2+1</f>
        <v>8</v>
      </c>
      <c r="I456" s="50">
        <f>0+1+4+1</f>
        <v>6</v>
      </c>
      <c r="J456" s="77">
        <f>+H456-I456</f>
        <v>2</v>
      </c>
      <c r="K456" s="31">
        <v>6960</v>
      </c>
      <c r="L456" s="32">
        <v>44015</v>
      </c>
      <c r="M456" s="33">
        <v>0.21</v>
      </c>
      <c r="N456" s="64">
        <f t="shared" si="135"/>
        <v>8421.6</v>
      </c>
      <c r="O456" s="68">
        <f t="shared" si="134"/>
        <v>9048</v>
      </c>
      <c r="P456" s="68">
        <f t="shared" si="136"/>
        <v>9396</v>
      </c>
      <c r="Q456" s="68">
        <f t="shared" si="137"/>
        <v>9744</v>
      </c>
      <c r="R456" s="11">
        <f t="shared" si="138"/>
        <v>10092</v>
      </c>
      <c r="S456" s="11">
        <f t="shared" si="146"/>
        <v>10440</v>
      </c>
      <c r="T456" s="11">
        <f t="shared" si="139"/>
        <v>11136</v>
      </c>
      <c r="U456" s="38">
        <f t="shared" si="142"/>
        <v>11369.16</v>
      </c>
      <c r="V456" s="38">
        <f t="shared" si="143"/>
        <v>11790.24</v>
      </c>
      <c r="W456" s="38">
        <f t="shared" si="144"/>
        <v>12211.32</v>
      </c>
      <c r="X456" s="38">
        <f t="shared" si="145"/>
        <v>12632.4</v>
      </c>
      <c r="Z456" s="4"/>
      <c r="AA456" s="4">
        <f t="shared" si="141"/>
        <v>16843.2</v>
      </c>
    </row>
    <row r="457" spans="1:27" x14ac:dyDescent="0.3">
      <c r="A457" s="135"/>
      <c r="B457" s="125"/>
      <c r="C457" s="3" t="s">
        <v>1283</v>
      </c>
      <c r="D457" s="55" t="s">
        <v>1231</v>
      </c>
      <c r="E457" s="55" t="s">
        <v>362</v>
      </c>
      <c r="F457" s="55" t="s">
        <v>222</v>
      </c>
      <c r="G457" s="56">
        <v>10</v>
      </c>
      <c r="H457" s="49">
        <f>69+10+20+50+100</f>
        <v>249</v>
      </c>
      <c r="I457" s="50">
        <f>6+30+14+3+13+3+1+20+40+10+9+100</f>
        <v>249</v>
      </c>
      <c r="J457" s="77">
        <f>+H457-I457</f>
        <v>0</v>
      </c>
      <c r="K457" s="31">
        <v>125.45</v>
      </c>
      <c r="L457" s="32">
        <v>44246</v>
      </c>
      <c r="M457" s="33">
        <v>0.21</v>
      </c>
      <c r="N457" s="64">
        <f t="shared" si="135"/>
        <v>151.7945</v>
      </c>
      <c r="O457" s="68">
        <f t="shared" si="134"/>
        <v>163.09</v>
      </c>
      <c r="P457" s="68">
        <f t="shared" si="136"/>
        <v>169.36</v>
      </c>
      <c r="Q457" s="68">
        <f t="shared" si="137"/>
        <v>175.63</v>
      </c>
      <c r="R457" s="11">
        <f t="shared" si="138"/>
        <v>181.9</v>
      </c>
      <c r="S457" s="11">
        <f t="shared" si="146"/>
        <v>188.17500000000001</v>
      </c>
      <c r="T457" s="11">
        <f t="shared" si="139"/>
        <v>200.72</v>
      </c>
      <c r="U457" s="38">
        <f t="shared" si="142"/>
        <v>204.92</v>
      </c>
      <c r="V457" s="38">
        <f t="shared" si="143"/>
        <v>212.51</v>
      </c>
      <c r="W457" s="38">
        <f t="shared" si="144"/>
        <v>220.1</v>
      </c>
      <c r="X457" s="38">
        <f t="shared" si="145"/>
        <v>227.69</v>
      </c>
      <c r="Z457" s="4">
        <f t="shared" si="140"/>
        <v>0</v>
      </c>
      <c r="AA457" s="4">
        <f t="shared" si="141"/>
        <v>0</v>
      </c>
    </row>
    <row r="458" spans="1:27" x14ac:dyDescent="0.3">
      <c r="A458" s="135"/>
      <c r="C458" s="3" t="s">
        <v>120</v>
      </c>
      <c r="D458" s="55" t="s">
        <v>1273</v>
      </c>
      <c r="E458" s="55" t="s">
        <v>1258</v>
      </c>
      <c r="F458" s="55" t="s">
        <v>153</v>
      </c>
      <c r="G458" s="56">
        <v>50</v>
      </c>
      <c r="H458" s="49">
        <f>6+50+50+50+50+20</f>
        <v>226</v>
      </c>
      <c r="I458" s="50">
        <f>6+20+30+5+20+1+1+23+1+2+5+42+30+5+10+10+15</f>
        <v>226</v>
      </c>
      <c r="J458" s="77">
        <f>+H458-I458</f>
        <v>0</v>
      </c>
      <c r="K458" s="31">
        <v>144.72</v>
      </c>
      <c r="L458" s="32">
        <v>44223</v>
      </c>
      <c r="M458" s="33">
        <v>0.21</v>
      </c>
      <c r="N458" s="64">
        <f t="shared" si="135"/>
        <v>175.1112</v>
      </c>
      <c r="O458" s="68">
        <f t="shared" si="134"/>
        <v>188.14</v>
      </c>
      <c r="P458" s="68">
        <f t="shared" si="136"/>
        <v>195.37</v>
      </c>
      <c r="Q458" s="68">
        <f t="shared" si="137"/>
        <v>202.61</v>
      </c>
      <c r="R458" s="11">
        <f t="shared" si="138"/>
        <v>209.84</v>
      </c>
      <c r="S458" s="11">
        <f t="shared" si="146"/>
        <v>217.07999999999998</v>
      </c>
      <c r="T458" s="11">
        <f t="shared" si="139"/>
        <v>231.55</v>
      </c>
      <c r="U458" s="38">
        <f t="shared" si="142"/>
        <v>236.4</v>
      </c>
      <c r="V458" s="38">
        <f t="shared" si="143"/>
        <v>245.16</v>
      </c>
      <c r="W458" s="38">
        <f t="shared" si="144"/>
        <v>253.91</v>
      </c>
      <c r="X458" s="38">
        <f t="shared" si="145"/>
        <v>262.67</v>
      </c>
      <c r="Z458" s="4">
        <f t="shared" si="140"/>
        <v>0</v>
      </c>
      <c r="AA458" s="4">
        <f t="shared" si="141"/>
        <v>0</v>
      </c>
    </row>
    <row r="459" spans="1:27" x14ac:dyDescent="0.3">
      <c r="A459" s="135"/>
      <c r="B459" s="125"/>
      <c r="C459" s="3" t="s">
        <v>121</v>
      </c>
      <c r="D459" s="55" t="s">
        <v>913</v>
      </c>
      <c r="E459" s="55" t="s">
        <v>362</v>
      </c>
      <c r="F459" s="55" t="s">
        <v>830</v>
      </c>
      <c r="G459" s="56">
        <v>50</v>
      </c>
      <c r="H459" s="49">
        <f>100+50</f>
        <v>150</v>
      </c>
      <c r="I459" s="50">
        <f>30+20+5+30+10+3+2</f>
        <v>100</v>
      </c>
      <c r="J459" s="77">
        <f>+H459-I459</f>
        <v>50</v>
      </c>
      <c r="K459" s="31">
        <v>117.77</v>
      </c>
      <c r="L459" s="32">
        <v>44056</v>
      </c>
      <c r="M459" s="33">
        <v>0.21</v>
      </c>
      <c r="N459" s="64">
        <f t="shared" si="135"/>
        <v>142.5017</v>
      </c>
      <c r="O459" s="68">
        <f t="shared" ref="O459:O530" si="147">ROUND(K459*(1+$O$3),2)</f>
        <v>153.1</v>
      </c>
      <c r="P459" s="68">
        <f t="shared" si="136"/>
        <v>158.99</v>
      </c>
      <c r="Q459" s="68">
        <f t="shared" si="137"/>
        <v>164.88</v>
      </c>
      <c r="R459" s="11">
        <f t="shared" si="138"/>
        <v>170.77</v>
      </c>
      <c r="S459" s="11">
        <f t="shared" si="146"/>
        <v>176.655</v>
      </c>
      <c r="T459" s="11">
        <f t="shared" si="139"/>
        <v>188.43</v>
      </c>
      <c r="U459" s="38">
        <f t="shared" si="142"/>
        <v>192.38</v>
      </c>
      <c r="V459" s="38">
        <f t="shared" si="143"/>
        <v>199.5</v>
      </c>
      <c r="W459" s="38">
        <f t="shared" si="144"/>
        <v>206.63</v>
      </c>
      <c r="X459" s="38">
        <f t="shared" si="145"/>
        <v>213.75</v>
      </c>
      <c r="Z459" s="4">
        <f t="shared" si="140"/>
        <v>5888.5</v>
      </c>
      <c r="AA459" s="4">
        <f t="shared" si="141"/>
        <v>7125.085</v>
      </c>
    </row>
    <row r="460" spans="1:27" x14ac:dyDescent="0.3">
      <c r="A460" s="135"/>
      <c r="B460" s="125"/>
      <c r="C460" s="3" t="s">
        <v>1518</v>
      </c>
      <c r="D460" s="55"/>
      <c r="E460" s="55" t="s">
        <v>362</v>
      </c>
      <c r="F460" s="55" t="s">
        <v>153</v>
      </c>
      <c r="G460" s="56">
        <v>0</v>
      </c>
      <c r="H460" s="49">
        <v>20</v>
      </c>
      <c r="I460" s="50">
        <v>0</v>
      </c>
      <c r="J460" s="77">
        <f>+H460-I460</f>
        <v>20</v>
      </c>
      <c r="K460" s="31">
        <v>150</v>
      </c>
      <c r="L460" s="32">
        <v>44238</v>
      </c>
      <c r="M460" s="33">
        <v>0.21</v>
      </c>
      <c r="N460" s="64">
        <f t="shared" si="135"/>
        <v>181.5</v>
      </c>
      <c r="O460" s="68">
        <f t="shared" si="147"/>
        <v>195</v>
      </c>
      <c r="P460" s="68">
        <f t="shared" si="136"/>
        <v>202.5</v>
      </c>
      <c r="Q460" s="68">
        <f t="shared" si="137"/>
        <v>210</v>
      </c>
      <c r="R460" s="11">
        <f t="shared" si="138"/>
        <v>217.5</v>
      </c>
      <c r="S460" s="11">
        <f t="shared" si="146"/>
        <v>225</v>
      </c>
      <c r="T460" s="11">
        <f t="shared" si="139"/>
        <v>240</v>
      </c>
      <c r="U460" s="38">
        <f t="shared" si="142"/>
        <v>245.03</v>
      </c>
      <c r="V460" s="38">
        <f t="shared" si="143"/>
        <v>254.1</v>
      </c>
      <c r="W460" s="38">
        <f t="shared" si="144"/>
        <v>263.18</v>
      </c>
      <c r="X460" s="38">
        <f t="shared" si="145"/>
        <v>272.25</v>
      </c>
      <c r="Z460" s="4">
        <f t="shared" si="140"/>
        <v>3000</v>
      </c>
      <c r="AA460" s="4">
        <f t="shared" si="141"/>
        <v>3630</v>
      </c>
    </row>
    <row r="461" spans="1:27" x14ac:dyDescent="0.3">
      <c r="A461" s="135"/>
      <c r="C461" s="3" t="s">
        <v>122</v>
      </c>
      <c r="D461" s="55" t="s">
        <v>1309</v>
      </c>
      <c r="E461" s="55" t="s">
        <v>70</v>
      </c>
      <c r="F461" s="55" t="s">
        <v>229</v>
      </c>
      <c r="G461" s="56">
        <v>5</v>
      </c>
      <c r="H461" s="49">
        <v>8</v>
      </c>
      <c r="I461" s="50">
        <f>1+1+6</f>
        <v>8</v>
      </c>
      <c r="J461" s="77">
        <f>+H461-I461</f>
        <v>0</v>
      </c>
      <c r="K461" s="31">
        <v>67</v>
      </c>
      <c r="L461" s="32">
        <v>44044</v>
      </c>
      <c r="M461" s="33">
        <v>0.21</v>
      </c>
      <c r="N461" s="64">
        <f t="shared" si="135"/>
        <v>81.069999999999993</v>
      </c>
      <c r="O461" s="68">
        <f t="shared" si="147"/>
        <v>87.1</v>
      </c>
      <c r="P461" s="68">
        <f t="shared" si="136"/>
        <v>90.45</v>
      </c>
      <c r="Q461" s="68">
        <f t="shared" si="137"/>
        <v>93.8</v>
      </c>
      <c r="R461" s="11">
        <f t="shared" si="138"/>
        <v>97.15</v>
      </c>
      <c r="S461" s="11">
        <f t="shared" si="146"/>
        <v>100.5</v>
      </c>
      <c r="T461" s="11">
        <f t="shared" si="139"/>
        <v>107.2</v>
      </c>
      <c r="U461" s="38">
        <f t="shared" si="142"/>
        <v>109.44</v>
      </c>
      <c r="V461" s="38">
        <f t="shared" si="143"/>
        <v>113.5</v>
      </c>
      <c r="W461" s="38">
        <f t="shared" si="144"/>
        <v>117.55</v>
      </c>
      <c r="X461" s="38">
        <f t="shared" si="145"/>
        <v>121.61</v>
      </c>
      <c r="Z461" s="4">
        <f t="shared" si="140"/>
        <v>0</v>
      </c>
      <c r="AA461" s="4">
        <f t="shared" si="141"/>
        <v>0</v>
      </c>
    </row>
    <row r="462" spans="1:27" x14ac:dyDescent="0.3">
      <c r="C462" s="5" t="s">
        <v>464</v>
      </c>
      <c r="D462" s="55"/>
      <c r="E462" s="55" t="s">
        <v>443</v>
      </c>
      <c r="F462" s="55" t="s">
        <v>231</v>
      </c>
      <c r="G462" s="56">
        <v>0</v>
      </c>
      <c r="H462" s="49">
        <f>494+78</f>
        <v>572</v>
      </c>
      <c r="I462" s="50">
        <f>20+20+10+20+10+156+60+30+50+30+30+30+20+20</f>
        <v>506</v>
      </c>
      <c r="J462" s="77">
        <f>+H462-I462</f>
        <v>66</v>
      </c>
      <c r="K462" s="31">
        <v>67</v>
      </c>
      <c r="L462" s="32">
        <v>44044</v>
      </c>
      <c r="M462" s="33">
        <v>0.21</v>
      </c>
      <c r="N462" s="64">
        <f t="shared" si="135"/>
        <v>81.069999999999993</v>
      </c>
      <c r="O462" s="68">
        <f t="shared" si="147"/>
        <v>87.1</v>
      </c>
      <c r="P462" s="68">
        <f t="shared" si="136"/>
        <v>90.45</v>
      </c>
      <c r="Q462" s="68">
        <f t="shared" si="137"/>
        <v>93.8</v>
      </c>
      <c r="R462" s="11">
        <f t="shared" si="138"/>
        <v>97.15</v>
      </c>
      <c r="S462" s="11">
        <f t="shared" si="146"/>
        <v>100.5</v>
      </c>
      <c r="T462" s="11">
        <f t="shared" si="139"/>
        <v>107.2</v>
      </c>
      <c r="U462" s="38">
        <f t="shared" si="142"/>
        <v>109.44</v>
      </c>
      <c r="V462" s="38">
        <f t="shared" si="143"/>
        <v>113.5</v>
      </c>
      <c r="W462" s="38">
        <f t="shared" si="144"/>
        <v>117.55</v>
      </c>
      <c r="X462" s="38">
        <f t="shared" si="145"/>
        <v>121.61</v>
      </c>
      <c r="Z462" s="4">
        <f t="shared" si="140"/>
        <v>4422</v>
      </c>
      <c r="AA462" s="4">
        <f t="shared" si="141"/>
        <v>5350.62</v>
      </c>
    </row>
    <row r="463" spans="1:27" x14ac:dyDescent="0.3">
      <c r="C463" s="3" t="s">
        <v>746</v>
      </c>
      <c r="D463" s="55" t="s">
        <v>486</v>
      </c>
      <c r="E463" s="55" t="s">
        <v>460</v>
      </c>
      <c r="F463" s="55" t="s">
        <v>304</v>
      </c>
      <c r="G463" s="56">
        <v>1</v>
      </c>
      <c r="H463" s="49">
        <f>5+5+5+1+5</f>
        <v>21</v>
      </c>
      <c r="I463" s="50">
        <f>1+1+1+2+1+1+2</f>
        <v>9</v>
      </c>
      <c r="J463" s="77">
        <f>+H463-I463</f>
        <v>12</v>
      </c>
      <c r="K463" s="31">
        <v>1500</v>
      </c>
      <c r="L463" s="32">
        <v>43966</v>
      </c>
      <c r="M463" s="33">
        <v>0.21</v>
      </c>
      <c r="N463" s="64">
        <f t="shared" si="135"/>
        <v>1815</v>
      </c>
      <c r="O463" s="68">
        <f t="shared" si="147"/>
        <v>1950</v>
      </c>
      <c r="P463" s="68">
        <f t="shared" si="136"/>
        <v>2025</v>
      </c>
      <c r="Q463" s="68">
        <f t="shared" si="137"/>
        <v>2100</v>
      </c>
      <c r="R463" s="11">
        <f t="shared" si="138"/>
        <v>2175</v>
      </c>
      <c r="S463" s="11">
        <f t="shared" si="146"/>
        <v>2250</v>
      </c>
      <c r="T463" s="11">
        <f t="shared" si="139"/>
        <v>2400</v>
      </c>
      <c r="U463" s="38">
        <f t="shared" si="142"/>
        <v>2450.25</v>
      </c>
      <c r="V463" s="38">
        <f t="shared" si="143"/>
        <v>2541</v>
      </c>
      <c r="W463" s="38">
        <f t="shared" si="144"/>
        <v>2631.75</v>
      </c>
      <c r="X463" s="38">
        <f t="shared" si="145"/>
        <v>2722.5</v>
      </c>
      <c r="Z463" s="4">
        <f t="shared" si="140"/>
        <v>18000</v>
      </c>
      <c r="AA463" s="4">
        <f t="shared" si="141"/>
        <v>21780</v>
      </c>
    </row>
    <row r="464" spans="1:27" x14ac:dyDescent="0.3">
      <c r="C464" s="3" t="s">
        <v>747</v>
      </c>
      <c r="D464" s="55" t="s">
        <v>948</v>
      </c>
      <c r="E464" s="55" t="s">
        <v>34</v>
      </c>
      <c r="F464" s="55" t="s">
        <v>282</v>
      </c>
      <c r="G464" s="56">
        <v>2</v>
      </c>
      <c r="H464" s="49">
        <f>5+5+5+10+5+2+10</f>
        <v>42</v>
      </c>
      <c r="I464" s="50">
        <f>2+2+2+2+1+2+5+3+1</f>
        <v>20</v>
      </c>
      <c r="J464" s="77">
        <f>+H464-I464</f>
        <v>22</v>
      </c>
      <c r="K464" s="31">
        <v>1500</v>
      </c>
      <c r="L464" s="32">
        <v>43966</v>
      </c>
      <c r="M464" s="33">
        <v>0.21</v>
      </c>
      <c r="N464" s="64">
        <f t="shared" si="135"/>
        <v>1815</v>
      </c>
      <c r="O464" s="68">
        <f t="shared" si="147"/>
        <v>1950</v>
      </c>
      <c r="P464" s="68">
        <f t="shared" si="136"/>
        <v>2025</v>
      </c>
      <c r="Q464" s="68">
        <f t="shared" si="137"/>
        <v>2100</v>
      </c>
      <c r="R464" s="11">
        <f t="shared" si="138"/>
        <v>2175</v>
      </c>
      <c r="S464" s="11">
        <f t="shared" si="146"/>
        <v>2250</v>
      </c>
      <c r="T464" s="11">
        <f t="shared" si="139"/>
        <v>2400</v>
      </c>
      <c r="U464" s="38">
        <f t="shared" si="142"/>
        <v>2450.25</v>
      </c>
      <c r="V464" s="38">
        <f t="shared" si="143"/>
        <v>2541</v>
      </c>
      <c r="W464" s="38">
        <f t="shared" si="144"/>
        <v>2631.75</v>
      </c>
      <c r="X464" s="38">
        <f t="shared" si="145"/>
        <v>2722.5</v>
      </c>
      <c r="Z464" s="4">
        <f t="shared" si="140"/>
        <v>33000</v>
      </c>
      <c r="AA464" s="4">
        <f t="shared" si="141"/>
        <v>39930</v>
      </c>
    </row>
    <row r="465" spans="1:27" x14ac:dyDescent="0.3">
      <c r="C465" s="3" t="s">
        <v>748</v>
      </c>
      <c r="D465" s="55" t="s">
        <v>414</v>
      </c>
      <c r="E465" s="55" t="s">
        <v>460</v>
      </c>
      <c r="F465" s="55" t="s">
        <v>282</v>
      </c>
      <c r="G465" s="56">
        <v>1</v>
      </c>
      <c r="H465" s="49">
        <f>3+4</f>
        <v>7</v>
      </c>
      <c r="I465" s="50">
        <f>1+2</f>
        <v>3</v>
      </c>
      <c r="J465" s="77">
        <f>+H465-I465</f>
        <v>4</v>
      </c>
      <c r="K465" s="31">
        <v>1500</v>
      </c>
      <c r="L465" s="32">
        <v>43966</v>
      </c>
      <c r="M465" s="33">
        <v>0.21</v>
      </c>
      <c r="N465" s="64">
        <f t="shared" si="135"/>
        <v>1815</v>
      </c>
      <c r="O465" s="68">
        <f t="shared" si="147"/>
        <v>1950</v>
      </c>
      <c r="P465" s="68">
        <f t="shared" si="136"/>
        <v>2025</v>
      </c>
      <c r="Q465" s="68">
        <f t="shared" si="137"/>
        <v>2100</v>
      </c>
      <c r="R465" s="11">
        <f t="shared" si="138"/>
        <v>2175</v>
      </c>
      <c r="S465" s="11">
        <f t="shared" si="146"/>
        <v>2250</v>
      </c>
      <c r="T465" s="11">
        <f t="shared" si="139"/>
        <v>2400</v>
      </c>
      <c r="U465" s="38">
        <f t="shared" si="142"/>
        <v>2450.25</v>
      </c>
      <c r="V465" s="38">
        <f t="shared" si="143"/>
        <v>2541</v>
      </c>
      <c r="W465" s="38">
        <f t="shared" si="144"/>
        <v>2631.75</v>
      </c>
      <c r="X465" s="38">
        <f t="shared" si="145"/>
        <v>2722.5</v>
      </c>
      <c r="Z465" s="4">
        <f t="shared" si="140"/>
        <v>6000</v>
      </c>
      <c r="AA465" s="4">
        <f t="shared" si="141"/>
        <v>7260</v>
      </c>
    </row>
    <row r="466" spans="1:27" x14ac:dyDescent="0.3">
      <c r="C466" s="3" t="s">
        <v>1223</v>
      </c>
      <c r="D466" s="55"/>
      <c r="E466" s="55"/>
      <c r="F466" s="55" t="s">
        <v>359</v>
      </c>
      <c r="G466" s="56">
        <v>0</v>
      </c>
      <c r="H466" s="49">
        <v>1</v>
      </c>
      <c r="I466" s="50"/>
      <c r="J466" s="77">
        <f>+H466-I466</f>
        <v>1</v>
      </c>
      <c r="K466" s="31">
        <v>188</v>
      </c>
      <c r="L466" s="32">
        <v>43191</v>
      </c>
      <c r="M466" s="33">
        <v>0.21</v>
      </c>
      <c r="N466" s="64">
        <f t="shared" si="135"/>
        <v>227.48</v>
      </c>
      <c r="O466" s="68"/>
      <c r="P466" s="68"/>
      <c r="Q466" s="68"/>
      <c r="R466" s="11"/>
      <c r="S466" s="11"/>
      <c r="T466" s="11">
        <f t="shared" si="139"/>
        <v>300.8</v>
      </c>
      <c r="U466" s="38">
        <f t="shared" si="142"/>
        <v>307.10000000000002</v>
      </c>
      <c r="V466" s="38">
        <f t="shared" si="143"/>
        <v>318.47000000000003</v>
      </c>
      <c r="W466" s="38">
        <f t="shared" si="144"/>
        <v>329.85</v>
      </c>
      <c r="X466" s="38">
        <f t="shared" si="145"/>
        <v>341.22</v>
      </c>
      <c r="Z466" s="4">
        <f t="shared" si="140"/>
        <v>188</v>
      </c>
      <c r="AA466" s="4">
        <f t="shared" si="141"/>
        <v>227.48</v>
      </c>
    </row>
    <row r="467" spans="1:27" x14ac:dyDescent="0.3">
      <c r="A467" s="135"/>
      <c r="C467" s="5" t="s">
        <v>320</v>
      </c>
      <c r="D467" s="55" t="s">
        <v>487</v>
      </c>
      <c r="E467" s="55" t="s">
        <v>70</v>
      </c>
      <c r="F467" s="55" t="s">
        <v>282</v>
      </c>
      <c r="G467" s="56">
        <v>1</v>
      </c>
      <c r="H467" s="49">
        <f>2+1+1+1</f>
        <v>5</v>
      </c>
      <c r="I467" s="50">
        <f>1+1+1+1</f>
        <v>4</v>
      </c>
      <c r="J467" s="77">
        <f>+H467-I467</f>
        <v>1</v>
      </c>
      <c r="K467" s="31">
        <v>4202</v>
      </c>
      <c r="L467" s="32">
        <v>44044</v>
      </c>
      <c r="M467" s="33">
        <v>0.21</v>
      </c>
      <c r="N467" s="64">
        <f t="shared" si="135"/>
        <v>5084.42</v>
      </c>
      <c r="O467" s="68">
        <f t="shared" si="147"/>
        <v>5462.6</v>
      </c>
      <c r="P467" s="68">
        <f t="shared" si="136"/>
        <v>5672.7</v>
      </c>
      <c r="Q467" s="68">
        <f t="shared" si="137"/>
        <v>5882.8</v>
      </c>
      <c r="R467" s="11">
        <f t="shared" si="138"/>
        <v>6092.9</v>
      </c>
      <c r="S467" s="11">
        <f t="shared" si="146"/>
        <v>6303</v>
      </c>
      <c r="T467" s="11">
        <f t="shared" si="139"/>
        <v>6723.2</v>
      </c>
      <c r="U467" s="38">
        <f t="shared" si="142"/>
        <v>6863.97</v>
      </c>
      <c r="V467" s="38">
        <f t="shared" si="143"/>
        <v>7118.19</v>
      </c>
      <c r="W467" s="38">
        <f t="shared" si="144"/>
        <v>7372.41</v>
      </c>
      <c r="X467" s="38">
        <f t="shared" si="145"/>
        <v>7626.63</v>
      </c>
      <c r="Z467" s="4">
        <f t="shared" si="140"/>
        <v>4202</v>
      </c>
      <c r="AA467" s="4">
        <f t="shared" si="141"/>
        <v>5084.42</v>
      </c>
    </row>
    <row r="468" spans="1:27" x14ac:dyDescent="0.3">
      <c r="C468" s="5" t="s">
        <v>321</v>
      </c>
      <c r="D468" s="71"/>
      <c r="E468" s="55" t="s">
        <v>829</v>
      </c>
      <c r="F468" s="55" t="s">
        <v>282</v>
      </c>
      <c r="G468" s="56">
        <v>1</v>
      </c>
      <c r="H468" s="49">
        <f>5+1+1</f>
        <v>7</v>
      </c>
      <c r="I468" s="50">
        <f>3+1+1+2</f>
        <v>7</v>
      </c>
      <c r="J468" s="77">
        <f>+H468-I468</f>
        <v>0</v>
      </c>
      <c r="K468" s="31">
        <v>5322</v>
      </c>
      <c r="L468" s="32">
        <v>44044</v>
      </c>
      <c r="M468" s="33">
        <v>0.21</v>
      </c>
      <c r="N468" s="64">
        <f t="shared" si="135"/>
        <v>6439.62</v>
      </c>
      <c r="O468" s="68">
        <f t="shared" si="147"/>
        <v>6918.6</v>
      </c>
      <c r="P468" s="68">
        <f t="shared" si="136"/>
        <v>7184.7</v>
      </c>
      <c r="Q468" s="68">
        <f t="shared" si="137"/>
        <v>7450.8</v>
      </c>
      <c r="R468" s="11">
        <f t="shared" si="138"/>
        <v>7716.9</v>
      </c>
      <c r="S468" s="11">
        <f t="shared" si="146"/>
        <v>7983</v>
      </c>
      <c r="T468" s="11">
        <f t="shared" si="139"/>
        <v>8515.2000000000007</v>
      </c>
      <c r="U468" s="38">
        <f t="shared" si="142"/>
        <v>8693.49</v>
      </c>
      <c r="V468" s="38">
        <f t="shared" si="143"/>
        <v>9015.4699999999993</v>
      </c>
      <c r="W468" s="38">
        <f t="shared" si="144"/>
        <v>9337.4500000000007</v>
      </c>
      <c r="X468" s="38">
        <f t="shared" si="145"/>
        <v>9659.43</v>
      </c>
      <c r="Z468" s="4">
        <f t="shared" si="140"/>
        <v>0</v>
      </c>
      <c r="AA468" s="4">
        <f t="shared" si="141"/>
        <v>0</v>
      </c>
    </row>
    <row r="469" spans="1:27" x14ac:dyDescent="0.3">
      <c r="A469" s="135"/>
      <c r="C469" s="5" t="s">
        <v>1418</v>
      </c>
      <c r="D469" s="71" t="s">
        <v>1576</v>
      </c>
      <c r="E469" s="55" t="s">
        <v>34</v>
      </c>
      <c r="F469" s="55" t="s">
        <v>269</v>
      </c>
      <c r="G469" s="56">
        <v>1</v>
      </c>
      <c r="H469" s="49">
        <f>2+1+2</f>
        <v>5</v>
      </c>
      <c r="I469" s="50">
        <f>1+1+1</f>
        <v>3</v>
      </c>
      <c r="J469" s="77">
        <f>+H469-I469</f>
        <v>2</v>
      </c>
      <c r="K469" s="31">
        <v>2202.67</v>
      </c>
      <c r="L469" s="32">
        <v>44218</v>
      </c>
      <c r="M469" s="33">
        <v>0.21</v>
      </c>
      <c r="N469" s="64">
        <f t="shared" si="135"/>
        <v>2665.2307000000001</v>
      </c>
      <c r="O469" s="68">
        <f t="shared" si="147"/>
        <v>2863.47</v>
      </c>
      <c r="P469" s="68">
        <f t="shared" si="136"/>
        <v>2973.6</v>
      </c>
      <c r="Q469" s="68">
        <f t="shared" si="137"/>
        <v>3083.74</v>
      </c>
      <c r="R469" s="11">
        <f t="shared" si="138"/>
        <v>3193.87</v>
      </c>
      <c r="S469" s="11">
        <f t="shared" si="146"/>
        <v>3304.0050000000001</v>
      </c>
      <c r="T469" s="11">
        <f t="shared" si="139"/>
        <v>3524.27</v>
      </c>
      <c r="U469" s="38">
        <f t="shared" si="142"/>
        <v>3598.06</v>
      </c>
      <c r="V469" s="38">
        <f t="shared" si="143"/>
        <v>3731.32</v>
      </c>
      <c r="W469" s="38">
        <f t="shared" si="144"/>
        <v>3864.58</v>
      </c>
      <c r="X469" s="38">
        <f t="shared" si="145"/>
        <v>3997.85</v>
      </c>
      <c r="Z469" s="4"/>
      <c r="AA469" s="4"/>
    </row>
    <row r="470" spans="1:27" x14ac:dyDescent="0.3">
      <c r="C470" s="5" t="s">
        <v>1183</v>
      </c>
      <c r="D470" s="71"/>
      <c r="E470" s="55" t="s">
        <v>829</v>
      </c>
      <c r="F470" s="55" t="s">
        <v>282</v>
      </c>
      <c r="G470" s="56">
        <v>1</v>
      </c>
      <c r="H470" s="49">
        <v>1</v>
      </c>
      <c r="I470" s="50">
        <v>1</v>
      </c>
      <c r="J470" s="77">
        <f>+H470-I470</f>
        <v>0</v>
      </c>
      <c r="K470" s="31">
        <v>1850</v>
      </c>
      <c r="L470" s="32">
        <v>43384</v>
      </c>
      <c r="M470" s="33">
        <v>0.21</v>
      </c>
      <c r="N470" s="64"/>
      <c r="O470" s="68"/>
      <c r="P470" s="68"/>
      <c r="Q470" s="68"/>
      <c r="R470" s="11"/>
      <c r="S470" s="11"/>
      <c r="T470" s="11"/>
      <c r="U470" s="38"/>
      <c r="V470" s="38"/>
      <c r="W470" s="38"/>
      <c r="X470" s="38"/>
      <c r="Z470" s="4">
        <f t="shared" si="140"/>
        <v>0</v>
      </c>
      <c r="AA470" s="4"/>
    </row>
    <row r="471" spans="1:27" x14ac:dyDescent="0.3">
      <c r="A471" s="135"/>
      <c r="B471" s="125"/>
      <c r="C471" s="3" t="s">
        <v>1419</v>
      </c>
      <c r="D471" s="126" t="s">
        <v>362</v>
      </c>
      <c r="E471" s="55" t="s">
        <v>362</v>
      </c>
      <c r="F471" s="55" t="s">
        <v>1493</v>
      </c>
      <c r="G471" s="56">
        <v>6</v>
      </c>
      <c r="H471" s="49">
        <f>30+2+30+10+20+10+20+10+20+20+10</f>
        <v>182</v>
      </c>
      <c r="I471" s="50">
        <f>1+1+1+1+10+1+3+1+2+1+1+2+1+1+3+2+1+2+5+1+1+8+3+1+1+1+1+1+1+2+1+2+1+7+4+3+1+1+1+1+2+2+1+1+1+1+2+5+3+1+1+2+3+2+1+1+5+2+4+1+4+1+4+1+5+1+2+4+1+1+1+1+21</f>
        <v>171</v>
      </c>
      <c r="J471" s="77">
        <f>+H471-I471</f>
        <v>11</v>
      </c>
      <c r="K471" s="31">
        <v>1791.71</v>
      </c>
      <c r="L471" s="32">
        <v>44236</v>
      </c>
      <c r="M471" s="117">
        <v>0.105</v>
      </c>
      <c r="N471" s="64"/>
      <c r="O471" s="68">
        <f t="shared" si="147"/>
        <v>2329.2199999999998</v>
      </c>
      <c r="P471" s="68">
        <f t="shared" ref="P471:P535" si="148">ROUND(K471*(1+$P$3),2)</f>
        <v>2418.81</v>
      </c>
      <c r="Q471" s="68">
        <f t="shared" ref="Q471:Q535" si="149">ROUND(K471*(1+$Q$3),2)</f>
        <v>2508.39</v>
      </c>
      <c r="R471" s="11">
        <f t="shared" ref="R471:R535" si="150">ROUND(K471*(1+$R$3),2)</f>
        <v>2597.98</v>
      </c>
      <c r="S471" s="11">
        <f t="shared" si="146"/>
        <v>2687.5650000000001</v>
      </c>
      <c r="T471" s="11">
        <f t="shared" ref="T471:T536" si="151">ROUND(K471*(1+$T$3),2)</f>
        <v>2866.74</v>
      </c>
      <c r="U471" s="38"/>
      <c r="V471" s="38"/>
      <c r="W471" s="38"/>
      <c r="X471" s="38"/>
      <c r="Z471" s="4"/>
      <c r="AA471" s="4"/>
    </row>
    <row r="472" spans="1:27" x14ac:dyDescent="0.3">
      <c r="A472" s="135"/>
      <c r="B472" s="125"/>
      <c r="C472" s="3" t="s">
        <v>1571</v>
      </c>
      <c r="D472" s="55" t="s">
        <v>1572</v>
      </c>
      <c r="E472" s="55" t="s">
        <v>34</v>
      </c>
      <c r="F472" s="55" t="s">
        <v>1584</v>
      </c>
      <c r="G472" s="56">
        <v>6</v>
      </c>
      <c r="H472" s="49">
        <f>32+50+1+1+50+5+10</f>
        <v>149</v>
      </c>
      <c r="I472" s="69">
        <f>20+2+2+5+1+2+1+1+1+6+1+1+1+2+2+20+1+5+10+1+3+3+10+20+13+3+2+5+4</f>
        <v>148</v>
      </c>
      <c r="J472" s="77">
        <f>+H472-I472</f>
        <v>1</v>
      </c>
      <c r="K472" s="31">
        <v>2048.0100000000002</v>
      </c>
      <c r="L472" s="32">
        <v>44230</v>
      </c>
      <c r="M472" s="46">
        <v>0.105</v>
      </c>
      <c r="N472" s="64">
        <f>K472*1.105</f>
        <v>2263.05105</v>
      </c>
      <c r="O472" s="68">
        <f t="shared" si="147"/>
        <v>2662.41</v>
      </c>
      <c r="P472" s="68">
        <f t="shared" si="148"/>
        <v>2764.81</v>
      </c>
      <c r="Q472" s="68">
        <f t="shared" si="149"/>
        <v>2867.21</v>
      </c>
      <c r="R472" s="11">
        <f t="shared" si="150"/>
        <v>2969.61</v>
      </c>
      <c r="S472" s="11">
        <f t="shared" si="146"/>
        <v>3072.0150000000003</v>
      </c>
      <c r="T472" s="11">
        <f t="shared" si="151"/>
        <v>3276.82</v>
      </c>
      <c r="U472" s="38">
        <f t="shared" si="142"/>
        <v>3055.12</v>
      </c>
      <c r="V472" s="38">
        <f t="shared" si="143"/>
        <v>3168.27</v>
      </c>
      <c r="W472" s="38">
        <f t="shared" si="144"/>
        <v>3281.42</v>
      </c>
      <c r="X472" s="38">
        <f t="shared" si="145"/>
        <v>3394.58</v>
      </c>
      <c r="Z472" s="4">
        <f t="shared" ref="Z472:Z536" si="152">J472*K472</f>
        <v>2048.0100000000002</v>
      </c>
      <c r="AA472" s="4">
        <f t="shared" ref="AA472:AA528" si="153">J472*N472</f>
        <v>2263.05105</v>
      </c>
    </row>
    <row r="473" spans="1:27" x14ac:dyDescent="0.3">
      <c r="A473" s="135"/>
      <c r="C473" s="5" t="s">
        <v>283</v>
      </c>
      <c r="D473" s="55"/>
      <c r="E473" s="55"/>
      <c r="F473" s="55" t="s">
        <v>284</v>
      </c>
      <c r="G473" s="56">
        <v>2</v>
      </c>
      <c r="H473" s="49">
        <v>3</v>
      </c>
      <c r="I473" s="50">
        <f>0</f>
        <v>0</v>
      </c>
      <c r="J473" s="77">
        <f>+H473-I473</f>
        <v>3</v>
      </c>
      <c r="K473" s="31">
        <v>0</v>
      </c>
      <c r="L473" s="32"/>
      <c r="M473" s="33">
        <v>0.21</v>
      </c>
      <c r="N473" s="64">
        <f t="shared" ref="N473:N540" si="154">+K473*(1+M473)</f>
        <v>0</v>
      </c>
      <c r="O473" s="68">
        <f t="shared" si="147"/>
        <v>0</v>
      </c>
      <c r="P473" s="68">
        <f t="shared" si="148"/>
        <v>0</v>
      </c>
      <c r="Q473" s="68">
        <f t="shared" si="149"/>
        <v>0</v>
      </c>
      <c r="R473" s="11">
        <f t="shared" si="150"/>
        <v>0</v>
      </c>
      <c r="S473" s="11">
        <f t="shared" si="146"/>
        <v>0</v>
      </c>
      <c r="T473" s="11">
        <f t="shared" si="151"/>
        <v>0</v>
      </c>
      <c r="U473" s="38">
        <f t="shared" ref="U473:U544" si="155">ROUND((N473*(1+$U$3)),2)</f>
        <v>0</v>
      </c>
      <c r="V473" s="38">
        <f t="shared" ref="V473:V544" si="156">ROUND((N473*(1+$V$3)),2)</f>
        <v>0</v>
      </c>
      <c r="W473" s="38">
        <f t="shared" ref="W473:W544" si="157">ROUND((N473*(1+$W$3)),2)</f>
        <v>0</v>
      </c>
      <c r="X473" s="38">
        <f t="shared" ref="X473:X544" si="158">ROUND((N473*(1+$X$3)),2)</f>
        <v>0</v>
      </c>
      <c r="Z473" s="4">
        <f t="shared" si="152"/>
        <v>0</v>
      </c>
      <c r="AA473" s="4">
        <f t="shared" si="153"/>
        <v>0</v>
      </c>
    </row>
    <row r="474" spans="1:27" x14ac:dyDescent="0.3">
      <c r="A474" s="135"/>
      <c r="C474" s="5" t="s">
        <v>1548</v>
      </c>
      <c r="D474" s="55" t="s">
        <v>1549</v>
      </c>
      <c r="E474" s="55" t="s">
        <v>1150</v>
      </c>
      <c r="F474" s="55" t="s">
        <v>1420</v>
      </c>
      <c r="G474" s="56">
        <v>0</v>
      </c>
      <c r="H474" s="49">
        <f>4+1+2+2</f>
        <v>9</v>
      </c>
      <c r="I474" s="50">
        <f>2+1+1+1+1+1</f>
        <v>7</v>
      </c>
      <c r="J474" s="77">
        <f>+H474-I474</f>
        <v>2</v>
      </c>
      <c r="K474" s="31">
        <v>3229.92</v>
      </c>
      <c r="L474" s="32">
        <v>44141</v>
      </c>
      <c r="M474" s="33">
        <v>0.21</v>
      </c>
      <c r="N474" s="64">
        <f t="shared" si="154"/>
        <v>3908.2031999999999</v>
      </c>
      <c r="O474" s="68">
        <f t="shared" si="147"/>
        <v>4198.8999999999996</v>
      </c>
      <c r="P474" s="68">
        <f t="shared" si="148"/>
        <v>4360.3900000000003</v>
      </c>
      <c r="Q474" s="68">
        <f t="shared" si="149"/>
        <v>4521.8900000000003</v>
      </c>
      <c r="R474" s="11">
        <f t="shared" si="150"/>
        <v>4683.38</v>
      </c>
      <c r="S474" s="11">
        <f t="shared" si="146"/>
        <v>4844.88</v>
      </c>
      <c r="T474" s="11">
        <f t="shared" si="151"/>
        <v>5167.87</v>
      </c>
      <c r="U474" s="38"/>
      <c r="V474" s="38"/>
      <c r="W474" s="38"/>
      <c r="X474" s="38"/>
      <c r="Z474" s="4">
        <f t="shared" si="152"/>
        <v>6459.84</v>
      </c>
      <c r="AA474" s="4"/>
    </row>
    <row r="475" spans="1:27" x14ac:dyDescent="0.3">
      <c r="A475" s="135"/>
      <c r="B475" s="125"/>
      <c r="C475" s="3" t="s">
        <v>675</v>
      </c>
      <c r="D475" s="55" t="s">
        <v>1347</v>
      </c>
      <c r="E475" s="55" t="s">
        <v>362</v>
      </c>
      <c r="F475" s="55" t="s">
        <v>286</v>
      </c>
      <c r="G475" s="56">
        <v>200</v>
      </c>
      <c r="H475" s="49">
        <f>200+300+400+200+200+300+20+500+200+100+200+100+300+50+200+200+100+200+200+200</f>
        <v>4170</v>
      </c>
      <c r="I475" s="50">
        <f>200+300+200+100+20+200+100+200+150+50+100+100+50+100+100+100+50+100+100+50+50+100+50+50+50+50+150+100+100+150+50+150+50+50+200+200+50</f>
        <v>3970</v>
      </c>
      <c r="J475" s="77">
        <f>+H475-I475</f>
        <v>200</v>
      </c>
      <c r="K475" s="31">
        <v>15.5</v>
      </c>
      <c r="L475" s="32">
        <v>44230</v>
      </c>
      <c r="M475" s="33">
        <v>0.21</v>
      </c>
      <c r="N475" s="88">
        <f t="shared" si="154"/>
        <v>18.754999999999999</v>
      </c>
      <c r="O475" s="68">
        <f t="shared" si="147"/>
        <v>20.149999999999999</v>
      </c>
      <c r="P475" s="68">
        <f t="shared" si="148"/>
        <v>20.93</v>
      </c>
      <c r="Q475" s="68">
        <f t="shared" si="149"/>
        <v>21.7</v>
      </c>
      <c r="R475" s="11">
        <f t="shared" si="150"/>
        <v>22.48</v>
      </c>
      <c r="S475" s="11">
        <f t="shared" si="146"/>
        <v>23.25</v>
      </c>
      <c r="T475" s="11">
        <f t="shared" si="151"/>
        <v>24.8</v>
      </c>
      <c r="U475" s="38">
        <f t="shared" si="155"/>
        <v>25.32</v>
      </c>
      <c r="V475" s="38">
        <f t="shared" si="156"/>
        <v>26.26</v>
      </c>
      <c r="W475" s="38">
        <f t="shared" si="157"/>
        <v>27.19</v>
      </c>
      <c r="X475" s="38">
        <f t="shared" si="158"/>
        <v>28.13</v>
      </c>
      <c r="Z475" s="4">
        <f t="shared" si="152"/>
        <v>3100</v>
      </c>
      <c r="AA475" s="4">
        <f t="shared" si="153"/>
        <v>3751</v>
      </c>
    </row>
    <row r="476" spans="1:27" x14ac:dyDescent="0.3">
      <c r="A476" s="135"/>
      <c r="B476" s="125"/>
      <c r="C476" s="3" t="s">
        <v>1346</v>
      </c>
      <c r="D476" s="55" t="s">
        <v>970</v>
      </c>
      <c r="E476" s="55" t="s">
        <v>70</v>
      </c>
      <c r="F476" s="55" t="s">
        <v>286</v>
      </c>
      <c r="G476" s="56"/>
      <c r="H476" s="49">
        <f>260+400+200+100</f>
        <v>960</v>
      </c>
      <c r="I476" s="50">
        <f>160+100+100+60+60+G477+40+60+80+100+100</f>
        <v>960</v>
      </c>
      <c r="J476" s="77">
        <f>+H476-I476</f>
        <v>0</v>
      </c>
      <c r="K476" s="31">
        <v>15.88</v>
      </c>
      <c r="L476" s="32">
        <v>44026</v>
      </c>
      <c r="M476" s="33">
        <v>0.21</v>
      </c>
      <c r="N476" s="88">
        <f t="shared" si="154"/>
        <v>19.2148</v>
      </c>
      <c r="O476" s="68">
        <f t="shared" si="147"/>
        <v>20.64</v>
      </c>
      <c r="P476" s="68">
        <f t="shared" si="148"/>
        <v>21.44</v>
      </c>
      <c r="Q476" s="68">
        <f t="shared" si="149"/>
        <v>22.23</v>
      </c>
      <c r="R476" s="11">
        <f t="shared" si="150"/>
        <v>23.03</v>
      </c>
      <c r="S476" s="11">
        <f t="shared" si="146"/>
        <v>23.82</v>
      </c>
      <c r="T476" s="11">
        <f t="shared" si="151"/>
        <v>25.41</v>
      </c>
      <c r="U476" s="38">
        <f t="shared" si="155"/>
        <v>25.94</v>
      </c>
      <c r="V476" s="38">
        <f t="shared" si="156"/>
        <v>26.9</v>
      </c>
      <c r="W476" s="38">
        <f t="shared" si="157"/>
        <v>27.86</v>
      </c>
      <c r="X476" s="38">
        <f t="shared" si="158"/>
        <v>28.82</v>
      </c>
      <c r="Z476" s="4">
        <f t="shared" si="152"/>
        <v>0</v>
      </c>
      <c r="AA476" s="4">
        <f t="shared" si="153"/>
        <v>0</v>
      </c>
    </row>
    <row r="477" spans="1:27" x14ac:dyDescent="0.3">
      <c r="A477" s="135"/>
      <c r="B477" s="125"/>
      <c r="C477" s="3" t="s">
        <v>964</v>
      </c>
      <c r="D477" s="55"/>
      <c r="E477" s="55" t="s">
        <v>362</v>
      </c>
      <c r="F477" s="55" t="s">
        <v>1307</v>
      </c>
      <c r="G477" s="56">
        <v>100</v>
      </c>
      <c r="H477" s="49">
        <f>300+500+576+65+288+288+3+288+132+102+576+288+288</f>
        <v>3694</v>
      </c>
      <c r="I477" s="50">
        <f>182+118+85+300+115+300+184+200+100+10+50+242+134+170+100+40+60+152+350+60+20+60+60+60+60+20+100+30+20+24+12+40+60+60+120</f>
        <v>3698</v>
      </c>
      <c r="J477" s="77">
        <f>+H477-I477</f>
        <v>-4</v>
      </c>
      <c r="K477" s="31">
        <v>7.7</v>
      </c>
      <c r="L477" s="32">
        <v>44230</v>
      </c>
      <c r="M477" s="33">
        <v>0.21</v>
      </c>
      <c r="N477" s="88">
        <f t="shared" si="154"/>
        <v>9.3170000000000002</v>
      </c>
      <c r="O477" s="68">
        <f t="shared" si="147"/>
        <v>10.01</v>
      </c>
      <c r="P477" s="68">
        <f t="shared" si="148"/>
        <v>10.4</v>
      </c>
      <c r="Q477" s="68">
        <f t="shared" si="149"/>
        <v>10.78</v>
      </c>
      <c r="R477" s="11">
        <f t="shared" si="150"/>
        <v>11.17</v>
      </c>
      <c r="S477" s="11">
        <f t="shared" si="146"/>
        <v>11.55</v>
      </c>
      <c r="T477" s="11">
        <f t="shared" si="151"/>
        <v>12.32</v>
      </c>
      <c r="U477" s="38">
        <f t="shared" si="155"/>
        <v>12.58</v>
      </c>
      <c r="V477" s="38">
        <f t="shared" si="156"/>
        <v>13.04</v>
      </c>
      <c r="W477" s="38">
        <f t="shared" si="157"/>
        <v>13.51</v>
      </c>
      <c r="X477" s="38">
        <f t="shared" si="158"/>
        <v>13.98</v>
      </c>
      <c r="Z477" s="4">
        <f t="shared" si="152"/>
        <v>-30.8</v>
      </c>
      <c r="AA477" s="4">
        <f t="shared" si="153"/>
        <v>-37.268000000000001</v>
      </c>
    </row>
    <row r="478" spans="1:27" x14ac:dyDescent="0.3">
      <c r="A478" s="135"/>
      <c r="B478" s="125"/>
      <c r="C478" s="3" t="s">
        <v>1498</v>
      </c>
      <c r="D478" s="55"/>
      <c r="E478" s="55"/>
      <c r="F478" s="55" t="s">
        <v>1307</v>
      </c>
      <c r="G478" s="56">
        <v>0</v>
      </c>
      <c r="H478" s="49">
        <f>288</f>
        <v>288</v>
      </c>
      <c r="I478" s="50">
        <f>200</f>
        <v>200</v>
      </c>
      <c r="J478" s="77">
        <f>+H478-I478</f>
        <v>88</v>
      </c>
      <c r="K478" s="31">
        <v>14.07</v>
      </c>
      <c r="L478" s="32">
        <v>44145</v>
      </c>
      <c r="M478" s="33">
        <v>0.21</v>
      </c>
      <c r="N478" s="88">
        <f t="shared" si="154"/>
        <v>17.024699999999999</v>
      </c>
      <c r="O478" s="68">
        <f t="shared" si="147"/>
        <v>18.29</v>
      </c>
      <c r="P478" s="68">
        <f t="shared" si="148"/>
        <v>18.989999999999998</v>
      </c>
      <c r="Q478" s="68">
        <f t="shared" si="149"/>
        <v>19.7</v>
      </c>
      <c r="R478" s="11">
        <f t="shared" si="150"/>
        <v>20.399999999999999</v>
      </c>
      <c r="S478" s="11">
        <f t="shared" si="146"/>
        <v>21.105</v>
      </c>
      <c r="T478" s="11">
        <f t="shared" si="151"/>
        <v>22.51</v>
      </c>
      <c r="U478" s="38">
        <f t="shared" si="155"/>
        <v>22.98</v>
      </c>
      <c r="V478" s="38">
        <f t="shared" si="156"/>
        <v>23.83</v>
      </c>
      <c r="W478" s="38">
        <f t="shared" si="157"/>
        <v>24.69</v>
      </c>
      <c r="X478" s="38">
        <f t="shared" si="158"/>
        <v>25.54</v>
      </c>
      <c r="Z478" s="4">
        <f t="shared" si="152"/>
        <v>1238.1600000000001</v>
      </c>
      <c r="AA478" s="4">
        <f t="shared" si="153"/>
        <v>1498.1735999999999</v>
      </c>
    </row>
    <row r="479" spans="1:27" x14ac:dyDescent="0.3">
      <c r="A479" s="135"/>
      <c r="B479" s="125"/>
      <c r="C479" s="3" t="s">
        <v>157</v>
      </c>
      <c r="D479" s="55" t="s">
        <v>559</v>
      </c>
      <c r="E479" s="55" t="s">
        <v>118</v>
      </c>
      <c r="F479" s="55" t="s">
        <v>361</v>
      </c>
      <c r="G479" s="56">
        <v>10</v>
      </c>
      <c r="H479" s="49">
        <f>12+10+10+10+10+6+6+6+10+10+1+20+10</f>
        <v>121</v>
      </c>
      <c r="I479" s="50">
        <f>1+8+1+3+4+5+6+4+1+6+8+1+5+3+2+1+4+6+1+1+4+1+3+12+8+1+1+1+1+1+3+1+2+2</f>
        <v>112</v>
      </c>
      <c r="J479" s="77">
        <f>+H479-I479</f>
        <v>9</v>
      </c>
      <c r="K479" s="31">
        <v>62.9</v>
      </c>
      <c r="L479" s="32">
        <v>44207</v>
      </c>
      <c r="M479" s="33">
        <v>0.21</v>
      </c>
      <c r="N479" s="64">
        <f t="shared" si="154"/>
        <v>76.108999999999995</v>
      </c>
      <c r="O479" s="68">
        <f t="shared" si="147"/>
        <v>81.77</v>
      </c>
      <c r="P479" s="68">
        <f t="shared" si="148"/>
        <v>84.92</v>
      </c>
      <c r="Q479" s="68">
        <f t="shared" si="149"/>
        <v>88.06</v>
      </c>
      <c r="R479" s="11">
        <f t="shared" si="150"/>
        <v>91.21</v>
      </c>
      <c r="S479" s="11">
        <f t="shared" si="146"/>
        <v>94.35</v>
      </c>
      <c r="T479" s="11">
        <f t="shared" si="151"/>
        <v>100.64</v>
      </c>
      <c r="U479" s="38">
        <f t="shared" si="155"/>
        <v>102.75</v>
      </c>
      <c r="V479" s="38">
        <f t="shared" si="156"/>
        <v>106.55</v>
      </c>
      <c r="W479" s="38">
        <f t="shared" si="157"/>
        <v>110.36</v>
      </c>
      <c r="X479" s="38">
        <f t="shared" si="158"/>
        <v>114.16</v>
      </c>
      <c r="Z479" s="4">
        <f t="shared" si="152"/>
        <v>566.1</v>
      </c>
      <c r="AA479" s="4">
        <f t="shared" si="153"/>
        <v>684.98099999999999</v>
      </c>
    </row>
    <row r="480" spans="1:27" x14ac:dyDescent="0.3">
      <c r="A480" s="140"/>
      <c r="B480" s="125"/>
      <c r="C480" s="3" t="s">
        <v>1325</v>
      </c>
      <c r="D480" s="55" t="s">
        <v>1332</v>
      </c>
      <c r="E480" s="55" t="s">
        <v>362</v>
      </c>
      <c r="F480" s="55" t="s">
        <v>959</v>
      </c>
      <c r="G480" s="56">
        <v>0</v>
      </c>
      <c r="H480" s="49">
        <f>1+2+1+3+2+2+2</f>
        <v>13</v>
      </c>
      <c r="I480" s="50">
        <f>1+1+1+1+2+1+2+2+2</f>
        <v>13</v>
      </c>
      <c r="J480" s="77">
        <f>+H480-I480</f>
        <v>0</v>
      </c>
      <c r="K480" s="31">
        <v>1071.55</v>
      </c>
      <c r="L480" s="32">
        <v>44239</v>
      </c>
      <c r="M480" s="33">
        <v>0.21</v>
      </c>
      <c r="N480" s="64">
        <f t="shared" si="154"/>
        <v>1296.5754999999999</v>
      </c>
      <c r="O480" s="68">
        <f t="shared" si="147"/>
        <v>1393.02</v>
      </c>
      <c r="P480" s="68">
        <f t="shared" si="148"/>
        <v>1446.59</v>
      </c>
      <c r="Q480" s="68">
        <f t="shared" si="149"/>
        <v>1500.17</v>
      </c>
      <c r="R480" s="11">
        <f t="shared" si="150"/>
        <v>1553.75</v>
      </c>
      <c r="S480" s="11">
        <f t="shared" si="146"/>
        <v>1607.3249999999998</v>
      </c>
      <c r="T480" s="11">
        <f t="shared" si="151"/>
        <v>1714.48</v>
      </c>
      <c r="U480" s="38">
        <f t="shared" si="155"/>
        <v>1750.38</v>
      </c>
      <c r="V480" s="38">
        <f t="shared" si="156"/>
        <v>1815.21</v>
      </c>
      <c r="W480" s="38">
        <f t="shared" si="157"/>
        <v>1880.03</v>
      </c>
      <c r="X480" s="38">
        <f t="shared" si="158"/>
        <v>1944.86</v>
      </c>
      <c r="Z480" s="4">
        <f t="shared" si="152"/>
        <v>0</v>
      </c>
      <c r="AA480" s="4">
        <f t="shared" si="153"/>
        <v>0</v>
      </c>
    </row>
    <row r="481" spans="1:27" x14ac:dyDescent="0.3">
      <c r="A481" s="140"/>
      <c r="B481" s="125"/>
      <c r="C481" s="3" t="s">
        <v>1544</v>
      </c>
      <c r="D481" s="55"/>
      <c r="E481" s="55"/>
      <c r="F481" s="55" t="s">
        <v>1545</v>
      </c>
      <c r="G481" s="56">
        <v>0</v>
      </c>
      <c r="H481" s="49">
        <f>20+10</f>
        <v>30</v>
      </c>
      <c r="I481" s="50">
        <f>20</f>
        <v>20</v>
      </c>
      <c r="J481" s="77">
        <f>+H481-I481</f>
        <v>10</v>
      </c>
      <c r="K481" s="31">
        <v>278.5</v>
      </c>
      <c r="L481" s="32">
        <v>44133</v>
      </c>
      <c r="M481" s="33">
        <v>0.21</v>
      </c>
      <c r="N481" s="64"/>
      <c r="O481" s="68">
        <f t="shared" si="147"/>
        <v>362.05</v>
      </c>
      <c r="P481" s="68">
        <f t="shared" si="148"/>
        <v>375.98</v>
      </c>
      <c r="Q481" s="68">
        <f t="shared" si="149"/>
        <v>389.9</v>
      </c>
      <c r="R481" s="11">
        <f t="shared" si="150"/>
        <v>403.83</v>
      </c>
      <c r="S481" s="11">
        <f t="shared" si="146"/>
        <v>417.75</v>
      </c>
      <c r="T481" s="11">
        <f t="shared" si="151"/>
        <v>445.6</v>
      </c>
      <c r="U481" s="38"/>
      <c r="V481" s="38"/>
      <c r="W481" s="38"/>
      <c r="X481" s="38"/>
      <c r="Z481" s="4">
        <f t="shared" si="152"/>
        <v>2785</v>
      </c>
      <c r="AA481" s="4"/>
    </row>
    <row r="482" spans="1:27" x14ac:dyDescent="0.3">
      <c r="B482" s="125"/>
      <c r="C482" s="3" t="s">
        <v>572</v>
      </c>
      <c r="D482" s="55" t="s">
        <v>571</v>
      </c>
      <c r="E482" s="55" t="s">
        <v>70</v>
      </c>
      <c r="F482" s="55" t="s">
        <v>304</v>
      </c>
      <c r="G482" s="56">
        <v>5</v>
      </c>
      <c r="H482" s="49">
        <v>6</v>
      </c>
      <c r="I482" s="50">
        <f>2+1+2</f>
        <v>5</v>
      </c>
      <c r="J482" s="77">
        <f>+H482-I482</f>
        <v>1</v>
      </c>
      <c r="K482" s="31">
        <v>20.2</v>
      </c>
      <c r="L482" s="32">
        <v>42936</v>
      </c>
      <c r="M482" s="33">
        <v>0.21</v>
      </c>
      <c r="N482" s="64">
        <f t="shared" si="154"/>
        <v>24.442</v>
      </c>
      <c r="O482" s="68">
        <f t="shared" si="147"/>
        <v>26.26</v>
      </c>
      <c r="P482" s="68">
        <f t="shared" si="148"/>
        <v>27.27</v>
      </c>
      <c r="Q482" s="68">
        <f t="shared" si="149"/>
        <v>28.28</v>
      </c>
      <c r="R482" s="11">
        <f t="shared" si="150"/>
        <v>29.29</v>
      </c>
      <c r="S482" s="11">
        <f t="shared" si="146"/>
        <v>30.299999999999997</v>
      </c>
      <c r="T482" s="11">
        <f t="shared" si="151"/>
        <v>32.32</v>
      </c>
      <c r="U482" s="38">
        <f t="shared" si="155"/>
        <v>33</v>
      </c>
      <c r="V482" s="38">
        <f t="shared" si="156"/>
        <v>34.22</v>
      </c>
      <c r="W482" s="38">
        <f t="shared" si="157"/>
        <v>35.44</v>
      </c>
      <c r="X482" s="38">
        <f t="shared" si="158"/>
        <v>36.659999999999997</v>
      </c>
      <c r="Z482" s="4">
        <f t="shared" si="152"/>
        <v>20.2</v>
      </c>
      <c r="AA482" s="4">
        <f t="shared" si="153"/>
        <v>24.442</v>
      </c>
    </row>
    <row r="483" spans="1:27" x14ac:dyDescent="0.3">
      <c r="B483" s="125"/>
      <c r="C483" s="3" t="s">
        <v>573</v>
      </c>
      <c r="D483" s="55" t="s">
        <v>574</v>
      </c>
      <c r="E483" s="55" t="s">
        <v>70</v>
      </c>
      <c r="F483" s="55" t="s">
        <v>315</v>
      </c>
      <c r="G483" s="56">
        <v>10</v>
      </c>
      <c r="H483" s="49">
        <v>33</v>
      </c>
      <c r="I483" s="50">
        <f>16+6+6</f>
        <v>28</v>
      </c>
      <c r="J483" s="77">
        <f>+H483-I483</f>
        <v>5</v>
      </c>
      <c r="K483" s="31">
        <v>61.04</v>
      </c>
      <c r="L483" s="32">
        <v>43630</v>
      </c>
      <c r="M483" s="33">
        <v>0.21</v>
      </c>
      <c r="N483" s="64">
        <f t="shared" si="154"/>
        <v>73.858400000000003</v>
      </c>
      <c r="O483" s="68">
        <f t="shared" si="147"/>
        <v>79.349999999999994</v>
      </c>
      <c r="P483" s="68">
        <f t="shared" si="148"/>
        <v>82.4</v>
      </c>
      <c r="Q483" s="68">
        <f t="shared" si="149"/>
        <v>85.46</v>
      </c>
      <c r="R483" s="11">
        <f t="shared" si="150"/>
        <v>88.51</v>
      </c>
      <c r="S483" s="11">
        <f t="shared" si="146"/>
        <v>91.56</v>
      </c>
      <c r="T483" s="11">
        <f t="shared" si="151"/>
        <v>97.66</v>
      </c>
      <c r="U483" s="38">
        <f t="shared" si="155"/>
        <v>99.71</v>
      </c>
      <c r="V483" s="38">
        <f t="shared" si="156"/>
        <v>103.4</v>
      </c>
      <c r="W483" s="38">
        <f t="shared" si="157"/>
        <v>107.09</v>
      </c>
      <c r="X483" s="38">
        <f t="shared" si="158"/>
        <v>110.79</v>
      </c>
      <c r="Z483" s="4">
        <f t="shared" si="152"/>
        <v>305.2</v>
      </c>
      <c r="AA483" s="4">
        <f t="shared" si="153"/>
        <v>369.29200000000003</v>
      </c>
    </row>
    <row r="484" spans="1:27" x14ac:dyDescent="0.3">
      <c r="B484" s="125"/>
      <c r="C484" s="3" t="s">
        <v>1233</v>
      </c>
      <c r="D484" s="55" t="s">
        <v>637</v>
      </c>
      <c r="E484" s="55" t="s">
        <v>70</v>
      </c>
      <c r="F484" s="55" t="s">
        <v>315</v>
      </c>
      <c r="G484" s="56">
        <v>10</v>
      </c>
      <c r="H484" s="49">
        <f>17+12+15</f>
        <v>44</v>
      </c>
      <c r="I484" s="50">
        <f>6+1+10+4+10+5</f>
        <v>36</v>
      </c>
      <c r="J484" s="77">
        <f>+H484-I484</f>
        <v>8</v>
      </c>
      <c r="K484" s="31">
        <v>203</v>
      </c>
      <c r="L484" s="32">
        <v>44169</v>
      </c>
      <c r="M484" s="33">
        <v>0.21</v>
      </c>
      <c r="N484" s="64">
        <f t="shared" si="154"/>
        <v>245.63</v>
      </c>
      <c r="O484" s="68">
        <f t="shared" si="147"/>
        <v>263.89999999999998</v>
      </c>
      <c r="P484" s="68">
        <f t="shared" si="148"/>
        <v>274.05</v>
      </c>
      <c r="Q484" s="68">
        <f t="shared" si="149"/>
        <v>284.2</v>
      </c>
      <c r="R484" s="11">
        <f t="shared" si="150"/>
        <v>294.35000000000002</v>
      </c>
      <c r="S484" s="11">
        <f t="shared" si="146"/>
        <v>304.5</v>
      </c>
      <c r="T484" s="11">
        <f t="shared" si="151"/>
        <v>324.8</v>
      </c>
      <c r="U484" s="38">
        <f t="shared" si="155"/>
        <v>331.6</v>
      </c>
      <c r="V484" s="38">
        <f t="shared" si="156"/>
        <v>343.88</v>
      </c>
      <c r="W484" s="38">
        <f t="shared" si="157"/>
        <v>356.16</v>
      </c>
      <c r="X484" s="38">
        <f t="shared" si="158"/>
        <v>368.45</v>
      </c>
      <c r="Z484" s="4">
        <f t="shared" si="152"/>
        <v>1624</v>
      </c>
      <c r="AA484" s="4">
        <f t="shared" si="153"/>
        <v>1965.04</v>
      </c>
    </row>
    <row r="485" spans="1:27" x14ac:dyDescent="0.3">
      <c r="B485" s="125"/>
      <c r="C485" s="3" t="s">
        <v>1268</v>
      </c>
      <c r="D485" s="55"/>
      <c r="E485" s="55" t="s">
        <v>70</v>
      </c>
      <c r="F485" s="55" t="s">
        <v>222</v>
      </c>
      <c r="G485" s="56">
        <v>0</v>
      </c>
      <c r="H485" s="49">
        <f>1</f>
        <v>1</v>
      </c>
      <c r="I485" s="50"/>
      <c r="J485" s="77">
        <f>+H485-I485</f>
        <v>1</v>
      </c>
      <c r="K485" s="31">
        <v>62.99</v>
      </c>
      <c r="L485" s="32">
        <v>43488</v>
      </c>
      <c r="M485" s="33">
        <v>0.21</v>
      </c>
      <c r="N485" s="64">
        <f t="shared" si="154"/>
        <v>76.2179</v>
      </c>
      <c r="O485" s="68">
        <f t="shared" si="147"/>
        <v>81.89</v>
      </c>
      <c r="P485" s="68">
        <f t="shared" si="148"/>
        <v>85.04</v>
      </c>
      <c r="Q485" s="68">
        <f t="shared" si="149"/>
        <v>88.19</v>
      </c>
      <c r="R485" s="11">
        <f t="shared" si="150"/>
        <v>91.34</v>
      </c>
      <c r="S485" s="11">
        <f t="shared" si="146"/>
        <v>94.484999999999999</v>
      </c>
      <c r="T485" s="11">
        <f t="shared" si="151"/>
        <v>100.78</v>
      </c>
      <c r="U485" s="38">
        <f t="shared" si="155"/>
        <v>102.89</v>
      </c>
      <c r="V485" s="38">
        <f t="shared" si="156"/>
        <v>106.71</v>
      </c>
      <c r="W485" s="38">
        <f t="shared" si="157"/>
        <v>110.52</v>
      </c>
      <c r="X485" s="38">
        <f t="shared" si="158"/>
        <v>114.33</v>
      </c>
      <c r="Z485" s="4"/>
      <c r="AA485" s="4"/>
    </row>
    <row r="486" spans="1:27" x14ac:dyDescent="0.3">
      <c r="A486" s="135"/>
      <c r="B486" s="125"/>
      <c r="C486" s="3" t="s">
        <v>1429</v>
      </c>
      <c r="D486" s="55"/>
      <c r="E486" s="55" t="s">
        <v>70</v>
      </c>
      <c r="F486" s="55" t="s">
        <v>222</v>
      </c>
      <c r="G486" s="56">
        <v>0</v>
      </c>
      <c r="H486" s="49">
        <f>4+1</f>
        <v>5</v>
      </c>
      <c r="I486" s="50">
        <f>4</f>
        <v>4</v>
      </c>
      <c r="J486" s="77">
        <f>+H486-I486</f>
        <v>1</v>
      </c>
      <c r="K486" s="31">
        <v>293.97000000000003</v>
      </c>
      <c r="L486" s="32">
        <v>43488</v>
      </c>
      <c r="M486" s="33">
        <v>0.21</v>
      </c>
      <c r="N486" s="64">
        <f t="shared" si="154"/>
        <v>355.70370000000003</v>
      </c>
      <c r="O486" s="68">
        <f t="shared" si="147"/>
        <v>382.16</v>
      </c>
      <c r="P486" s="68">
        <f t="shared" si="148"/>
        <v>396.86</v>
      </c>
      <c r="Q486" s="68">
        <f t="shared" si="149"/>
        <v>411.56</v>
      </c>
      <c r="R486" s="11">
        <f t="shared" si="150"/>
        <v>426.26</v>
      </c>
      <c r="S486" s="11">
        <f t="shared" si="146"/>
        <v>440.95500000000004</v>
      </c>
      <c r="T486" s="11">
        <f t="shared" si="151"/>
        <v>470.35</v>
      </c>
      <c r="U486" s="38">
        <f t="shared" si="155"/>
        <v>480.2</v>
      </c>
      <c r="V486" s="38">
        <f t="shared" si="156"/>
        <v>497.99</v>
      </c>
      <c r="W486" s="38">
        <f t="shared" si="157"/>
        <v>515.77</v>
      </c>
      <c r="X486" s="38">
        <f t="shared" si="158"/>
        <v>533.55999999999995</v>
      </c>
      <c r="Z486" s="4">
        <f t="shared" si="152"/>
        <v>293.97000000000003</v>
      </c>
      <c r="AA486" s="4">
        <f t="shared" si="153"/>
        <v>355.70370000000003</v>
      </c>
    </row>
    <row r="487" spans="1:27" x14ac:dyDescent="0.3">
      <c r="A487" s="135"/>
      <c r="B487" s="125"/>
      <c r="C487" s="3" t="s">
        <v>1088</v>
      </c>
      <c r="D487" s="55"/>
      <c r="E487" s="55" t="s">
        <v>70</v>
      </c>
      <c r="F487" s="55" t="s">
        <v>222</v>
      </c>
      <c r="G487" s="56">
        <v>0</v>
      </c>
      <c r="H487" s="49">
        <v>2</v>
      </c>
      <c r="I487" s="50">
        <f>0</f>
        <v>0</v>
      </c>
      <c r="J487" s="77">
        <f>+H487-I487</f>
        <v>2</v>
      </c>
      <c r="K487" s="31">
        <v>2340.31</v>
      </c>
      <c r="L487" s="32">
        <v>43488</v>
      </c>
      <c r="M487" s="33">
        <v>0.21</v>
      </c>
      <c r="N487" s="64">
        <f t="shared" si="154"/>
        <v>2831.7750999999998</v>
      </c>
      <c r="O487" s="68">
        <f t="shared" si="147"/>
        <v>3042.4</v>
      </c>
      <c r="P487" s="68">
        <f t="shared" si="148"/>
        <v>3159.42</v>
      </c>
      <c r="Q487" s="68">
        <f t="shared" si="149"/>
        <v>3276.43</v>
      </c>
      <c r="R487" s="11">
        <f t="shared" si="150"/>
        <v>3393.45</v>
      </c>
      <c r="S487" s="11">
        <f t="shared" si="146"/>
        <v>3510.4650000000001</v>
      </c>
      <c r="T487" s="11">
        <f t="shared" si="151"/>
        <v>3744.5</v>
      </c>
      <c r="U487" s="38"/>
      <c r="V487" s="38"/>
      <c r="W487" s="38"/>
      <c r="X487" s="38"/>
      <c r="Z487" s="4">
        <f t="shared" si="152"/>
        <v>4680.62</v>
      </c>
      <c r="AA487" s="4">
        <f t="shared" si="153"/>
        <v>5663.5501999999997</v>
      </c>
    </row>
    <row r="488" spans="1:27" x14ac:dyDescent="0.3">
      <c r="A488" s="135"/>
      <c r="B488" s="125"/>
      <c r="C488" s="3" t="s">
        <v>1430</v>
      </c>
      <c r="D488" s="55" t="s">
        <v>1089</v>
      </c>
      <c r="E488" s="55" t="s">
        <v>70</v>
      </c>
      <c r="F488" s="55" t="s">
        <v>222</v>
      </c>
      <c r="G488" s="56">
        <v>0</v>
      </c>
      <c r="H488" s="49">
        <f>15+5+1+4</f>
        <v>25</v>
      </c>
      <c r="I488" s="50">
        <f>5+5+4+2+4+1</f>
        <v>21</v>
      </c>
      <c r="J488" s="77">
        <f>+H488-I488</f>
        <v>4</v>
      </c>
      <c r="K488" s="31">
        <v>161.85</v>
      </c>
      <c r="L488" s="32">
        <v>43656</v>
      </c>
      <c r="M488" s="33">
        <v>0.21</v>
      </c>
      <c r="N488" s="64">
        <f t="shared" si="154"/>
        <v>195.83849999999998</v>
      </c>
      <c r="O488" s="68"/>
      <c r="P488" s="68"/>
      <c r="Q488" s="68"/>
      <c r="R488" s="11"/>
      <c r="S488" s="11"/>
      <c r="T488" s="11">
        <f t="shared" si="151"/>
        <v>258.95999999999998</v>
      </c>
      <c r="U488" s="38"/>
      <c r="V488" s="38"/>
      <c r="W488" s="38"/>
      <c r="X488" s="38"/>
      <c r="Z488" s="4">
        <f t="shared" si="152"/>
        <v>647.4</v>
      </c>
      <c r="AA488" s="4">
        <f t="shared" si="153"/>
        <v>783.35399999999993</v>
      </c>
    </row>
    <row r="489" spans="1:27" x14ac:dyDescent="0.3">
      <c r="B489" s="125"/>
      <c r="C489" s="3" t="s">
        <v>1042</v>
      </c>
      <c r="D489" s="55" t="s">
        <v>805</v>
      </c>
      <c r="E489" s="55" t="s">
        <v>70</v>
      </c>
      <c r="F489" s="55" t="s">
        <v>222</v>
      </c>
      <c r="G489" s="56">
        <v>0</v>
      </c>
      <c r="H489" s="49">
        <f>3+4</f>
        <v>7</v>
      </c>
      <c r="I489" s="50">
        <f>2+4+1</f>
        <v>7</v>
      </c>
      <c r="J489" s="77">
        <f>+H489-I489</f>
        <v>0</v>
      </c>
      <c r="K489" s="31">
        <v>118.99</v>
      </c>
      <c r="L489" s="32">
        <v>43488</v>
      </c>
      <c r="M489" s="33">
        <v>0.21</v>
      </c>
      <c r="N489" s="64">
        <f t="shared" si="154"/>
        <v>143.97789999999998</v>
      </c>
      <c r="O489" s="68">
        <f t="shared" si="147"/>
        <v>154.69</v>
      </c>
      <c r="P489" s="68">
        <f t="shared" si="148"/>
        <v>160.63999999999999</v>
      </c>
      <c r="Q489" s="68">
        <f t="shared" si="149"/>
        <v>166.59</v>
      </c>
      <c r="R489" s="11">
        <f t="shared" si="150"/>
        <v>172.54</v>
      </c>
      <c r="S489" s="11">
        <f t="shared" si="146"/>
        <v>178.48499999999999</v>
      </c>
      <c r="T489" s="11">
        <f t="shared" si="151"/>
        <v>190.38</v>
      </c>
      <c r="U489" s="38">
        <f t="shared" si="155"/>
        <v>194.37</v>
      </c>
      <c r="V489" s="38">
        <f t="shared" si="156"/>
        <v>201.57</v>
      </c>
      <c r="W489" s="38">
        <f t="shared" si="157"/>
        <v>208.77</v>
      </c>
      <c r="X489" s="38">
        <f t="shared" si="158"/>
        <v>215.97</v>
      </c>
      <c r="Z489" s="4">
        <f t="shared" si="152"/>
        <v>0</v>
      </c>
      <c r="AA489" s="4">
        <f t="shared" si="153"/>
        <v>0</v>
      </c>
    </row>
    <row r="490" spans="1:27" x14ac:dyDescent="0.3">
      <c r="A490" s="135"/>
      <c r="B490" s="125"/>
      <c r="C490" s="3" t="s">
        <v>1431</v>
      </c>
      <c r="D490" s="55"/>
      <c r="E490" s="55" t="s">
        <v>70</v>
      </c>
      <c r="F490" s="55" t="s">
        <v>222</v>
      </c>
      <c r="G490" s="56">
        <v>0</v>
      </c>
      <c r="H490" s="49">
        <f>4+1</f>
        <v>5</v>
      </c>
      <c r="I490" s="50">
        <f>4</f>
        <v>4</v>
      </c>
      <c r="J490" s="77">
        <f>+H490-I490</f>
        <v>1</v>
      </c>
      <c r="K490" s="31">
        <v>179.25</v>
      </c>
      <c r="L490" s="32">
        <v>43255</v>
      </c>
      <c r="M490" s="33">
        <v>0.21</v>
      </c>
      <c r="N490" s="64">
        <f t="shared" si="154"/>
        <v>216.89249999999998</v>
      </c>
      <c r="O490" s="68"/>
      <c r="P490" s="68"/>
      <c r="Q490" s="68"/>
      <c r="R490" s="11"/>
      <c r="S490" s="11"/>
      <c r="T490" s="11">
        <f t="shared" si="151"/>
        <v>286.8</v>
      </c>
      <c r="U490" s="38"/>
      <c r="V490" s="38"/>
      <c r="W490" s="38"/>
      <c r="X490" s="38"/>
      <c r="Z490" s="4">
        <f t="shared" si="152"/>
        <v>179.25</v>
      </c>
      <c r="AA490" s="4">
        <f t="shared" si="153"/>
        <v>216.89249999999998</v>
      </c>
    </row>
    <row r="491" spans="1:27" x14ac:dyDescent="0.3">
      <c r="A491" s="135"/>
      <c r="B491" s="125"/>
      <c r="C491" s="3" t="s">
        <v>1318</v>
      </c>
      <c r="D491" s="55"/>
      <c r="E491" s="55"/>
      <c r="F491" s="55" t="s">
        <v>222</v>
      </c>
      <c r="G491" s="56">
        <v>0</v>
      </c>
      <c r="H491" s="49">
        <f>3+10+1+2</f>
        <v>16</v>
      </c>
      <c r="I491" s="50">
        <f>5+8+2+1</f>
        <v>16</v>
      </c>
      <c r="J491" s="77">
        <f>+H491-I491</f>
        <v>0</v>
      </c>
      <c r="K491" s="31">
        <v>94.19</v>
      </c>
      <c r="L491" s="32">
        <v>43697</v>
      </c>
      <c r="M491" s="33">
        <v>0.21</v>
      </c>
      <c r="N491" s="64">
        <f t="shared" si="154"/>
        <v>113.9699</v>
      </c>
      <c r="O491" s="68"/>
      <c r="P491" s="68"/>
      <c r="Q491" s="68"/>
      <c r="R491" s="11"/>
      <c r="S491" s="11"/>
      <c r="T491" s="11">
        <f t="shared" si="151"/>
        <v>150.69999999999999</v>
      </c>
      <c r="U491" s="38"/>
      <c r="V491" s="38"/>
      <c r="W491" s="38"/>
      <c r="X491" s="38"/>
      <c r="Z491" s="4">
        <f t="shared" si="152"/>
        <v>0</v>
      </c>
      <c r="AA491" s="4">
        <f t="shared" si="153"/>
        <v>0</v>
      </c>
    </row>
    <row r="492" spans="1:27" x14ac:dyDescent="0.3">
      <c r="A492" s="135"/>
      <c r="B492" s="125"/>
      <c r="C492" s="3" t="s">
        <v>488</v>
      </c>
      <c r="D492" s="55" t="s">
        <v>845</v>
      </c>
      <c r="E492" s="55" t="s">
        <v>70</v>
      </c>
      <c r="F492" s="55" t="s">
        <v>222</v>
      </c>
      <c r="G492" s="56">
        <v>0</v>
      </c>
      <c r="H492" s="49">
        <f>11+3</f>
        <v>14</v>
      </c>
      <c r="I492" s="50">
        <v>13</v>
      </c>
      <c r="J492" s="77">
        <f>+H492-I492</f>
        <v>1</v>
      </c>
      <c r="K492" s="31">
        <v>109.99</v>
      </c>
      <c r="L492" s="32">
        <v>43488</v>
      </c>
      <c r="M492" s="33">
        <v>0.21</v>
      </c>
      <c r="N492" s="64">
        <f t="shared" si="154"/>
        <v>133.08789999999999</v>
      </c>
      <c r="O492" s="68">
        <f t="shared" si="147"/>
        <v>142.99</v>
      </c>
      <c r="P492" s="68">
        <f t="shared" si="148"/>
        <v>148.49</v>
      </c>
      <c r="Q492" s="68">
        <f t="shared" si="149"/>
        <v>153.99</v>
      </c>
      <c r="R492" s="11">
        <f t="shared" si="150"/>
        <v>159.49</v>
      </c>
      <c r="S492" s="11">
        <f t="shared" si="146"/>
        <v>164.98499999999999</v>
      </c>
      <c r="T492" s="11">
        <f t="shared" si="151"/>
        <v>175.98</v>
      </c>
      <c r="U492" s="38">
        <f t="shared" si="155"/>
        <v>179.67</v>
      </c>
      <c r="V492" s="38">
        <f t="shared" si="156"/>
        <v>186.32</v>
      </c>
      <c r="W492" s="38">
        <f t="shared" si="157"/>
        <v>192.98</v>
      </c>
      <c r="X492" s="38">
        <f t="shared" si="158"/>
        <v>199.63</v>
      </c>
      <c r="Z492" s="4">
        <f t="shared" si="152"/>
        <v>109.99</v>
      </c>
      <c r="AA492" s="4">
        <f t="shared" si="153"/>
        <v>133.08789999999999</v>
      </c>
    </row>
    <row r="493" spans="1:27" x14ac:dyDescent="0.3">
      <c r="B493" s="125"/>
      <c r="C493" s="3" t="s">
        <v>1016</v>
      </c>
      <c r="D493" s="55"/>
      <c r="E493" s="55"/>
      <c r="F493" s="55" t="s">
        <v>222</v>
      </c>
      <c r="G493" s="56">
        <v>0</v>
      </c>
      <c r="H493" s="49">
        <v>1</v>
      </c>
      <c r="I493" s="50">
        <f>1</f>
        <v>1</v>
      </c>
      <c r="J493" s="77">
        <f>+H493-I493</f>
        <v>0</v>
      </c>
      <c r="K493" s="31">
        <v>126</v>
      </c>
      <c r="L493" s="32">
        <v>43488</v>
      </c>
      <c r="M493" s="33">
        <v>0.21</v>
      </c>
      <c r="N493" s="64">
        <f t="shared" si="154"/>
        <v>152.46</v>
      </c>
      <c r="O493" s="68">
        <f t="shared" si="147"/>
        <v>163.80000000000001</v>
      </c>
      <c r="P493" s="68">
        <f t="shared" si="148"/>
        <v>170.1</v>
      </c>
      <c r="Q493" s="68">
        <f t="shared" si="149"/>
        <v>176.4</v>
      </c>
      <c r="R493" s="11">
        <f t="shared" si="150"/>
        <v>182.7</v>
      </c>
      <c r="S493" s="11">
        <f t="shared" si="146"/>
        <v>189</v>
      </c>
      <c r="T493" s="11">
        <f t="shared" si="151"/>
        <v>201.6</v>
      </c>
      <c r="U493" s="38"/>
      <c r="V493" s="38"/>
      <c r="W493" s="38"/>
      <c r="X493" s="38"/>
      <c r="Z493" s="4">
        <f t="shared" si="152"/>
        <v>0</v>
      </c>
      <c r="AA493" s="4">
        <f t="shared" si="153"/>
        <v>0</v>
      </c>
    </row>
    <row r="494" spans="1:27" x14ac:dyDescent="0.3">
      <c r="B494" s="125"/>
      <c r="C494" s="3" t="s">
        <v>64</v>
      </c>
      <c r="D494" s="55" t="s">
        <v>468</v>
      </c>
      <c r="E494" s="55" t="s">
        <v>70</v>
      </c>
      <c r="F494" s="55" t="s">
        <v>222</v>
      </c>
      <c r="G494" s="56">
        <v>0</v>
      </c>
      <c r="H494" s="49">
        <v>4</v>
      </c>
      <c r="I494" s="50">
        <f>0+2</f>
        <v>2</v>
      </c>
      <c r="J494" s="77">
        <f>+H494-I494</f>
        <v>2</v>
      </c>
      <c r="K494" s="31">
        <v>138</v>
      </c>
      <c r="L494" s="32">
        <v>43488</v>
      </c>
      <c r="M494" s="33">
        <v>0.21</v>
      </c>
      <c r="N494" s="64">
        <f t="shared" si="154"/>
        <v>166.98</v>
      </c>
      <c r="O494" s="68">
        <f t="shared" si="147"/>
        <v>179.4</v>
      </c>
      <c r="P494" s="68">
        <f t="shared" si="148"/>
        <v>186.3</v>
      </c>
      <c r="Q494" s="68">
        <f t="shared" si="149"/>
        <v>193.2</v>
      </c>
      <c r="R494" s="11">
        <f t="shared" si="150"/>
        <v>200.1</v>
      </c>
      <c r="S494" s="11">
        <f t="shared" si="146"/>
        <v>207</v>
      </c>
      <c r="T494" s="11">
        <f t="shared" si="151"/>
        <v>220.8</v>
      </c>
      <c r="U494" s="38">
        <f t="shared" si="155"/>
        <v>225.42</v>
      </c>
      <c r="V494" s="38">
        <f t="shared" si="156"/>
        <v>233.77</v>
      </c>
      <c r="W494" s="38">
        <f t="shared" si="157"/>
        <v>242.12</v>
      </c>
      <c r="X494" s="38">
        <f t="shared" si="158"/>
        <v>250.47</v>
      </c>
      <c r="Z494" s="4">
        <f t="shared" si="152"/>
        <v>276</v>
      </c>
      <c r="AA494" s="4">
        <f t="shared" si="153"/>
        <v>333.96</v>
      </c>
    </row>
    <row r="495" spans="1:27" x14ac:dyDescent="0.3">
      <c r="B495" s="125"/>
      <c r="C495" s="3" t="s">
        <v>1296</v>
      </c>
      <c r="D495" s="55" t="s">
        <v>1297</v>
      </c>
      <c r="E495" s="55" t="s">
        <v>70</v>
      </c>
      <c r="F495" s="55" t="s">
        <v>222</v>
      </c>
      <c r="G495" s="56">
        <v>0</v>
      </c>
      <c r="H495" s="49">
        <f>2</f>
        <v>2</v>
      </c>
      <c r="I495" s="50">
        <f>1+1</f>
        <v>2</v>
      </c>
      <c r="J495" s="77">
        <f>+H495-I495</f>
        <v>0</v>
      </c>
      <c r="K495" s="31">
        <v>125.98</v>
      </c>
      <c r="L495" s="32">
        <v>43488</v>
      </c>
      <c r="M495" s="33">
        <v>0.21</v>
      </c>
      <c r="N495" s="64">
        <f t="shared" si="154"/>
        <v>152.4358</v>
      </c>
      <c r="O495" s="68">
        <f t="shared" si="147"/>
        <v>163.77000000000001</v>
      </c>
      <c r="P495" s="68">
        <f t="shared" si="148"/>
        <v>170.07</v>
      </c>
      <c r="Q495" s="68">
        <f t="shared" si="149"/>
        <v>176.37</v>
      </c>
      <c r="R495" s="11">
        <f t="shared" si="150"/>
        <v>182.67</v>
      </c>
      <c r="S495" s="11">
        <f t="shared" si="146"/>
        <v>188.97</v>
      </c>
      <c r="T495" s="11">
        <f t="shared" si="151"/>
        <v>201.57</v>
      </c>
      <c r="U495" s="38"/>
      <c r="V495" s="38"/>
      <c r="W495" s="38"/>
      <c r="X495" s="38"/>
      <c r="Z495" s="4">
        <f t="shared" si="152"/>
        <v>0</v>
      </c>
      <c r="AA495" s="4">
        <f t="shared" si="153"/>
        <v>0</v>
      </c>
    </row>
    <row r="496" spans="1:27" x14ac:dyDescent="0.3">
      <c r="A496" s="135"/>
      <c r="B496" s="125"/>
      <c r="C496" s="3" t="s">
        <v>738</v>
      </c>
      <c r="D496" s="55" t="s">
        <v>718</v>
      </c>
      <c r="E496" s="55" t="s">
        <v>70</v>
      </c>
      <c r="F496" s="55" t="s">
        <v>222</v>
      </c>
      <c r="G496" s="56">
        <v>0</v>
      </c>
      <c r="H496" s="49">
        <f>4</f>
        <v>4</v>
      </c>
      <c r="I496" s="50">
        <v>1</v>
      </c>
      <c r="J496" s="77">
        <f>+H496-I496</f>
        <v>3</v>
      </c>
      <c r="K496" s="31">
        <v>129.68</v>
      </c>
      <c r="L496" s="32">
        <v>42936</v>
      </c>
      <c r="M496" s="33">
        <v>0.21</v>
      </c>
      <c r="N496" s="64">
        <f t="shared" si="154"/>
        <v>156.9128</v>
      </c>
      <c r="O496" s="68">
        <f t="shared" si="147"/>
        <v>168.58</v>
      </c>
      <c r="P496" s="68">
        <f t="shared" si="148"/>
        <v>175.07</v>
      </c>
      <c r="Q496" s="68">
        <f t="shared" si="149"/>
        <v>181.55</v>
      </c>
      <c r="R496" s="11">
        <f t="shared" si="150"/>
        <v>188.04</v>
      </c>
      <c r="S496" s="11">
        <f t="shared" si="146"/>
        <v>194.52</v>
      </c>
      <c r="T496" s="11">
        <f t="shared" si="151"/>
        <v>207.49</v>
      </c>
      <c r="U496" s="38">
        <f t="shared" si="155"/>
        <v>211.83</v>
      </c>
      <c r="V496" s="38">
        <f t="shared" si="156"/>
        <v>219.68</v>
      </c>
      <c r="W496" s="38">
        <f t="shared" si="157"/>
        <v>227.52</v>
      </c>
      <c r="X496" s="38">
        <f t="shared" si="158"/>
        <v>235.37</v>
      </c>
      <c r="Z496" s="4">
        <f t="shared" si="152"/>
        <v>389.04</v>
      </c>
      <c r="AA496" s="4">
        <f t="shared" si="153"/>
        <v>470.73840000000001</v>
      </c>
    </row>
    <row r="497" spans="1:27" x14ac:dyDescent="0.3">
      <c r="A497" s="140"/>
      <c r="B497" s="125"/>
      <c r="C497" s="3" t="s">
        <v>65</v>
      </c>
      <c r="D497" s="55" t="s">
        <v>469</v>
      </c>
      <c r="E497" s="55" t="s">
        <v>70</v>
      </c>
      <c r="F497" s="55" t="s">
        <v>222</v>
      </c>
      <c r="G497" s="56">
        <v>3</v>
      </c>
      <c r="H497" s="49">
        <f>10+10+4+3+1</f>
        <v>28</v>
      </c>
      <c r="I497" s="50">
        <f>2+1+2+4+1+1+1+1+6+2+1+1+1+1+1+2</f>
        <v>28</v>
      </c>
      <c r="J497" s="77">
        <f>+H497-I497</f>
        <v>0</v>
      </c>
      <c r="K497" s="31">
        <v>258.8</v>
      </c>
      <c r="L497" s="32">
        <v>44041</v>
      </c>
      <c r="M497" s="33">
        <v>0.21</v>
      </c>
      <c r="N497" s="64">
        <f t="shared" si="154"/>
        <v>313.14800000000002</v>
      </c>
      <c r="O497" s="68">
        <f t="shared" si="147"/>
        <v>336.44</v>
      </c>
      <c r="P497" s="68">
        <f t="shared" si="148"/>
        <v>349.38</v>
      </c>
      <c r="Q497" s="68">
        <f t="shared" si="149"/>
        <v>362.32</v>
      </c>
      <c r="R497" s="11">
        <f t="shared" si="150"/>
        <v>375.26</v>
      </c>
      <c r="S497" s="11">
        <f t="shared" si="146"/>
        <v>388.20000000000005</v>
      </c>
      <c r="T497" s="11">
        <f t="shared" si="151"/>
        <v>414.08</v>
      </c>
      <c r="U497" s="38">
        <f t="shared" si="155"/>
        <v>422.75</v>
      </c>
      <c r="V497" s="38">
        <f t="shared" si="156"/>
        <v>438.41</v>
      </c>
      <c r="W497" s="38">
        <f t="shared" si="157"/>
        <v>454.06</v>
      </c>
      <c r="X497" s="38">
        <f t="shared" si="158"/>
        <v>469.72</v>
      </c>
      <c r="Z497" s="4">
        <f t="shared" si="152"/>
        <v>0</v>
      </c>
      <c r="AA497" s="4">
        <f t="shared" si="153"/>
        <v>0</v>
      </c>
    </row>
    <row r="498" spans="1:27" x14ac:dyDescent="0.3">
      <c r="A498" s="140"/>
      <c r="B498" s="125"/>
      <c r="C498" s="3" t="s">
        <v>1345</v>
      </c>
      <c r="D498" s="55"/>
      <c r="E498" s="55" t="s">
        <v>70</v>
      </c>
      <c r="F498" s="55" t="s">
        <v>222</v>
      </c>
      <c r="G498" s="56">
        <v>2</v>
      </c>
      <c r="H498" s="49">
        <f>1+3</f>
        <v>4</v>
      </c>
      <c r="I498" s="50">
        <f>1+1+1+1</f>
        <v>4</v>
      </c>
      <c r="J498" s="77">
        <f>+H498-I498</f>
        <v>0</v>
      </c>
      <c r="K498" s="31">
        <v>246.17</v>
      </c>
      <c r="L498" s="32">
        <v>44020</v>
      </c>
      <c r="M498" s="33">
        <v>0.21</v>
      </c>
      <c r="N498" s="64">
        <f t="shared" si="154"/>
        <v>297.8657</v>
      </c>
      <c r="O498" s="68">
        <f t="shared" si="147"/>
        <v>320.02</v>
      </c>
      <c r="P498" s="68">
        <f t="shared" si="148"/>
        <v>332.33</v>
      </c>
      <c r="Q498" s="68">
        <f t="shared" si="149"/>
        <v>344.64</v>
      </c>
      <c r="R498" s="11">
        <f t="shared" si="150"/>
        <v>356.95</v>
      </c>
      <c r="S498" s="11">
        <f t="shared" si="146"/>
        <v>369.255</v>
      </c>
      <c r="T498" s="11">
        <f t="shared" si="151"/>
        <v>393.87</v>
      </c>
      <c r="U498" s="38">
        <f t="shared" si="155"/>
        <v>402.12</v>
      </c>
      <c r="V498" s="38">
        <f t="shared" si="156"/>
        <v>417.01</v>
      </c>
      <c r="W498" s="38">
        <f t="shared" si="157"/>
        <v>431.91</v>
      </c>
      <c r="X498" s="38">
        <f t="shared" si="158"/>
        <v>446.8</v>
      </c>
      <c r="Z498" s="4">
        <f t="shared" si="152"/>
        <v>0</v>
      </c>
      <c r="AA498" s="4">
        <f t="shared" si="153"/>
        <v>0</v>
      </c>
    </row>
    <row r="499" spans="1:27" x14ac:dyDescent="0.3">
      <c r="A499" s="140"/>
      <c r="C499" s="3" t="s">
        <v>1196</v>
      </c>
      <c r="D499" s="55"/>
      <c r="E499" s="55" t="s">
        <v>70</v>
      </c>
      <c r="F499" s="55" t="s">
        <v>222</v>
      </c>
      <c r="G499" s="56">
        <v>0</v>
      </c>
      <c r="H499" s="49">
        <v>7</v>
      </c>
      <c r="I499" s="50">
        <f>4+3</f>
        <v>7</v>
      </c>
      <c r="J499" s="77">
        <f>+H499-I499</f>
        <v>0</v>
      </c>
      <c r="K499" s="31">
        <v>195.98</v>
      </c>
      <c r="L499" s="32">
        <v>43490</v>
      </c>
      <c r="M499" s="33">
        <v>0.21</v>
      </c>
      <c r="N499" s="64">
        <f t="shared" si="154"/>
        <v>237.13579999999999</v>
      </c>
      <c r="O499" s="68">
        <f t="shared" si="147"/>
        <v>254.77</v>
      </c>
      <c r="P499" s="68">
        <f t="shared" si="148"/>
        <v>264.57</v>
      </c>
      <c r="Q499" s="68">
        <f t="shared" si="149"/>
        <v>274.37</v>
      </c>
      <c r="R499" s="11">
        <f t="shared" si="150"/>
        <v>284.17</v>
      </c>
      <c r="S499" s="11">
        <f t="shared" si="146"/>
        <v>293.96999999999997</v>
      </c>
      <c r="T499" s="11">
        <f t="shared" si="151"/>
        <v>313.57</v>
      </c>
      <c r="U499" s="38">
        <f t="shared" si="155"/>
        <v>320.13</v>
      </c>
      <c r="V499" s="38">
        <f t="shared" si="156"/>
        <v>331.99</v>
      </c>
      <c r="W499" s="38">
        <f t="shared" si="157"/>
        <v>343.85</v>
      </c>
      <c r="X499" s="38">
        <f t="shared" si="158"/>
        <v>355.7</v>
      </c>
      <c r="Z499" s="4">
        <f t="shared" si="152"/>
        <v>0</v>
      </c>
      <c r="AA499" s="4">
        <f t="shared" si="153"/>
        <v>0</v>
      </c>
    </row>
    <row r="500" spans="1:27" x14ac:dyDescent="0.3">
      <c r="A500" s="135"/>
      <c r="C500" s="3" t="s">
        <v>566</v>
      </c>
      <c r="D500" s="55" t="s">
        <v>638</v>
      </c>
      <c r="E500" s="55" t="s">
        <v>70</v>
      </c>
      <c r="F500" s="55" t="s">
        <v>222</v>
      </c>
      <c r="G500" s="56">
        <v>0</v>
      </c>
      <c r="H500" s="49">
        <f>4</f>
        <v>4</v>
      </c>
      <c r="I500" s="50">
        <v>2</v>
      </c>
      <c r="J500" s="77">
        <f>+H500-I500</f>
        <v>2</v>
      </c>
      <c r="K500" s="31">
        <v>335.96</v>
      </c>
      <c r="L500" s="32">
        <v>43490</v>
      </c>
      <c r="M500" s="33">
        <v>0.21</v>
      </c>
      <c r="N500" s="64">
        <f t="shared" si="154"/>
        <v>406.51159999999999</v>
      </c>
      <c r="O500" s="68">
        <f t="shared" si="147"/>
        <v>436.75</v>
      </c>
      <c r="P500" s="68">
        <f t="shared" si="148"/>
        <v>453.55</v>
      </c>
      <c r="Q500" s="68">
        <f t="shared" si="149"/>
        <v>470.34</v>
      </c>
      <c r="R500" s="11">
        <f t="shared" si="150"/>
        <v>487.14</v>
      </c>
      <c r="S500" s="11">
        <f t="shared" si="146"/>
        <v>503.93999999999994</v>
      </c>
      <c r="T500" s="11">
        <f t="shared" si="151"/>
        <v>537.54</v>
      </c>
      <c r="U500" s="38">
        <f t="shared" si="155"/>
        <v>548.79</v>
      </c>
      <c r="V500" s="38">
        <f t="shared" si="156"/>
        <v>569.12</v>
      </c>
      <c r="W500" s="38">
        <f t="shared" si="157"/>
        <v>589.44000000000005</v>
      </c>
      <c r="X500" s="38">
        <f t="shared" si="158"/>
        <v>609.77</v>
      </c>
      <c r="Z500" s="4">
        <f t="shared" si="152"/>
        <v>671.92</v>
      </c>
      <c r="AA500" s="4">
        <f t="shared" si="153"/>
        <v>813.02319999999997</v>
      </c>
    </row>
    <row r="501" spans="1:27" x14ac:dyDescent="0.3">
      <c r="A501" s="135"/>
      <c r="B501" s="125"/>
      <c r="C501" s="3" t="s">
        <v>1097</v>
      </c>
      <c r="D501" s="55" t="s">
        <v>1259</v>
      </c>
      <c r="E501" s="55" t="s">
        <v>70</v>
      </c>
      <c r="F501" s="55" t="s">
        <v>1178</v>
      </c>
      <c r="G501" s="56">
        <v>10</v>
      </c>
      <c r="H501" s="49">
        <f>100+100+100+100+100+100</f>
        <v>600</v>
      </c>
      <c r="I501" s="50">
        <f>16+20+60+10+20+20+54+100+100+50+50+50+25+25</f>
        <v>600</v>
      </c>
      <c r="J501" s="77">
        <f>+H501-I501</f>
        <v>0</v>
      </c>
      <c r="K501" s="31">
        <v>15.32</v>
      </c>
      <c r="L501" s="32">
        <v>43690</v>
      </c>
      <c r="M501" s="33">
        <v>0.21</v>
      </c>
      <c r="N501" s="64">
        <f t="shared" si="154"/>
        <v>18.537199999999999</v>
      </c>
      <c r="O501" s="68">
        <f t="shared" si="147"/>
        <v>19.920000000000002</v>
      </c>
      <c r="P501" s="68">
        <f t="shared" si="148"/>
        <v>20.68</v>
      </c>
      <c r="Q501" s="68">
        <f t="shared" si="149"/>
        <v>21.45</v>
      </c>
      <c r="R501" s="11">
        <f t="shared" si="150"/>
        <v>22.21</v>
      </c>
      <c r="S501" s="11">
        <f t="shared" si="146"/>
        <v>22.98</v>
      </c>
      <c r="T501" s="11">
        <f t="shared" si="151"/>
        <v>24.51</v>
      </c>
      <c r="U501" s="38">
        <f t="shared" si="155"/>
        <v>25.03</v>
      </c>
      <c r="V501" s="38">
        <f t="shared" si="156"/>
        <v>25.95</v>
      </c>
      <c r="W501" s="38">
        <f t="shared" si="157"/>
        <v>26.88</v>
      </c>
      <c r="X501" s="38">
        <f t="shared" si="158"/>
        <v>27.81</v>
      </c>
      <c r="Z501" s="4">
        <f t="shared" si="152"/>
        <v>0</v>
      </c>
      <c r="AA501" s="4">
        <f t="shared" si="153"/>
        <v>0</v>
      </c>
    </row>
    <row r="502" spans="1:27" x14ac:dyDescent="0.3">
      <c r="A502" s="135"/>
      <c r="B502" s="125"/>
      <c r="C502" s="3" t="s">
        <v>1210</v>
      </c>
      <c r="D502" s="55" t="s">
        <v>1157</v>
      </c>
      <c r="E502" s="55" t="s">
        <v>70</v>
      </c>
      <c r="F502" s="55" t="s">
        <v>1226</v>
      </c>
      <c r="G502" s="56">
        <v>30</v>
      </c>
      <c r="H502" s="49">
        <f>100+10+100+100</f>
        <v>310</v>
      </c>
      <c r="I502" s="50">
        <f>60+30+10+10+10+10+80+20+20</f>
        <v>250</v>
      </c>
      <c r="J502" s="77">
        <f>+H502-I502</f>
        <v>60</v>
      </c>
      <c r="K502" s="31">
        <v>13.02</v>
      </c>
      <c r="L502" s="32">
        <v>44076</v>
      </c>
      <c r="M502" s="33">
        <v>0.21</v>
      </c>
      <c r="N502" s="64">
        <f t="shared" si="154"/>
        <v>15.754199999999999</v>
      </c>
      <c r="O502" s="68">
        <f t="shared" si="147"/>
        <v>16.93</v>
      </c>
      <c r="P502" s="68">
        <f t="shared" si="148"/>
        <v>17.579999999999998</v>
      </c>
      <c r="Q502" s="68">
        <f t="shared" si="149"/>
        <v>18.23</v>
      </c>
      <c r="R502" s="11">
        <f t="shared" si="150"/>
        <v>18.88</v>
      </c>
      <c r="S502" s="11">
        <f t="shared" si="146"/>
        <v>19.53</v>
      </c>
      <c r="T502" s="11">
        <f t="shared" si="151"/>
        <v>20.83</v>
      </c>
      <c r="U502" s="38">
        <f t="shared" si="155"/>
        <v>21.27</v>
      </c>
      <c r="V502" s="38">
        <f t="shared" si="156"/>
        <v>22.06</v>
      </c>
      <c r="W502" s="38">
        <f t="shared" si="157"/>
        <v>22.84</v>
      </c>
      <c r="X502" s="38">
        <f t="shared" si="158"/>
        <v>23.63</v>
      </c>
      <c r="Z502" s="4"/>
      <c r="AA502" s="4"/>
    </row>
    <row r="503" spans="1:27" x14ac:dyDescent="0.3">
      <c r="A503" s="135"/>
      <c r="B503" s="125"/>
      <c r="C503" s="3" t="s">
        <v>1085</v>
      </c>
      <c r="D503" s="55" t="s">
        <v>1311</v>
      </c>
      <c r="E503" s="55" t="s">
        <v>1109</v>
      </c>
      <c r="F503" s="55" t="s">
        <v>783</v>
      </c>
      <c r="G503" s="56">
        <v>30</v>
      </c>
      <c r="H503" s="49">
        <f>210+100+100+100+100</f>
        <v>610</v>
      </c>
      <c r="I503" s="50">
        <f>0+50+30+30+10+90+6+100+40+10+100+44+100</f>
        <v>610</v>
      </c>
      <c r="J503" s="77">
        <f>+H503-I503</f>
        <v>0</v>
      </c>
      <c r="K503" s="31">
        <v>15.83</v>
      </c>
      <c r="L503" s="32">
        <v>44230</v>
      </c>
      <c r="M503" s="33">
        <v>0.21</v>
      </c>
      <c r="N503" s="64">
        <f t="shared" si="154"/>
        <v>19.154299999999999</v>
      </c>
      <c r="O503" s="68">
        <f t="shared" si="147"/>
        <v>20.58</v>
      </c>
      <c r="P503" s="68">
        <f t="shared" si="148"/>
        <v>21.37</v>
      </c>
      <c r="Q503" s="68">
        <f t="shared" si="149"/>
        <v>22.16</v>
      </c>
      <c r="R503" s="11">
        <f t="shared" si="150"/>
        <v>22.95</v>
      </c>
      <c r="S503" s="11">
        <f t="shared" si="146"/>
        <v>23.745000000000001</v>
      </c>
      <c r="T503" s="11">
        <f t="shared" si="151"/>
        <v>25.33</v>
      </c>
      <c r="U503" s="38">
        <f t="shared" si="155"/>
        <v>25.86</v>
      </c>
      <c r="V503" s="38">
        <f t="shared" si="156"/>
        <v>26.82</v>
      </c>
      <c r="W503" s="38">
        <f t="shared" si="157"/>
        <v>27.77</v>
      </c>
      <c r="X503" s="38">
        <f t="shared" si="158"/>
        <v>28.73</v>
      </c>
      <c r="Z503" s="4"/>
      <c r="AA503" s="4"/>
    </row>
    <row r="504" spans="1:27" x14ac:dyDescent="0.3">
      <c r="A504" s="135"/>
      <c r="B504" s="125"/>
      <c r="C504" s="3" t="s">
        <v>63</v>
      </c>
      <c r="D504" s="55" t="s">
        <v>639</v>
      </c>
      <c r="E504" s="55" t="s">
        <v>70</v>
      </c>
      <c r="F504" s="55" t="s">
        <v>222</v>
      </c>
      <c r="G504" s="56">
        <v>0</v>
      </c>
      <c r="H504" s="49">
        <f>1</f>
        <v>1</v>
      </c>
      <c r="I504" s="50">
        <f>0</f>
        <v>0</v>
      </c>
      <c r="J504" s="77">
        <f>+H504-I504</f>
        <v>1</v>
      </c>
      <c r="K504" s="31">
        <v>200</v>
      </c>
      <c r="L504" s="32">
        <v>43490</v>
      </c>
      <c r="M504" s="33">
        <v>0.21</v>
      </c>
      <c r="N504" s="64">
        <f t="shared" si="154"/>
        <v>242</v>
      </c>
      <c r="O504" s="68">
        <f t="shared" si="147"/>
        <v>260</v>
      </c>
      <c r="P504" s="68">
        <f t="shared" si="148"/>
        <v>270</v>
      </c>
      <c r="Q504" s="68">
        <f t="shared" si="149"/>
        <v>280</v>
      </c>
      <c r="R504" s="11">
        <f t="shared" si="150"/>
        <v>290</v>
      </c>
      <c r="S504" s="11">
        <f t="shared" si="146"/>
        <v>300</v>
      </c>
      <c r="T504" s="11">
        <f t="shared" si="151"/>
        <v>320</v>
      </c>
      <c r="U504" s="38">
        <f t="shared" si="155"/>
        <v>326.7</v>
      </c>
      <c r="V504" s="38">
        <f t="shared" si="156"/>
        <v>338.8</v>
      </c>
      <c r="W504" s="38">
        <f t="shared" si="157"/>
        <v>350.9</v>
      </c>
      <c r="X504" s="38">
        <f t="shared" si="158"/>
        <v>363</v>
      </c>
      <c r="Z504" s="4">
        <f t="shared" si="152"/>
        <v>200</v>
      </c>
      <c r="AA504" s="4">
        <f t="shared" si="153"/>
        <v>242</v>
      </c>
    </row>
    <row r="505" spans="1:27" x14ac:dyDescent="0.3">
      <c r="A505" s="135"/>
      <c r="B505" s="125"/>
      <c r="C505" s="3" t="s">
        <v>1276</v>
      </c>
      <c r="D505" s="55"/>
      <c r="E505" s="55" t="s">
        <v>52</v>
      </c>
      <c r="F505" s="55" t="s">
        <v>221</v>
      </c>
      <c r="G505" s="56">
        <v>2</v>
      </c>
      <c r="H505" s="49">
        <f>1+2+3+1</f>
        <v>7</v>
      </c>
      <c r="I505" s="50">
        <f>1+1+1+1+1+1</f>
        <v>6</v>
      </c>
      <c r="J505" s="77">
        <f>+H505-I505</f>
        <v>1</v>
      </c>
      <c r="K505" s="31">
        <v>5993.19</v>
      </c>
      <c r="L505" s="32">
        <v>44186</v>
      </c>
      <c r="M505" s="33">
        <v>0.21</v>
      </c>
      <c r="N505" s="64">
        <f>+K505*(1+M505)</f>
        <v>7251.7598999999991</v>
      </c>
      <c r="O505" s="68">
        <f t="shared" si="147"/>
        <v>7791.15</v>
      </c>
      <c r="P505" s="68">
        <f t="shared" si="148"/>
        <v>8090.81</v>
      </c>
      <c r="Q505" s="68">
        <f t="shared" si="149"/>
        <v>8390.4699999999993</v>
      </c>
      <c r="R505" s="11">
        <f t="shared" si="150"/>
        <v>8690.1299999999992</v>
      </c>
      <c r="S505" s="11">
        <f t="shared" si="146"/>
        <v>8989.7849999999999</v>
      </c>
      <c r="T505" s="11">
        <f t="shared" si="151"/>
        <v>9589.1</v>
      </c>
      <c r="U505" s="38">
        <f t="shared" si="155"/>
        <v>9789.8799999999992</v>
      </c>
      <c r="V505" s="38">
        <f t="shared" si="156"/>
        <v>10152.459999999999</v>
      </c>
      <c r="W505" s="38">
        <f t="shared" si="157"/>
        <v>10515.05</v>
      </c>
      <c r="X505" s="38">
        <f t="shared" si="158"/>
        <v>10877.64</v>
      </c>
      <c r="Z505" s="4">
        <f t="shared" si="152"/>
        <v>5993.19</v>
      </c>
      <c r="AA505" s="4">
        <f t="shared" si="153"/>
        <v>7251.7598999999991</v>
      </c>
    </row>
    <row r="506" spans="1:27" x14ac:dyDescent="0.3">
      <c r="A506" s="135"/>
      <c r="B506" s="125"/>
      <c r="C506" s="3" t="s">
        <v>1472</v>
      </c>
      <c r="D506" s="55"/>
      <c r="E506" s="55" t="s">
        <v>52</v>
      </c>
      <c r="F506" s="55" t="s">
        <v>221</v>
      </c>
      <c r="G506" s="56">
        <v>0</v>
      </c>
      <c r="H506" s="49">
        <f>1</f>
        <v>1</v>
      </c>
      <c r="I506" s="50">
        <f>1</f>
        <v>1</v>
      </c>
      <c r="J506" s="77">
        <f>+H506-I506</f>
        <v>0</v>
      </c>
      <c r="K506" s="31">
        <v>5993.19</v>
      </c>
      <c r="L506" s="32">
        <v>44098</v>
      </c>
      <c r="M506" s="33">
        <v>0.21</v>
      </c>
      <c r="N506" s="64">
        <f>+K506*(1+M506)</f>
        <v>7251.7598999999991</v>
      </c>
      <c r="O506" s="68">
        <f t="shared" si="147"/>
        <v>7791.15</v>
      </c>
      <c r="P506" s="68">
        <f t="shared" si="148"/>
        <v>8090.81</v>
      </c>
      <c r="Q506" s="68">
        <f t="shared" si="149"/>
        <v>8390.4699999999993</v>
      </c>
      <c r="R506" s="11">
        <f t="shared" si="150"/>
        <v>8690.1299999999992</v>
      </c>
      <c r="S506" s="11">
        <f t="shared" si="146"/>
        <v>8989.7849999999999</v>
      </c>
      <c r="T506" s="11">
        <f t="shared" si="151"/>
        <v>9589.1</v>
      </c>
      <c r="U506" s="38">
        <f t="shared" si="155"/>
        <v>9789.8799999999992</v>
      </c>
      <c r="V506" s="38">
        <f t="shared" si="156"/>
        <v>10152.459999999999</v>
      </c>
      <c r="W506" s="38">
        <f t="shared" si="157"/>
        <v>10515.05</v>
      </c>
      <c r="X506" s="38">
        <f t="shared" si="158"/>
        <v>10877.64</v>
      </c>
      <c r="Z506" s="4"/>
      <c r="AA506" s="4"/>
    </row>
    <row r="507" spans="1:27" x14ac:dyDescent="0.3">
      <c r="B507" s="125"/>
      <c r="C507" s="3" t="s">
        <v>920</v>
      </c>
      <c r="D507" s="55"/>
      <c r="E507" s="55" t="s">
        <v>70</v>
      </c>
      <c r="F507" s="55" t="s">
        <v>222</v>
      </c>
      <c r="G507" s="56">
        <v>0</v>
      </c>
      <c r="H507" s="49">
        <v>7</v>
      </c>
      <c r="I507" s="50">
        <f>3+2+1</f>
        <v>6</v>
      </c>
      <c r="J507" s="77">
        <f>+H507-I507</f>
        <v>1</v>
      </c>
      <c r="K507" s="31">
        <v>200</v>
      </c>
      <c r="L507" s="32">
        <v>42936</v>
      </c>
      <c r="M507" s="33">
        <v>0.21</v>
      </c>
      <c r="N507" s="64">
        <f t="shared" si="154"/>
        <v>242</v>
      </c>
      <c r="O507" s="68">
        <f t="shared" si="147"/>
        <v>260</v>
      </c>
      <c r="P507" s="68">
        <f t="shared" si="148"/>
        <v>270</v>
      </c>
      <c r="Q507" s="68">
        <f t="shared" si="149"/>
        <v>280</v>
      </c>
      <c r="R507" s="11">
        <f t="shared" si="150"/>
        <v>290</v>
      </c>
      <c r="S507" s="11">
        <f t="shared" si="146"/>
        <v>300</v>
      </c>
      <c r="T507" s="11">
        <f t="shared" si="151"/>
        <v>320</v>
      </c>
      <c r="U507" s="38">
        <f t="shared" si="155"/>
        <v>326.7</v>
      </c>
      <c r="V507" s="38">
        <f t="shared" si="156"/>
        <v>338.8</v>
      </c>
      <c r="W507" s="38">
        <f t="shared" si="157"/>
        <v>350.9</v>
      </c>
      <c r="X507" s="38">
        <f t="shared" si="158"/>
        <v>363</v>
      </c>
      <c r="Z507" s="4">
        <f t="shared" si="152"/>
        <v>200</v>
      </c>
      <c r="AA507" s="4">
        <f t="shared" si="153"/>
        <v>242</v>
      </c>
    </row>
    <row r="508" spans="1:27" x14ac:dyDescent="0.3">
      <c r="A508" s="135"/>
      <c r="B508" s="125"/>
      <c r="C508" s="3" t="s">
        <v>1427</v>
      </c>
      <c r="D508" s="55"/>
      <c r="E508" s="55" t="s">
        <v>70</v>
      </c>
      <c r="F508" s="55" t="s">
        <v>222</v>
      </c>
      <c r="G508" s="56">
        <v>0</v>
      </c>
      <c r="H508" s="49">
        <f>4+1</f>
        <v>5</v>
      </c>
      <c r="I508" s="50">
        <f>4+1</f>
        <v>5</v>
      </c>
      <c r="J508" s="77">
        <f>+H508-I508</f>
        <v>0</v>
      </c>
      <c r="K508" s="31">
        <v>182</v>
      </c>
      <c r="L508" s="32">
        <v>43255</v>
      </c>
      <c r="M508" s="33">
        <v>0.21</v>
      </c>
      <c r="N508" s="64">
        <f t="shared" si="154"/>
        <v>220.22</v>
      </c>
      <c r="O508" s="68">
        <f t="shared" si="147"/>
        <v>236.6</v>
      </c>
      <c r="P508" s="68">
        <f t="shared" si="148"/>
        <v>245.7</v>
      </c>
      <c r="Q508" s="68">
        <f t="shared" si="149"/>
        <v>254.8</v>
      </c>
      <c r="R508" s="11">
        <f t="shared" si="150"/>
        <v>263.89999999999998</v>
      </c>
      <c r="S508" s="11">
        <f t="shared" si="146"/>
        <v>273</v>
      </c>
      <c r="T508" s="11">
        <f t="shared" si="151"/>
        <v>291.2</v>
      </c>
      <c r="U508" s="38">
        <f t="shared" si="155"/>
        <v>297.3</v>
      </c>
      <c r="V508" s="38">
        <f t="shared" si="156"/>
        <v>308.31</v>
      </c>
      <c r="W508" s="38">
        <f t="shared" si="157"/>
        <v>319.32</v>
      </c>
      <c r="X508" s="38">
        <f t="shared" si="158"/>
        <v>330.33</v>
      </c>
      <c r="Z508" s="4">
        <f t="shared" si="152"/>
        <v>0</v>
      </c>
      <c r="AA508" s="4">
        <f t="shared" si="153"/>
        <v>0</v>
      </c>
    </row>
    <row r="509" spans="1:27" x14ac:dyDescent="0.3">
      <c r="A509" s="135"/>
      <c r="B509" s="125"/>
      <c r="C509" s="3" t="s">
        <v>1052</v>
      </c>
      <c r="D509" s="55" t="s">
        <v>852</v>
      </c>
      <c r="E509" s="55" t="s">
        <v>362</v>
      </c>
      <c r="F509" s="55" t="s">
        <v>979</v>
      </c>
      <c r="G509" s="56">
        <v>5</v>
      </c>
      <c r="H509" s="49">
        <f>58+10+20+10</f>
        <v>98</v>
      </c>
      <c r="I509" s="50">
        <f>18+2+2+2+4+3+3+1+4+2+6+4+2+2+2+1+3+3+3+3+2+4+1+5+4+3+2+1</f>
        <v>92</v>
      </c>
      <c r="J509" s="77">
        <f>+H509-I509</f>
        <v>6</v>
      </c>
      <c r="K509" s="31">
        <v>98.62</v>
      </c>
      <c r="L509" s="32">
        <v>44084</v>
      </c>
      <c r="M509" s="33">
        <v>0.21</v>
      </c>
      <c r="N509" s="64">
        <f t="shared" si="154"/>
        <v>119.3302</v>
      </c>
      <c r="O509" s="68">
        <f t="shared" si="147"/>
        <v>128.21</v>
      </c>
      <c r="P509" s="68">
        <f t="shared" si="148"/>
        <v>133.13999999999999</v>
      </c>
      <c r="Q509" s="68">
        <f t="shared" si="149"/>
        <v>138.07</v>
      </c>
      <c r="R509" s="11">
        <f t="shared" si="150"/>
        <v>143</v>
      </c>
      <c r="S509" s="11">
        <f t="shared" si="146"/>
        <v>147.93</v>
      </c>
      <c r="T509" s="11">
        <f t="shared" si="151"/>
        <v>157.79</v>
      </c>
      <c r="U509" s="38">
        <f t="shared" si="155"/>
        <v>161.1</v>
      </c>
      <c r="V509" s="38">
        <f t="shared" si="156"/>
        <v>167.06</v>
      </c>
      <c r="W509" s="38">
        <f t="shared" si="157"/>
        <v>173.03</v>
      </c>
      <c r="X509" s="38">
        <f t="shared" si="158"/>
        <v>179</v>
      </c>
      <c r="Z509" s="4">
        <f t="shared" si="152"/>
        <v>591.72</v>
      </c>
      <c r="AA509" s="4">
        <f t="shared" si="153"/>
        <v>715.98120000000006</v>
      </c>
    </row>
    <row r="510" spans="1:27" x14ac:dyDescent="0.3">
      <c r="A510" s="135"/>
      <c r="B510" s="125"/>
      <c r="C510" s="3" t="s">
        <v>1203</v>
      </c>
      <c r="D510" s="55" t="s">
        <v>1204</v>
      </c>
      <c r="E510" s="55" t="s">
        <v>34</v>
      </c>
      <c r="F510" s="55" t="s">
        <v>34</v>
      </c>
      <c r="G510" s="56">
        <v>2</v>
      </c>
      <c r="H510" s="49">
        <f>4+3+1</f>
        <v>8</v>
      </c>
      <c r="I510" s="50">
        <f>1+1+1+1+1+3</f>
        <v>8</v>
      </c>
      <c r="J510" s="77">
        <f>+H510-I510</f>
        <v>0</v>
      </c>
      <c r="K510" s="31">
        <v>3401.26</v>
      </c>
      <c r="L510" s="32">
        <v>44214</v>
      </c>
      <c r="M510" s="33">
        <v>0.21</v>
      </c>
      <c r="N510" s="64">
        <f t="shared" si="154"/>
        <v>4115.5245999999997</v>
      </c>
      <c r="O510" s="68">
        <f t="shared" si="147"/>
        <v>4421.6400000000003</v>
      </c>
      <c r="P510" s="68">
        <f t="shared" si="148"/>
        <v>4591.7</v>
      </c>
      <c r="Q510" s="68">
        <f t="shared" si="149"/>
        <v>4761.76</v>
      </c>
      <c r="R510" s="11">
        <f t="shared" si="150"/>
        <v>4931.83</v>
      </c>
      <c r="S510" s="11">
        <f t="shared" si="146"/>
        <v>5101.8900000000003</v>
      </c>
      <c r="T510" s="11">
        <f t="shared" si="151"/>
        <v>5442.02</v>
      </c>
      <c r="U510" s="38">
        <f t="shared" si="155"/>
        <v>5555.96</v>
      </c>
      <c r="V510" s="38">
        <f t="shared" si="156"/>
        <v>5761.73</v>
      </c>
      <c r="W510" s="38">
        <f t="shared" si="157"/>
        <v>5967.51</v>
      </c>
      <c r="X510" s="38">
        <f t="shared" si="158"/>
        <v>6173.29</v>
      </c>
      <c r="Z510" s="4">
        <f t="shared" si="152"/>
        <v>0</v>
      </c>
      <c r="AA510" s="4">
        <f t="shared" si="153"/>
        <v>0</v>
      </c>
    </row>
    <row r="511" spans="1:27" x14ac:dyDescent="0.3">
      <c r="A511" s="135"/>
      <c r="B511" s="125"/>
      <c r="C511" s="3" t="s">
        <v>980</v>
      </c>
      <c r="D511" s="55"/>
      <c r="E511" s="55" t="s">
        <v>362</v>
      </c>
      <c r="F511" s="55" t="s">
        <v>39</v>
      </c>
      <c r="G511" s="56">
        <v>0</v>
      </c>
      <c r="H511" s="49">
        <f>144+288</f>
        <v>432</v>
      </c>
      <c r="I511" s="50">
        <f>288+144</f>
        <v>432</v>
      </c>
      <c r="J511" s="77">
        <f>+H511-I511</f>
        <v>0</v>
      </c>
      <c r="K511" s="31">
        <v>3.89</v>
      </c>
      <c r="L511" s="32">
        <v>43587</v>
      </c>
      <c r="M511" s="33">
        <v>0.21</v>
      </c>
      <c r="N511" s="64">
        <f t="shared" si="154"/>
        <v>4.7069000000000001</v>
      </c>
      <c r="O511" s="68">
        <f t="shared" si="147"/>
        <v>5.0599999999999996</v>
      </c>
      <c r="P511" s="68">
        <f t="shared" si="148"/>
        <v>5.25</v>
      </c>
      <c r="Q511" s="68">
        <f t="shared" si="149"/>
        <v>5.45</v>
      </c>
      <c r="R511" s="11">
        <f t="shared" si="150"/>
        <v>5.64</v>
      </c>
      <c r="S511" s="11">
        <f t="shared" si="146"/>
        <v>5.835</v>
      </c>
      <c r="T511" s="11">
        <f t="shared" si="151"/>
        <v>6.22</v>
      </c>
      <c r="U511" s="38">
        <f t="shared" si="155"/>
        <v>6.35</v>
      </c>
      <c r="V511" s="38">
        <f t="shared" si="156"/>
        <v>6.59</v>
      </c>
      <c r="W511" s="38">
        <f t="shared" si="157"/>
        <v>6.83</v>
      </c>
      <c r="X511" s="38">
        <f t="shared" si="158"/>
        <v>7.06</v>
      </c>
      <c r="Z511" s="4">
        <f t="shared" si="152"/>
        <v>0</v>
      </c>
      <c r="AA511" s="4">
        <f t="shared" si="153"/>
        <v>0</v>
      </c>
    </row>
    <row r="512" spans="1:27" x14ac:dyDescent="0.3">
      <c r="A512" s="135"/>
      <c r="B512" s="125"/>
      <c r="C512" s="3" t="s">
        <v>806</v>
      </c>
      <c r="D512" s="55" t="s">
        <v>1353</v>
      </c>
      <c r="E512" s="55" t="s">
        <v>362</v>
      </c>
      <c r="F512" s="55" t="s">
        <v>39</v>
      </c>
      <c r="G512" s="56">
        <v>144</v>
      </c>
      <c r="H512" s="49">
        <f>576+288+576+432+288+576+556+1140+156+864+720+288+130+288+864+288+288+288</f>
        <v>8606</v>
      </c>
      <c r="I512" s="50">
        <f>144+300+144+144+288+144+276+144+288+288+144+288+144+556+288+432+288+288+305+144+144+144+127+576+432+130+288+144+144+288+144+144+144+144+144+144</f>
        <v>8318</v>
      </c>
      <c r="J512" s="77">
        <f>+H512-I512</f>
        <v>288</v>
      </c>
      <c r="K512" s="31">
        <v>7.83</v>
      </c>
      <c r="L512" s="32">
        <v>44239</v>
      </c>
      <c r="M512" s="33">
        <v>0.21</v>
      </c>
      <c r="N512" s="64">
        <f t="shared" si="154"/>
        <v>9.4742999999999995</v>
      </c>
      <c r="O512" s="68">
        <f t="shared" si="147"/>
        <v>10.18</v>
      </c>
      <c r="P512" s="68">
        <f t="shared" si="148"/>
        <v>10.57</v>
      </c>
      <c r="Q512" s="68">
        <f t="shared" si="149"/>
        <v>10.96</v>
      </c>
      <c r="R512" s="11">
        <f t="shared" si="150"/>
        <v>11.35</v>
      </c>
      <c r="S512" s="11">
        <f t="shared" si="146"/>
        <v>11.745000000000001</v>
      </c>
      <c r="T512" s="11">
        <f t="shared" si="151"/>
        <v>12.53</v>
      </c>
      <c r="U512" s="38">
        <f t="shared" si="155"/>
        <v>12.79</v>
      </c>
      <c r="V512" s="38">
        <f t="shared" si="156"/>
        <v>13.26</v>
      </c>
      <c r="W512" s="38">
        <f t="shared" si="157"/>
        <v>13.74</v>
      </c>
      <c r="X512" s="38">
        <f t="shared" si="158"/>
        <v>14.21</v>
      </c>
      <c r="Z512" s="4">
        <f t="shared" si="152"/>
        <v>2255.04</v>
      </c>
      <c r="AA512" s="4">
        <f t="shared" si="153"/>
        <v>2728.5983999999999</v>
      </c>
    </row>
    <row r="513" spans="1:27" x14ac:dyDescent="0.3">
      <c r="A513" s="135"/>
      <c r="B513" s="125"/>
      <c r="C513" s="3" t="s">
        <v>848</v>
      </c>
      <c r="D513" s="55" t="s">
        <v>847</v>
      </c>
      <c r="E513" s="55" t="s">
        <v>362</v>
      </c>
      <c r="F513" s="55" t="s">
        <v>950</v>
      </c>
      <c r="G513" s="56">
        <v>100</v>
      </c>
      <c r="H513" s="49">
        <f>200+200</f>
        <v>400</v>
      </c>
      <c r="I513" s="50">
        <f>25+100+30+45+100+100</f>
        <v>400</v>
      </c>
      <c r="J513" s="77">
        <f>+H513-I513</f>
        <v>0</v>
      </c>
      <c r="K513" s="31">
        <v>10.41</v>
      </c>
      <c r="L513" s="32">
        <v>43389</v>
      </c>
      <c r="M513" s="33">
        <v>0.21</v>
      </c>
      <c r="N513" s="64">
        <f t="shared" si="154"/>
        <v>12.5961</v>
      </c>
      <c r="O513" s="68">
        <f t="shared" si="147"/>
        <v>13.53</v>
      </c>
      <c r="P513" s="68">
        <f t="shared" si="148"/>
        <v>14.05</v>
      </c>
      <c r="Q513" s="68">
        <f t="shared" si="149"/>
        <v>14.57</v>
      </c>
      <c r="R513" s="11">
        <f t="shared" si="150"/>
        <v>15.09</v>
      </c>
      <c r="S513" s="11">
        <f t="shared" si="146"/>
        <v>15.615</v>
      </c>
      <c r="T513" s="11">
        <f t="shared" si="151"/>
        <v>16.66</v>
      </c>
      <c r="U513" s="38">
        <f t="shared" si="155"/>
        <v>17</v>
      </c>
      <c r="V513" s="38">
        <f t="shared" si="156"/>
        <v>17.63</v>
      </c>
      <c r="W513" s="38">
        <f t="shared" si="157"/>
        <v>18.260000000000002</v>
      </c>
      <c r="X513" s="38">
        <f t="shared" si="158"/>
        <v>18.89</v>
      </c>
      <c r="Z513" s="4">
        <f t="shared" si="152"/>
        <v>0</v>
      </c>
      <c r="AA513" s="4">
        <f t="shared" si="153"/>
        <v>0</v>
      </c>
    </row>
    <row r="514" spans="1:27" x14ac:dyDescent="0.3">
      <c r="A514" s="135"/>
      <c r="B514" s="125"/>
      <c r="C514" s="3" t="s">
        <v>1028</v>
      </c>
      <c r="D514" s="55" t="s">
        <v>505</v>
      </c>
      <c r="E514" s="55" t="s">
        <v>362</v>
      </c>
      <c r="F514" s="55" t="s">
        <v>950</v>
      </c>
      <c r="G514" s="56">
        <v>0</v>
      </c>
      <c r="H514" s="49">
        <f>100</f>
        <v>100</v>
      </c>
      <c r="I514" s="50">
        <f>0</f>
        <v>0</v>
      </c>
      <c r="J514" s="77">
        <f>+H514-I514</f>
        <v>100</v>
      </c>
      <c r="K514" s="31">
        <v>3.04</v>
      </c>
      <c r="L514" s="32">
        <v>43222</v>
      </c>
      <c r="M514" s="33">
        <v>0.21</v>
      </c>
      <c r="N514" s="64">
        <f t="shared" si="154"/>
        <v>3.6783999999999999</v>
      </c>
      <c r="O514" s="68">
        <f t="shared" si="147"/>
        <v>3.95</v>
      </c>
      <c r="P514" s="68">
        <f t="shared" si="148"/>
        <v>4.0999999999999996</v>
      </c>
      <c r="Q514" s="68">
        <f t="shared" si="149"/>
        <v>4.26</v>
      </c>
      <c r="R514" s="11">
        <f t="shared" si="150"/>
        <v>4.41</v>
      </c>
      <c r="S514" s="11">
        <f t="shared" si="146"/>
        <v>4.5600000000000005</v>
      </c>
      <c r="T514" s="11">
        <f t="shared" si="151"/>
        <v>4.8600000000000003</v>
      </c>
      <c r="U514" s="38">
        <f t="shared" si="155"/>
        <v>4.97</v>
      </c>
      <c r="V514" s="38">
        <f t="shared" si="156"/>
        <v>5.15</v>
      </c>
      <c r="W514" s="38">
        <f t="shared" si="157"/>
        <v>5.33</v>
      </c>
      <c r="X514" s="38">
        <f t="shared" si="158"/>
        <v>5.52</v>
      </c>
      <c r="Z514" s="4">
        <f t="shared" si="152"/>
        <v>304</v>
      </c>
      <c r="AA514" s="4">
        <f t="shared" si="153"/>
        <v>367.84</v>
      </c>
    </row>
    <row r="515" spans="1:27" x14ac:dyDescent="0.3">
      <c r="B515" s="125"/>
      <c r="C515" s="3" t="s">
        <v>1169</v>
      </c>
      <c r="D515" s="55"/>
      <c r="E515" s="55" t="s">
        <v>70</v>
      </c>
      <c r="F515" s="55" t="s">
        <v>222</v>
      </c>
      <c r="G515" s="56">
        <v>0</v>
      </c>
      <c r="H515" s="49">
        <v>2</v>
      </c>
      <c r="I515" s="50">
        <v>1</v>
      </c>
      <c r="J515" s="77">
        <f>+H515-I515</f>
        <v>1</v>
      </c>
      <c r="K515" s="31">
        <v>408.45</v>
      </c>
      <c r="L515" s="32">
        <v>43222</v>
      </c>
      <c r="M515" s="33">
        <v>0.21</v>
      </c>
      <c r="N515" s="64">
        <f t="shared" si="154"/>
        <v>494.22449999999998</v>
      </c>
      <c r="O515" s="68">
        <f t="shared" si="147"/>
        <v>530.99</v>
      </c>
      <c r="P515" s="68">
        <f t="shared" si="148"/>
        <v>551.41</v>
      </c>
      <c r="Q515" s="68">
        <f t="shared" si="149"/>
        <v>571.83000000000004</v>
      </c>
      <c r="R515" s="11">
        <f t="shared" si="150"/>
        <v>592.25</v>
      </c>
      <c r="S515" s="11">
        <f t="shared" si="146"/>
        <v>612.67499999999995</v>
      </c>
      <c r="T515" s="11">
        <f t="shared" si="151"/>
        <v>653.52</v>
      </c>
      <c r="U515" s="38">
        <f t="shared" si="155"/>
        <v>667.2</v>
      </c>
      <c r="V515" s="38">
        <f t="shared" si="156"/>
        <v>691.91</v>
      </c>
      <c r="W515" s="38">
        <f t="shared" si="157"/>
        <v>716.63</v>
      </c>
      <c r="X515" s="38">
        <f t="shared" si="158"/>
        <v>741.34</v>
      </c>
      <c r="Z515" s="4">
        <f t="shared" si="152"/>
        <v>408.45</v>
      </c>
      <c r="AA515" s="4">
        <f t="shared" si="153"/>
        <v>494.22449999999998</v>
      </c>
    </row>
    <row r="516" spans="1:27" x14ac:dyDescent="0.3">
      <c r="B516" s="125"/>
      <c r="C516" s="3" t="s">
        <v>1272</v>
      </c>
      <c r="D516" s="55"/>
      <c r="E516" s="55" t="s">
        <v>70</v>
      </c>
      <c r="F516" s="55" t="s">
        <v>222</v>
      </c>
      <c r="G516" s="56">
        <v>0</v>
      </c>
      <c r="H516" s="49">
        <f>1</f>
        <v>1</v>
      </c>
      <c r="I516" s="50">
        <v>0</v>
      </c>
      <c r="J516" s="77">
        <f>+H516-I516</f>
        <v>1</v>
      </c>
      <c r="K516" s="31">
        <v>408.45</v>
      </c>
      <c r="L516" s="32">
        <v>43222</v>
      </c>
      <c r="M516" s="33">
        <v>0.21</v>
      </c>
      <c r="N516" s="64">
        <f t="shared" si="154"/>
        <v>494.22449999999998</v>
      </c>
      <c r="O516" s="68">
        <f t="shared" si="147"/>
        <v>530.99</v>
      </c>
      <c r="P516" s="68">
        <f t="shared" si="148"/>
        <v>551.41</v>
      </c>
      <c r="Q516" s="68">
        <f t="shared" si="149"/>
        <v>571.83000000000004</v>
      </c>
      <c r="R516" s="11">
        <f t="shared" si="150"/>
        <v>592.25</v>
      </c>
      <c r="S516" s="11">
        <f t="shared" si="146"/>
        <v>612.67499999999995</v>
      </c>
      <c r="T516" s="11">
        <f t="shared" si="151"/>
        <v>653.52</v>
      </c>
      <c r="U516" s="38">
        <f t="shared" si="155"/>
        <v>667.2</v>
      </c>
      <c r="V516" s="38">
        <f t="shared" si="156"/>
        <v>691.91</v>
      </c>
      <c r="W516" s="38">
        <f t="shared" si="157"/>
        <v>716.63</v>
      </c>
      <c r="X516" s="38">
        <f t="shared" si="158"/>
        <v>741.34</v>
      </c>
      <c r="Z516" s="4">
        <f t="shared" si="152"/>
        <v>408.45</v>
      </c>
      <c r="AA516" s="4">
        <f t="shared" si="153"/>
        <v>494.22449999999998</v>
      </c>
    </row>
    <row r="517" spans="1:27" x14ac:dyDescent="0.3">
      <c r="A517" s="135"/>
      <c r="C517" s="3" t="s">
        <v>1312</v>
      </c>
      <c r="D517" s="55" t="s">
        <v>418</v>
      </c>
      <c r="E517" s="55" t="s">
        <v>362</v>
      </c>
      <c r="F517" s="55" t="s">
        <v>1313</v>
      </c>
      <c r="G517" s="56">
        <v>0</v>
      </c>
      <c r="H517" s="49">
        <f>200+250+250+250+250+20</f>
        <v>1220</v>
      </c>
      <c r="I517" s="50">
        <f>20+2+1+50+50+20+50+70+50+100+100+30+100+1+3+100+20+2+50+100+20+4+7+100+20+3</f>
        <v>1073</v>
      </c>
      <c r="J517" s="77">
        <f>+H517-I517</f>
        <v>147</v>
      </c>
      <c r="K517" s="31">
        <v>11.91</v>
      </c>
      <c r="L517" s="32">
        <v>44239</v>
      </c>
      <c r="M517" s="33">
        <v>0.21</v>
      </c>
      <c r="N517" s="64">
        <f t="shared" si="154"/>
        <v>14.411099999999999</v>
      </c>
      <c r="O517" s="68">
        <f t="shared" si="147"/>
        <v>15.48</v>
      </c>
      <c r="P517" s="68">
        <f t="shared" si="148"/>
        <v>16.079999999999998</v>
      </c>
      <c r="Q517" s="68">
        <f t="shared" si="149"/>
        <v>16.670000000000002</v>
      </c>
      <c r="R517" s="11">
        <f t="shared" si="150"/>
        <v>17.27</v>
      </c>
      <c r="S517" s="11">
        <f t="shared" si="146"/>
        <v>17.865000000000002</v>
      </c>
      <c r="T517" s="11">
        <f t="shared" si="151"/>
        <v>19.059999999999999</v>
      </c>
      <c r="U517" s="38">
        <f t="shared" si="155"/>
        <v>19.45</v>
      </c>
      <c r="V517" s="38">
        <f t="shared" si="156"/>
        <v>20.18</v>
      </c>
      <c r="W517" s="38">
        <f t="shared" si="157"/>
        <v>20.9</v>
      </c>
      <c r="X517" s="38">
        <f t="shared" si="158"/>
        <v>21.62</v>
      </c>
      <c r="Z517" s="4">
        <f t="shared" si="152"/>
        <v>1750.77</v>
      </c>
      <c r="AA517" s="4">
        <f t="shared" si="153"/>
        <v>2118.4317000000001</v>
      </c>
    </row>
    <row r="518" spans="1:27" x14ac:dyDescent="0.3">
      <c r="A518" s="135"/>
      <c r="C518" s="3" t="s">
        <v>1320</v>
      </c>
      <c r="D518" s="55" t="s">
        <v>1433</v>
      </c>
      <c r="E518" s="55" t="s">
        <v>362</v>
      </c>
      <c r="F518" s="55" t="s">
        <v>781</v>
      </c>
      <c r="G518" s="56">
        <v>0</v>
      </c>
      <c r="H518" s="49">
        <f>70+15+35+70</f>
        <v>190</v>
      </c>
      <c r="I518" s="69">
        <f>50+30+4+40</f>
        <v>124</v>
      </c>
      <c r="J518" s="77">
        <f>+H518-I518</f>
        <v>66</v>
      </c>
      <c r="K518" s="31">
        <v>65.94</v>
      </c>
      <c r="L518" s="32">
        <v>43955</v>
      </c>
      <c r="M518" s="33">
        <v>0.21</v>
      </c>
      <c r="N518" s="64">
        <f t="shared" si="154"/>
        <v>79.787399999999991</v>
      </c>
      <c r="O518" s="68">
        <f t="shared" si="147"/>
        <v>85.72</v>
      </c>
      <c r="P518" s="68">
        <f t="shared" si="148"/>
        <v>89.02</v>
      </c>
      <c r="Q518" s="68">
        <f t="shared" si="149"/>
        <v>92.32</v>
      </c>
      <c r="R518" s="11">
        <f t="shared" si="150"/>
        <v>95.61</v>
      </c>
      <c r="S518" s="11">
        <f t="shared" si="146"/>
        <v>98.91</v>
      </c>
      <c r="T518" s="11">
        <f t="shared" si="151"/>
        <v>105.5</v>
      </c>
      <c r="U518" s="38">
        <f t="shared" si="155"/>
        <v>107.71</v>
      </c>
      <c r="V518" s="38">
        <f t="shared" si="156"/>
        <v>111.7</v>
      </c>
      <c r="W518" s="38">
        <f t="shared" si="157"/>
        <v>115.69</v>
      </c>
      <c r="X518" s="38">
        <f t="shared" si="158"/>
        <v>119.68</v>
      </c>
      <c r="Z518" s="4">
        <f t="shared" si="152"/>
        <v>4352.04</v>
      </c>
      <c r="AA518" s="4">
        <f t="shared" si="153"/>
        <v>5265.9683999999997</v>
      </c>
    </row>
    <row r="519" spans="1:27" x14ac:dyDescent="0.3">
      <c r="B519" s="125"/>
      <c r="C519" s="3" t="s">
        <v>782</v>
      </c>
      <c r="D519" s="55"/>
      <c r="E519" s="55" t="s">
        <v>362</v>
      </c>
      <c r="F519" s="55" t="s">
        <v>250</v>
      </c>
      <c r="G519" s="56">
        <v>0</v>
      </c>
      <c r="H519" s="49">
        <f>50</f>
        <v>50</v>
      </c>
      <c r="I519" s="50">
        <f>0+30+18</f>
        <v>48</v>
      </c>
      <c r="J519" s="77">
        <f>+H519-I519</f>
        <v>2</v>
      </c>
      <c r="K519" s="31">
        <v>34.94</v>
      </c>
      <c r="L519" s="32">
        <v>43444</v>
      </c>
      <c r="M519" s="33">
        <v>0.21</v>
      </c>
      <c r="N519" s="64">
        <f t="shared" si="154"/>
        <v>42.277399999999993</v>
      </c>
      <c r="O519" s="68">
        <f t="shared" si="147"/>
        <v>45.42</v>
      </c>
      <c r="P519" s="68">
        <f t="shared" si="148"/>
        <v>47.17</v>
      </c>
      <c r="Q519" s="68">
        <f t="shared" si="149"/>
        <v>48.92</v>
      </c>
      <c r="R519" s="11">
        <f t="shared" si="150"/>
        <v>50.66</v>
      </c>
      <c r="S519" s="11">
        <f t="shared" si="146"/>
        <v>52.41</v>
      </c>
      <c r="T519" s="11">
        <f t="shared" si="151"/>
        <v>55.9</v>
      </c>
      <c r="U519" s="38">
        <f t="shared" si="155"/>
        <v>57.07</v>
      </c>
      <c r="V519" s="38">
        <f t="shared" si="156"/>
        <v>59.19</v>
      </c>
      <c r="W519" s="38">
        <f t="shared" si="157"/>
        <v>61.3</v>
      </c>
      <c r="X519" s="38">
        <f t="shared" si="158"/>
        <v>63.42</v>
      </c>
      <c r="Z519" s="4">
        <f t="shared" si="152"/>
        <v>69.88</v>
      </c>
      <c r="AA519" s="4">
        <f t="shared" si="153"/>
        <v>84.554799999999986</v>
      </c>
    </row>
    <row r="520" spans="1:27" x14ac:dyDescent="0.3">
      <c r="B520" s="125"/>
      <c r="C520" s="3" t="s">
        <v>1577</v>
      </c>
      <c r="D520" s="55" t="s">
        <v>1578</v>
      </c>
      <c r="E520" s="55" t="s">
        <v>34</v>
      </c>
      <c r="F520" s="55"/>
      <c r="G520" s="56"/>
      <c r="H520" s="49">
        <f>6</f>
        <v>6</v>
      </c>
      <c r="I520" s="50"/>
      <c r="J520" s="77">
        <f>+H520-I520</f>
        <v>6</v>
      </c>
      <c r="K520" s="31">
        <v>283.52999999999997</v>
      </c>
      <c r="L520" s="32">
        <v>44218</v>
      </c>
      <c r="M520" s="33">
        <v>0.21</v>
      </c>
      <c r="N520" s="64">
        <f t="shared" si="154"/>
        <v>343.07129999999995</v>
      </c>
      <c r="O520" s="68">
        <f t="shared" si="147"/>
        <v>368.59</v>
      </c>
      <c r="P520" s="68">
        <f t="shared" si="148"/>
        <v>382.77</v>
      </c>
      <c r="Q520" s="68">
        <f t="shared" si="149"/>
        <v>396.94</v>
      </c>
      <c r="R520" s="11">
        <f t="shared" si="150"/>
        <v>411.12</v>
      </c>
      <c r="S520" s="11">
        <f t="shared" si="146"/>
        <v>425.29499999999996</v>
      </c>
      <c r="T520" s="11">
        <f t="shared" si="151"/>
        <v>453.65</v>
      </c>
      <c r="U520" s="38">
        <f t="shared" si="155"/>
        <v>463.15</v>
      </c>
      <c r="V520" s="38">
        <f t="shared" si="156"/>
        <v>480.3</v>
      </c>
      <c r="W520" s="38">
        <f t="shared" si="157"/>
        <v>497.45</v>
      </c>
      <c r="X520" s="38">
        <f t="shared" si="158"/>
        <v>514.61</v>
      </c>
      <c r="Z520" s="4">
        <f t="shared" si="152"/>
        <v>1701.1799999999998</v>
      </c>
      <c r="AA520" s="4">
        <f t="shared" si="153"/>
        <v>2058.4277999999995</v>
      </c>
    </row>
    <row r="521" spans="1:27" x14ac:dyDescent="0.3">
      <c r="C521" s="3" t="s">
        <v>708</v>
      </c>
      <c r="D521" s="55"/>
      <c r="E521" s="55" t="s">
        <v>34</v>
      </c>
      <c r="F521" s="55"/>
      <c r="G521" s="56">
        <v>6</v>
      </c>
      <c r="H521" s="49">
        <v>22</v>
      </c>
      <c r="I521" s="50">
        <v>10</v>
      </c>
      <c r="J521" s="77">
        <f>+H521-I521</f>
        <v>12</v>
      </c>
      <c r="K521" s="31">
        <v>113.74</v>
      </c>
      <c r="L521" s="32">
        <v>44012</v>
      </c>
      <c r="M521" s="33">
        <v>0.21</v>
      </c>
      <c r="N521" s="64">
        <f>+K521*(1+M521)</f>
        <v>137.62539999999998</v>
      </c>
      <c r="O521" s="68">
        <f>ROUND(K521*(1+$O$3),2)</f>
        <v>147.86000000000001</v>
      </c>
      <c r="P521" s="68">
        <f>ROUND(K521*(1+$P$3),2)</f>
        <v>153.55000000000001</v>
      </c>
      <c r="Q521" s="68">
        <f>ROUND(K521*(1+$Q$3),2)</f>
        <v>159.24</v>
      </c>
      <c r="R521" s="11">
        <f>ROUND(K521*(1+$R$3),2)</f>
        <v>164.92</v>
      </c>
      <c r="S521" s="11">
        <f>K521*(1+$S$3)</f>
        <v>170.60999999999999</v>
      </c>
      <c r="T521" s="11">
        <f>ROUND(K521*(1+$T$3),2)</f>
        <v>181.98</v>
      </c>
      <c r="U521" s="38">
        <f>ROUND((N521*(1+$U$3)),2)</f>
        <v>185.79</v>
      </c>
      <c r="V521" s="38">
        <f>ROUND((N521*(1+$V$3)),2)</f>
        <v>192.68</v>
      </c>
      <c r="W521" s="38">
        <f>ROUND((N521*(1+$W$3)),2)</f>
        <v>199.56</v>
      </c>
      <c r="X521" s="38">
        <f>ROUND((N521*(1+$X$3)),2)</f>
        <v>206.44</v>
      </c>
      <c r="Z521" s="4">
        <f>J521*K521</f>
        <v>1364.8799999999999</v>
      </c>
      <c r="AA521" s="4">
        <f>J521*N521</f>
        <v>1651.5047999999997</v>
      </c>
    </row>
    <row r="522" spans="1:27" x14ac:dyDescent="0.3">
      <c r="C522" s="3" t="s">
        <v>709</v>
      </c>
      <c r="D522" s="55"/>
      <c r="E522" s="55" t="s">
        <v>34</v>
      </c>
      <c r="F522" s="55"/>
      <c r="G522" s="56">
        <v>6</v>
      </c>
      <c r="H522" s="49">
        <f>5+5+10</f>
        <v>20</v>
      </c>
      <c r="I522" s="50">
        <v>8</v>
      </c>
      <c r="J522" s="77">
        <f>+H522-I522</f>
        <v>12</v>
      </c>
      <c r="K522" s="31">
        <v>77.790000000000006</v>
      </c>
      <c r="L522" s="32">
        <v>44012</v>
      </c>
      <c r="M522" s="33">
        <v>0.21</v>
      </c>
      <c r="N522" s="64">
        <f>+K522*(1+M522)</f>
        <v>94.125900000000001</v>
      </c>
      <c r="O522" s="68">
        <f>ROUND(K522*(1+$O$3),2)</f>
        <v>101.13</v>
      </c>
      <c r="P522" s="68">
        <f>ROUND(K522*(1+$P$3),2)</f>
        <v>105.02</v>
      </c>
      <c r="Q522" s="68">
        <f>ROUND(K522*(1+$Q$3),2)</f>
        <v>108.91</v>
      </c>
      <c r="R522" s="11">
        <f>ROUND(K522*(1+$R$3),2)</f>
        <v>112.8</v>
      </c>
      <c r="S522" s="11">
        <f>K522*(1+$S$3)</f>
        <v>116.685</v>
      </c>
      <c r="T522" s="11">
        <f>ROUND(K522*(1+$T$3),2)</f>
        <v>124.46</v>
      </c>
      <c r="U522" s="38">
        <f>ROUND((N522*(1+$U$3)),2)</f>
        <v>127.07</v>
      </c>
      <c r="V522" s="38">
        <f>ROUND((N522*(1+$V$3)),2)</f>
        <v>131.78</v>
      </c>
      <c r="W522" s="38">
        <f>ROUND((N522*(1+$W$3)),2)</f>
        <v>136.47999999999999</v>
      </c>
      <c r="X522" s="38">
        <f>ROUND((N522*(1+$X$3)),2)</f>
        <v>141.19</v>
      </c>
      <c r="Z522" s="4">
        <f>J522*K522</f>
        <v>933.48</v>
      </c>
      <c r="AA522" s="4">
        <f>J522*N522</f>
        <v>1129.5108</v>
      </c>
    </row>
    <row r="523" spans="1:27" x14ac:dyDescent="0.3">
      <c r="A523" s="135"/>
      <c r="C523" s="3" t="s">
        <v>1396</v>
      </c>
      <c r="D523" s="55" t="s">
        <v>1526</v>
      </c>
      <c r="E523" s="55" t="s">
        <v>70</v>
      </c>
      <c r="F523" s="55" t="s">
        <v>1464</v>
      </c>
      <c r="G523" s="56">
        <v>2</v>
      </c>
      <c r="H523" s="49">
        <f>1+2+3+2+2+1+2+1</f>
        <v>14</v>
      </c>
      <c r="I523" s="50">
        <f>3+1+2+1+1+1+1+1+1</f>
        <v>12</v>
      </c>
      <c r="J523" s="77">
        <f>+H523-I523</f>
        <v>2</v>
      </c>
      <c r="K523" s="31">
        <v>1441.5</v>
      </c>
      <c r="L523" s="32">
        <v>44063</v>
      </c>
      <c r="M523" s="33">
        <v>0.105</v>
      </c>
      <c r="N523" s="64">
        <f t="shared" si="154"/>
        <v>1592.8575000000001</v>
      </c>
      <c r="O523" s="68">
        <f t="shared" si="147"/>
        <v>1873.95</v>
      </c>
      <c r="P523" s="68">
        <f t="shared" si="148"/>
        <v>1946.03</v>
      </c>
      <c r="Q523" s="68">
        <f t="shared" si="149"/>
        <v>2018.1</v>
      </c>
      <c r="R523" s="11">
        <f t="shared" si="150"/>
        <v>2090.1799999999998</v>
      </c>
      <c r="S523" s="11">
        <f t="shared" si="146"/>
        <v>2162.25</v>
      </c>
      <c r="T523" s="11">
        <f t="shared" si="151"/>
        <v>2306.4</v>
      </c>
      <c r="U523" s="38">
        <f t="shared" si="155"/>
        <v>2150.36</v>
      </c>
      <c r="V523" s="38">
        <f t="shared" si="156"/>
        <v>2230</v>
      </c>
      <c r="W523" s="38">
        <f t="shared" si="157"/>
        <v>2309.64</v>
      </c>
      <c r="X523" s="38">
        <f t="shared" si="158"/>
        <v>2389.29</v>
      </c>
      <c r="Z523" s="4">
        <f t="shared" si="152"/>
        <v>2883</v>
      </c>
      <c r="AA523" s="4">
        <f t="shared" si="153"/>
        <v>3185.7150000000001</v>
      </c>
    </row>
    <row r="524" spans="1:27" x14ac:dyDescent="0.3">
      <c r="A524" s="135"/>
      <c r="C524" s="3" t="s">
        <v>1525</v>
      </c>
      <c r="D524" s="91" t="s">
        <v>448</v>
      </c>
      <c r="E524" s="55"/>
      <c r="F524" s="55" t="s">
        <v>781</v>
      </c>
      <c r="G524" s="56">
        <v>1</v>
      </c>
      <c r="H524" s="49">
        <f>2</f>
        <v>2</v>
      </c>
      <c r="I524" s="50">
        <f>1+1</f>
        <v>2</v>
      </c>
      <c r="J524" s="77">
        <f>+H524-I524</f>
        <v>0</v>
      </c>
      <c r="K524" s="31">
        <v>3995.3</v>
      </c>
      <c r="L524" s="32">
        <v>44096</v>
      </c>
      <c r="M524" s="33">
        <v>0.105</v>
      </c>
      <c r="N524" s="64">
        <f t="shared" si="154"/>
        <v>4414.8064999999997</v>
      </c>
      <c r="O524" s="68">
        <f t="shared" si="147"/>
        <v>5193.8900000000003</v>
      </c>
      <c r="P524" s="68">
        <f t="shared" si="148"/>
        <v>5393.66</v>
      </c>
      <c r="Q524" s="68">
        <f t="shared" si="149"/>
        <v>5593.42</v>
      </c>
      <c r="R524" s="11">
        <f t="shared" si="150"/>
        <v>5793.19</v>
      </c>
      <c r="S524" s="11">
        <f t="shared" si="146"/>
        <v>5992.9500000000007</v>
      </c>
      <c r="T524" s="11">
        <f t="shared" si="151"/>
        <v>6392.48</v>
      </c>
      <c r="U524" s="38">
        <f t="shared" si="155"/>
        <v>5959.99</v>
      </c>
      <c r="V524" s="38">
        <f t="shared" si="156"/>
        <v>6180.73</v>
      </c>
      <c r="W524" s="38">
        <f t="shared" si="157"/>
        <v>6401.47</v>
      </c>
      <c r="X524" s="38">
        <f t="shared" si="158"/>
        <v>6622.21</v>
      </c>
      <c r="Z524" s="4">
        <f t="shared" si="152"/>
        <v>0</v>
      </c>
      <c r="AA524" s="4">
        <f t="shared" si="153"/>
        <v>0</v>
      </c>
    </row>
    <row r="525" spans="1:27" x14ac:dyDescent="0.3">
      <c r="A525" s="135"/>
      <c r="B525" s="125"/>
      <c r="C525" s="3" t="s">
        <v>478</v>
      </c>
      <c r="D525" s="55" t="s">
        <v>1250</v>
      </c>
      <c r="E525" s="55" t="s">
        <v>70</v>
      </c>
      <c r="F525" s="55" t="s">
        <v>229</v>
      </c>
      <c r="G525" s="56">
        <v>3</v>
      </c>
      <c r="H525" s="49">
        <f>19+6+8+1+1</f>
        <v>35</v>
      </c>
      <c r="I525" s="69">
        <f>2+1+3+1+2+1+2+3+3+2+1+1+3+2+2+1+4</f>
        <v>34</v>
      </c>
      <c r="J525" s="77">
        <f>+H525-I525</f>
        <v>1</v>
      </c>
      <c r="K525" s="31">
        <v>590.05999999999995</v>
      </c>
      <c r="L525" s="32">
        <v>43749</v>
      </c>
      <c r="M525" s="33">
        <v>0.21</v>
      </c>
      <c r="N525" s="64">
        <f t="shared" si="154"/>
        <v>713.97259999999994</v>
      </c>
      <c r="O525" s="68">
        <f t="shared" si="147"/>
        <v>767.08</v>
      </c>
      <c r="P525" s="68">
        <f t="shared" si="148"/>
        <v>796.58</v>
      </c>
      <c r="Q525" s="68">
        <f t="shared" si="149"/>
        <v>826.08</v>
      </c>
      <c r="R525" s="11">
        <f t="shared" si="150"/>
        <v>855.59</v>
      </c>
      <c r="S525" s="11">
        <f t="shared" si="146"/>
        <v>885.08999999999992</v>
      </c>
      <c r="T525" s="11">
        <f t="shared" si="151"/>
        <v>944.1</v>
      </c>
      <c r="U525" s="38">
        <f t="shared" si="155"/>
        <v>963.86</v>
      </c>
      <c r="V525" s="38">
        <f t="shared" si="156"/>
        <v>999.56</v>
      </c>
      <c r="W525" s="38">
        <f t="shared" si="157"/>
        <v>1035.26</v>
      </c>
      <c r="X525" s="38">
        <f t="shared" si="158"/>
        <v>1070.96</v>
      </c>
      <c r="Z525" s="4">
        <f t="shared" si="152"/>
        <v>590.05999999999995</v>
      </c>
      <c r="AA525" s="4">
        <f t="shared" si="153"/>
        <v>713.97259999999994</v>
      </c>
    </row>
    <row r="526" spans="1:27" x14ac:dyDescent="0.3">
      <c r="A526" s="135"/>
      <c r="B526" s="125"/>
      <c r="C526" s="3" t="s">
        <v>914</v>
      </c>
      <c r="D526" s="55" t="s">
        <v>214</v>
      </c>
      <c r="E526" s="55" t="s">
        <v>70</v>
      </c>
      <c r="F526" s="55" t="s">
        <v>229</v>
      </c>
      <c r="G526" s="56">
        <v>1</v>
      </c>
      <c r="H526" s="49">
        <f>3+1</f>
        <v>4</v>
      </c>
      <c r="I526" s="50">
        <f>1+1+1+1</f>
        <v>4</v>
      </c>
      <c r="J526" s="77">
        <f>+H526-I526</f>
        <v>0</v>
      </c>
      <c r="K526" s="31">
        <v>2345</v>
      </c>
      <c r="L526" s="32">
        <v>43593</v>
      </c>
      <c r="M526" s="35">
        <v>0.105</v>
      </c>
      <c r="N526" s="64">
        <f t="shared" si="154"/>
        <v>2591.2249999999999</v>
      </c>
      <c r="O526" s="68">
        <f t="shared" si="147"/>
        <v>3048.5</v>
      </c>
      <c r="P526" s="68">
        <f t="shared" si="148"/>
        <v>3165.75</v>
      </c>
      <c r="Q526" s="68">
        <f t="shared" si="149"/>
        <v>3283</v>
      </c>
      <c r="R526" s="11">
        <f t="shared" si="150"/>
        <v>3400.25</v>
      </c>
      <c r="S526" s="11">
        <f t="shared" si="146"/>
        <v>3517.5</v>
      </c>
      <c r="T526" s="11">
        <f t="shared" si="151"/>
        <v>3752</v>
      </c>
      <c r="U526" s="38">
        <f t="shared" si="155"/>
        <v>3498.15</v>
      </c>
      <c r="V526" s="38">
        <f t="shared" si="156"/>
        <v>3627.72</v>
      </c>
      <c r="W526" s="38">
        <f t="shared" si="157"/>
        <v>3757.28</v>
      </c>
      <c r="X526" s="38">
        <f t="shared" si="158"/>
        <v>3886.84</v>
      </c>
      <c r="Z526" s="4">
        <f t="shared" si="152"/>
        <v>0</v>
      </c>
      <c r="AA526" s="4">
        <f t="shared" si="153"/>
        <v>0</v>
      </c>
    </row>
    <row r="527" spans="1:27" x14ac:dyDescent="0.3">
      <c r="A527" s="135"/>
      <c r="B527" s="125"/>
      <c r="C527" s="107" t="s">
        <v>1017</v>
      </c>
      <c r="D527" s="55" t="s">
        <v>1018</v>
      </c>
      <c r="E527" s="55" t="s">
        <v>70</v>
      </c>
      <c r="F527" s="55" t="s">
        <v>229</v>
      </c>
      <c r="G527" s="56">
        <v>1</v>
      </c>
      <c r="H527" s="49">
        <f>2+3</f>
        <v>5</v>
      </c>
      <c r="I527" s="50">
        <f>2+1</f>
        <v>3</v>
      </c>
      <c r="J527" s="77">
        <f>+H527-I527</f>
        <v>2</v>
      </c>
      <c r="K527" s="31">
        <v>1441.5</v>
      </c>
      <c r="L527" s="32">
        <v>44063</v>
      </c>
      <c r="M527" s="35">
        <v>0.105</v>
      </c>
      <c r="N527" s="64">
        <f t="shared" si="154"/>
        <v>1592.8575000000001</v>
      </c>
      <c r="O527" s="68">
        <f t="shared" si="147"/>
        <v>1873.95</v>
      </c>
      <c r="P527" s="68">
        <f t="shared" si="148"/>
        <v>1946.03</v>
      </c>
      <c r="Q527" s="68">
        <f t="shared" si="149"/>
        <v>2018.1</v>
      </c>
      <c r="R527" s="11">
        <f t="shared" si="150"/>
        <v>2090.1799999999998</v>
      </c>
      <c r="S527" s="11">
        <f t="shared" si="146"/>
        <v>2162.25</v>
      </c>
      <c r="T527" s="11">
        <f t="shared" si="151"/>
        <v>2306.4</v>
      </c>
      <c r="U527" s="38">
        <f t="shared" si="155"/>
        <v>2150.36</v>
      </c>
      <c r="V527" s="38">
        <f t="shared" si="156"/>
        <v>2230</v>
      </c>
      <c r="W527" s="38">
        <f t="shared" si="157"/>
        <v>2309.64</v>
      </c>
      <c r="X527" s="38">
        <f t="shared" si="158"/>
        <v>2389.29</v>
      </c>
      <c r="Z527" s="4">
        <f t="shared" si="152"/>
        <v>2883</v>
      </c>
      <c r="AA527" s="4">
        <f t="shared" si="153"/>
        <v>3185.7150000000001</v>
      </c>
    </row>
    <row r="528" spans="1:27" x14ac:dyDescent="0.3">
      <c r="A528" s="135"/>
      <c r="B528" s="125"/>
      <c r="C528" s="3" t="s">
        <v>1155</v>
      </c>
      <c r="D528" s="55" t="s">
        <v>1156</v>
      </c>
      <c r="E528" s="55" t="s">
        <v>70</v>
      </c>
      <c r="F528" s="55" t="s">
        <v>229</v>
      </c>
      <c r="G528" s="56">
        <v>1</v>
      </c>
      <c r="H528" s="49">
        <v>6</v>
      </c>
      <c r="I528" s="50">
        <f>4+1</f>
        <v>5</v>
      </c>
      <c r="J528" s="77">
        <f>+H528-I528</f>
        <v>1</v>
      </c>
      <c r="K528" s="31">
        <v>144.13999999999999</v>
      </c>
      <c r="L528" s="32">
        <v>43027</v>
      </c>
      <c r="M528" s="33">
        <v>0.21</v>
      </c>
      <c r="N528" s="64">
        <f t="shared" si="154"/>
        <v>174.40939999999998</v>
      </c>
      <c r="O528" s="68">
        <f t="shared" si="147"/>
        <v>187.38</v>
      </c>
      <c r="P528" s="68">
        <f t="shared" si="148"/>
        <v>194.59</v>
      </c>
      <c r="Q528" s="68">
        <f t="shared" si="149"/>
        <v>201.8</v>
      </c>
      <c r="R528" s="11">
        <f t="shared" si="150"/>
        <v>209</v>
      </c>
      <c r="S528" s="11">
        <f t="shared" si="146"/>
        <v>216.20999999999998</v>
      </c>
      <c r="T528" s="11">
        <f t="shared" si="151"/>
        <v>230.62</v>
      </c>
      <c r="U528" s="38">
        <f t="shared" si="155"/>
        <v>235.45</v>
      </c>
      <c r="V528" s="38">
        <f t="shared" si="156"/>
        <v>244.17</v>
      </c>
      <c r="W528" s="38">
        <f t="shared" si="157"/>
        <v>252.89</v>
      </c>
      <c r="X528" s="38">
        <f t="shared" si="158"/>
        <v>261.61</v>
      </c>
      <c r="Z528" s="4">
        <f t="shared" si="152"/>
        <v>144.13999999999999</v>
      </c>
      <c r="AA528" s="4">
        <f t="shared" si="153"/>
        <v>174.40939999999998</v>
      </c>
    </row>
    <row r="529" spans="1:27" x14ac:dyDescent="0.3">
      <c r="A529" s="135"/>
      <c r="B529" s="125"/>
      <c r="C529" s="3" t="s">
        <v>382</v>
      </c>
      <c r="D529" s="55" t="s">
        <v>969</v>
      </c>
      <c r="E529" s="55" t="s">
        <v>362</v>
      </c>
      <c r="F529" s="55" t="s">
        <v>326</v>
      </c>
      <c r="G529" s="56">
        <v>5</v>
      </c>
      <c r="H529" s="49">
        <f>49+3+10+10+10+15+10+10+10+5+10+10+10+5</f>
        <v>167</v>
      </c>
      <c r="I529" s="50">
        <f>0+1+1+10+5+5+4+10+10+3+2+5+2+10+6+8+6+1+3+3+5+7+10+10+5+1+5+6+2+2+4+1+4+2+3+2</f>
        <v>164</v>
      </c>
      <c r="J529" s="77">
        <f>+H529-I529</f>
        <v>3</v>
      </c>
      <c r="K529" s="31">
        <v>626.29999999999995</v>
      </c>
      <c r="L529" s="32">
        <v>44182</v>
      </c>
      <c r="M529" s="33">
        <v>0.21</v>
      </c>
      <c r="N529" s="64">
        <f t="shared" si="154"/>
        <v>757.82299999999998</v>
      </c>
      <c r="O529" s="68">
        <f t="shared" si="147"/>
        <v>814.19</v>
      </c>
      <c r="P529" s="68">
        <f t="shared" si="148"/>
        <v>845.51</v>
      </c>
      <c r="Q529" s="68">
        <f t="shared" si="149"/>
        <v>876.82</v>
      </c>
      <c r="R529" s="11">
        <f t="shared" si="150"/>
        <v>908.14</v>
      </c>
      <c r="S529" s="11">
        <f t="shared" ref="S529:S581" si="159">K529*(1+$S$3)</f>
        <v>939.44999999999993</v>
      </c>
      <c r="T529" s="11">
        <f t="shared" si="151"/>
        <v>1002.08</v>
      </c>
      <c r="U529" s="38">
        <f t="shared" si="155"/>
        <v>1023.06</v>
      </c>
      <c r="V529" s="38">
        <f t="shared" si="156"/>
        <v>1060.95</v>
      </c>
      <c r="W529" s="38">
        <f t="shared" si="157"/>
        <v>1098.8399999999999</v>
      </c>
      <c r="X529" s="38">
        <f t="shared" si="158"/>
        <v>1136.73</v>
      </c>
      <c r="Z529" s="4">
        <f t="shared" si="152"/>
        <v>1878.8999999999999</v>
      </c>
      <c r="AA529" s="4">
        <f t="shared" ref="AA529:AA555" si="160">J529*N529</f>
        <v>2273.4690000000001</v>
      </c>
    </row>
    <row r="530" spans="1:27" x14ac:dyDescent="0.3">
      <c r="A530" s="135"/>
      <c r="B530" s="125"/>
      <c r="C530" s="3" t="s">
        <v>194</v>
      </c>
      <c r="D530" s="60" t="s">
        <v>455</v>
      </c>
      <c r="E530" s="55" t="s">
        <v>454</v>
      </c>
      <c r="F530" s="55" t="s">
        <v>356</v>
      </c>
      <c r="G530" s="56">
        <v>10</v>
      </c>
      <c r="H530" s="49">
        <f>130+100+100+100+20+20</f>
        <v>470</v>
      </c>
      <c r="I530" s="50">
        <f>330+20+10+20+30+10+10</f>
        <v>430</v>
      </c>
      <c r="J530" s="77">
        <f>+H530-I530</f>
        <v>40</v>
      </c>
      <c r="K530" s="31">
        <v>58.6</v>
      </c>
      <c r="L530" s="32">
        <v>44044</v>
      </c>
      <c r="M530" s="33">
        <v>0.21</v>
      </c>
      <c r="N530" s="64">
        <f t="shared" si="154"/>
        <v>70.906000000000006</v>
      </c>
      <c r="O530" s="68">
        <f t="shared" si="147"/>
        <v>76.180000000000007</v>
      </c>
      <c r="P530" s="68">
        <f t="shared" si="148"/>
        <v>79.11</v>
      </c>
      <c r="Q530" s="68">
        <f t="shared" si="149"/>
        <v>82.04</v>
      </c>
      <c r="R530" s="11">
        <f t="shared" si="150"/>
        <v>84.97</v>
      </c>
      <c r="S530" s="11">
        <f t="shared" si="159"/>
        <v>87.9</v>
      </c>
      <c r="T530" s="11">
        <f t="shared" si="151"/>
        <v>93.76</v>
      </c>
      <c r="U530" s="38">
        <f t="shared" si="155"/>
        <v>95.72</v>
      </c>
      <c r="V530" s="38">
        <f t="shared" si="156"/>
        <v>99.27</v>
      </c>
      <c r="W530" s="38">
        <f t="shared" si="157"/>
        <v>102.81</v>
      </c>
      <c r="X530" s="38">
        <f t="shared" si="158"/>
        <v>106.36</v>
      </c>
      <c r="Z530" s="4">
        <f t="shared" si="152"/>
        <v>2344</v>
      </c>
      <c r="AA530" s="4">
        <f t="shared" si="160"/>
        <v>2836.2400000000002</v>
      </c>
    </row>
    <row r="531" spans="1:27" x14ac:dyDescent="0.3">
      <c r="A531" s="135"/>
      <c r="B531" s="125"/>
      <c r="C531" s="3" t="s">
        <v>383</v>
      </c>
      <c r="D531" s="60" t="s">
        <v>1386</v>
      </c>
      <c r="E531" s="55" t="s">
        <v>454</v>
      </c>
      <c r="F531" s="55" t="s">
        <v>922</v>
      </c>
      <c r="G531" s="56">
        <v>8</v>
      </c>
      <c r="H531" s="49">
        <f>50+50+100+20</f>
        <v>220</v>
      </c>
      <c r="I531" s="69">
        <f>20+16+14+20+30+50+50+10</f>
        <v>210</v>
      </c>
      <c r="J531" s="77">
        <f>+H531-I531</f>
        <v>10</v>
      </c>
      <c r="K531" s="31">
        <v>80.599999999999994</v>
      </c>
      <c r="L531" s="32">
        <v>44056</v>
      </c>
      <c r="M531" s="33">
        <v>0.21</v>
      </c>
      <c r="N531" s="64">
        <f t="shared" si="154"/>
        <v>97.525999999999996</v>
      </c>
      <c r="O531" s="68">
        <f t="shared" ref="O531:O584" si="161">ROUND(K531*(1+$O$3),2)</f>
        <v>104.78</v>
      </c>
      <c r="P531" s="68">
        <f t="shared" si="148"/>
        <v>108.81</v>
      </c>
      <c r="Q531" s="68">
        <f t="shared" si="149"/>
        <v>112.84</v>
      </c>
      <c r="R531" s="11">
        <f t="shared" si="150"/>
        <v>116.87</v>
      </c>
      <c r="S531" s="11">
        <f t="shared" si="159"/>
        <v>120.89999999999999</v>
      </c>
      <c r="T531" s="11">
        <f t="shared" si="151"/>
        <v>128.96</v>
      </c>
      <c r="U531" s="38">
        <f t="shared" si="155"/>
        <v>131.66</v>
      </c>
      <c r="V531" s="38">
        <f t="shared" si="156"/>
        <v>136.54</v>
      </c>
      <c r="W531" s="38">
        <f t="shared" si="157"/>
        <v>141.41</v>
      </c>
      <c r="X531" s="38">
        <f t="shared" si="158"/>
        <v>146.29</v>
      </c>
      <c r="Z531" s="4">
        <f t="shared" si="152"/>
        <v>806</v>
      </c>
      <c r="AA531" s="4">
        <f t="shared" si="160"/>
        <v>975.26</v>
      </c>
    </row>
    <row r="532" spans="1:27" x14ac:dyDescent="0.3">
      <c r="A532" s="140"/>
      <c r="C532" s="3" t="s">
        <v>951</v>
      </c>
      <c r="D532" s="60" t="s">
        <v>1389</v>
      </c>
      <c r="E532" s="55" t="s">
        <v>70</v>
      </c>
      <c r="F532" s="55" t="s">
        <v>922</v>
      </c>
      <c r="G532" s="56">
        <v>20</v>
      </c>
      <c r="H532" s="49">
        <v>20</v>
      </c>
      <c r="I532" s="50">
        <v>0</v>
      </c>
      <c r="J532" s="77">
        <f>+H532-I532</f>
        <v>20</v>
      </c>
      <c r="K532" s="31">
        <v>76.5</v>
      </c>
      <c r="L532" s="32">
        <v>44250</v>
      </c>
      <c r="M532" s="33">
        <v>0.21</v>
      </c>
      <c r="N532" s="64">
        <f t="shared" si="154"/>
        <v>92.564999999999998</v>
      </c>
      <c r="O532" s="68">
        <f t="shared" si="161"/>
        <v>99.45</v>
      </c>
      <c r="P532" s="68">
        <f t="shared" si="148"/>
        <v>103.28</v>
      </c>
      <c r="Q532" s="68">
        <f t="shared" si="149"/>
        <v>107.1</v>
      </c>
      <c r="R532" s="11">
        <f t="shared" si="150"/>
        <v>110.93</v>
      </c>
      <c r="S532" s="11">
        <f t="shared" si="159"/>
        <v>114.75</v>
      </c>
      <c r="T532" s="11">
        <f t="shared" si="151"/>
        <v>122.4</v>
      </c>
      <c r="U532" s="38">
        <f t="shared" si="155"/>
        <v>124.96</v>
      </c>
      <c r="V532" s="38">
        <f t="shared" si="156"/>
        <v>129.59</v>
      </c>
      <c r="W532" s="38">
        <f t="shared" si="157"/>
        <v>134.22</v>
      </c>
      <c r="X532" s="38">
        <f t="shared" si="158"/>
        <v>138.85</v>
      </c>
      <c r="Z532" s="4">
        <f t="shared" si="152"/>
        <v>1530</v>
      </c>
      <c r="AA532" s="4">
        <f t="shared" si="160"/>
        <v>1851.3</v>
      </c>
    </row>
    <row r="533" spans="1:27" x14ac:dyDescent="0.3">
      <c r="A533" s="135"/>
      <c r="C533" s="3" t="s">
        <v>1398</v>
      </c>
      <c r="D533" s="60" t="s">
        <v>1389</v>
      </c>
      <c r="E533" s="55"/>
      <c r="F533" s="55" t="s">
        <v>1399</v>
      </c>
      <c r="G533" s="56">
        <v>0</v>
      </c>
      <c r="H533" s="49">
        <f>10</f>
        <v>10</v>
      </c>
      <c r="I533" s="50">
        <v>0</v>
      </c>
      <c r="J533" s="77">
        <f>+H533-I533</f>
        <v>10</v>
      </c>
      <c r="K533" s="31">
        <v>57.67</v>
      </c>
      <c r="L533" s="32">
        <v>44044</v>
      </c>
      <c r="M533" s="33">
        <v>0.21</v>
      </c>
      <c r="N533" s="64">
        <f t="shared" si="154"/>
        <v>69.780699999999996</v>
      </c>
      <c r="O533" s="68">
        <f t="shared" si="161"/>
        <v>74.97</v>
      </c>
      <c r="P533" s="68">
        <f t="shared" si="148"/>
        <v>77.849999999999994</v>
      </c>
      <c r="Q533" s="68">
        <f t="shared" si="149"/>
        <v>80.739999999999995</v>
      </c>
      <c r="R533" s="11">
        <f t="shared" si="150"/>
        <v>83.62</v>
      </c>
      <c r="S533" s="11">
        <f t="shared" si="159"/>
        <v>86.504999999999995</v>
      </c>
      <c r="T533" s="11">
        <f t="shared" si="151"/>
        <v>92.27</v>
      </c>
      <c r="U533" s="38">
        <f t="shared" si="155"/>
        <v>94.2</v>
      </c>
      <c r="V533" s="38">
        <f t="shared" si="156"/>
        <v>97.69</v>
      </c>
      <c r="W533" s="38">
        <f t="shared" si="157"/>
        <v>101.18</v>
      </c>
      <c r="X533" s="38">
        <f t="shared" si="158"/>
        <v>104.67</v>
      </c>
      <c r="Z533" s="4"/>
      <c r="AA533" s="4"/>
    </row>
    <row r="534" spans="1:27" x14ac:dyDescent="0.3">
      <c r="A534" s="135"/>
      <c r="C534" s="3" t="s">
        <v>1209</v>
      </c>
      <c r="D534" s="60"/>
      <c r="E534" s="55" t="s">
        <v>454</v>
      </c>
      <c r="F534" s="55" t="s">
        <v>356</v>
      </c>
      <c r="G534" s="56">
        <v>0</v>
      </c>
      <c r="H534" s="49">
        <f>32+20+6+30+10+20+10+10+10+10+30</f>
        <v>188</v>
      </c>
      <c r="I534" s="50">
        <f>20+8+8+22+10+10+10+10+10+10+10+10+10+10+20</f>
        <v>178</v>
      </c>
      <c r="J534" s="77">
        <f>+H534-I534</f>
        <v>10</v>
      </c>
      <c r="K534" s="31">
        <v>92.32</v>
      </c>
      <c r="L534" s="32">
        <v>44138</v>
      </c>
      <c r="M534" s="33">
        <v>0.21</v>
      </c>
      <c r="N534" s="64">
        <f t="shared" si="154"/>
        <v>111.70719999999999</v>
      </c>
      <c r="O534" s="68">
        <f t="shared" si="161"/>
        <v>120.02</v>
      </c>
      <c r="P534" s="68">
        <f t="shared" si="148"/>
        <v>124.63</v>
      </c>
      <c r="Q534" s="68">
        <f t="shared" si="149"/>
        <v>129.25</v>
      </c>
      <c r="R534" s="11">
        <f t="shared" si="150"/>
        <v>133.86000000000001</v>
      </c>
      <c r="S534" s="11">
        <f t="shared" si="159"/>
        <v>138.47999999999999</v>
      </c>
      <c r="T534" s="11">
        <f t="shared" si="151"/>
        <v>147.71</v>
      </c>
      <c r="U534" s="38">
        <f t="shared" si="155"/>
        <v>150.80000000000001</v>
      </c>
      <c r="V534" s="38">
        <f t="shared" si="156"/>
        <v>156.38999999999999</v>
      </c>
      <c r="W534" s="38">
        <f t="shared" si="157"/>
        <v>161.97999999999999</v>
      </c>
      <c r="X534" s="38">
        <f t="shared" si="158"/>
        <v>167.56</v>
      </c>
      <c r="Z534" s="4">
        <f t="shared" si="152"/>
        <v>923.19999999999993</v>
      </c>
      <c r="AA534" s="4">
        <f t="shared" si="160"/>
        <v>1117.0719999999999</v>
      </c>
    </row>
    <row r="535" spans="1:27" x14ac:dyDescent="0.3">
      <c r="C535" s="3" t="s">
        <v>360</v>
      </c>
      <c r="D535" s="55" t="s">
        <v>562</v>
      </c>
      <c r="E535" s="55" t="s">
        <v>40</v>
      </c>
      <c r="F535" s="55" t="s">
        <v>304</v>
      </c>
      <c r="G535" s="56">
        <v>0</v>
      </c>
      <c r="H535" s="49">
        <f>2</f>
        <v>2</v>
      </c>
      <c r="I535" s="50">
        <f>0</f>
        <v>0</v>
      </c>
      <c r="J535" s="77">
        <f>+H535-I535</f>
        <v>2</v>
      </c>
      <c r="K535" s="31"/>
      <c r="L535" s="32"/>
      <c r="M535" s="33">
        <v>0.21</v>
      </c>
      <c r="N535" s="64">
        <f t="shared" si="154"/>
        <v>0</v>
      </c>
      <c r="O535" s="68">
        <f t="shared" si="161"/>
        <v>0</v>
      </c>
      <c r="P535" s="68">
        <f t="shared" si="148"/>
        <v>0</v>
      </c>
      <c r="Q535" s="68">
        <f t="shared" si="149"/>
        <v>0</v>
      </c>
      <c r="R535" s="11">
        <f t="shared" si="150"/>
        <v>0</v>
      </c>
      <c r="S535" s="11">
        <f t="shared" si="159"/>
        <v>0</v>
      </c>
      <c r="T535" s="11">
        <f t="shared" si="151"/>
        <v>0</v>
      </c>
      <c r="U535" s="38">
        <f t="shared" si="155"/>
        <v>0</v>
      </c>
      <c r="V535" s="38">
        <f t="shared" si="156"/>
        <v>0</v>
      </c>
      <c r="W535" s="38">
        <f t="shared" si="157"/>
        <v>0</v>
      </c>
      <c r="X535" s="38">
        <f t="shared" si="158"/>
        <v>0</v>
      </c>
      <c r="Z535" s="4">
        <f t="shared" si="152"/>
        <v>0</v>
      </c>
      <c r="AA535" s="4">
        <f t="shared" si="160"/>
        <v>0</v>
      </c>
    </row>
    <row r="536" spans="1:27" x14ac:dyDescent="0.3">
      <c r="A536" s="135"/>
      <c r="B536" s="125"/>
      <c r="C536" s="3" t="s">
        <v>802</v>
      </c>
      <c r="D536" s="55"/>
      <c r="E536" s="55" t="s">
        <v>801</v>
      </c>
      <c r="F536" s="55" t="s">
        <v>803</v>
      </c>
      <c r="G536" s="56">
        <v>2</v>
      </c>
      <c r="H536" s="49">
        <v>0</v>
      </c>
      <c r="I536" s="50">
        <f>0</f>
        <v>0</v>
      </c>
      <c r="J536" s="77">
        <f>+H536-I536</f>
        <v>0</v>
      </c>
      <c r="K536" s="31">
        <v>1108.52</v>
      </c>
      <c r="L536" s="32">
        <v>44018</v>
      </c>
      <c r="M536" s="33">
        <v>0.21</v>
      </c>
      <c r="N536" s="64">
        <f t="shared" si="154"/>
        <v>1341.3091999999999</v>
      </c>
      <c r="O536" s="68"/>
      <c r="P536" s="68"/>
      <c r="Q536" s="68"/>
      <c r="R536" s="11"/>
      <c r="S536" s="11"/>
      <c r="T536" s="11">
        <f t="shared" si="151"/>
        <v>1773.63</v>
      </c>
      <c r="U536" s="38">
        <f t="shared" si="155"/>
        <v>1810.77</v>
      </c>
      <c r="V536" s="38">
        <f t="shared" si="156"/>
        <v>1877.83</v>
      </c>
      <c r="W536" s="38">
        <f t="shared" si="157"/>
        <v>1944.9</v>
      </c>
      <c r="X536" s="38">
        <f t="shared" si="158"/>
        <v>2011.96</v>
      </c>
      <c r="Z536" s="4">
        <f t="shared" si="152"/>
        <v>0</v>
      </c>
      <c r="AA536" s="4">
        <f t="shared" si="160"/>
        <v>0</v>
      </c>
    </row>
    <row r="537" spans="1:27" x14ac:dyDescent="0.3">
      <c r="C537" s="3" t="s">
        <v>445</v>
      </c>
      <c r="D537" s="55" t="s">
        <v>41</v>
      </c>
      <c r="E537" s="55" t="s">
        <v>448</v>
      </c>
      <c r="F537" s="55" t="s">
        <v>304</v>
      </c>
      <c r="G537" s="56">
        <v>0</v>
      </c>
      <c r="H537" s="49">
        <f>1</f>
        <v>1</v>
      </c>
      <c r="I537" s="50">
        <f>0</f>
        <v>0</v>
      </c>
      <c r="J537" s="77">
        <f>+H537-I537</f>
        <v>1</v>
      </c>
      <c r="K537" s="31">
        <v>800</v>
      </c>
      <c r="L537" s="32">
        <v>41864</v>
      </c>
      <c r="M537" s="33">
        <v>0.21</v>
      </c>
      <c r="N537" s="64">
        <f t="shared" si="154"/>
        <v>968</v>
      </c>
      <c r="O537" s="68">
        <f t="shared" si="161"/>
        <v>1040</v>
      </c>
      <c r="P537" s="68">
        <f t="shared" ref="P537:P593" si="162">ROUND(K537*(1+$P$3),2)</f>
        <v>1080</v>
      </c>
      <c r="Q537" s="68">
        <f t="shared" ref="Q537:Q593" si="163">ROUND(K537*(1+$Q$3),2)</f>
        <v>1120</v>
      </c>
      <c r="R537" s="11">
        <f t="shared" ref="R537:R593" si="164">ROUND(K537*(1+$R$3),2)</f>
        <v>1160</v>
      </c>
      <c r="S537" s="11">
        <f t="shared" si="159"/>
        <v>1200</v>
      </c>
      <c r="T537" s="11">
        <f t="shared" ref="T537:T593" si="165">ROUND(K537*(1+$T$3),2)</f>
        <v>1280</v>
      </c>
      <c r="U537" s="38">
        <f t="shared" si="155"/>
        <v>1306.8</v>
      </c>
      <c r="V537" s="38">
        <f t="shared" si="156"/>
        <v>1355.2</v>
      </c>
      <c r="W537" s="38">
        <f t="shared" si="157"/>
        <v>1403.6</v>
      </c>
      <c r="X537" s="38">
        <f t="shared" si="158"/>
        <v>1452</v>
      </c>
      <c r="Z537" s="4">
        <f t="shared" ref="Z537:Z593" si="166">J537*K537</f>
        <v>800</v>
      </c>
      <c r="AA537" s="4">
        <f t="shared" si="160"/>
        <v>968</v>
      </c>
    </row>
    <row r="538" spans="1:27" x14ac:dyDescent="0.3">
      <c r="A538" s="135"/>
      <c r="C538" s="3" t="s">
        <v>1212</v>
      </c>
      <c r="D538" s="55"/>
      <c r="E538" s="55" t="s">
        <v>40</v>
      </c>
      <c r="F538" s="55" t="s">
        <v>1211</v>
      </c>
      <c r="G538" s="56">
        <v>0</v>
      </c>
      <c r="H538" s="49">
        <f>1</f>
        <v>1</v>
      </c>
      <c r="I538" s="50">
        <f>0</f>
        <v>0</v>
      </c>
      <c r="J538" s="77">
        <f>+H538-I538</f>
        <v>1</v>
      </c>
      <c r="K538" s="31">
        <v>1519.52</v>
      </c>
      <c r="L538" s="32">
        <v>43186</v>
      </c>
      <c r="M538" s="33">
        <v>0.21</v>
      </c>
      <c r="N538" s="64">
        <f t="shared" si="154"/>
        <v>1838.6191999999999</v>
      </c>
      <c r="O538" s="68">
        <f t="shared" si="161"/>
        <v>1975.38</v>
      </c>
      <c r="P538" s="68">
        <f t="shared" si="162"/>
        <v>2051.35</v>
      </c>
      <c r="Q538" s="68">
        <f t="shared" si="163"/>
        <v>2127.33</v>
      </c>
      <c r="R538" s="11">
        <f t="shared" si="164"/>
        <v>2203.3000000000002</v>
      </c>
      <c r="S538" s="11">
        <f t="shared" si="159"/>
        <v>2279.2799999999997</v>
      </c>
      <c r="T538" s="11">
        <f t="shared" si="165"/>
        <v>2431.23</v>
      </c>
      <c r="U538" s="38">
        <f t="shared" si="155"/>
        <v>2482.14</v>
      </c>
      <c r="V538" s="38">
        <f t="shared" si="156"/>
        <v>2574.0700000000002</v>
      </c>
      <c r="W538" s="38">
        <f t="shared" si="157"/>
        <v>2666</v>
      </c>
      <c r="X538" s="38">
        <f t="shared" si="158"/>
        <v>2757.93</v>
      </c>
      <c r="Z538" s="4">
        <f t="shared" si="166"/>
        <v>1519.52</v>
      </c>
      <c r="AA538" s="4">
        <f t="shared" si="160"/>
        <v>1838.6191999999999</v>
      </c>
    </row>
    <row r="539" spans="1:27" x14ac:dyDescent="0.3">
      <c r="A539" s="135"/>
      <c r="C539" s="3" t="s">
        <v>1213</v>
      </c>
      <c r="D539" s="55"/>
      <c r="E539" s="55" t="s">
        <v>38</v>
      </c>
      <c r="F539" s="55" t="s">
        <v>1211</v>
      </c>
      <c r="G539" s="56">
        <v>1</v>
      </c>
      <c r="H539" s="49">
        <f>1</f>
        <v>1</v>
      </c>
      <c r="I539" s="50">
        <f>0</f>
        <v>0</v>
      </c>
      <c r="J539" s="77">
        <f>+H539-I539</f>
        <v>1</v>
      </c>
      <c r="K539" s="31">
        <v>1722.8</v>
      </c>
      <c r="L539" s="32">
        <v>43186</v>
      </c>
      <c r="M539" s="33">
        <v>0.21</v>
      </c>
      <c r="N539" s="64">
        <f t="shared" si="154"/>
        <v>2084.5879999999997</v>
      </c>
      <c r="O539" s="68">
        <f t="shared" si="161"/>
        <v>2239.64</v>
      </c>
      <c r="P539" s="68">
        <f t="shared" si="162"/>
        <v>2325.7800000000002</v>
      </c>
      <c r="Q539" s="68">
        <f t="shared" si="163"/>
        <v>2411.92</v>
      </c>
      <c r="R539" s="11">
        <f t="shared" si="164"/>
        <v>2498.06</v>
      </c>
      <c r="S539" s="11">
        <f t="shared" si="159"/>
        <v>2584.1999999999998</v>
      </c>
      <c r="T539" s="11">
        <f t="shared" si="165"/>
        <v>2756.48</v>
      </c>
      <c r="U539" s="38">
        <f t="shared" si="155"/>
        <v>2814.19</v>
      </c>
      <c r="V539" s="38">
        <f t="shared" si="156"/>
        <v>2918.42</v>
      </c>
      <c r="W539" s="38">
        <f t="shared" si="157"/>
        <v>3022.65</v>
      </c>
      <c r="X539" s="38">
        <f t="shared" si="158"/>
        <v>3126.88</v>
      </c>
      <c r="Z539" s="4">
        <f t="shared" si="166"/>
        <v>1722.8</v>
      </c>
      <c r="AA539" s="4">
        <f t="shared" si="160"/>
        <v>2084.5879999999997</v>
      </c>
    </row>
    <row r="540" spans="1:27" x14ac:dyDescent="0.3">
      <c r="C540" s="3" t="s">
        <v>564</v>
      </c>
      <c r="D540" s="55" t="s">
        <v>565</v>
      </c>
      <c r="E540" s="55" t="s">
        <v>304</v>
      </c>
      <c r="F540" s="55" t="s">
        <v>284</v>
      </c>
      <c r="G540" s="56">
        <v>0</v>
      </c>
      <c r="H540" s="49">
        <f>1+1</f>
        <v>2</v>
      </c>
      <c r="I540" s="50">
        <f>0</f>
        <v>0</v>
      </c>
      <c r="J540" s="77">
        <f>+H540-I540</f>
        <v>2</v>
      </c>
      <c r="K540" s="31">
        <v>1079</v>
      </c>
      <c r="L540" s="32">
        <v>41864</v>
      </c>
      <c r="M540" s="33">
        <v>0.21</v>
      </c>
      <c r="N540" s="64">
        <f t="shared" si="154"/>
        <v>1305.5899999999999</v>
      </c>
      <c r="O540" s="68">
        <f t="shared" si="161"/>
        <v>1402.7</v>
      </c>
      <c r="P540" s="68">
        <f t="shared" si="162"/>
        <v>1456.65</v>
      </c>
      <c r="Q540" s="68">
        <f t="shared" si="163"/>
        <v>1510.6</v>
      </c>
      <c r="R540" s="11">
        <f t="shared" si="164"/>
        <v>1564.55</v>
      </c>
      <c r="S540" s="11">
        <f t="shared" si="159"/>
        <v>1618.5</v>
      </c>
      <c r="T540" s="11">
        <f t="shared" si="165"/>
        <v>1726.4</v>
      </c>
      <c r="U540" s="38">
        <f t="shared" si="155"/>
        <v>1762.55</v>
      </c>
      <c r="V540" s="38">
        <f t="shared" si="156"/>
        <v>1827.83</v>
      </c>
      <c r="W540" s="38">
        <f t="shared" si="157"/>
        <v>1893.11</v>
      </c>
      <c r="X540" s="38">
        <f t="shared" si="158"/>
        <v>1958.39</v>
      </c>
      <c r="Z540" s="4">
        <f t="shared" si="166"/>
        <v>2158</v>
      </c>
      <c r="AA540" s="4">
        <f t="shared" si="160"/>
        <v>2611.1799999999998</v>
      </c>
    </row>
    <row r="541" spans="1:27" x14ac:dyDescent="0.3">
      <c r="C541" s="3" t="s">
        <v>1012</v>
      </c>
      <c r="D541" s="55" t="s">
        <v>1013</v>
      </c>
      <c r="E541" s="55" t="s">
        <v>70</v>
      </c>
      <c r="F541" s="55" t="s">
        <v>222</v>
      </c>
      <c r="G541" s="56">
        <v>0</v>
      </c>
      <c r="H541" s="49">
        <v>1</v>
      </c>
      <c r="I541" s="50">
        <f>0</f>
        <v>0</v>
      </c>
      <c r="J541" s="77">
        <v>1</v>
      </c>
      <c r="K541" s="31">
        <v>1906.32</v>
      </c>
      <c r="L541" s="32">
        <v>42710</v>
      </c>
      <c r="M541" s="33">
        <v>0.21</v>
      </c>
      <c r="N541" s="64">
        <f t="shared" ref="N541:N597" si="167">+K541*(1+M541)</f>
        <v>2306.6471999999999</v>
      </c>
      <c r="O541" s="68">
        <f t="shared" si="161"/>
        <v>2478.2199999999998</v>
      </c>
      <c r="P541" s="68">
        <f t="shared" si="162"/>
        <v>2573.5300000000002</v>
      </c>
      <c r="Q541" s="68">
        <f t="shared" si="163"/>
        <v>2668.85</v>
      </c>
      <c r="R541" s="11">
        <f t="shared" si="164"/>
        <v>2764.16</v>
      </c>
      <c r="S541" s="11">
        <f t="shared" si="159"/>
        <v>2859.48</v>
      </c>
      <c r="T541" s="11">
        <f t="shared" si="165"/>
        <v>3050.11</v>
      </c>
      <c r="U541" s="38">
        <f t="shared" si="155"/>
        <v>3113.97</v>
      </c>
      <c r="V541" s="38">
        <f t="shared" si="156"/>
        <v>3229.31</v>
      </c>
      <c r="W541" s="38">
        <f t="shared" si="157"/>
        <v>3344.64</v>
      </c>
      <c r="X541" s="38">
        <f t="shared" si="158"/>
        <v>3459.97</v>
      </c>
      <c r="Z541" s="4">
        <f t="shared" si="166"/>
        <v>1906.32</v>
      </c>
      <c r="AA541" s="4">
        <f>J541*N541</f>
        <v>2306.6471999999999</v>
      </c>
    </row>
    <row r="542" spans="1:27" x14ac:dyDescent="0.3">
      <c r="B542" s="125"/>
      <c r="C542" s="5" t="s">
        <v>1014</v>
      </c>
      <c r="D542" s="55" t="s">
        <v>731</v>
      </c>
      <c r="E542" s="55" t="s">
        <v>70</v>
      </c>
      <c r="F542" s="55" t="s">
        <v>222</v>
      </c>
      <c r="G542" s="56">
        <v>3</v>
      </c>
      <c r="H542" s="49">
        <f>20+15+10+10</f>
        <v>55</v>
      </c>
      <c r="I542" s="50">
        <f>5+10+5+10+3+2+10+6</f>
        <v>51</v>
      </c>
      <c r="J542" s="77">
        <f>+H542-I542</f>
        <v>4</v>
      </c>
      <c r="K542" s="31">
        <v>351.68</v>
      </c>
      <c r="L542" s="32">
        <v>44169</v>
      </c>
      <c r="M542" s="33">
        <v>0.21</v>
      </c>
      <c r="N542" s="64">
        <f t="shared" si="167"/>
        <v>425.53280000000001</v>
      </c>
      <c r="O542" s="68">
        <f t="shared" si="161"/>
        <v>457.18</v>
      </c>
      <c r="P542" s="68">
        <f t="shared" si="162"/>
        <v>474.77</v>
      </c>
      <c r="Q542" s="68">
        <f t="shared" si="163"/>
        <v>492.35</v>
      </c>
      <c r="R542" s="11">
        <f t="shared" si="164"/>
        <v>509.94</v>
      </c>
      <c r="S542" s="11">
        <f t="shared" si="159"/>
        <v>527.52</v>
      </c>
      <c r="T542" s="11">
        <f t="shared" si="165"/>
        <v>562.69000000000005</v>
      </c>
      <c r="U542" s="38">
        <f t="shared" si="155"/>
        <v>574.47</v>
      </c>
      <c r="V542" s="38">
        <f t="shared" si="156"/>
        <v>595.75</v>
      </c>
      <c r="W542" s="38">
        <f t="shared" si="157"/>
        <v>617.02</v>
      </c>
      <c r="X542" s="38">
        <f t="shared" si="158"/>
        <v>638.29999999999995</v>
      </c>
      <c r="Z542" s="4">
        <f t="shared" si="166"/>
        <v>1406.72</v>
      </c>
      <c r="AA542" s="4">
        <f t="shared" si="160"/>
        <v>1702.1312</v>
      </c>
    </row>
    <row r="543" spans="1:27" x14ac:dyDescent="0.3">
      <c r="B543" s="125"/>
      <c r="C543" s="5" t="s">
        <v>1095</v>
      </c>
      <c r="D543" s="55" t="s">
        <v>1096</v>
      </c>
      <c r="E543" s="55" t="s">
        <v>70</v>
      </c>
      <c r="F543" s="55" t="s">
        <v>222</v>
      </c>
      <c r="G543" s="56">
        <v>3</v>
      </c>
      <c r="H543" s="49">
        <f>10+5+10+10+20</f>
        <v>55</v>
      </c>
      <c r="I543" s="50">
        <f>0+3+10+2+10+10+10+10</f>
        <v>55</v>
      </c>
      <c r="J543" s="77">
        <f>+H543-I543</f>
        <v>0</v>
      </c>
      <c r="K543" s="31">
        <v>356.02</v>
      </c>
      <c r="L543" s="32">
        <v>44069</v>
      </c>
      <c r="M543" s="33">
        <v>0.21</v>
      </c>
      <c r="N543" s="64">
        <f t="shared" si="167"/>
        <v>430.78419999999994</v>
      </c>
      <c r="O543" s="68">
        <f t="shared" si="161"/>
        <v>462.83</v>
      </c>
      <c r="P543" s="68">
        <f t="shared" si="162"/>
        <v>480.63</v>
      </c>
      <c r="Q543" s="68">
        <f t="shared" si="163"/>
        <v>498.43</v>
      </c>
      <c r="R543" s="11">
        <f t="shared" si="164"/>
        <v>516.23</v>
      </c>
      <c r="S543" s="11">
        <f t="shared" si="159"/>
        <v>534.03</v>
      </c>
      <c r="T543" s="11">
        <f t="shared" si="165"/>
        <v>569.63</v>
      </c>
      <c r="U543" s="38">
        <f t="shared" si="155"/>
        <v>581.55999999999995</v>
      </c>
      <c r="V543" s="38">
        <f t="shared" si="156"/>
        <v>603.1</v>
      </c>
      <c r="W543" s="38">
        <f t="shared" si="157"/>
        <v>624.64</v>
      </c>
      <c r="X543" s="38">
        <f t="shared" si="158"/>
        <v>646.17999999999995</v>
      </c>
      <c r="Z543" s="4">
        <f t="shared" si="166"/>
        <v>0</v>
      </c>
      <c r="AA543" s="4">
        <f t="shared" si="160"/>
        <v>0</v>
      </c>
    </row>
    <row r="544" spans="1:27" x14ac:dyDescent="0.3">
      <c r="C544" s="5" t="s">
        <v>1569</v>
      </c>
      <c r="D544" s="55" t="s">
        <v>1056</v>
      </c>
      <c r="E544" s="55" t="s">
        <v>34</v>
      </c>
      <c r="F544" s="55"/>
      <c r="G544" s="56"/>
      <c r="H544" s="49">
        <v>10</v>
      </c>
      <c r="I544" s="50">
        <f>2+2</f>
        <v>4</v>
      </c>
      <c r="J544" s="77">
        <f>+H544-I544</f>
        <v>6</v>
      </c>
      <c r="K544" s="31">
        <v>12618</v>
      </c>
      <c r="L544" s="32">
        <v>44209</v>
      </c>
      <c r="M544" s="33">
        <v>0.21</v>
      </c>
      <c r="N544" s="64">
        <f t="shared" si="167"/>
        <v>15267.779999999999</v>
      </c>
      <c r="O544" s="68">
        <f t="shared" si="161"/>
        <v>16403.400000000001</v>
      </c>
      <c r="P544" s="68">
        <f t="shared" si="162"/>
        <v>17034.3</v>
      </c>
      <c r="Q544" s="68">
        <f t="shared" si="163"/>
        <v>17665.2</v>
      </c>
      <c r="R544" s="11">
        <f t="shared" si="164"/>
        <v>18296.099999999999</v>
      </c>
      <c r="S544" s="11">
        <f t="shared" si="159"/>
        <v>18927</v>
      </c>
      <c r="T544" s="11">
        <f t="shared" si="165"/>
        <v>20188.8</v>
      </c>
      <c r="U544" s="38">
        <f t="shared" si="155"/>
        <v>20611.5</v>
      </c>
      <c r="V544" s="38">
        <f t="shared" si="156"/>
        <v>21374.89</v>
      </c>
      <c r="W544" s="38">
        <f t="shared" si="157"/>
        <v>22138.28</v>
      </c>
      <c r="X544" s="38">
        <f t="shared" si="158"/>
        <v>22901.67</v>
      </c>
      <c r="Z544" s="4">
        <f t="shared" si="166"/>
        <v>75708</v>
      </c>
      <c r="AA544" s="4">
        <f t="shared" si="160"/>
        <v>91606.68</v>
      </c>
    </row>
    <row r="545" spans="1:27" x14ac:dyDescent="0.3">
      <c r="C545" s="5" t="s">
        <v>954</v>
      </c>
      <c r="D545" s="55"/>
      <c r="E545" s="55"/>
      <c r="F545" s="55"/>
      <c r="G545" s="56"/>
      <c r="H545" s="49">
        <v>1</v>
      </c>
      <c r="I545" s="50">
        <f>0</f>
        <v>0</v>
      </c>
      <c r="J545" s="77">
        <f>+H545-I545</f>
        <v>1</v>
      </c>
      <c r="K545" s="31"/>
      <c r="L545" s="32"/>
      <c r="M545" s="33">
        <v>0.21</v>
      </c>
      <c r="N545" s="64">
        <f t="shared" si="167"/>
        <v>0</v>
      </c>
      <c r="O545" s="68">
        <f t="shared" si="161"/>
        <v>0</v>
      </c>
      <c r="P545" s="68">
        <f t="shared" si="162"/>
        <v>0</v>
      </c>
      <c r="Q545" s="68">
        <f t="shared" si="163"/>
        <v>0</v>
      </c>
      <c r="R545" s="11">
        <f t="shared" si="164"/>
        <v>0</v>
      </c>
      <c r="S545" s="11">
        <f t="shared" si="159"/>
        <v>0</v>
      </c>
      <c r="T545" s="11">
        <f t="shared" si="165"/>
        <v>0</v>
      </c>
      <c r="U545" s="38">
        <f t="shared" ref="U545:U599" si="168">ROUND((N545*(1+$U$3)),2)</f>
        <v>0</v>
      </c>
      <c r="V545" s="38">
        <f t="shared" ref="V545:V599" si="169">ROUND((N545*(1+$V$3)),2)</f>
        <v>0</v>
      </c>
      <c r="W545" s="38">
        <f t="shared" ref="W545:W599" si="170">ROUND((N545*(1+$W$3)),2)</f>
        <v>0</v>
      </c>
      <c r="X545" s="38">
        <f t="shared" ref="X545:X600" si="171">ROUND((N545*(1+$X$3)),2)</f>
        <v>0</v>
      </c>
      <c r="Z545" s="4">
        <f t="shared" si="166"/>
        <v>0</v>
      </c>
      <c r="AA545" s="4">
        <f t="shared" si="160"/>
        <v>0</v>
      </c>
    </row>
    <row r="546" spans="1:27" x14ac:dyDescent="0.3">
      <c r="C546" s="3" t="s">
        <v>62</v>
      </c>
      <c r="D546" s="55" t="s">
        <v>909</v>
      </c>
      <c r="E546" s="55" t="s">
        <v>809</v>
      </c>
      <c r="F546" s="55" t="s">
        <v>304</v>
      </c>
      <c r="G546" s="56">
        <v>1</v>
      </c>
      <c r="H546" s="49">
        <f>21+3+3</f>
        <v>27</v>
      </c>
      <c r="I546" s="50">
        <f>2+2+1+1+1+1+1+1+1+1+2+1+1+1+1+1+1+1</f>
        <v>21</v>
      </c>
      <c r="J546" s="77">
        <f>+H546-I546</f>
        <v>6</v>
      </c>
      <c r="K546" s="31">
        <v>10789</v>
      </c>
      <c r="L546" s="32">
        <v>44209</v>
      </c>
      <c r="M546" s="33">
        <v>0.21</v>
      </c>
      <c r="N546" s="64">
        <f t="shared" si="167"/>
        <v>13054.69</v>
      </c>
      <c r="O546" s="68">
        <f t="shared" si="161"/>
        <v>14025.7</v>
      </c>
      <c r="P546" s="68">
        <f t="shared" si="162"/>
        <v>14565.15</v>
      </c>
      <c r="Q546" s="68">
        <f t="shared" si="163"/>
        <v>15104.6</v>
      </c>
      <c r="R546" s="11">
        <f t="shared" si="164"/>
        <v>15644.05</v>
      </c>
      <c r="S546" s="11">
        <f t="shared" si="159"/>
        <v>16183.5</v>
      </c>
      <c r="T546" s="11">
        <f t="shared" si="165"/>
        <v>17262.400000000001</v>
      </c>
      <c r="U546" s="38">
        <f t="shared" si="168"/>
        <v>17623.830000000002</v>
      </c>
      <c r="V546" s="38">
        <f t="shared" si="169"/>
        <v>18276.57</v>
      </c>
      <c r="W546" s="38">
        <f t="shared" si="170"/>
        <v>18929.3</v>
      </c>
      <c r="X546" s="38">
        <f t="shared" si="171"/>
        <v>19582.04</v>
      </c>
      <c r="Z546" s="4">
        <f t="shared" si="166"/>
        <v>64734</v>
      </c>
      <c r="AA546" s="4">
        <f t="shared" si="160"/>
        <v>78328.14</v>
      </c>
    </row>
    <row r="547" spans="1:27" x14ac:dyDescent="0.3">
      <c r="C547" s="3" t="s">
        <v>1057</v>
      </c>
      <c r="D547" s="55" t="s">
        <v>1058</v>
      </c>
      <c r="E547" s="55" t="s">
        <v>34</v>
      </c>
      <c r="F547" s="55"/>
      <c r="G547" s="56"/>
      <c r="H547" s="49">
        <f>1+2</f>
        <v>3</v>
      </c>
      <c r="I547" s="50"/>
      <c r="J547" s="77">
        <f>+H547-I547</f>
        <v>3</v>
      </c>
      <c r="K547" s="31">
        <v>6420</v>
      </c>
      <c r="L547" s="32">
        <v>43475</v>
      </c>
      <c r="M547" s="33">
        <v>0.21</v>
      </c>
      <c r="N547" s="64">
        <f t="shared" si="167"/>
        <v>7768.2</v>
      </c>
      <c r="O547" s="68">
        <f t="shared" si="161"/>
        <v>8346</v>
      </c>
      <c r="P547" s="68">
        <f t="shared" si="162"/>
        <v>8667</v>
      </c>
      <c r="Q547" s="68">
        <f t="shared" si="163"/>
        <v>8988</v>
      </c>
      <c r="R547" s="11">
        <f t="shared" si="164"/>
        <v>9309</v>
      </c>
      <c r="S547" s="11">
        <f t="shared" si="159"/>
        <v>9630</v>
      </c>
      <c r="T547" s="11">
        <f t="shared" si="165"/>
        <v>10272</v>
      </c>
      <c r="U547" s="38">
        <f t="shared" si="168"/>
        <v>10487.07</v>
      </c>
      <c r="V547" s="38">
        <f t="shared" si="169"/>
        <v>10875.48</v>
      </c>
      <c r="W547" s="38">
        <f t="shared" si="170"/>
        <v>11263.89</v>
      </c>
      <c r="X547" s="38">
        <f t="shared" si="171"/>
        <v>11652.3</v>
      </c>
      <c r="Z547" s="4">
        <f t="shared" si="166"/>
        <v>19260</v>
      </c>
      <c r="AA547" s="4">
        <f t="shared" si="160"/>
        <v>23304.6</v>
      </c>
    </row>
    <row r="548" spans="1:27" x14ac:dyDescent="0.3">
      <c r="A548" s="135"/>
      <c r="C548" s="3" t="s">
        <v>1206</v>
      </c>
      <c r="D548" s="55"/>
      <c r="E548" s="91" t="s">
        <v>34</v>
      </c>
      <c r="F548" s="55"/>
      <c r="G548" s="56">
        <v>0</v>
      </c>
      <c r="H548" s="49">
        <f>1</f>
        <v>1</v>
      </c>
      <c r="I548" s="50">
        <f>0+1</f>
        <v>1</v>
      </c>
      <c r="J548" s="77">
        <f>+H548-I548</f>
        <v>0</v>
      </c>
      <c r="K548" s="31">
        <v>2900</v>
      </c>
      <c r="L548" s="32">
        <v>43475</v>
      </c>
      <c r="M548" s="33">
        <v>0.21</v>
      </c>
      <c r="N548" s="64">
        <f t="shared" si="167"/>
        <v>3509</v>
      </c>
      <c r="O548" s="68">
        <f t="shared" si="161"/>
        <v>3770</v>
      </c>
      <c r="P548" s="68">
        <f t="shared" si="162"/>
        <v>3915</v>
      </c>
      <c r="Q548" s="68">
        <f t="shared" si="163"/>
        <v>4060</v>
      </c>
      <c r="R548" s="11">
        <f t="shared" si="164"/>
        <v>4205</v>
      </c>
      <c r="S548" s="11">
        <f t="shared" si="159"/>
        <v>4350</v>
      </c>
      <c r="T548" s="11">
        <f t="shared" si="165"/>
        <v>4640</v>
      </c>
      <c r="U548" s="38">
        <f t="shared" si="168"/>
        <v>4737.1499999999996</v>
      </c>
      <c r="V548" s="38">
        <f t="shared" si="169"/>
        <v>4912.6000000000004</v>
      </c>
      <c r="W548" s="38">
        <f t="shared" si="170"/>
        <v>5088.05</v>
      </c>
      <c r="X548" s="38">
        <f t="shared" si="171"/>
        <v>5263.5</v>
      </c>
      <c r="Z548" s="4">
        <f t="shared" si="166"/>
        <v>0</v>
      </c>
      <c r="AA548" s="4">
        <f t="shared" si="160"/>
        <v>0</v>
      </c>
    </row>
    <row r="549" spans="1:27" x14ac:dyDescent="0.3">
      <c r="A549" s="135"/>
      <c r="C549" s="3" t="s">
        <v>1489</v>
      </c>
      <c r="D549" s="55"/>
      <c r="E549" s="91"/>
      <c r="F549" s="55" t="s">
        <v>1267</v>
      </c>
      <c r="G549" s="56">
        <v>0</v>
      </c>
      <c r="H549" s="49">
        <f>0+2+3+3</f>
        <v>8</v>
      </c>
      <c r="I549" s="50">
        <f>0+5</f>
        <v>5</v>
      </c>
      <c r="J549" s="77">
        <f>+H549-I549</f>
        <v>3</v>
      </c>
      <c r="K549" s="31">
        <v>1403.06</v>
      </c>
      <c r="L549" s="32">
        <v>44117</v>
      </c>
      <c r="M549" s="33">
        <v>0.21</v>
      </c>
      <c r="N549" s="64">
        <f t="shared" si="167"/>
        <v>1697.7025999999998</v>
      </c>
      <c r="O549" s="68">
        <f t="shared" si="161"/>
        <v>1823.98</v>
      </c>
      <c r="P549" s="68">
        <f t="shared" si="162"/>
        <v>1894.13</v>
      </c>
      <c r="Q549" s="68">
        <f t="shared" si="163"/>
        <v>1964.28</v>
      </c>
      <c r="R549" s="11">
        <f t="shared" si="164"/>
        <v>2034.44</v>
      </c>
      <c r="S549" s="11">
        <f t="shared" si="159"/>
        <v>2104.59</v>
      </c>
      <c r="T549" s="11">
        <f t="shared" si="165"/>
        <v>2244.9</v>
      </c>
      <c r="U549" s="38">
        <f t="shared" si="168"/>
        <v>2291.9</v>
      </c>
      <c r="V549" s="38">
        <f t="shared" si="169"/>
        <v>2376.7800000000002</v>
      </c>
      <c r="W549" s="38">
        <f t="shared" si="170"/>
        <v>2461.67</v>
      </c>
      <c r="X549" s="38">
        <f t="shared" si="171"/>
        <v>2546.5500000000002</v>
      </c>
      <c r="Z549" s="4">
        <f t="shared" si="166"/>
        <v>4209.18</v>
      </c>
      <c r="AA549" s="4">
        <f t="shared" si="160"/>
        <v>5093.1077999999998</v>
      </c>
    </row>
    <row r="550" spans="1:27" x14ac:dyDescent="0.3">
      <c r="A550" s="135"/>
      <c r="C550" s="3" t="s">
        <v>1490</v>
      </c>
      <c r="D550" s="55"/>
      <c r="E550" s="91"/>
      <c r="F550" s="55" t="s">
        <v>1267</v>
      </c>
      <c r="G550" s="56">
        <v>0</v>
      </c>
      <c r="H550" s="49">
        <v>5</v>
      </c>
      <c r="I550" s="50">
        <v>0</v>
      </c>
      <c r="J550" s="77">
        <f>+H550-I550</f>
        <v>5</v>
      </c>
      <c r="K550" s="31">
        <v>1310.98</v>
      </c>
      <c r="L550" s="32">
        <v>44238</v>
      </c>
      <c r="M550" s="33">
        <v>0.21</v>
      </c>
      <c r="N550" s="64">
        <f t="shared" si="167"/>
        <v>1586.2857999999999</v>
      </c>
      <c r="O550" s="68"/>
      <c r="P550" s="68"/>
      <c r="Q550" s="68"/>
      <c r="R550" s="11"/>
      <c r="S550" s="11"/>
      <c r="T550" s="11"/>
      <c r="U550" s="38">
        <f t="shared" si="168"/>
        <v>2141.4899999999998</v>
      </c>
      <c r="V550" s="38">
        <f t="shared" si="169"/>
        <v>2220.8000000000002</v>
      </c>
      <c r="W550" s="38">
        <f t="shared" si="170"/>
        <v>2300.11</v>
      </c>
      <c r="X550" s="38">
        <f t="shared" si="171"/>
        <v>2379.4299999999998</v>
      </c>
      <c r="Z550" s="4"/>
      <c r="AA550" s="4">
        <f t="shared" si="160"/>
        <v>7931.4289999999992</v>
      </c>
    </row>
    <row r="551" spans="1:27" x14ac:dyDescent="0.3">
      <c r="A551" s="135"/>
      <c r="B551" s="125"/>
      <c r="C551" s="3" t="s">
        <v>1491</v>
      </c>
      <c r="D551" s="55" t="s">
        <v>640</v>
      </c>
      <c r="E551" s="55" t="s">
        <v>70</v>
      </c>
      <c r="F551" s="55" t="s">
        <v>276</v>
      </c>
      <c r="G551" s="56">
        <v>2</v>
      </c>
      <c r="H551" s="49">
        <f>15+2+3+3</f>
        <v>23</v>
      </c>
      <c r="I551" s="50">
        <f>4+1+4+1+1+1+2+1+1+1+3+2</f>
        <v>22</v>
      </c>
      <c r="J551" s="77">
        <f>+H551-I551</f>
        <v>1</v>
      </c>
      <c r="K551" s="31">
        <v>1310.98</v>
      </c>
      <c r="L551" s="32">
        <v>44238</v>
      </c>
      <c r="M551" s="33">
        <v>0.21</v>
      </c>
      <c r="N551" s="64">
        <f t="shared" si="167"/>
        <v>1586.2857999999999</v>
      </c>
      <c r="O551" s="68">
        <f t="shared" si="161"/>
        <v>1704.27</v>
      </c>
      <c r="P551" s="68">
        <f t="shared" si="162"/>
        <v>1769.82</v>
      </c>
      <c r="Q551" s="68">
        <f t="shared" si="163"/>
        <v>1835.37</v>
      </c>
      <c r="R551" s="11">
        <f t="shared" si="164"/>
        <v>1900.92</v>
      </c>
      <c r="S551" s="11">
        <f t="shared" si="159"/>
        <v>1966.47</v>
      </c>
      <c r="T551" s="11">
        <f t="shared" si="165"/>
        <v>2097.5700000000002</v>
      </c>
      <c r="U551" s="38">
        <f t="shared" si="168"/>
        <v>2141.4899999999998</v>
      </c>
      <c r="V551" s="38">
        <f t="shared" si="169"/>
        <v>2220.8000000000002</v>
      </c>
      <c r="W551" s="38">
        <f t="shared" si="170"/>
        <v>2300.11</v>
      </c>
      <c r="X551" s="38">
        <f t="shared" si="171"/>
        <v>2379.4299999999998</v>
      </c>
      <c r="Z551" s="4">
        <f t="shared" si="166"/>
        <v>1310.98</v>
      </c>
      <c r="AA551" s="4">
        <f t="shared" si="160"/>
        <v>1586.2857999999999</v>
      </c>
    </row>
    <row r="552" spans="1:27" x14ac:dyDescent="0.3">
      <c r="A552" s="135"/>
      <c r="B552" s="125"/>
      <c r="C552" s="3" t="s">
        <v>1492</v>
      </c>
      <c r="D552" s="55" t="s">
        <v>641</v>
      </c>
      <c r="E552" s="55" t="s">
        <v>70</v>
      </c>
      <c r="F552" s="55" t="s">
        <v>276</v>
      </c>
      <c r="G552" s="56">
        <v>2</v>
      </c>
      <c r="H552" s="49">
        <f>5+1+50+6+5+10</f>
        <v>77</v>
      </c>
      <c r="I552" s="50">
        <f>2+2+1+1+50+4+2+1+2+2</f>
        <v>67</v>
      </c>
      <c r="J552" s="77">
        <f>+H552-I552</f>
        <v>10</v>
      </c>
      <c r="K552" s="31">
        <v>1310.98</v>
      </c>
      <c r="L552" s="32">
        <v>44238</v>
      </c>
      <c r="M552" s="33">
        <v>0.21</v>
      </c>
      <c r="N552" s="64">
        <f t="shared" si="167"/>
        <v>1586.2857999999999</v>
      </c>
      <c r="O552" s="68">
        <f t="shared" si="161"/>
        <v>1704.27</v>
      </c>
      <c r="P552" s="68">
        <f t="shared" si="162"/>
        <v>1769.82</v>
      </c>
      <c r="Q552" s="68">
        <f t="shared" si="163"/>
        <v>1835.37</v>
      </c>
      <c r="R552" s="11">
        <f t="shared" si="164"/>
        <v>1900.92</v>
      </c>
      <c r="S552" s="11">
        <f t="shared" si="159"/>
        <v>1966.47</v>
      </c>
      <c r="T552" s="11">
        <f t="shared" si="165"/>
        <v>2097.5700000000002</v>
      </c>
      <c r="U552" s="38">
        <f t="shared" si="168"/>
        <v>2141.4899999999998</v>
      </c>
      <c r="V552" s="38">
        <f t="shared" si="169"/>
        <v>2220.8000000000002</v>
      </c>
      <c r="W552" s="38">
        <f t="shared" si="170"/>
        <v>2300.11</v>
      </c>
      <c r="X552" s="38">
        <f t="shared" si="171"/>
        <v>2379.4299999999998</v>
      </c>
      <c r="Z552" s="4">
        <f t="shared" si="166"/>
        <v>13109.8</v>
      </c>
      <c r="AA552" s="4">
        <f t="shared" si="160"/>
        <v>15862.857999999998</v>
      </c>
    </row>
    <row r="553" spans="1:27" x14ac:dyDescent="0.3">
      <c r="A553" s="135"/>
      <c r="B553" s="125"/>
      <c r="C553" s="3" t="s">
        <v>1048</v>
      </c>
      <c r="D553" s="55"/>
      <c r="E553" s="55" t="s">
        <v>1411</v>
      </c>
      <c r="F553" s="55" t="s">
        <v>1412</v>
      </c>
      <c r="G553" s="56">
        <v>10</v>
      </c>
      <c r="H553" s="108">
        <f>4+24+20+12+15+15</f>
        <v>90</v>
      </c>
      <c r="I553" s="50">
        <f>3+2+6+13+2+10+1+4+7+12+5+10+5+5</f>
        <v>85</v>
      </c>
      <c r="J553" s="77">
        <f>+H553-I553</f>
        <v>5</v>
      </c>
      <c r="K553" s="31">
        <v>95</v>
      </c>
      <c r="L553" s="32">
        <v>44072</v>
      </c>
      <c r="M553" s="33">
        <v>0</v>
      </c>
      <c r="N553" s="64">
        <f t="shared" si="167"/>
        <v>95</v>
      </c>
      <c r="O553" s="68">
        <f t="shared" si="161"/>
        <v>123.5</v>
      </c>
      <c r="P553" s="68">
        <f t="shared" si="162"/>
        <v>128.25</v>
      </c>
      <c r="Q553" s="68">
        <f t="shared" si="163"/>
        <v>133</v>
      </c>
      <c r="R553" s="11">
        <f t="shared" si="164"/>
        <v>137.75</v>
      </c>
      <c r="S553" s="11">
        <f t="shared" si="159"/>
        <v>142.5</v>
      </c>
      <c r="T553" s="11">
        <f t="shared" si="165"/>
        <v>152</v>
      </c>
      <c r="U553" s="38">
        <f t="shared" si="168"/>
        <v>128.25</v>
      </c>
      <c r="V553" s="38">
        <f t="shared" si="169"/>
        <v>133</v>
      </c>
      <c r="W553" s="38">
        <f t="shared" si="170"/>
        <v>137.75</v>
      </c>
      <c r="X553" s="38">
        <f t="shared" si="171"/>
        <v>142.5</v>
      </c>
      <c r="Z553" s="4">
        <f t="shared" si="166"/>
        <v>475</v>
      </c>
      <c r="AA553" s="4">
        <f t="shared" si="160"/>
        <v>475</v>
      </c>
    </row>
    <row r="554" spans="1:27" x14ac:dyDescent="0.3">
      <c r="A554" s="135"/>
      <c r="B554" s="125"/>
      <c r="C554" s="3" t="s">
        <v>1443</v>
      </c>
      <c r="D554" s="55"/>
      <c r="E554" s="55"/>
      <c r="F554" s="55"/>
      <c r="G554" s="56">
        <v>5</v>
      </c>
      <c r="H554" s="108">
        <f>12</f>
        <v>12</v>
      </c>
      <c r="I554" s="50">
        <f>3</f>
        <v>3</v>
      </c>
      <c r="J554" s="77">
        <f>+H554-I554</f>
        <v>9</v>
      </c>
      <c r="K554" s="31">
        <v>90</v>
      </c>
      <c r="L554" s="32">
        <v>43991</v>
      </c>
      <c r="M554" s="33">
        <v>0</v>
      </c>
      <c r="N554" s="64">
        <f t="shared" si="167"/>
        <v>90</v>
      </c>
      <c r="O554" s="68">
        <f t="shared" si="161"/>
        <v>117</v>
      </c>
      <c r="P554" s="68">
        <f t="shared" si="162"/>
        <v>121.5</v>
      </c>
      <c r="Q554" s="68">
        <f t="shared" si="163"/>
        <v>126</v>
      </c>
      <c r="R554" s="11">
        <f t="shared" si="164"/>
        <v>130.5</v>
      </c>
      <c r="S554" s="11">
        <f t="shared" si="159"/>
        <v>135</v>
      </c>
      <c r="T554" s="11">
        <f t="shared" si="165"/>
        <v>144</v>
      </c>
      <c r="U554" s="38">
        <f t="shared" si="168"/>
        <v>121.5</v>
      </c>
      <c r="V554" s="38">
        <f t="shared" si="169"/>
        <v>126</v>
      </c>
      <c r="W554" s="38">
        <f t="shared" si="170"/>
        <v>130.5</v>
      </c>
      <c r="X554" s="38">
        <f t="shared" si="171"/>
        <v>135</v>
      </c>
      <c r="Z554" s="4"/>
      <c r="AA554" s="4">
        <f t="shared" si="160"/>
        <v>810</v>
      </c>
    </row>
    <row r="555" spans="1:27" x14ac:dyDescent="0.3">
      <c r="A555" s="135"/>
      <c r="B555" s="125"/>
      <c r="C555" s="3" t="s">
        <v>1170</v>
      </c>
      <c r="D555" s="55"/>
      <c r="E555" s="55" t="s">
        <v>362</v>
      </c>
      <c r="F555" s="55" t="s">
        <v>830</v>
      </c>
      <c r="G555" s="56">
        <v>0</v>
      </c>
      <c r="H555" s="49">
        <v>39</v>
      </c>
      <c r="I555" s="50">
        <f>1+9+10</f>
        <v>20</v>
      </c>
      <c r="J555" s="77">
        <f>+H555-I555</f>
        <v>19</v>
      </c>
      <c r="K555" s="31">
        <v>32.549999999999997</v>
      </c>
      <c r="L555" s="32">
        <v>43606</v>
      </c>
      <c r="M555" s="33">
        <v>0.21</v>
      </c>
      <c r="N555" s="64">
        <f t="shared" si="167"/>
        <v>39.385499999999993</v>
      </c>
      <c r="O555" s="68">
        <f t="shared" si="161"/>
        <v>42.32</v>
      </c>
      <c r="P555" s="68">
        <f t="shared" si="162"/>
        <v>43.94</v>
      </c>
      <c r="Q555" s="68">
        <f t="shared" si="163"/>
        <v>45.57</v>
      </c>
      <c r="R555" s="11">
        <f t="shared" si="164"/>
        <v>47.2</v>
      </c>
      <c r="S555" s="11">
        <f t="shared" si="159"/>
        <v>48.824999999999996</v>
      </c>
      <c r="T555" s="11">
        <f t="shared" si="165"/>
        <v>52.08</v>
      </c>
      <c r="U555" s="38">
        <f t="shared" si="168"/>
        <v>53.17</v>
      </c>
      <c r="V555" s="38">
        <f t="shared" si="169"/>
        <v>55.14</v>
      </c>
      <c r="W555" s="38">
        <f t="shared" si="170"/>
        <v>57.11</v>
      </c>
      <c r="X555" s="38">
        <f t="shared" si="171"/>
        <v>59.08</v>
      </c>
      <c r="Z555" s="4">
        <f t="shared" si="166"/>
        <v>618.44999999999993</v>
      </c>
      <c r="AA555" s="4">
        <f t="shared" si="160"/>
        <v>748.32449999999983</v>
      </c>
    </row>
    <row r="556" spans="1:27" x14ac:dyDescent="0.3">
      <c r="A556" s="135"/>
      <c r="B556" s="125"/>
      <c r="C556" s="137" t="s">
        <v>974</v>
      </c>
      <c r="D556" s="55"/>
      <c r="E556" s="55" t="s">
        <v>362</v>
      </c>
      <c r="F556" s="55" t="s">
        <v>830</v>
      </c>
      <c r="G556" s="56">
        <v>0</v>
      </c>
      <c r="H556" s="49">
        <f>20+40+20</f>
        <v>80</v>
      </c>
      <c r="I556" s="50">
        <f>10+2+3+3+40+5+10</f>
        <v>73</v>
      </c>
      <c r="J556" s="77">
        <f>+H556-I556</f>
        <v>7</v>
      </c>
      <c r="K556" s="31">
        <v>100.95</v>
      </c>
      <c r="L556" s="32">
        <v>43606</v>
      </c>
      <c r="M556" s="33">
        <v>0.21</v>
      </c>
      <c r="N556" s="64">
        <f t="shared" si="167"/>
        <v>122.1495</v>
      </c>
      <c r="O556" s="68">
        <f t="shared" si="161"/>
        <v>131.24</v>
      </c>
      <c r="P556" s="68">
        <f t="shared" si="162"/>
        <v>136.28</v>
      </c>
      <c r="Q556" s="68">
        <f t="shared" si="163"/>
        <v>141.33000000000001</v>
      </c>
      <c r="R556" s="11">
        <f t="shared" si="164"/>
        <v>146.38</v>
      </c>
      <c r="S556" s="11">
        <f t="shared" si="159"/>
        <v>151.42500000000001</v>
      </c>
      <c r="T556" s="11">
        <f t="shared" si="165"/>
        <v>161.52000000000001</v>
      </c>
      <c r="U556" s="38">
        <f t="shared" si="168"/>
        <v>164.9</v>
      </c>
      <c r="V556" s="38">
        <f t="shared" si="169"/>
        <v>171.01</v>
      </c>
      <c r="W556" s="38">
        <f t="shared" si="170"/>
        <v>177.12</v>
      </c>
      <c r="X556" s="38">
        <f t="shared" si="171"/>
        <v>183.22</v>
      </c>
      <c r="Z556" s="4">
        <f t="shared" si="166"/>
        <v>706.65</v>
      </c>
      <c r="AA556" s="4">
        <f t="shared" ref="AA556:AA581" si="172">J556*N556</f>
        <v>855.04650000000004</v>
      </c>
    </row>
    <row r="557" spans="1:27" x14ac:dyDescent="0.3">
      <c r="A557" s="135"/>
      <c r="B557" s="125"/>
      <c r="C557" s="3" t="s">
        <v>1049</v>
      </c>
      <c r="D557" s="55"/>
      <c r="E557" s="55" t="s">
        <v>362</v>
      </c>
      <c r="F557" s="55" t="s">
        <v>830</v>
      </c>
      <c r="G557" s="56">
        <v>0</v>
      </c>
      <c r="H557" s="49">
        <f>30+30+30</f>
        <v>90</v>
      </c>
      <c r="I557" s="50">
        <f>30+30</f>
        <v>60</v>
      </c>
      <c r="J557" s="77">
        <f>+H557-I557</f>
        <v>30</v>
      </c>
      <c r="K557" s="31">
        <v>47</v>
      </c>
      <c r="L557" s="32">
        <v>44175</v>
      </c>
      <c r="M557" s="33">
        <v>0.21</v>
      </c>
      <c r="N557" s="64">
        <f t="shared" si="167"/>
        <v>56.87</v>
      </c>
      <c r="O557" s="68">
        <f t="shared" si="161"/>
        <v>61.1</v>
      </c>
      <c r="P557" s="68">
        <f t="shared" si="162"/>
        <v>63.45</v>
      </c>
      <c r="Q557" s="68">
        <f t="shared" si="163"/>
        <v>65.8</v>
      </c>
      <c r="R557" s="11">
        <f t="shared" si="164"/>
        <v>68.150000000000006</v>
      </c>
      <c r="S557" s="11">
        <f t="shared" si="159"/>
        <v>70.5</v>
      </c>
      <c r="T557" s="11">
        <f t="shared" si="165"/>
        <v>75.2</v>
      </c>
      <c r="U557" s="38">
        <f t="shared" si="168"/>
        <v>76.77</v>
      </c>
      <c r="V557" s="38">
        <f t="shared" si="169"/>
        <v>79.62</v>
      </c>
      <c r="W557" s="38">
        <f t="shared" si="170"/>
        <v>82.46</v>
      </c>
      <c r="X557" s="38">
        <f t="shared" si="171"/>
        <v>85.31</v>
      </c>
      <c r="Z557" s="4">
        <f t="shared" si="166"/>
        <v>1410</v>
      </c>
      <c r="AA557" s="4">
        <f t="shared" si="172"/>
        <v>1706.1</v>
      </c>
    </row>
    <row r="558" spans="1:27" x14ac:dyDescent="0.3">
      <c r="A558" s="135"/>
      <c r="B558" s="125"/>
      <c r="C558" s="3" t="s">
        <v>977</v>
      </c>
      <c r="D558" s="55"/>
      <c r="E558" s="55" t="s">
        <v>362</v>
      </c>
      <c r="F558" s="55" t="s">
        <v>830</v>
      </c>
      <c r="G558" s="56">
        <v>10</v>
      </c>
      <c r="H558" s="49">
        <f>20+50+19+10+30</f>
        <v>129</v>
      </c>
      <c r="I558" s="50">
        <f>15+30+24+30+30</f>
        <v>129</v>
      </c>
      <c r="J558" s="77">
        <f>+H558-I558</f>
        <v>0</v>
      </c>
      <c r="K558" s="31">
        <v>47</v>
      </c>
      <c r="L558" s="32">
        <v>44175</v>
      </c>
      <c r="M558" s="33">
        <v>0.21</v>
      </c>
      <c r="N558" s="64">
        <f t="shared" si="167"/>
        <v>56.87</v>
      </c>
      <c r="O558" s="68">
        <f t="shared" si="161"/>
        <v>61.1</v>
      </c>
      <c r="P558" s="68">
        <f t="shared" si="162"/>
        <v>63.45</v>
      </c>
      <c r="Q558" s="68">
        <f t="shared" si="163"/>
        <v>65.8</v>
      </c>
      <c r="R558" s="11">
        <f t="shared" si="164"/>
        <v>68.150000000000006</v>
      </c>
      <c r="S558" s="11">
        <f t="shared" si="159"/>
        <v>70.5</v>
      </c>
      <c r="T558" s="11">
        <f t="shared" si="165"/>
        <v>75.2</v>
      </c>
      <c r="U558" s="38">
        <f t="shared" si="168"/>
        <v>76.77</v>
      </c>
      <c r="V558" s="38">
        <f t="shared" si="169"/>
        <v>79.62</v>
      </c>
      <c r="W558" s="38">
        <f t="shared" si="170"/>
        <v>82.46</v>
      </c>
      <c r="X558" s="38">
        <f t="shared" si="171"/>
        <v>85.31</v>
      </c>
      <c r="Z558" s="4">
        <f t="shared" si="166"/>
        <v>0</v>
      </c>
      <c r="AA558" s="4">
        <f t="shared" si="172"/>
        <v>0</v>
      </c>
    </row>
    <row r="559" spans="1:27" x14ac:dyDescent="0.3">
      <c r="A559" s="135"/>
      <c r="B559" s="125"/>
      <c r="C559" s="3" t="s">
        <v>45</v>
      </c>
      <c r="D559" s="55" t="s">
        <v>506</v>
      </c>
      <c r="E559" s="55" t="s">
        <v>362</v>
      </c>
      <c r="F559" s="55" t="s">
        <v>240</v>
      </c>
      <c r="G559" s="56">
        <v>30</v>
      </c>
      <c r="H559" s="49">
        <f>30+30+20+2</f>
        <v>82</v>
      </c>
      <c r="I559" s="50">
        <f>10+12+10+1+10+2+2+2+5+20+1+7</f>
        <v>82</v>
      </c>
      <c r="J559" s="77">
        <f>+H559-I559</f>
        <v>0</v>
      </c>
      <c r="K559" s="31">
        <v>148.80000000000001</v>
      </c>
      <c r="L559" s="32">
        <v>44063</v>
      </c>
      <c r="M559" s="33">
        <v>0.21</v>
      </c>
      <c r="N559" s="64">
        <f t="shared" si="167"/>
        <v>180.048</v>
      </c>
      <c r="O559" s="68">
        <f t="shared" si="161"/>
        <v>193.44</v>
      </c>
      <c r="P559" s="68">
        <f t="shared" si="162"/>
        <v>200.88</v>
      </c>
      <c r="Q559" s="68">
        <f t="shared" si="163"/>
        <v>208.32</v>
      </c>
      <c r="R559" s="11">
        <f t="shared" si="164"/>
        <v>215.76</v>
      </c>
      <c r="S559" s="11">
        <f t="shared" si="159"/>
        <v>223.20000000000002</v>
      </c>
      <c r="T559" s="11">
        <f t="shared" si="165"/>
        <v>238.08</v>
      </c>
      <c r="U559" s="38">
        <f t="shared" si="168"/>
        <v>243.06</v>
      </c>
      <c r="V559" s="38">
        <f t="shared" si="169"/>
        <v>252.07</v>
      </c>
      <c r="W559" s="38">
        <f t="shared" si="170"/>
        <v>261.07</v>
      </c>
      <c r="X559" s="38">
        <f t="shared" si="171"/>
        <v>270.07</v>
      </c>
      <c r="Z559" s="4">
        <f t="shared" si="166"/>
        <v>0</v>
      </c>
      <c r="AA559" s="4">
        <f t="shared" si="172"/>
        <v>0</v>
      </c>
    </row>
    <row r="560" spans="1:27" x14ac:dyDescent="0.3">
      <c r="A560" s="135"/>
      <c r="B560" s="125"/>
      <c r="C560" s="137" t="s">
        <v>158</v>
      </c>
      <c r="D560" s="55" t="s">
        <v>507</v>
      </c>
      <c r="E560" s="55" t="s">
        <v>362</v>
      </c>
      <c r="F560" s="55" t="s">
        <v>1333</v>
      </c>
      <c r="G560" s="56">
        <v>0</v>
      </c>
      <c r="H560" s="49">
        <f>39+20</f>
        <v>59</v>
      </c>
      <c r="I560" s="50">
        <f>1+10+3+5+1+1+9+2+7+5+15</f>
        <v>59</v>
      </c>
      <c r="J560" s="77">
        <f>+H560-I560</f>
        <v>0</v>
      </c>
      <c r="K560" s="31">
        <v>158.26</v>
      </c>
      <c r="L560" s="32">
        <v>44056</v>
      </c>
      <c r="M560" s="33">
        <v>0.21</v>
      </c>
      <c r="N560" s="64">
        <f t="shared" si="167"/>
        <v>191.49459999999999</v>
      </c>
      <c r="O560" s="68">
        <f t="shared" si="161"/>
        <v>205.74</v>
      </c>
      <c r="P560" s="68">
        <f t="shared" si="162"/>
        <v>213.65</v>
      </c>
      <c r="Q560" s="68">
        <f t="shared" si="163"/>
        <v>221.56</v>
      </c>
      <c r="R560" s="11">
        <f t="shared" si="164"/>
        <v>229.48</v>
      </c>
      <c r="S560" s="11">
        <f t="shared" si="159"/>
        <v>237.39</v>
      </c>
      <c r="T560" s="11">
        <f t="shared" si="165"/>
        <v>253.22</v>
      </c>
      <c r="U560" s="38">
        <f t="shared" si="168"/>
        <v>258.52</v>
      </c>
      <c r="V560" s="38">
        <f t="shared" si="169"/>
        <v>268.08999999999997</v>
      </c>
      <c r="W560" s="38">
        <f t="shared" si="170"/>
        <v>277.67</v>
      </c>
      <c r="X560" s="38">
        <f t="shared" si="171"/>
        <v>287.24</v>
      </c>
      <c r="Z560" s="4">
        <f t="shared" si="166"/>
        <v>0</v>
      </c>
      <c r="AA560" s="4">
        <f t="shared" si="172"/>
        <v>0</v>
      </c>
    </row>
    <row r="561" spans="1:27" x14ac:dyDescent="0.3">
      <c r="A561" s="140"/>
      <c r="B561" s="125"/>
      <c r="C561" s="3" t="s">
        <v>975</v>
      </c>
      <c r="D561" s="55"/>
      <c r="E561" s="55" t="s">
        <v>362</v>
      </c>
      <c r="F561" s="55" t="s">
        <v>830</v>
      </c>
      <c r="G561" s="56">
        <v>10</v>
      </c>
      <c r="H561" s="49">
        <f>70+50+30+50+30+20+50</f>
        <v>300</v>
      </c>
      <c r="I561" s="50">
        <f>60+50+2+8+20+10+30+10+9+1+10+20+4+20+10+10+6+1+9</f>
        <v>290</v>
      </c>
      <c r="J561" s="77">
        <f>+H561-I561</f>
        <v>10</v>
      </c>
      <c r="K561" s="31">
        <v>47</v>
      </c>
      <c r="L561" s="32">
        <v>44175</v>
      </c>
      <c r="M561" s="33">
        <v>0.21</v>
      </c>
      <c r="N561" s="64">
        <f t="shared" si="167"/>
        <v>56.87</v>
      </c>
      <c r="O561" s="68">
        <f t="shared" si="161"/>
        <v>61.1</v>
      </c>
      <c r="P561" s="68">
        <f t="shared" si="162"/>
        <v>63.45</v>
      </c>
      <c r="Q561" s="68">
        <f t="shared" si="163"/>
        <v>65.8</v>
      </c>
      <c r="R561" s="11">
        <f t="shared" si="164"/>
        <v>68.150000000000006</v>
      </c>
      <c r="S561" s="11">
        <f t="shared" si="159"/>
        <v>70.5</v>
      </c>
      <c r="T561" s="11">
        <f t="shared" si="165"/>
        <v>75.2</v>
      </c>
      <c r="U561" s="38">
        <f t="shared" si="168"/>
        <v>76.77</v>
      </c>
      <c r="V561" s="38">
        <f t="shared" si="169"/>
        <v>79.62</v>
      </c>
      <c r="W561" s="38">
        <f t="shared" si="170"/>
        <v>82.46</v>
      </c>
      <c r="X561" s="38">
        <f t="shared" si="171"/>
        <v>85.31</v>
      </c>
      <c r="Z561" s="4">
        <f t="shared" si="166"/>
        <v>470</v>
      </c>
      <c r="AA561" s="4">
        <f t="shared" si="172"/>
        <v>568.69999999999993</v>
      </c>
    </row>
    <row r="562" spans="1:27" x14ac:dyDescent="0.3">
      <c r="A562" s="135"/>
      <c r="B562" s="125"/>
      <c r="C562" s="137" t="s">
        <v>159</v>
      </c>
      <c r="D562" s="55" t="s">
        <v>706</v>
      </c>
      <c r="E562" s="55" t="s">
        <v>362</v>
      </c>
      <c r="F562" s="55" t="s">
        <v>698</v>
      </c>
      <c r="G562" s="56">
        <v>0</v>
      </c>
      <c r="H562" s="49">
        <f>10+20+10</f>
        <v>40</v>
      </c>
      <c r="I562" s="50">
        <f>10+5+10+1+1+1</f>
        <v>28</v>
      </c>
      <c r="J562" s="77">
        <f>+H562-I562</f>
        <v>12</v>
      </c>
      <c r="K562" s="31">
        <v>172.63</v>
      </c>
      <c r="L562" s="32">
        <v>44253</v>
      </c>
      <c r="M562" s="33">
        <v>0.21</v>
      </c>
      <c r="N562" s="64">
        <f t="shared" si="167"/>
        <v>208.88229999999999</v>
      </c>
      <c r="O562" s="68">
        <f t="shared" si="161"/>
        <v>224.42</v>
      </c>
      <c r="P562" s="68">
        <f t="shared" si="162"/>
        <v>233.05</v>
      </c>
      <c r="Q562" s="68">
        <f t="shared" si="163"/>
        <v>241.68</v>
      </c>
      <c r="R562" s="11">
        <f t="shared" si="164"/>
        <v>250.31</v>
      </c>
      <c r="S562" s="11">
        <f t="shared" si="159"/>
        <v>258.94499999999999</v>
      </c>
      <c r="T562" s="11">
        <f t="shared" si="165"/>
        <v>276.20999999999998</v>
      </c>
      <c r="U562" s="38">
        <f t="shared" si="168"/>
        <v>281.99</v>
      </c>
      <c r="V562" s="38">
        <f t="shared" si="169"/>
        <v>292.44</v>
      </c>
      <c r="W562" s="38">
        <f t="shared" si="170"/>
        <v>302.88</v>
      </c>
      <c r="X562" s="38">
        <f t="shared" si="171"/>
        <v>313.32</v>
      </c>
      <c r="Z562" s="4">
        <f t="shared" si="166"/>
        <v>2071.56</v>
      </c>
      <c r="AA562" s="4">
        <f t="shared" si="172"/>
        <v>2506.5875999999998</v>
      </c>
    </row>
    <row r="563" spans="1:27" x14ac:dyDescent="0.3">
      <c r="A563" s="135"/>
      <c r="B563" s="125"/>
      <c r="C563" s="3" t="s">
        <v>955</v>
      </c>
      <c r="D563" s="55"/>
      <c r="E563" s="55" t="s">
        <v>362</v>
      </c>
      <c r="F563" s="55" t="s">
        <v>830</v>
      </c>
      <c r="G563" s="56">
        <v>10</v>
      </c>
      <c r="H563" s="49">
        <f>10+2+50+50+10+50+20+30+20+50</f>
        <v>292</v>
      </c>
      <c r="I563" s="50">
        <f>5+50+50+2+2+3+10+20+12+10+2+10+8+8+12+2+16+4+3+20</f>
        <v>249</v>
      </c>
      <c r="J563" s="77">
        <f>+H563-I563</f>
        <v>43</v>
      </c>
      <c r="K563" s="31">
        <v>47</v>
      </c>
      <c r="L563" s="32">
        <v>44175</v>
      </c>
      <c r="M563" s="33">
        <v>0.21</v>
      </c>
      <c r="N563" s="64">
        <f t="shared" si="167"/>
        <v>56.87</v>
      </c>
      <c r="O563" s="68">
        <f t="shared" si="161"/>
        <v>61.1</v>
      </c>
      <c r="P563" s="68">
        <f t="shared" si="162"/>
        <v>63.45</v>
      </c>
      <c r="Q563" s="68">
        <f t="shared" si="163"/>
        <v>65.8</v>
      </c>
      <c r="R563" s="11">
        <f t="shared" si="164"/>
        <v>68.150000000000006</v>
      </c>
      <c r="S563" s="11">
        <f t="shared" si="159"/>
        <v>70.5</v>
      </c>
      <c r="T563" s="11">
        <f t="shared" si="165"/>
        <v>75.2</v>
      </c>
      <c r="U563" s="38">
        <f t="shared" si="168"/>
        <v>76.77</v>
      </c>
      <c r="V563" s="38">
        <f t="shared" si="169"/>
        <v>79.62</v>
      </c>
      <c r="W563" s="38">
        <f t="shared" si="170"/>
        <v>82.46</v>
      </c>
      <c r="X563" s="38">
        <f t="shared" si="171"/>
        <v>85.31</v>
      </c>
      <c r="Z563" s="4">
        <f t="shared" si="166"/>
        <v>2021</v>
      </c>
      <c r="AA563" s="4">
        <f t="shared" si="172"/>
        <v>2445.41</v>
      </c>
    </row>
    <row r="564" spans="1:27" x14ac:dyDescent="0.3">
      <c r="A564" s="135"/>
      <c r="B564" s="125"/>
      <c r="C564" s="3" t="s">
        <v>46</v>
      </c>
      <c r="D564" s="55" t="s">
        <v>508</v>
      </c>
      <c r="E564" s="55" t="s">
        <v>362</v>
      </c>
      <c r="F564" s="55" t="s">
        <v>240</v>
      </c>
      <c r="G564" s="56">
        <v>20</v>
      </c>
      <c r="H564" s="49">
        <f>30+20</f>
        <v>50</v>
      </c>
      <c r="I564" s="50">
        <f>12+10+8+10+2+8</f>
        <v>50</v>
      </c>
      <c r="J564" s="77">
        <f>+H564-I564</f>
        <v>0</v>
      </c>
      <c r="K564" s="31">
        <v>148.80000000000001</v>
      </c>
      <c r="L564" s="32">
        <v>44063</v>
      </c>
      <c r="M564" s="33">
        <v>0.21</v>
      </c>
      <c r="N564" s="64">
        <f t="shared" si="167"/>
        <v>180.048</v>
      </c>
      <c r="O564" s="68">
        <f t="shared" si="161"/>
        <v>193.44</v>
      </c>
      <c r="P564" s="68">
        <f t="shared" si="162"/>
        <v>200.88</v>
      </c>
      <c r="Q564" s="68">
        <f t="shared" si="163"/>
        <v>208.32</v>
      </c>
      <c r="R564" s="11">
        <f t="shared" si="164"/>
        <v>215.76</v>
      </c>
      <c r="S564" s="11">
        <f t="shared" si="159"/>
        <v>223.20000000000002</v>
      </c>
      <c r="T564" s="11">
        <f t="shared" si="165"/>
        <v>238.08</v>
      </c>
      <c r="U564" s="38">
        <f t="shared" si="168"/>
        <v>243.06</v>
      </c>
      <c r="V564" s="38">
        <f t="shared" si="169"/>
        <v>252.07</v>
      </c>
      <c r="W564" s="38">
        <f t="shared" si="170"/>
        <v>261.07</v>
      </c>
      <c r="X564" s="38">
        <f t="shared" si="171"/>
        <v>270.07</v>
      </c>
      <c r="Z564" s="4">
        <f t="shared" si="166"/>
        <v>0</v>
      </c>
      <c r="AA564" s="4">
        <f t="shared" si="172"/>
        <v>0</v>
      </c>
    </row>
    <row r="565" spans="1:27" x14ac:dyDescent="0.3">
      <c r="A565" s="135"/>
      <c r="B565" s="125"/>
      <c r="C565" s="3" t="s">
        <v>47</v>
      </c>
      <c r="D565" s="55" t="s">
        <v>509</v>
      </c>
      <c r="E565" s="55" t="s">
        <v>362</v>
      </c>
      <c r="F565" s="55" t="s">
        <v>1333</v>
      </c>
      <c r="G565" s="56">
        <v>0</v>
      </c>
      <c r="H565" s="49">
        <f>50+10+10+1+10</f>
        <v>81</v>
      </c>
      <c r="I565" s="50">
        <f>10+30+10+8+2+6+1+4+7</f>
        <v>78</v>
      </c>
      <c r="J565" s="77">
        <f>+H565-I565</f>
        <v>3</v>
      </c>
      <c r="K565" s="31">
        <v>57.92</v>
      </c>
      <c r="L565" s="32">
        <v>44034</v>
      </c>
      <c r="M565" s="33">
        <v>0.21</v>
      </c>
      <c r="N565" s="64">
        <f t="shared" si="167"/>
        <v>70.083200000000005</v>
      </c>
      <c r="O565" s="68">
        <f t="shared" si="161"/>
        <v>75.3</v>
      </c>
      <c r="P565" s="68">
        <f t="shared" si="162"/>
        <v>78.19</v>
      </c>
      <c r="Q565" s="68">
        <f t="shared" si="163"/>
        <v>81.09</v>
      </c>
      <c r="R565" s="11">
        <f t="shared" si="164"/>
        <v>83.98</v>
      </c>
      <c r="S565" s="11">
        <f t="shared" si="159"/>
        <v>86.88</v>
      </c>
      <c r="T565" s="11">
        <f t="shared" si="165"/>
        <v>92.67</v>
      </c>
      <c r="U565" s="38">
        <f t="shared" si="168"/>
        <v>94.61</v>
      </c>
      <c r="V565" s="38">
        <f t="shared" si="169"/>
        <v>98.12</v>
      </c>
      <c r="W565" s="38">
        <f t="shared" si="170"/>
        <v>101.62</v>
      </c>
      <c r="X565" s="38">
        <f t="shared" si="171"/>
        <v>105.12</v>
      </c>
      <c r="Z565" s="4">
        <f t="shared" si="166"/>
        <v>173.76</v>
      </c>
      <c r="AA565" s="4">
        <f t="shared" si="172"/>
        <v>210.24960000000002</v>
      </c>
    </row>
    <row r="566" spans="1:27" x14ac:dyDescent="0.3">
      <c r="A566" s="135"/>
      <c r="B566" s="125"/>
      <c r="C566" s="3" t="s">
        <v>47</v>
      </c>
      <c r="D566" s="55"/>
      <c r="E566" s="55" t="s">
        <v>362</v>
      </c>
      <c r="F566" s="55" t="s">
        <v>240</v>
      </c>
      <c r="G566" s="56">
        <v>20</v>
      </c>
      <c r="H566" s="49">
        <v>22</v>
      </c>
      <c r="I566" s="50">
        <f>10+11+1</f>
        <v>22</v>
      </c>
      <c r="J566" s="77">
        <f>+H566-I566</f>
        <v>0</v>
      </c>
      <c r="K566" s="31">
        <v>267.18</v>
      </c>
      <c r="L566" s="32">
        <v>43606</v>
      </c>
      <c r="M566" s="33">
        <v>0.21</v>
      </c>
      <c r="N566" s="64">
        <f t="shared" si="167"/>
        <v>323.2878</v>
      </c>
      <c r="O566" s="68">
        <f t="shared" si="161"/>
        <v>347.33</v>
      </c>
      <c r="P566" s="68">
        <f t="shared" si="162"/>
        <v>360.69</v>
      </c>
      <c r="Q566" s="68">
        <f t="shared" si="163"/>
        <v>374.05</v>
      </c>
      <c r="R566" s="11">
        <f t="shared" si="164"/>
        <v>387.41</v>
      </c>
      <c r="S566" s="11">
        <f t="shared" si="159"/>
        <v>400.77</v>
      </c>
      <c r="T566" s="11">
        <f t="shared" si="165"/>
        <v>427.49</v>
      </c>
      <c r="U566" s="38">
        <f t="shared" si="168"/>
        <v>436.44</v>
      </c>
      <c r="V566" s="38">
        <f t="shared" si="169"/>
        <v>452.6</v>
      </c>
      <c r="W566" s="38">
        <f t="shared" si="170"/>
        <v>468.77</v>
      </c>
      <c r="X566" s="38">
        <f t="shared" si="171"/>
        <v>484.93</v>
      </c>
      <c r="Z566" s="4">
        <f t="shared" si="166"/>
        <v>0</v>
      </c>
      <c r="AA566" s="4">
        <f t="shared" si="172"/>
        <v>0</v>
      </c>
    </row>
    <row r="567" spans="1:27" x14ac:dyDescent="0.3">
      <c r="A567" s="135"/>
      <c r="B567" s="125"/>
      <c r="C567" s="137" t="s">
        <v>160</v>
      </c>
      <c r="D567" s="55"/>
      <c r="E567" s="55" t="s">
        <v>362</v>
      </c>
      <c r="F567" s="55" t="s">
        <v>830</v>
      </c>
      <c r="G567" s="56">
        <v>0</v>
      </c>
      <c r="H567" s="49">
        <f>20+10+1+20+20</f>
        <v>71</v>
      </c>
      <c r="I567" s="50">
        <f>11+2+1+1+1+2+10+2+10+10+1+5+2+1</f>
        <v>59</v>
      </c>
      <c r="J567" s="77">
        <f>+H567-I567</f>
        <v>12</v>
      </c>
      <c r="K567" s="31">
        <v>193</v>
      </c>
      <c r="L567" s="32">
        <v>44179</v>
      </c>
      <c r="M567" s="33">
        <v>0.21</v>
      </c>
      <c r="N567" s="64">
        <f t="shared" si="167"/>
        <v>233.53</v>
      </c>
      <c r="O567" s="68">
        <f t="shared" si="161"/>
        <v>250.9</v>
      </c>
      <c r="P567" s="68">
        <f t="shared" si="162"/>
        <v>260.55</v>
      </c>
      <c r="Q567" s="68">
        <f t="shared" si="163"/>
        <v>270.2</v>
      </c>
      <c r="R567" s="11">
        <f t="shared" si="164"/>
        <v>279.85000000000002</v>
      </c>
      <c r="S567" s="11">
        <f t="shared" si="159"/>
        <v>289.5</v>
      </c>
      <c r="T567" s="11">
        <f t="shared" si="165"/>
        <v>308.8</v>
      </c>
      <c r="U567" s="38">
        <f t="shared" si="168"/>
        <v>315.27</v>
      </c>
      <c r="V567" s="38">
        <f t="shared" si="169"/>
        <v>326.94</v>
      </c>
      <c r="W567" s="38">
        <f t="shared" si="170"/>
        <v>338.62</v>
      </c>
      <c r="X567" s="38">
        <f t="shared" si="171"/>
        <v>350.3</v>
      </c>
      <c r="Z567" s="4">
        <f t="shared" si="166"/>
        <v>2316</v>
      </c>
      <c r="AA567" s="4">
        <f t="shared" si="172"/>
        <v>2802.36</v>
      </c>
    </row>
    <row r="568" spans="1:27" x14ac:dyDescent="0.3">
      <c r="A568" s="135"/>
      <c r="B568" s="125"/>
      <c r="C568" s="3" t="s">
        <v>1362</v>
      </c>
      <c r="D568" s="55"/>
      <c r="E568" s="55" t="s">
        <v>362</v>
      </c>
      <c r="F568" s="55" t="s">
        <v>830</v>
      </c>
      <c r="G568" s="56">
        <v>10</v>
      </c>
      <c r="H568" s="49">
        <f>20+50+20+30+20</f>
        <v>140</v>
      </c>
      <c r="I568" s="50">
        <f>5+50+10+5+20+10+20+3</f>
        <v>123</v>
      </c>
      <c r="J568" s="77">
        <f>+H568-I568</f>
        <v>17</v>
      </c>
      <c r="K568" s="31">
        <v>47</v>
      </c>
      <c r="L568" s="32">
        <v>44175</v>
      </c>
      <c r="M568" s="33">
        <v>0.21</v>
      </c>
      <c r="N568" s="64">
        <f t="shared" si="167"/>
        <v>56.87</v>
      </c>
      <c r="O568" s="68">
        <f t="shared" si="161"/>
        <v>61.1</v>
      </c>
      <c r="P568" s="68">
        <f t="shared" si="162"/>
        <v>63.45</v>
      </c>
      <c r="Q568" s="68">
        <f t="shared" si="163"/>
        <v>65.8</v>
      </c>
      <c r="R568" s="11">
        <f t="shared" si="164"/>
        <v>68.150000000000006</v>
      </c>
      <c r="S568" s="11">
        <f t="shared" si="159"/>
        <v>70.5</v>
      </c>
      <c r="T568" s="11">
        <f t="shared" si="165"/>
        <v>75.2</v>
      </c>
      <c r="U568" s="38">
        <f t="shared" si="168"/>
        <v>76.77</v>
      </c>
      <c r="V568" s="38">
        <f t="shared" si="169"/>
        <v>79.62</v>
      </c>
      <c r="W568" s="38">
        <f t="shared" si="170"/>
        <v>82.46</v>
      </c>
      <c r="X568" s="38">
        <f t="shared" si="171"/>
        <v>85.31</v>
      </c>
      <c r="Z568" s="4">
        <f t="shared" si="166"/>
        <v>799</v>
      </c>
      <c r="AA568" s="4">
        <f t="shared" si="172"/>
        <v>966.79</v>
      </c>
    </row>
    <row r="569" spans="1:27" x14ac:dyDescent="0.3">
      <c r="A569" s="135"/>
      <c r="B569" s="125"/>
      <c r="C569" s="3" t="s">
        <v>931</v>
      </c>
      <c r="D569" s="55" t="s">
        <v>935</v>
      </c>
      <c r="E569" s="55" t="s">
        <v>70</v>
      </c>
      <c r="F569" s="55" t="s">
        <v>830</v>
      </c>
      <c r="G569" s="56">
        <v>0</v>
      </c>
      <c r="H569" s="49">
        <v>20</v>
      </c>
      <c r="I569" s="50">
        <f>20</f>
        <v>20</v>
      </c>
      <c r="J569" s="77">
        <f>+H569-I569</f>
        <v>0</v>
      </c>
      <c r="K569" s="31">
        <v>28.16</v>
      </c>
      <c r="L569" s="32">
        <v>43475</v>
      </c>
      <c r="M569" s="33">
        <v>0.21</v>
      </c>
      <c r="N569" s="64">
        <f t="shared" si="167"/>
        <v>34.073599999999999</v>
      </c>
      <c r="O569" s="68">
        <f t="shared" si="161"/>
        <v>36.61</v>
      </c>
      <c r="P569" s="68">
        <f t="shared" si="162"/>
        <v>38.020000000000003</v>
      </c>
      <c r="Q569" s="68">
        <f t="shared" si="163"/>
        <v>39.42</v>
      </c>
      <c r="R569" s="11">
        <f t="shared" si="164"/>
        <v>40.83</v>
      </c>
      <c r="S569" s="11">
        <f t="shared" si="159"/>
        <v>42.24</v>
      </c>
      <c r="T569" s="11">
        <f t="shared" si="165"/>
        <v>45.06</v>
      </c>
      <c r="U569" s="38">
        <f t="shared" si="168"/>
        <v>46</v>
      </c>
      <c r="V569" s="38">
        <f t="shared" si="169"/>
        <v>47.7</v>
      </c>
      <c r="W569" s="38">
        <f t="shared" si="170"/>
        <v>49.41</v>
      </c>
      <c r="X569" s="38">
        <f t="shared" si="171"/>
        <v>51.11</v>
      </c>
      <c r="Z569" s="4">
        <f t="shared" si="166"/>
        <v>0</v>
      </c>
      <c r="AA569" s="4">
        <f t="shared" si="172"/>
        <v>0</v>
      </c>
    </row>
    <row r="570" spans="1:27" x14ac:dyDescent="0.3">
      <c r="A570" s="135"/>
      <c r="B570" s="125"/>
      <c r="C570" s="137" t="s">
        <v>1192</v>
      </c>
      <c r="D570" s="55"/>
      <c r="E570" s="55" t="s">
        <v>812</v>
      </c>
      <c r="F570" s="55" t="s">
        <v>830</v>
      </c>
      <c r="G570" s="56">
        <v>10</v>
      </c>
      <c r="H570" s="49">
        <f>20+1+10+10+1</f>
        <v>42</v>
      </c>
      <c r="I570" s="50">
        <f>1+5+2+1+10+9+10+3+1</f>
        <v>42</v>
      </c>
      <c r="J570" s="77">
        <f>+H570-I570</f>
        <v>0</v>
      </c>
      <c r="K570" s="31">
        <v>100.95</v>
      </c>
      <c r="L570" s="32">
        <v>43606</v>
      </c>
      <c r="M570" s="33">
        <v>0.21</v>
      </c>
      <c r="N570" s="64">
        <f t="shared" si="167"/>
        <v>122.1495</v>
      </c>
      <c r="O570" s="68">
        <f t="shared" si="161"/>
        <v>131.24</v>
      </c>
      <c r="P570" s="68">
        <f t="shared" si="162"/>
        <v>136.28</v>
      </c>
      <c r="Q570" s="68">
        <f t="shared" si="163"/>
        <v>141.33000000000001</v>
      </c>
      <c r="R570" s="11">
        <f t="shared" si="164"/>
        <v>146.38</v>
      </c>
      <c r="S570" s="11">
        <f t="shared" si="159"/>
        <v>151.42500000000001</v>
      </c>
      <c r="T570" s="11">
        <f t="shared" si="165"/>
        <v>161.52000000000001</v>
      </c>
      <c r="U570" s="38">
        <f t="shared" si="168"/>
        <v>164.9</v>
      </c>
      <c r="V570" s="38">
        <f t="shared" si="169"/>
        <v>171.01</v>
      </c>
      <c r="W570" s="38">
        <f t="shared" si="170"/>
        <v>177.12</v>
      </c>
      <c r="X570" s="38">
        <f t="shared" si="171"/>
        <v>183.22</v>
      </c>
      <c r="Z570" s="4">
        <f t="shared" si="166"/>
        <v>0</v>
      </c>
      <c r="AA570" s="4">
        <f t="shared" si="172"/>
        <v>0</v>
      </c>
    </row>
    <row r="571" spans="1:27" x14ac:dyDescent="0.3">
      <c r="A571" s="135"/>
      <c r="B571" s="125"/>
      <c r="C571" s="3" t="s">
        <v>48</v>
      </c>
      <c r="D571" s="55" t="s">
        <v>510</v>
      </c>
      <c r="E571" s="55" t="s">
        <v>362</v>
      </c>
      <c r="F571" s="55" t="s">
        <v>240</v>
      </c>
      <c r="G571" s="56">
        <v>20</v>
      </c>
      <c r="H571" s="49">
        <v>36</v>
      </c>
      <c r="I571" s="50">
        <f>2+6+4+12+12</f>
        <v>36</v>
      </c>
      <c r="J571" s="77">
        <f>+H571-I571</f>
        <v>0</v>
      </c>
      <c r="K571" s="31">
        <v>71.61</v>
      </c>
      <c r="L571" s="32">
        <v>43475</v>
      </c>
      <c r="M571" s="33">
        <v>0.21</v>
      </c>
      <c r="N571" s="64">
        <f t="shared" si="167"/>
        <v>86.648099999999999</v>
      </c>
      <c r="O571" s="68">
        <f t="shared" si="161"/>
        <v>93.09</v>
      </c>
      <c r="P571" s="68">
        <f t="shared" si="162"/>
        <v>96.67</v>
      </c>
      <c r="Q571" s="68">
        <f t="shared" si="163"/>
        <v>100.25</v>
      </c>
      <c r="R571" s="11">
        <f t="shared" si="164"/>
        <v>103.83</v>
      </c>
      <c r="S571" s="11">
        <f t="shared" si="159"/>
        <v>107.41499999999999</v>
      </c>
      <c r="T571" s="11">
        <f t="shared" si="165"/>
        <v>114.58</v>
      </c>
      <c r="U571" s="38">
        <f t="shared" si="168"/>
        <v>116.97</v>
      </c>
      <c r="V571" s="38">
        <f t="shared" si="169"/>
        <v>121.31</v>
      </c>
      <c r="W571" s="38">
        <f t="shared" si="170"/>
        <v>125.64</v>
      </c>
      <c r="X571" s="38">
        <f t="shared" si="171"/>
        <v>129.97</v>
      </c>
      <c r="Z571" s="4">
        <f t="shared" si="166"/>
        <v>0</v>
      </c>
      <c r="AA571" s="4">
        <f t="shared" si="172"/>
        <v>0</v>
      </c>
    </row>
    <row r="572" spans="1:27" x14ac:dyDescent="0.3">
      <c r="A572" s="135"/>
      <c r="B572" s="125"/>
      <c r="C572" s="3" t="s">
        <v>49</v>
      </c>
      <c r="D572" s="55" t="s">
        <v>1319</v>
      </c>
      <c r="E572" s="55" t="s">
        <v>362</v>
      </c>
      <c r="F572" s="55" t="s">
        <v>240</v>
      </c>
      <c r="G572" s="56">
        <v>20</v>
      </c>
      <c r="H572" s="49">
        <v>10</v>
      </c>
      <c r="I572" s="50">
        <v>10</v>
      </c>
      <c r="J572" s="77">
        <f>+H572-I572</f>
        <v>0</v>
      </c>
      <c r="K572" s="31">
        <v>217.11</v>
      </c>
      <c r="L572" s="32">
        <v>43469</v>
      </c>
      <c r="M572" s="33">
        <v>0.21</v>
      </c>
      <c r="N572" s="64">
        <f t="shared" si="167"/>
        <v>262.70310000000001</v>
      </c>
      <c r="O572" s="68">
        <f t="shared" si="161"/>
        <v>282.24</v>
      </c>
      <c r="P572" s="68">
        <f t="shared" si="162"/>
        <v>293.10000000000002</v>
      </c>
      <c r="Q572" s="68">
        <f t="shared" si="163"/>
        <v>303.95</v>
      </c>
      <c r="R572" s="11">
        <f t="shared" si="164"/>
        <v>314.81</v>
      </c>
      <c r="S572" s="11">
        <f t="shared" si="159"/>
        <v>325.66500000000002</v>
      </c>
      <c r="T572" s="11">
        <f t="shared" si="165"/>
        <v>347.38</v>
      </c>
      <c r="U572" s="38">
        <f t="shared" si="168"/>
        <v>354.65</v>
      </c>
      <c r="V572" s="38">
        <f t="shared" si="169"/>
        <v>367.78</v>
      </c>
      <c r="W572" s="38">
        <f t="shared" si="170"/>
        <v>380.92</v>
      </c>
      <c r="X572" s="38">
        <f t="shared" si="171"/>
        <v>394.05</v>
      </c>
      <c r="Z572" s="4">
        <f t="shared" si="166"/>
        <v>0</v>
      </c>
      <c r="AA572" s="4">
        <f t="shared" si="172"/>
        <v>0</v>
      </c>
    </row>
    <row r="573" spans="1:27" x14ac:dyDescent="0.3">
      <c r="A573" s="135"/>
      <c r="B573" s="125"/>
      <c r="C573" s="3" t="s">
        <v>49</v>
      </c>
      <c r="D573" s="55" t="s">
        <v>511</v>
      </c>
      <c r="E573" s="55" t="s">
        <v>70</v>
      </c>
      <c r="F573" s="55" t="s">
        <v>1333</v>
      </c>
      <c r="G573" s="56">
        <v>20</v>
      </c>
      <c r="H573" s="49">
        <v>40</v>
      </c>
      <c r="I573" s="50">
        <f>20+20</f>
        <v>40</v>
      </c>
      <c r="J573" s="77">
        <f>+H573-I573</f>
        <v>0</v>
      </c>
      <c r="K573" s="31">
        <v>28.16</v>
      </c>
      <c r="L573" s="32">
        <v>43475</v>
      </c>
      <c r="M573" s="33">
        <v>0.21</v>
      </c>
      <c r="N573" s="64">
        <f t="shared" si="167"/>
        <v>34.073599999999999</v>
      </c>
      <c r="O573" s="68">
        <f t="shared" si="161"/>
        <v>36.61</v>
      </c>
      <c r="P573" s="68">
        <f t="shared" si="162"/>
        <v>38.020000000000003</v>
      </c>
      <c r="Q573" s="68">
        <f t="shared" si="163"/>
        <v>39.42</v>
      </c>
      <c r="R573" s="11">
        <f t="shared" si="164"/>
        <v>40.83</v>
      </c>
      <c r="S573" s="11">
        <f t="shared" si="159"/>
        <v>42.24</v>
      </c>
      <c r="T573" s="11">
        <f t="shared" si="165"/>
        <v>45.06</v>
      </c>
      <c r="U573" s="38">
        <f t="shared" si="168"/>
        <v>46</v>
      </c>
      <c r="V573" s="38">
        <f t="shared" si="169"/>
        <v>47.7</v>
      </c>
      <c r="W573" s="38">
        <f t="shared" si="170"/>
        <v>49.41</v>
      </c>
      <c r="X573" s="38">
        <f t="shared" si="171"/>
        <v>51.11</v>
      </c>
      <c r="Z573" s="4">
        <f t="shared" si="166"/>
        <v>0</v>
      </c>
      <c r="AA573" s="4">
        <f t="shared" si="172"/>
        <v>0</v>
      </c>
    </row>
    <row r="574" spans="1:27" x14ac:dyDescent="0.3">
      <c r="A574" s="135"/>
      <c r="B574" s="125"/>
      <c r="C574" s="137" t="s">
        <v>1193</v>
      </c>
      <c r="D574" s="55"/>
      <c r="E574" s="55" t="s">
        <v>812</v>
      </c>
      <c r="F574" s="55" t="s">
        <v>830</v>
      </c>
      <c r="G574" s="56">
        <v>0</v>
      </c>
      <c r="H574" s="49">
        <f>20+10+10</f>
        <v>40</v>
      </c>
      <c r="I574" s="50">
        <f>5+4+19+5+1+6</f>
        <v>40</v>
      </c>
      <c r="J574" s="77">
        <f>+H574-I574</f>
        <v>0</v>
      </c>
      <c r="K574" s="31">
        <v>199.95</v>
      </c>
      <c r="L574" s="32">
        <v>43606</v>
      </c>
      <c r="M574" s="33">
        <v>0.21</v>
      </c>
      <c r="N574" s="64">
        <f t="shared" si="167"/>
        <v>241.93949999999998</v>
      </c>
      <c r="O574" s="68">
        <f t="shared" si="161"/>
        <v>259.94</v>
      </c>
      <c r="P574" s="68">
        <f t="shared" si="162"/>
        <v>269.93</v>
      </c>
      <c r="Q574" s="68">
        <f t="shared" si="163"/>
        <v>279.93</v>
      </c>
      <c r="R574" s="11">
        <f t="shared" si="164"/>
        <v>289.93</v>
      </c>
      <c r="S574" s="11">
        <f t="shared" si="159"/>
        <v>299.92499999999995</v>
      </c>
      <c r="T574" s="11">
        <f t="shared" si="165"/>
        <v>319.92</v>
      </c>
      <c r="U574" s="38">
        <f t="shared" si="168"/>
        <v>326.62</v>
      </c>
      <c r="V574" s="38">
        <f t="shared" si="169"/>
        <v>338.72</v>
      </c>
      <c r="W574" s="38">
        <f t="shared" si="170"/>
        <v>350.81</v>
      </c>
      <c r="X574" s="38">
        <f t="shared" si="171"/>
        <v>362.91</v>
      </c>
      <c r="Z574" s="4">
        <f t="shared" si="166"/>
        <v>0</v>
      </c>
      <c r="AA574" s="4">
        <f t="shared" si="172"/>
        <v>0</v>
      </c>
    </row>
    <row r="575" spans="1:27" x14ac:dyDescent="0.3">
      <c r="A575" s="135"/>
      <c r="B575" s="125"/>
      <c r="C575" s="3" t="s">
        <v>50</v>
      </c>
      <c r="D575" s="55" t="s">
        <v>512</v>
      </c>
      <c r="E575" s="55" t="s">
        <v>362</v>
      </c>
      <c r="F575" s="55" t="s">
        <v>830</v>
      </c>
      <c r="G575" s="56">
        <v>20</v>
      </c>
      <c r="H575" s="49">
        <f>10+30</f>
        <v>40</v>
      </c>
      <c r="I575" s="50">
        <f>10+10</f>
        <v>20</v>
      </c>
      <c r="J575" s="77">
        <f>+H575-I575</f>
        <v>20</v>
      </c>
      <c r="K575" s="31">
        <v>20.77</v>
      </c>
      <c r="L575" s="32">
        <v>43475</v>
      </c>
      <c r="M575" s="33">
        <v>0.21</v>
      </c>
      <c r="N575" s="64">
        <f t="shared" si="167"/>
        <v>25.131699999999999</v>
      </c>
      <c r="O575" s="68">
        <f t="shared" si="161"/>
        <v>27</v>
      </c>
      <c r="P575" s="68">
        <f t="shared" si="162"/>
        <v>28.04</v>
      </c>
      <c r="Q575" s="68">
        <f t="shared" si="163"/>
        <v>29.08</v>
      </c>
      <c r="R575" s="11">
        <f t="shared" si="164"/>
        <v>30.12</v>
      </c>
      <c r="S575" s="11">
        <f t="shared" si="159"/>
        <v>31.155000000000001</v>
      </c>
      <c r="T575" s="11">
        <f t="shared" si="165"/>
        <v>33.229999999999997</v>
      </c>
      <c r="U575" s="38">
        <f t="shared" si="168"/>
        <v>33.93</v>
      </c>
      <c r="V575" s="38">
        <f t="shared" si="169"/>
        <v>35.18</v>
      </c>
      <c r="W575" s="38">
        <f t="shared" si="170"/>
        <v>36.44</v>
      </c>
      <c r="X575" s="38">
        <f t="shared" si="171"/>
        <v>37.700000000000003</v>
      </c>
      <c r="Z575" s="4">
        <f t="shared" si="166"/>
        <v>415.4</v>
      </c>
      <c r="AA575" s="4">
        <f t="shared" si="172"/>
        <v>502.63399999999996</v>
      </c>
    </row>
    <row r="576" spans="1:27" x14ac:dyDescent="0.3">
      <c r="A576" s="135"/>
      <c r="B576" s="125"/>
      <c r="C576" s="3" t="s">
        <v>1021</v>
      </c>
      <c r="D576" s="55"/>
      <c r="E576" s="55" t="s">
        <v>812</v>
      </c>
      <c r="F576" s="55" t="s">
        <v>830</v>
      </c>
      <c r="G576" s="56">
        <v>0</v>
      </c>
      <c r="H576" s="49">
        <f>10+30</f>
        <v>40</v>
      </c>
      <c r="I576" s="50">
        <f>10+10+2+18</f>
        <v>40</v>
      </c>
      <c r="J576" s="77">
        <f>+H576-I576</f>
        <v>0</v>
      </c>
      <c r="K576" s="31">
        <v>28.16</v>
      </c>
      <c r="L576" s="32">
        <v>43475</v>
      </c>
      <c r="M576" s="33">
        <v>0.21</v>
      </c>
      <c r="N576" s="64">
        <f t="shared" si="167"/>
        <v>34.073599999999999</v>
      </c>
      <c r="O576" s="68">
        <f t="shared" si="161"/>
        <v>36.61</v>
      </c>
      <c r="P576" s="68">
        <f t="shared" si="162"/>
        <v>38.020000000000003</v>
      </c>
      <c r="Q576" s="68">
        <f t="shared" si="163"/>
        <v>39.42</v>
      </c>
      <c r="R576" s="11">
        <f t="shared" si="164"/>
        <v>40.83</v>
      </c>
      <c r="S576" s="11">
        <f t="shared" si="159"/>
        <v>42.24</v>
      </c>
      <c r="T576" s="11">
        <f t="shared" si="165"/>
        <v>45.06</v>
      </c>
      <c r="U576" s="38">
        <f t="shared" si="168"/>
        <v>46</v>
      </c>
      <c r="V576" s="38">
        <f t="shared" si="169"/>
        <v>47.7</v>
      </c>
      <c r="W576" s="38">
        <f t="shared" si="170"/>
        <v>49.41</v>
      </c>
      <c r="X576" s="38">
        <f t="shared" si="171"/>
        <v>51.11</v>
      </c>
      <c r="Z576" s="4">
        <f t="shared" si="166"/>
        <v>0</v>
      </c>
      <c r="AA576" s="4">
        <f t="shared" si="172"/>
        <v>0</v>
      </c>
    </row>
    <row r="577" spans="1:27" x14ac:dyDescent="0.3">
      <c r="A577" s="135"/>
      <c r="B577" s="125"/>
      <c r="C577" s="3" t="s">
        <v>334</v>
      </c>
      <c r="D577" s="55" t="s">
        <v>513</v>
      </c>
      <c r="E577" s="55" t="s">
        <v>362</v>
      </c>
      <c r="F577" s="55" t="s">
        <v>290</v>
      </c>
      <c r="G577" s="56">
        <v>200</v>
      </c>
      <c r="H577" s="49">
        <f>100+4+200+100+100+100</f>
        <v>604</v>
      </c>
      <c r="I577" s="50">
        <f>20+30+30+50+100+50+23+15+86+24+5+100+50</f>
        <v>583</v>
      </c>
      <c r="J577" s="77">
        <f>+H577-I577</f>
        <v>21</v>
      </c>
      <c r="K577" s="31">
        <v>44.55</v>
      </c>
      <c r="L577" s="32">
        <v>44146</v>
      </c>
      <c r="M577" s="33">
        <v>0.21</v>
      </c>
      <c r="N577" s="64">
        <f t="shared" si="167"/>
        <v>53.905499999999996</v>
      </c>
      <c r="O577" s="68">
        <f t="shared" si="161"/>
        <v>57.92</v>
      </c>
      <c r="P577" s="68">
        <f t="shared" si="162"/>
        <v>60.14</v>
      </c>
      <c r="Q577" s="68">
        <f t="shared" si="163"/>
        <v>62.37</v>
      </c>
      <c r="R577" s="11">
        <f t="shared" si="164"/>
        <v>64.599999999999994</v>
      </c>
      <c r="S577" s="11">
        <f t="shared" si="159"/>
        <v>66.824999999999989</v>
      </c>
      <c r="T577" s="11">
        <f t="shared" si="165"/>
        <v>71.28</v>
      </c>
      <c r="U577" s="38">
        <f t="shared" si="168"/>
        <v>72.77</v>
      </c>
      <c r="V577" s="38">
        <f t="shared" si="169"/>
        <v>75.47</v>
      </c>
      <c r="W577" s="38">
        <f t="shared" si="170"/>
        <v>78.16</v>
      </c>
      <c r="X577" s="38">
        <f t="shared" si="171"/>
        <v>80.86</v>
      </c>
      <c r="Z577" s="4">
        <f t="shared" si="166"/>
        <v>935.55</v>
      </c>
      <c r="AA577" s="4">
        <f t="shared" si="172"/>
        <v>1132.0155</v>
      </c>
    </row>
    <row r="578" spans="1:27" x14ac:dyDescent="0.3">
      <c r="A578" s="135"/>
      <c r="B578" s="125"/>
      <c r="C578" s="3" t="s">
        <v>334</v>
      </c>
      <c r="D578" s="55" t="s">
        <v>642</v>
      </c>
      <c r="E578" s="55" t="s">
        <v>70</v>
      </c>
      <c r="F578" s="55" t="s">
        <v>228</v>
      </c>
      <c r="G578" s="56">
        <v>0</v>
      </c>
      <c r="H578" s="49">
        <f>191+9+200</f>
        <v>400</v>
      </c>
      <c r="I578" s="50">
        <f>100+50+50+100+100</f>
        <v>400</v>
      </c>
      <c r="J578" s="77">
        <f>+H578-I578</f>
        <v>0</v>
      </c>
      <c r="K578" s="31">
        <v>32.85</v>
      </c>
      <c r="L578" s="32">
        <v>44146</v>
      </c>
      <c r="M578" s="33">
        <v>0.21</v>
      </c>
      <c r="N578" s="64">
        <f t="shared" si="167"/>
        <v>39.7485</v>
      </c>
      <c r="O578" s="68">
        <f t="shared" si="161"/>
        <v>42.71</v>
      </c>
      <c r="P578" s="68">
        <f t="shared" si="162"/>
        <v>44.35</v>
      </c>
      <c r="Q578" s="68">
        <f t="shared" si="163"/>
        <v>45.99</v>
      </c>
      <c r="R578" s="11">
        <f t="shared" si="164"/>
        <v>47.63</v>
      </c>
      <c r="S578" s="11">
        <f t="shared" si="159"/>
        <v>49.275000000000006</v>
      </c>
      <c r="T578" s="11">
        <f t="shared" si="165"/>
        <v>52.56</v>
      </c>
      <c r="U578" s="38">
        <f t="shared" si="168"/>
        <v>53.66</v>
      </c>
      <c r="V578" s="38">
        <f t="shared" si="169"/>
        <v>55.65</v>
      </c>
      <c r="W578" s="38">
        <f t="shared" si="170"/>
        <v>57.64</v>
      </c>
      <c r="X578" s="38">
        <f t="shared" si="171"/>
        <v>59.62</v>
      </c>
      <c r="Z578" s="4">
        <f t="shared" si="166"/>
        <v>0</v>
      </c>
      <c r="AA578" s="4">
        <f t="shared" si="172"/>
        <v>0</v>
      </c>
    </row>
    <row r="579" spans="1:27" x14ac:dyDescent="0.3">
      <c r="A579" s="135"/>
      <c r="B579" s="125"/>
      <c r="C579" s="3" t="s">
        <v>1460</v>
      </c>
      <c r="D579" s="55" t="s">
        <v>1461</v>
      </c>
      <c r="E579" s="55"/>
      <c r="F579" s="55" t="s">
        <v>830</v>
      </c>
      <c r="G579" s="56">
        <v>50</v>
      </c>
      <c r="H579" s="49">
        <f>200+200+7</f>
        <v>407</v>
      </c>
      <c r="I579" s="50">
        <f>100+20+50+30+100+50</f>
        <v>350</v>
      </c>
      <c r="J579" s="77">
        <f>+H579-I579</f>
        <v>57</v>
      </c>
      <c r="K579" s="31">
        <v>30.15</v>
      </c>
      <c r="L579" s="32">
        <v>44195</v>
      </c>
      <c r="M579" s="33">
        <v>0.21</v>
      </c>
      <c r="N579" s="64">
        <f t="shared" si="167"/>
        <v>36.481499999999997</v>
      </c>
      <c r="O579" s="68">
        <f t="shared" si="161"/>
        <v>39.200000000000003</v>
      </c>
      <c r="P579" s="68">
        <f t="shared" si="162"/>
        <v>40.700000000000003</v>
      </c>
      <c r="Q579" s="68">
        <f t="shared" si="163"/>
        <v>42.21</v>
      </c>
      <c r="R579" s="11">
        <f t="shared" si="164"/>
        <v>43.72</v>
      </c>
      <c r="S579" s="11">
        <f t="shared" si="159"/>
        <v>45.224999999999994</v>
      </c>
      <c r="T579" s="11">
        <f t="shared" si="165"/>
        <v>48.24</v>
      </c>
      <c r="U579" s="38">
        <f t="shared" si="168"/>
        <v>49.25</v>
      </c>
      <c r="V579" s="38">
        <f t="shared" si="169"/>
        <v>51.07</v>
      </c>
      <c r="W579" s="38">
        <f t="shared" si="170"/>
        <v>52.9</v>
      </c>
      <c r="X579" s="38">
        <f t="shared" si="171"/>
        <v>54.72</v>
      </c>
      <c r="Z579" s="4">
        <f t="shared" si="166"/>
        <v>1718.55</v>
      </c>
      <c r="AA579" s="4">
        <f t="shared" si="172"/>
        <v>2079.4454999999998</v>
      </c>
    </row>
    <row r="580" spans="1:27" x14ac:dyDescent="0.3">
      <c r="A580" s="135"/>
      <c r="B580" s="125"/>
      <c r="C580" s="3" t="s">
        <v>288</v>
      </c>
      <c r="D580" s="55" t="s">
        <v>643</v>
      </c>
      <c r="E580" s="55" t="s">
        <v>70</v>
      </c>
      <c r="F580" s="55" t="s">
        <v>228</v>
      </c>
      <c r="G580" s="56">
        <v>30</v>
      </c>
      <c r="H580" s="49">
        <f>20+30+30+50+20+20+20+10+10+80+10+50+27+54+30</f>
        <v>461</v>
      </c>
      <c r="I580" s="50">
        <f>20+3+6+20+20+2+9+30+20+20+20+20+2+18+30+10+30+10+10+20+3+1+26+14+2+11+30+24+3</f>
        <v>434</v>
      </c>
      <c r="J580" s="77">
        <f>+H580-I580</f>
        <v>27</v>
      </c>
      <c r="K580" s="31">
        <v>577.96</v>
      </c>
      <c r="L580" s="32">
        <v>44209</v>
      </c>
      <c r="M580" s="33">
        <v>0.21</v>
      </c>
      <c r="N580" s="64">
        <f t="shared" si="167"/>
        <v>699.33159999999998</v>
      </c>
      <c r="O580" s="68">
        <f t="shared" si="161"/>
        <v>751.35</v>
      </c>
      <c r="P580" s="68">
        <f t="shared" si="162"/>
        <v>780.25</v>
      </c>
      <c r="Q580" s="68">
        <f t="shared" si="163"/>
        <v>809.14</v>
      </c>
      <c r="R580" s="11">
        <f t="shared" si="164"/>
        <v>838.04</v>
      </c>
      <c r="S580" s="11">
        <f t="shared" si="159"/>
        <v>866.94</v>
      </c>
      <c r="T580" s="11">
        <f t="shared" si="165"/>
        <v>924.74</v>
      </c>
      <c r="U580" s="38">
        <f t="shared" si="168"/>
        <v>944.1</v>
      </c>
      <c r="V580" s="38">
        <f t="shared" si="169"/>
        <v>979.06</v>
      </c>
      <c r="W580" s="38">
        <f t="shared" si="170"/>
        <v>1014.03</v>
      </c>
      <c r="X580" s="38">
        <f t="shared" si="171"/>
        <v>1049</v>
      </c>
      <c r="Z580" s="4">
        <f t="shared" si="166"/>
        <v>15604.920000000002</v>
      </c>
      <c r="AA580" s="4">
        <f t="shared" si="172"/>
        <v>18881.9532</v>
      </c>
    </row>
    <row r="581" spans="1:27" x14ac:dyDescent="0.3">
      <c r="A581" s="135"/>
      <c r="B581" s="125"/>
      <c r="C581" s="3" t="s">
        <v>291</v>
      </c>
      <c r="D581" s="55" t="s">
        <v>644</v>
      </c>
      <c r="E581" s="55" t="s">
        <v>70</v>
      </c>
      <c r="F581" s="55" t="s">
        <v>228</v>
      </c>
      <c r="G581" s="56">
        <v>100</v>
      </c>
      <c r="H581" s="49">
        <f>156+44+10+50+100</f>
        <v>360</v>
      </c>
      <c r="I581" s="50">
        <f>30+100+50+30+50+77</f>
        <v>337</v>
      </c>
      <c r="J581" s="77">
        <f>+H581-I581</f>
        <v>23</v>
      </c>
      <c r="K581" s="31">
        <v>44.35</v>
      </c>
      <c r="L581" s="32">
        <v>44230</v>
      </c>
      <c r="M581" s="33">
        <v>0.21</v>
      </c>
      <c r="N581" s="64">
        <f t="shared" si="167"/>
        <v>53.663499999999999</v>
      </c>
      <c r="O581" s="68">
        <f t="shared" si="161"/>
        <v>57.66</v>
      </c>
      <c r="P581" s="68">
        <f t="shared" si="162"/>
        <v>59.87</v>
      </c>
      <c r="Q581" s="68">
        <f t="shared" si="163"/>
        <v>62.09</v>
      </c>
      <c r="R581" s="11">
        <f t="shared" si="164"/>
        <v>64.31</v>
      </c>
      <c r="S581" s="11">
        <f t="shared" si="159"/>
        <v>66.525000000000006</v>
      </c>
      <c r="T581" s="11">
        <f t="shared" si="165"/>
        <v>70.959999999999994</v>
      </c>
      <c r="U581" s="38">
        <f t="shared" si="168"/>
        <v>72.45</v>
      </c>
      <c r="V581" s="38">
        <f t="shared" si="169"/>
        <v>75.13</v>
      </c>
      <c r="W581" s="38">
        <f t="shared" si="170"/>
        <v>77.81</v>
      </c>
      <c r="X581" s="38">
        <f t="shared" si="171"/>
        <v>80.5</v>
      </c>
      <c r="Z581" s="4">
        <f t="shared" si="166"/>
        <v>1020.0500000000001</v>
      </c>
      <c r="AA581" s="4">
        <f t="shared" si="172"/>
        <v>1234.2604999999999</v>
      </c>
    </row>
    <row r="582" spans="1:27" x14ac:dyDescent="0.3">
      <c r="A582" s="135"/>
      <c r="B582" s="125"/>
      <c r="C582" s="3" t="s">
        <v>291</v>
      </c>
      <c r="D582" s="55" t="s">
        <v>161</v>
      </c>
      <c r="E582" s="55" t="s">
        <v>362</v>
      </c>
      <c r="F582" s="55" t="s">
        <v>1405</v>
      </c>
      <c r="G582" s="56">
        <v>100</v>
      </c>
      <c r="H582" s="49">
        <f>50+100+200+210+262+55+200</f>
        <v>1077</v>
      </c>
      <c r="I582" s="50">
        <f>21+15+14+30+100+100+70+30+51+40+80+24+50+100+50+43+59+25</f>
        <v>902</v>
      </c>
      <c r="J582" s="77">
        <f>+H582-I582</f>
        <v>175</v>
      </c>
      <c r="K582" s="31">
        <v>31.78</v>
      </c>
      <c r="L582" s="32">
        <v>44137</v>
      </c>
      <c r="M582" s="33">
        <v>0.21</v>
      </c>
      <c r="N582" s="64">
        <f t="shared" si="167"/>
        <v>38.453800000000001</v>
      </c>
      <c r="O582" s="68">
        <f t="shared" si="161"/>
        <v>41.31</v>
      </c>
      <c r="P582" s="68">
        <f t="shared" si="162"/>
        <v>42.9</v>
      </c>
      <c r="Q582" s="68">
        <f t="shared" si="163"/>
        <v>44.49</v>
      </c>
      <c r="R582" s="11">
        <f t="shared" si="164"/>
        <v>46.08</v>
      </c>
      <c r="S582" s="11">
        <f t="shared" ref="S582:S621" si="173">K582*(1+$S$3)</f>
        <v>47.67</v>
      </c>
      <c r="T582" s="11">
        <f t="shared" si="165"/>
        <v>50.85</v>
      </c>
      <c r="U582" s="38">
        <f t="shared" si="168"/>
        <v>51.91</v>
      </c>
      <c r="V582" s="38">
        <f t="shared" si="169"/>
        <v>53.84</v>
      </c>
      <c r="W582" s="38">
        <f t="shared" si="170"/>
        <v>55.76</v>
      </c>
      <c r="X582" s="38">
        <f t="shared" si="171"/>
        <v>57.68</v>
      </c>
      <c r="Z582" s="4">
        <f t="shared" si="166"/>
        <v>5561.5</v>
      </c>
      <c r="AA582" s="4">
        <f t="shared" ref="AA582:AA606" si="174">J582*N582</f>
        <v>6729.415</v>
      </c>
    </row>
    <row r="583" spans="1:27" x14ac:dyDescent="0.3">
      <c r="A583" s="135"/>
      <c r="B583" s="125"/>
      <c r="C583" s="3" t="s">
        <v>312</v>
      </c>
      <c r="D583" s="55"/>
      <c r="E583" s="55" t="s">
        <v>70</v>
      </c>
      <c r="F583" s="55" t="s">
        <v>228</v>
      </c>
      <c r="G583" s="56">
        <v>10</v>
      </c>
      <c r="H583" s="49">
        <f>50+1+17+20+30+30+20+20</f>
        <v>188</v>
      </c>
      <c r="I583" s="50">
        <f>20+10+10+10+25+10+1+2+18+2+10+8+20+20</f>
        <v>166</v>
      </c>
      <c r="J583" s="77">
        <f>+H583-I583</f>
        <v>22</v>
      </c>
      <c r="K583" s="31">
        <v>130.6</v>
      </c>
      <c r="L583" s="32">
        <v>44230</v>
      </c>
      <c r="M583" s="33">
        <v>0.21</v>
      </c>
      <c r="N583" s="64">
        <f t="shared" si="167"/>
        <v>158.02599999999998</v>
      </c>
      <c r="O583" s="68">
        <f t="shared" si="161"/>
        <v>169.78</v>
      </c>
      <c r="P583" s="68">
        <f t="shared" si="162"/>
        <v>176.31</v>
      </c>
      <c r="Q583" s="68">
        <f t="shared" si="163"/>
        <v>182.84</v>
      </c>
      <c r="R583" s="11">
        <f t="shared" si="164"/>
        <v>189.37</v>
      </c>
      <c r="S583" s="11">
        <f t="shared" si="173"/>
        <v>195.89999999999998</v>
      </c>
      <c r="T583" s="11">
        <f t="shared" si="165"/>
        <v>208.96</v>
      </c>
      <c r="U583" s="38">
        <f t="shared" si="168"/>
        <v>213.34</v>
      </c>
      <c r="V583" s="38">
        <f t="shared" si="169"/>
        <v>221.24</v>
      </c>
      <c r="W583" s="38">
        <f t="shared" si="170"/>
        <v>229.14</v>
      </c>
      <c r="X583" s="38">
        <f t="shared" si="171"/>
        <v>237.04</v>
      </c>
      <c r="Z583" s="4">
        <f t="shared" si="166"/>
        <v>2873.2</v>
      </c>
      <c r="AA583" s="4">
        <f t="shared" si="174"/>
        <v>3476.5719999999997</v>
      </c>
    </row>
    <row r="584" spans="1:27" x14ac:dyDescent="0.3">
      <c r="A584" s="135"/>
      <c r="B584" s="128"/>
      <c r="C584" s="3" t="s">
        <v>312</v>
      </c>
      <c r="D584" s="55" t="s">
        <v>215</v>
      </c>
      <c r="E584" s="55" t="s">
        <v>70</v>
      </c>
      <c r="F584" s="55" t="s">
        <v>1227</v>
      </c>
      <c r="G584" s="56">
        <v>0</v>
      </c>
      <c r="H584" s="49">
        <f>20</f>
        <v>20</v>
      </c>
      <c r="I584" s="50">
        <f>15+3+1</f>
        <v>19</v>
      </c>
      <c r="J584" s="77">
        <f>+H584-I584</f>
        <v>1</v>
      </c>
      <c r="K584" s="31">
        <v>114.5</v>
      </c>
      <c r="L584" s="32">
        <v>44146</v>
      </c>
      <c r="M584" s="33">
        <v>0.21</v>
      </c>
      <c r="N584" s="64">
        <f t="shared" si="167"/>
        <v>138.54499999999999</v>
      </c>
      <c r="O584" s="68">
        <f t="shared" si="161"/>
        <v>148.85</v>
      </c>
      <c r="P584" s="68">
        <f t="shared" si="162"/>
        <v>154.58000000000001</v>
      </c>
      <c r="Q584" s="68">
        <f t="shared" si="163"/>
        <v>160.30000000000001</v>
      </c>
      <c r="R584" s="11">
        <f t="shared" si="164"/>
        <v>166.03</v>
      </c>
      <c r="S584" s="11">
        <f t="shared" si="173"/>
        <v>171.75</v>
      </c>
      <c r="T584" s="11">
        <f t="shared" si="165"/>
        <v>183.2</v>
      </c>
      <c r="U584" s="38">
        <f t="shared" si="168"/>
        <v>187.04</v>
      </c>
      <c r="V584" s="38">
        <f t="shared" si="169"/>
        <v>193.96</v>
      </c>
      <c r="W584" s="38">
        <f t="shared" si="170"/>
        <v>200.89</v>
      </c>
      <c r="X584" s="38">
        <f t="shared" si="171"/>
        <v>207.82</v>
      </c>
      <c r="Z584" s="4">
        <f t="shared" si="166"/>
        <v>114.5</v>
      </c>
      <c r="AA584" s="4">
        <f t="shared" si="174"/>
        <v>138.54499999999999</v>
      </c>
    </row>
    <row r="585" spans="1:27" x14ac:dyDescent="0.3">
      <c r="A585" s="135"/>
      <c r="B585" s="125"/>
      <c r="C585" s="3" t="s">
        <v>336</v>
      </c>
      <c r="D585" s="55" t="s">
        <v>514</v>
      </c>
      <c r="E585" s="55" t="s">
        <v>362</v>
      </c>
      <c r="F585" s="55" t="s">
        <v>1227</v>
      </c>
      <c r="G585" s="56">
        <v>0</v>
      </c>
      <c r="H585" s="49">
        <f>20</f>
        <v>20</v>
      </c>
      <c r="I585" s="50">
        <f>12+8</f>
        <v>20</v>
      </c>
      <c r="J585" s="77">
        <f>+H585-I585</f>
        <v>0</v>
      </c>
      <c r="K585" s="31">
        <v>237</v>
      </c>
      <c r="L585" s="32">
        <v>44146</v>
      </c>
      <c r="M585" s="33">
        <v>0.21</v>
      </c>
      <c r="N585" s="64">
        <f t="shared" si="167"/>
        <v>286.77</v>
      </c>
      <c r="O585" s="68">
        <f t="shared" ref="O585:O621" si="175">ROUND(K585*(1+$O$3),2)</f>
        <v>308.10000000000002</v>
      </c>
      <c r="P585" s="68">
        <f t="shared" si="162"/>
        <v>319.95</v>
      </c>
      <c r="Q585" s="68">
        <f t="shared" si="163"/>
        <v>331.8</v>
      </c>
      <c r="R585" s="11">
        <f t="shared" si="164"/>
        <v>343.65</v>
      </c>
      <c r="S585" s="11">
        <f t="shared" si="173"/>
        <v>355.5</v>
      </c>
      <c r="T585" s="11">
        <f t="shared" si="165"/>
        <v>379.2</v>
      </c>
      <c r="U585" s="38">
        <f t="shared" si="168"/>
        <v>387.14</v>
      </c>
      <c r="V585" s="38">
        <f t="shared" si="169"/>
        <v>401.48</v>
      </c>
      <c r="W585" s="38">
        <f t="shared" si="170"/>
        <v>415.82</v>
      </c>
      <c r="X585" s="38">
        <f t="shared" si="171"/>
        <v>430.16</v>
      </c>
      <c r="Z585" s="4">
        <f t="shared" si="166"/>
        <v>0</v>
      </c>
      <c r="AA585" s="4">
        <f t="shared" si="174"/>
        <v>0</v>
      </c>
    </row>
    <row r="586" spans="1:27" x14ac:dyDescent="0.3">
      <c r="A586" s="135"/>
      <c r="B586" s="125"/>
      <c r="C586" s="3" t="s">
        <v>336</v>
      </c>
      <c r="D586" s="55" t="s">
        <v>1257</v>
      </c>
      <c r="E586" s="55" t="s">
        <v>70</v>
      </c>
      <c r="F586" s="55" t="s">
        <v>228</v>
      </c>
      <c r="G586" s="56">
        <v>0</v>
      </c>
      <c r="H586" s="49">
        <f>30+18+12+10+20</f>
        <v>90</v>
      </c>
      <c r="I586" s="50">
        <f>49+10+1+5+5+12</f>
        <v>82</v>
      </c>
      <c r="J586" s="77">
        <f>+H586-I586</f>
        <v>8</v>
      </c>
      <c r="K586" s="31">
        <v>199</v>
      </c>
      <c r="L586" s="32">
        <v>44146</v>
      </c>
      <c r="M586" s="33">
        <v>0.21</v>
      </c>
      <c r="N586" s="64">
        <f t="shared" si="167"/>
        <v>240.79</v>
      </c>
      <c r="O586" s="68">
        <f t="shared" si="175"/>
        <v>258.7</v>
      </c>
      <c r="P586" s="68">
        <f t="shared" si="162"/>
        <v>268.64999999999998</v>
      </c>
      <c r="Q586" s="68">
        <f t="shared" si="163"/>
        <v>278.60000000000002</v>
      </c>
      <c r="R586" s="11">
        <f t="shared" si="164"/>
        <v>288.55</v>
      </c>
      <c r="S586" s="11">
        <f t="shared" si="173"/>
        <v>298.5</v>
      </c>
      <c r="T586" s="11">
        <f t="shared" si="165"/>
        <v>318.39999999999998</v>
      </c>
      <c r="U586" s="38">
        <f t="shared" si="168"/>
        <v>325.07</v>
      </c>
      <c r="V586" s="38">
        <f t="shared" si="169"/>
        <v>337.11</v>
      </c>
      <c r="W586" s="38">
        <f t="shared" si="170"/>
        <v>349.15</v>
      </c>
      <c r="X586" s="38">
        <f t="shared" si="171"/>
        <v>361.19</v>
      </c>
      <c r="Z586" s="4">
        <f t="shared" si="166"/>
        <v>1592</v>
      </c>
      <c r="AA586" s="4">
        <f t="shared" si="174"/>
        <v>1926.32</v>
      </c>
    </row>
    <row r="587" spans="1:27" x14ac:dyDescent="0.3">
      <c r="A587" s="135"/>
      <c r="B587" s="125"/>
      <c r="C587" s="3" t="s">
        <v>341</v>
      </c>
      <c r="D587" s="55"/>
      <c r="E587" s="55"/>
      <c r="F587" s="55" t="s">
        <v>1582</v>
      </c>
      <c r="G587" s="56">
        <v>200</v>
      </c>
      <c r="H587" s="49">
        <v>11</v>
      </c>
      <c r="I587" s="50">
        <v>0</v>
      </c>
      <c r="J587" s="77">
        <f>+H587-I587</f>
        <v>11</v>
      </c>
      <c r="K587" s="31">
        <v>32.869999999999997</v>
      </c>
      <c r="L587" s="32">
        <v>44239</v>
      </c>
      <c r="M587" s="33">
        <v>0.21</v>
      </c>
      <c r="N587" s="64">
        <f t="shared" si="167"/>
        <v>39.772699999999993</v>
      </c>
      <c r="O587" s="68">
        <f t="shared" si="175"/>
        <v>42.73</v>
      </c>
      <c r="P587" s="68">
        <f t="shared" si="162"/>
        <v>44.37</v>
      </c>
      <c r="Q587" s="68">
        <f t="shared" si="163"/>
        <v>46.02</v>
      </c>
      <c r="R587" s="11">
        <f t="shared" si="164"/>
        <v>47.66</v>
      </c>
      <c r="S587" s="11">
        <f t="shared" si="173"/>
        <v>49.304999999999993</v>
      </c>
      <c r="T587" s="11">
        <f t="shared" si="165"/>
        <v>52.59</v>
      </c>
      <c r="U587" s="38">
        <f t="shared" si="168"/>
        <v>53.69</v>
      </c>
      <c r="V587" s="38">
        <f t="shared" si="169"/>
        <v>55.68</v>
      </c>
      <c r="W587" s="38">
        <f t="shared" si="170"/>
        <v>57.67</v>
      </c>
      <c r="X587" s="38">
        <f t="shared" si="171"/>
        <v>59.66</v>
      </c>
      <c r="Z587" s="4">
        <f t="shared" si="166"/>
        <v>361.57</v>
      </c>
      <c r="AA587" s="4">
        <f t="shared" si="174"/>
        <v>437.4996999999999</v>
      </c>
    </row>
    <row r="588" spans="1:27" x14ac:dyDescent="0.3">
      <c r="A588" s="135"/>
      <c r="B588" s="125"/>
      <c r="C588" s="3" t="s">
        <v>341</v>
      </c>
      <c r="D588" s="55"/>
      <c r="E588" s="55" t="s">
        <v>362</v>
      </c>
      <c r="F588" s="55" t="s">
        <v>830</v>
      </c>
      <c r="G588" s="56">
        <v>200</v>
      </c>
      <c r="H588" s="49">
        <f>34+400+200+1500+500+500+300+100+200+100+200+400</f>
        <v>4434</v>
      </c>
      <c r="I588" s="50">
        <f>8+100+200+100+5+21+200+100+10+200+100+100+20+50+10+10+50+100+1+100+200+200+200+150+6+100+150+282+100+4+150+200+100+100+107+30+170+50+50+20+150+20+100+100</f>
        <v>4224</v>
      </c>
      <c r="J588" s="77">
        <f>+H588-I588</f>
        <v>210</v>
      </c>
      <c r="K588" s="31">
        <v>34.53</v>
      </c>
      <c r="L588" s="32">
        <v>44250</v>
      </c>
      <c r="M588" s="33">
        <v>0.21</v>
      </c>
      <c r="N588" s="64">
        <f t="shared" si="167"/>
        <v>41.781300000000002</v>
      </c>
      <c r="O588" s="68">
        <f t="shared" si="175"/>
        <v>44.89</v>
      </c>
      <c r="P588" s="68">
        <f t="shared" si="162"/>
        <v>46.62</v>
      </c>
      <c r="Q588" s="68">
        <f t="shared" si="163"/>
        <v>48.34</v>
      </c>
      <c r="R588" s="11">
        <f t="shared" si="164"/>
        <v>50.07</v>
      </c>
      <c r="S588" s="11">
        <f t="shared" si="173"/>
        <v>51.795000000000002</v>
      </c>
      <c r="T588" s="11">
        <f t="shared" si="165"/>
        <v>55.25</v>
      </c>
      <c r="U588" s="38">
        <f t="shared" si="168"/>
        <v>56.4</v>
      </c>
      <c r="V588" s="38">
        <f t="shared" si="169"/>
        <v>58.49</v>
      </c>
      <c r="W588" s="38">
        <f t="shared" si="170"/>
        <v>60.58</v>
      </c>
      <c r="X588" s="38">
        <f t="shared" si="171"/>
        <v>62.67</v>
      </c>
      <c r="Z588" s="4">
        <f t="shared" si="166"/>
        <v>7251.3</v>
      </c>
      <c r="AA588" s="4">
        <f t="shared" si="174"/>
        <v>8774.0730000000003</v>
      </c>
    </row>
    <row r="589" spans="1:27" x14ac:dyDescent="0.3">
      <c r="A589" s="135"/>
      <c r="B589" s="125"/>
      <c r="C589" s="3" t="s">
        <v>345</v>
      </c>
      <c r="D589" s="55" t="s">
        <v>761</v>
      </c>
      <c r="E589" s="55" t="s">
        <v>362</v>
      </c>
      <c r="F589" s="55" t="s">
        <v>830</v>
      </c>
      <c r="G589" s="56">
        <v>50</v>
      </c>
      <c r="H589" s="49">
        <f>31+100</f>
        <v>131</v>
      </c>
      <c r="I589" s="50">
        <f>30+53</f>
        <v>83</v>
      </c>
      <c r="J589" s="77">
        <f>+H589-I589</f>
        <v>48</v>
      </c>
      <c r="K589" s="31">
        <v>47.72</v>
      </c>
      <c r="L589" s="32">
        <v>44146</v>
      </c>
      <c r="M589" s="33">
        <v>0.21</v>
      </c>
      <c r="N589" s="64">
        <f t="shared" si="167"/>
        <v>57.741199999999999</v>
      </c>
      <c r="O589" s="68">
        <f t="shared" si="175"/>
        <v>62.04</v>
      </c>
      <c r="P589" s="68">
        <f t="shared" si="162"/>
        <v>64.42</v>
      </c>
      <c r="Q589" s="68">
        <f t="shared" si="163"/>
        <v>66.81</v>
      </c>
      <c r="R589" s="11">
        <f t="shared" si="164"/>
        <v>69.19</v>
      </c>
      <c r="S589" s="11">
        <f t="shared" si="173"/>
        <v>71.58</v>
      </c>
      <c r="T589" s="11">
        <f t="shared" si="165"/>
        <v>76.349999999999994</v>
      </c>
      <c r="U589" s="38">
        <f t="shared" si="168"/>
        <v>77.95</v>
      </c>
      <c r="V589" s="38">
        <f t="shared" si="169"/>
        <v>80.84</v>
      </c>
      <c r="W589" s="38">
        <f t="shared" si="170"/>
        <v>83.72</v>
      </c>
      <c r="X589" s="38">
        <f t="shared" si="171"/>
        <v>86.61</v>
      </c>
      <c r="Z589" s="4">
        <f t="shared" si="166"/>
        <v>2290.56</v>
      </c>
      <c r="AA589" s="4">
        <f t="shared" si="174"/>
        <v>2771.5776000000001</v>
      </c>
    </row>
    <row r="590" spans="1:27" x14ac:dyDescent="0.3">
      <c r="A590" s="135"/>
      <c r="B590" s="125"/>
      <c r="C590" s="5" t="s">
        <v>1026</v>
      </c>
      <c r="D590" s="55"/>
      <c r="E590" s="55" t="s">
        <v>362</v>
      </c>
      <c r="F590" s="55" t="s">
        <v>271</v>
      </c>
      <c r="G590" s="56">
        <v>0</v>
      </c>
      <c r="H590" s="49">
        <f>100+100</f>
        <v>200</v>
      </c>
      <c r="I590" s="50">
        <f>50+8+42+5+30</f>
        <v>135</v>
      </c>
      <c r="J590" s="77">
        <f>+H590-I590</f>
        <v>65</v>
      </c>
      <c r="K590" s="31">
        <v>50.9</v>
      </c>
      <c r="L590" s="32">
        <v>44146</v>
      </c>
      <c r="M590" s="33">
        <v>0.21</v>
      </c>
      <c r="N590" s="64">
        <f t="shared" si="167"/>
        <v>61.588999999999999</v>
      </c>
      <c r="O590" s="68">
        <f t="shared" si="175"/>
        <v>66.17</v>
      </c>
      <c r="P590" s="68">
        <f t="shared" si="162"/>
        <v>68.72</v>
      </c>
      <c r="Q590" s="68">
        <f t="shared" si="163"/>
        <v>71.260000000000005</v>
      </c>
      <c r="R590" s="11">
        <f t="shared" si="164"/>
        <v>73.81</v>
      </c>
      <c r="S590" s="11">
        <f t="shared" si="173"/>
        <v>76.349999999999994</v>
      </c>
      <c r="T590" s="11">
        <f t="shared" si="165"/>
        <v>81.44</v>
      </c>
      <c r="U590" s="38">
        <f t="shared" si="168"/>
        <v>83.15</v>
      </c>
      <c r="V590" s="38">
        <f t="shared" si="169"/>
        <v>86.22</v>
      </c>
      <c r="W590" s="38">
        <f t="shared" si="170"/>
        <v>89.3</v>
      </c>
      <c r="X590" s="38">
        <f t="shared" si="171"/>
        <v>92.38</v>
      </c>
      <c r="Z590" s="4">
        <f t="shared" si="166"/>
        <v>3308.5</v>
      </c>
      <c r="AA590" s="4">
        <f t="shared" si="174"/>
        <v>4003.2849999999999</v>
      </c>
    </row>
    <row r="591" spans="1:27" x14ac:dyDescent="0.3">
      <c r="A591" s="135"/>
      <c r="B591" s="125"/>
      <c r="C591" s="3" t="s">
        <v>328</v>
      </c>
      <c r="D591" s="55" t="s">
        <v>645</v>
      </c>
      <c r="E591" s="55" t="s">
        <v>70</v>
      </c>
      <c r="F591" s="55" t="s">
        <v>228</v>
      </c>
      <c r="G591" s="56">
        <v>50</v>
      </c>
      <c r="H591" s="49">
        <f>51+100</f>
        <v>151</v>
      </c>
      <c r="I591" s="50">
        <f>0+28+23+1</f>
        <v>52</v>
      </c>
      <c r="J591" s="77">
        <f>+H591-I591</f>
        <v>99</v>
      </c>
      <c r="K591" s="31">
        <v>29.8</v>
      </c>
      <c r="L591" s="32">
        <v>44193</v>
      </c>
      <c r="M591" s="33">
        <v>0.21</v>
      </c>
      <c r="N591" s="64">
        <f t="shared" si="167"/>
        <v>36.058</v>
      </c>
      <c r="O591" s="68">
        <f t="shared" si="175"/>
        <v>38.74</v>
      </c>
      <c r="P591" s="68">
        <f t="shared" si="162"/>
        <v>40.229999999999997</v>
      </c>
      <c r="Q591" s="68">
        <f t="shared" si="163"/>
        <v>41.72</v>
      </c>
      <c r="R591" s="11">
        <f t="shared" si="164"/>
        <v>43.21</v>
      </c>
      <c r="S591" s="11">
        <f t="shared" si="173"/>
        <v>44.7</v>
      </c>
      <c r="T591" s="11">
        <f t="shared" si="165"/>
        <v>47.68</v>
      </c>
      <c r="U591" s="38">
        <f t="shared" si="168"/>
        <v>48.68</v>
      </c>
      <c r="V591" s="38">
        <f t="shared" si="169"/>
        <v>50.48</v>
      </c>
      <c r="W591" s="38">
        <f t="shared" si="170"/>
        <v>52.28</v>
      </c>
      <c r="X591" s="38">
        <f t="shared" si="171"/>
        <v>54.09</v>
      </c>
      <c r="Z591" s="4">
        <f t="shared" si="166"/>
        <v>2950.2000000000003</v>
      </c>
      <c r="AA591" s="4">
        <f t="shared" si="174"/>
        <v>3569.7420000000002</v>
      </c>
    </row>
    <row r="592" spans="1:27" x14ac:dyDescent="0.3">
      <c r="A592" s="135"/>
      <c r="B592" s="125"/>
      <c r="C592" s="3" t="s">
        <v>328</v>
      </c>
      <c r="D592" s="55" t="s">
        <v>515</v>
      </c>
      <c r="E592" s="55" t="s">
        <v>362</v>
      </c>
      <c r="F592" s="55" t="s">
        <v>290</v>
      </c>
      <c r="G592" s="56">
        <v>50</v>
      </c>
      <c r="H592" s="49">
        <v>21</v>
      </c>
      <c r="I592" s="50">
        <f>7+5+1</f>
        <v>13</v>
      </c>
      <c r="J592" s="77">
        <f>+H592-I592</f>
        <v>8</v>
      </c>
      <c r="K592" s="31">
        <v>29.25</v>
      </c>
      <c r="L592" s="32">
        <v>44146</v>
      </c>
      <c r="M592" s="33">
        <v>0.21</v>
      </c>
      <c r="N592" s="64">
        <f t="shared" si="167"/>
        <v>35.392499999999998</v>
      </c>
      <c r="O592" s="68">
        <f t="shared" si="175"/>
        <v>38.03</v>
      </c>
      <c r="P592" s="68">
        <f t="shared" si="162"/>
        <v>39.49</v>
      </c>
      <c r="Q592" s="68">
        <f t="shared" si="163"/>
        <v>40.950000000000003</v>
      </c>
      <c r="R592" s="11">
        <f t="shared" si="164"/>
        <v>42.41</v>
      </c>
      <c r="S592" s="11">
        <f t="shared" si="173"/>
        <v>43.875</v>
      </c>
      <c r="T592" s="11">
        <f t="shared" si="165"/>
        <v>46.8</v>
      </c>
      <c r="U592" s="38">
        <f t="shared" si="168"/>
        <v>47.78</v>
      </c>
      <c r="V592" s="38">
        <f t="shared" si="169"/>
        <v>49.55</v>
      </c>
      <c r="W592" s="38">
        <f t="shared" si="170"/>
        <v>51.32</v>
      </c>
      <c r="X592" s="38">
        <f t="shared" si="171"/>
        <v>53.09</v>
      </c>
      <c r="Z592" s="4">
        <f t="shared" si="166"/>
        <v>234</v>
      </c>
      <c r="AA592" s="4">
        <f t="shared" si="174"/>
        <v>283.14</v>
      </c>
    </row>
    <row r="593" spans="1:27" x14ac:dyDescent="0.3">
      <c r="A593" s="135"/>
      <c r="B593" s="125"/>
      <c r="C593" s="3" t="s">
        <v>750</v>
      </c>
      <c r="D593" s="55" t="s">
        <v>751</v>
      </c>
      <c r="E593" s="55" t="s">
        <v>362</v>
      </c>
      <c r="F593" s="55" t="s">
        <v>271</v>
      </c>
      <c r="G593" s="56">
        <v>0</v>
      </c>
      <c r="H593" s="49">
        <f>200+94+200+152</f>
        <v>646</v>
      </c>
      <c r="I593" s="50">
        <f>84+60+150+2+30</f>
        <v>326</v>
      </c>
      <c r="J593" s="77">
        <f>+H593-I593</f>
        <v>320</v>
      </c>
      <c r="K593" s="31">
        <v>17.8</v>
      </c>
      <c r="L593" s="32">
        <v>44146</v>
      </c>
      <c r="M593" s="33">
        <v>0.21</v>
      </c>
      <c r="N593" s="64">
        <f t="shared" si="167"/>
        <v>21.538</v>
      </c>
      <c r="O593" s="68">
        <f t="shared" si="175"/>
        <v>23.14</v>
      </c>
      <c r="P593" s="68">
        <f t="shared" si="162"/>
        <v>24.03</v>
      </c>
      <c r="Q593" s="68">
        <f t="shared" si="163"/>
        <v>24.92</v>
      </c>
      <c r="R593" s="11">
        <f t="shared" si="164"/>
        <v>25.81</v>
      </c>
      <c r="S593" s="11">
        <f t="shared" si="173"/>
        <v>26.700000000000003</v>
      </c>
      <c r="T593" s="11">
        <f t="shared" si="165"/>
        <v>28.48</v>
      </c>
      <c r="U593" s="38">
        <f t="shared" si="168"/>
        <v>29.08</v>
      </c>
      <c r="V593" s="38">
        <f t="shared" si="169"/>
        <v>30.15</v>
      </c>
      <c r="W593" s="38">
        <f t="shared" si="170"/>
        <v>31.23</v>
      </c>
      <c r="X593" s="38">
        <f t="shared" si="171"/>
        <v>32.31</v>
      </c>
      <c r="Z593" s="4">
        <f t="shared" si="166"/>
        <v>5696</v>
      </c>
      <c r="AA593" s="4">
        <f t="shared" si="174"/>
        <v>6892.16</v>
      </c>
    </row>
    <row r="594" spans="1:27" x14ac:dyDescent="0.3">
      <c r="A594" s="135"/>
      <c r="B594" s="125"/>
      <c r="C594" s="3" t="s">
        <v>385</v>
      </c>
      <c r="D594" s="55" t="s">
        <v>516</v>
      </c>
      <c r="E594" s="55" t="s">
        <v>362</v>
      </c>
      <c r="F594" s="55" t="s">
        <v>290</v>
      </c>
      <c r="G594" s="56">
        <v>50</v>
      </c>
      <c r="H594" s="49">
        <f>98+100+200+200</f>
        <v>598</v>
      </c>
      <c r="I594" s="50">
        <f>98+100+200</f>
        <v>398</v>
      </c>
      <c r="J594" s="77">
        <f>+H594-I594</f>
        <v>200</v>
      </c>
      <c r="K594" s="31">
        <v>38.15</v>
      </c>
      <c r="L594" s="32">
        <v>44146</v>
      </c>
      <c r="M594" s="33">
        <v>0.21</v>
      </c>
      <c r="N594" s="64">
        <f t="shared" si="167"/>
        <v>46.161499999999997</v>
      </c>
      <c r="O594" s="68">
        <f t="shared" si="175"/>
        <v>49.6</v>
      </c>
      <c r="P594" s="68">
        <f t="shared" ref="P594:P638" si="176">ROUND(K594*(1+$P$3),2)</f>
        <v>51.5</v>
      </c>
      <c r="Q594" s="68">
        <f t="shared" ref="Q594:Q638" si="177">ROUND(K594*(1+$Q$3),2)</f>
        <v>53.41</v>
      </c>
      <c r="R594" s="11">
        <f t="shared" ref="R594:R638" si="178">ROUND(K594*(1+$R$3),2)</f>
        <v>55.32</v>
      </c>
      <c r="S594" s="11">
        <f t="shared" si="173"/>
        <v>57.224999999999994</v>
      </c>
      <c r="T594" s="11">
        <f t="shared" ref="T594:T638" si="179">ROUND(K594*(1+$T$3),2)</f>
        <v>61.04</v>
      </c>
      <c r="U594" s="38">
        <f t="shared" si="168"/>
        <v>62.32</v>
      </c>
      <c r="V594" s="38">
        <f t="shared" si="169"/>
        <v>64.63</v>
      </c>
      <c r="W594" s="38">
        <f t="shared" si="170"/>
        <v>66.930000000000007</v>
      </c>
      <c r="X594" s="38">
        <f t="shared" si="171"/>
        <v>69.239999999999995</v>
      </c>
      <c r="Z594" s="4">
        <f t="shared" ref="Z594:Z638" si="180">J594*K594</f>
        <v>7630</v>
      </c>
      <c r="AA594" s="4">
        <f t="shared" si="174"/>
        <v>9232.2999999999993</v>
      </c>
    </row>
    <row r="595" spans="1:27" x14ac:dyDescent="0.3">
      <c r="A595" s="135"/>
      <c r="B595" s="125"/>
      <c r="C595" s="3" t="s">
        <v>346</v>
      </c>
      <c r="D595" s="55" t="s">
        <v>216</v>
      </c>
      <c r="E595" s="55" t="s">
        <v>70</v>
      </c>
      <c r="F595" s="55" t="s">
        <v>736</v>
      </c>
      <c r="G595" s="56">
        <v>100</v>
      </c>
      <c r="H595" s="49">
        <v>224</v>
      </c>
      <c r="I595" s="50">
        <f>1+70+100+30+23</f>
        <v>224</v>
      </c>
      <c r="J595" s="77">
        <f>+H595-I595</f>
        <v>0</v>
      </c>
      <c r="K595" s="31">
        <v>33.700000000000003</v>
      </c>
      <c r="L595" s="32">
        <v>44146</v>
      </c>
      <c r="M595" s="33">
        <v>0.21</v>
      </c>
      <c r="N595" s="64">
        <f t="shared" si="167"/>
        <v>40.777000000000001</v>
      </c>
      <c r="O595" s="68">
        <f t="shared" si="175"/>
        <v>43.81</v>
      </c>
      <c r="P595" s="68">
        <f t="shared" si="176"/>
        <v>45.5</v>
      </c>
      <c r="Q595" s="68">
        <f t="shared" si="177"/>
        <v>47.18</v>
      </c>
      <c r="R595" s="11">
        <f t="shared" si="178"/>
        <v>48.87</v>
      </c>
      <c r="S595" s="11">
        <f t="shared" si="173"/>
        <v>50.550000000000004</v>
      </c>
      <c r="T595" s="11">
        <f t="shared" si="179"/>
        <v>53.92</v>
      </c>
      <c r="U595" s="38">
        <f t="shared" si="168"/>
        <v>55.05</v>
      </c>
      <c r="V595" s="38">
        <f t="shared" si="169"/>
        <v>57.09</v>
      </c>
      <c r="W595" s="38">
        <f t="shared" si="170"/>
        <v>59.13</v>
      </c>
      <c r="X595" s="38">
        <f t="shared" si="171"/>
        <v>61.17</v>
      </c>
      <c r="Z595" s="4">
        <f t="shared" si="180"/>
        <v>0</v>
      </c>
      <c r="AA595" s="4">
        <f t="shared" si="174"/>
        <v>0</v>
      </c>
    </row>
    <row r="596" spans="1:27" x14ac:dyDescent="0.3">
      <c r="A596" s="135"/>
      <c r="B596" s="125"/>
      <c r="C596" s="3" t="s">
        <v>289</v>
      </c>
      <c r="D596" s="55" t="s">
        <v>162</v>
      </c>
      <c r="E596" s="55" t="s">
        <v>362</v>
      </c>
      <c r="F596" s="55" t="s">
        <v>1528</v>
      </c>
      <c r="G596" s="56">
        <v>100</v>
      </c>
      <c r="H596" s="49">
        <f>260+200+200</f>
        <v>660</v>
      </c>
      <c r="I596" s="50">
        <f>30+30+50+2+100+30+18+100+100+100+20</f>
        <v>580</v>
      </c>
      <c r="J596" s="77">
        <f>+H596-I596</f>
        <v>80</v>
      </c>
      <c r="K596" s="31">
        <v>18.82</v>
      </c>
      <c r="L596" s="32">
        <v>44155</v>
      </c>
      <c r="M596" s="33">
        <v>0.21</v>
      </c>
      <c r="N596" s="64">
        <f t="shared" si="167"/>
        <v>22.772199999999998</v>
      </c>
      <c r="O596" s="68">
        <f t="shared" si="175"/>
        <v>24.47</v>
      </c>
      <c r="P596" s="68">
        <f t="shared" si="176"/>
        <v>25.41</v>
      </c>
      <c r="Q596" s="68">
        <f t="shared" si="177"/>
        <v>26.35</v>
      </c>
      <c r="R596" s="11">
        <f t="shared" si="178"/>
        <v>27.29</v>
      </c>
      <c r="S596" s="11">
        <f t="shared" si="173"/>
        <v>28.23</v>
      </c>
      <c r="T596" s="11">
        <f t="shared" si="179"/>
        <v>30.11</v>
      </c>
      <c r="U596" s="38">
        <f t="shared" si="168"/>
        <v>30.74</v>
      </c>
      <c r="V596" s="38">
        <f t="shared" si="169"/>
        <v>31.88</v>
      </c>
      <c r="W596" s="38">
        <f t="shared" si="170"/>
        <v>33.020000000000003</v>
      </c>
      <c r="X596" s="38">
        <f t="shared" si="171"/>
        <v>34.159999999999997</v>
      </c>
      <c r="Z596" s="4">
        <f t="shared" si="180"/>
        <v>1505.6</v>
      </c>
      <c r="AA596" s="4">
        <f t="shared" si="174"/>
        <v>1821.7759999999998</v>
      </c>
    </row>
    <row r="597" spans="1:27" x14ac:dyDescent="0.3">
      <c r="A597" s="135"/>
      <c r="B597" s="125"/>
      <c r="C597" s="3" t="s">
        <v>289</v>
      </c>
      <c r="D597" s="55" t="s">
        <v>549</v>
      </c>
      <c r="E597" s="55" t="s">
        <v>70</v>
      </c>
      <c r="F597" s="55" t="s">
        <v>228</v>
      </c>
      <c r="G597" s="56">
        <v>100</v>
      </c>
      <c r="H597" s="49">
        <f>205+500+100</f>
        <v>805</v>
      </c>
      <c r="I597" s="50">
        <f>30+24+100+500+1+50+50+12+38</f>
        <v>805</v>
      </c>
      <c r="J597" s="77">
        <f>+H597-I597</f>
        <v>0</v>
      </c>
      <c r="K597" s="31">
        <v>21</v>
      </c>
      <c r="L597" s="32">
        <v>44146</v>
      </c>
      <c r="M597" s="33">
        <v>0.21</v>
      </c>
      <c r="N597" s="64">
        <f t="shared" si="167"/>
        <v>25.41</v>
      </c>
      <c r="O597" s="68">
        <f t="shared" si="175"/>
        <v>27.3</v>
      </c>
      <c r="P597" s="68">
        <f t="shared" si="176"/>
        <v>28.35</v>
      </c>
      <c r="Q597" s="68">
        <f t="shared" si="177"/>
        <v>29.4</v>
      </c>
      <c r="R597" s="11">
        <f t="shared" si="178"/>
        <v>30.45</v>
      </c>
      <c r="S597" s="11">
        <f t="shared" si="173"/>
        <v>31.5</v>
      </c>
      <c r="T597" s="11">
        <f t="shared" si="179"/>
        <v>33.6</v>
      </c>
      <c r="U597" s="38">
        <f t="shared" si="168"/>
        <v>34.299999999999997</v>
      </c>
      <c r="V597" s="38">
        <f t="shared" si="169"/>
        <v>35.57</v>
      </c>
      <c r="W597" s="38">
        <f t="shared" si="170"/>
        <v>36.840000000000003</v>
      </c>
      <c r="X597" s="38">
        <f t="shared" si="171"/>
        <v>38.119999999999997</v>
      </c>
      <c r="Z597" s="4">
        <f t="shared" si="180"/>
        <v>0</v>
      </c>
      <c r="AA597" s="4">
        <f t="shared" si="174"/>
        <v>0</v>
      </c>
    </row>
    <row r="598" spans="1:27" x14ac:dyDescent="0.3">
      <c r="A598" s="135"/>
      <c r="B598" s="125"/>
      <c r="C598" s="3" t="s">
        <v>347</v>
      </c>
      <c r="D598" s="55" t="s">
        <v>646</v>
      </c>
      <c r="E598" s="55" t="s">
        <v>362</v>
      </c>
      <c r="F598" s="55" t="s">
        <v>228</v>
      </c>
      <c r="G598" s="56">
        <v>100</v>
      </c>
      <c r="H598" s="49">
        <f>100+100+200</f>
        <v>400</v>
      </c>
      <c r="I598" s="50">
        <f>60+40+43+30+27+10+90</f>
        <v>300</v>
      </c>
      <c r="J598" s="77">
        <f>+H598-I598</f>
        <v>100</v>
      </c>
      <c r="K598" s="31">
        <v>26</v>
      </c>
      <c r="L598" s="32">
        <v>44146</v>
      </c>
      <c r="M598" s="33">
        <v>0.21</v>
      </c>
      <c r="N598" s="64">
        <f t="shared" ref="N598:N641" si="181">+K598*(1+M598)</f>
        <v>31.46</v>
      </c>
      <c r="O598" s="68">
        <f t="shared" si="175"/>
        <v>33.799999999999997</v>
      </c>
      <c r="P598" s="68">
        <f t="shared" si="176"/>
        <v>35.1</v>
      </c>
      <c r="Q598" s="68">
        <f t="shared" si="177"/>
        <v>36.4</v>
      </c>
      <c r="R598" s="11">
        <f t="shared" si="178"/>
        <v>37.700000000000003</v>
      </c>
      <c r="S598" s="11">
        <f t="shared" si="173"/>
        <v>39</v>
      </c>
      <c r="T598" s="11">
        <f t="shared" si="179"/>
        <v>41.6</v>
      </c>
      <c r="U598" s="38">
        <f t="shared" si="168"/>
        <v>42.47</v>
      </c>
      <c r="V598" s="38">
        <f t="shared" si="169"/>
        <v>44.04</v>
      </c>
      <c r="W598" s="38">
        <f t="shared" si="170"/>
        <v>45.62</v>
      </c>
      <c r="X598" s="38">
        <f t="shared" si="171"/>
        <v>47.19</v>
      </c>
      <c r="Z598" s="4">
        <f t="shared" si="180"/>
        <v>2600</v>
      </c>
      <c r="AA598" s="4">
        <f t="shared" si="174"/>
        <v>3146</v>
      </c>
    </row>
    <row r="599" spans="1:27" x14ac:dyDescent="0.3">
      <c r="A599" s="135"/>
      <c r="B599" s="125"/>
      <c r="C599" s="3" t="s">
        <v>347</v>
      </c>
      <c r="D599" s="55" t="s">
        <v>163</v>
      </c>
      <c r="E599" s="55" t="s">
        <v>362</v>
      </c>
      <c r="F599" s="55" t="s">
        <v>290</v>
      </c>
      <c r="G599" s="56">
        <v>100</v>
      </c>
      <c r="H599" s="49">
        <f>100+200+118</f>
        <v>418</v>
      </c>
      <c r="I599" s="50">
        <f>100+200</f>
        <v>300</v>
      </c>
      <c r="J599" s="77">
        <f>+H599-I599</f>
        <v>118</v>
      </c>
      <c r="K599" s="31">
        <v>39.950000000000003</v>
      </c>
      <c r="L599" s="32">
        <v>44137</v>
      </c>
      <c r="M599" s="33">
        <v>0.21</v>
      </c>
      <c r="N599" s="64">
        <f t="shared" si="181"/>
        <v>48.339500000000001</v>
      </c>
      <c r="O599" s="68">
        <f t="shared" si="175"/>
        <v>51.94</v>
      </c>
      <c r="P599" s="68">
        <f t="shared" si="176"/>
        <v>53.93</v>
      </c>
      <c r="Q599" s="68">
        <f t="shared" si="177"/>
        <v>55.93</v>
      </c>
      <c r="R599" s="11">
        <f t="shared" si="178"/>
        <v>57.93</v>
      </c>
      <c r="S599" s="11">
        <f t="shared" si="173"/>
        <v>59.925000000000004</v>
      </c>
      <c r="T599" s="11">
        <f t="shared" si="179"/>
        <v>63.92</v>
      </c>
      <c r="U599" s="38">
        <f t="shared" si="168"/>
        <v>65.260000000000005</v>
      </c>
      <c r="V599" s="38">
        <f t="shared" si="169"/>
        <v>67.680000000000007</v>
      </c>
      <c r="W599" s="38">
        <f t="shared" si="170"/>
        <v>70.09</v>
      </c>
      <c r="X599" s="38">
        <f t="shared" si="171"/>
        <v>72.510000000000005</v>
      </c>
      <c r="Z599" s="4">
        <f t="shared" si="180"/>
        <v>4714.1000000000004</v>
      </c>
      <c r="AA599" s="4">
        <f t="shared" si="174"/>
        <v>5704.0609999999997</v>
      </c>
    </row>
    <row r="600" spans="1:27" x14ac:dyDescent="0.3">
      <c r="A600" s="135"/>
      <c r="B600" s="125"/>
      <c r="C600" s="3" t="s">
        <v>329</v>
      </c>
      <c r="D600" s="55"/>
      <c r="E600" s="55" t="s">
        <v>362</v>
      </c>
      <c r="F600" s="55" t="s">
        <v>290</v>
      </c>
      <c r="G600" s="56">
        <v>0</v>
      </c>
      <c r="H600" s="49">
        <f>100</f>
        <v>100</v>
      </c>
      <c r="I600" s="50">
        <f>30+25+15+30</f>
        <v>100</v>
      </c>
      <c r="J600" s="77">
        <f>+H600-I600</f>
        <v>0</v>
      </c>
      <c r="K600" s="31">
        <v>26.35</v>
      </c>
      <c r="L600" s="32">
        <v>44146</v>
      </c>
      <c r="M600" s="33">
        <v>0.21</v>
      </c>
      <c r="N600" s="64">
        <f t="shared" si="181"/>
        <v>31.883500000000002</v>
      </c>
      <c r="O600" s="68">
        <f t="shared" si="175"/>
        <v>34.26</v>
      </c>
      <c r="P600" s="68">
        <f t="shared" si="176"/>
        <v>35.57</v>
      </c>
      <c r="Q600" s="68">
        <f t="shared" si="177"/>
        <v>36.89</v>
      </c>
      <c r="R600" s="11">
        <f t="shared" si="178"/>
        <v>38.21</v>
      </c>
      <c r="S600" s="11">
        <f t="shared" si="173"/>
        <v>39.525000000000006</v>
      </c>
      <c r="T600" s="11">
        <f t="shared" si="179"/>
        <v>42.16</v>
      </c>
      <c r="U600" s="38">
        <f t="shared" ref="U600:U643" si="182">ROUND((N600*(1+$U$3)),2)</f>
        <v>43.04</v>
      </c>
      <c r="V600" s="38">
        <f t="shared" ref="V600:V643" si="183">ROUND((N600*(1+$V$3)),2)</f>
        <v>44.64</v>
      </c>
      <c r="W600" s="38">
        <f t="shared" ref="W600:W643" si="184">ROUND((N600*(1+$W$3)),2)</f>
        <v>46.23</v>
      </c>
      <c r="X600" s="38">
        <f t="shared" si="171"/>
        <v>47.83</v>
      </c>
      <c r="Z600" s="4">
        <f t="shared" si="180"/>
        <v>0</v>
      </c>
      <c r="AA600" s="4">
        <f t="shared" si="174"/>
        <v>0</v>
      </c>
    </row>
    <row r="601" spans="1:27" x14ac:dyDescent="0.3">
      <c r="A601" s="135"/>
      <c r="B601" s="125"/>
      <c r="C601" s="3" t="s">
        <v>329</v>
      </c>
      <c r="D601" s="55" t="s">
        <v>647</v>
      </c>
      <c r="E601" s="55" t="s">
        <v>70</v>
      </c>
      <c r="F601" s="55" t="s">
        <v>228</v>
      </c>
      <c r="G601" s="56">
        <v>100</v>
      </c>
      <c r="H601" s="49">
        <f>200+200+200</f>
        <v>600</v>
      </c>
      <c r="I601" s="50">
        <f>20+24+2+100+50+4+100+24+30+46+30</f>
        <v>430</v>
      </c>
      <c r="J601" s="77">
        <f>+H601-I601</f>
        <v>170</v>
      </c>
      <c r="K601" s="31">
        <v>21.97</v>
      </c>
      <c r="L601" s="32">
        <v>44117</v>
      </c>
      <c r="M601" s="33">
        <v>0.21</v>
      </c>
      <c r="N601" s="64">
        <f t="shared" si="181"/>
        <v>26.583699999999997</v>
      </c>
      <c r="O601" s="68">
        <f t="shared" si="175"/>
        <v>28.56</v>
      </c>
      <c r="P601" s="68">
        <f t="shared" si="176"/>
        <v>29.66</v>
      </c>
      <c r="Q601" s="68">
        <f t="shared" si="177"/>
        <v>30.76</v>
      </c>
      <c r="R601" s="11">
        <f t="shared" si="178"/>
        <v>31.86</v>
      </c>
      <c r="S601" s="11">
        <f t="shared" si="173"/>
        <v>32.954999999999998</v>
      </c>
      <c r="T601" s="11">
        <f t="shared" si="179"/>
        <v>35.15</v>
      </c>
      <c r="U601" s="38">
        <f t="shared" si="182"/>
        <v>35.89</v>
      </c>
      <c r="V601" s="38">
        <f t="shared" si="183"/>
        <v>37.22</v>
      </c>
      <c r="W601" s="38">
        <f t="shared" si="184"/>
        <v>38.549999999999997</v>
      </c>
      <c r="X601" s="38">
        <f t="shared" ref="X601:X643" si="185">ROUND((N601*(1+$X$3)),2)</f>
        <v>39.880000000000003</v>
      </c>
      <c r="Z601" s="4">
        <f t="shared" si="180"/>
        <v>3734.8999999999996</v>
      </c>
      <c r="AA601" s="4">
        <f t="shared" si="174"/>
        <v>4519.2289999999994</v>
      </c>
    </row>
    <row r="602" spans="1:27" x14ac:dyDescent="0.3">
      <c r="A602" s="135"/>
      <c r="B602" s="125"/>
      <c r="C602" s="3" t="s">
        <v>164</v>
      </c>
      <c r="D602" s="55" t="s">
        <v>648</v>
      </c>
      <c r="E602" s="55" t="s">
        <v>70</v>
      </c>
      <c r="F602" s="55" t="s">
        <v>228</v>
      </c>
      <c r="G602" s="56">
        <v>100</v>
      </c>
      <c r="H602" s="49">
        <f>200+200+200+200+200+100</f>
        <v>1100</v>
      </c>
      <c r="I602" s="50">
        <f>1+30+10+20+3+10+19+70+200+37+100+5+30+65+20+100+10+40+30+200+100</f>
        <v>1100</v>
      </c>
      <c r="J602" s="77">
        <f>+H602-I602</f>
        <v>0</v>
      </c>
      <c r="K602" s="31">
        <v>29.8</v>
      </c>
      <c r="L602" s="32">
        <v>44228</v>
      </c>
      <c r="M602" s="33">
        <v>0.21</v>
      </c>
      <c r="N602" s="64">
        <f t="shared" si="181"/>
        <v>36.058</v>
      </c>
      <c r="O602" s="68">
        <f t="shared" si="175"/>
        <v>38.74</v>
      </c>
      <c r="P602" s="68">
        <f t="shared" si="176"/>
        <v>40.229999999999997</v>
      </c>
      <c r="Q602" s="68">
        <f t="shared" si="177"/>
        <v>41.72</v>
      </c>
      <c r="R602" s="11">
        <f t="shared" si="178"/>
        <v>43.21</v>
      </c>
      <c r="S602" s="11">
        <f t="shared" si="173"/>
        <v>44.7</v>
      </c>
      <c r="T602" s="11">
        <f t="shared" si="179"/>
        <v>47.68</v>
      </c>
      <c r="U602" s="38">
        <f t="shared" si="182"/>
        <v>48.68</v>
      </c>
      <c r="V602" s="38">
        <f t="shared" si="183"/>
        <v>50.48</v>
      </c>
      <c r="W602" s="38">
        <f t="shared" si="184"/>
        <v>52.28</v>
      </c>
      <c r="X602" s="38">
        <f t="shared" si="185"/>
        <v>54.09</v>
      </c>
      <c r="Z602" s="4">
        <f t="shared" si="180"/>
        <v>0</v>
      </c>
      <c r="AA602" s="4">
        <f t="shared" si="174"/>
        <v>0</v>
      </c>
    </row>
    <row r="603" spans="1:27" x14ac:dyDescent="0.3">
      <c r="A603" s="135"/>
      <c r="B603" s="125"/>
      <c r="C603" s="3" t="s">
        <v>342</v>
      </c>
      <c r="D603" s="55" t="s">
        <v>649</v>
      </c>
      <c r="E603" s="55" t="s">
        <v>70</v>
      </c>
      <c r="F603" s="55" t="s">
        <v>228</v>
      </c>
      <c r="G603" s="56">
        <v>100</v>
      </c>
      <c r="H603" s="49">
        <f>3+500+200+200+400+400+59+190</f>
        <v>1952</v>
      </c>
      <c r="I603" s="50">
        <f>450+20+33+200+400+200+400+59+50</f>
        <v>1812</v>
      </c>
      <c r="J603" s="77">
        <f>+H603-I603</f>
        <v>140</v>
      </c>
      <c r="K603" s="31">
        <v>32.86</v>
      </c>
      <c r="L603" s="32">
        <v>44238</v>
      </c>
      <c r="M603" s="33">
        <v>0.21</v>
      </c>
      <c r="N603" s="64">
        <f t="shared" si="181"/>
        <v>39.760599999999997</v>
      </c>
      <c r="O603" s="68">
        <f t="shared" si="175"/>
        <v>42.72</v>
      </c>
      <c r="P603" s="68">
        <f t="shared" si="176"/>
        <v>44.36</v>
      </c>
      <c r="Q603" s="68">
        <f t="shared" si="177"/>
        <v>46</v>
      </c>
      <c r="R603" s="11">
        <f t="shared" si="178"/>
        <v>47.65</v>
      </c>
      <c r="S603" s="11">
        <f t="shared" si="173"/>
        <v>49.29</v>
      </c>
      <c r="T603" s="11">
        <f t="shared" si="179"/>
        <v>52.58</v>
      </c>
      <c r="U603" s="38">
        <f t="shared" si="182"/>
        <v>53.68</v>
      </c>
      <c r="V603" s="38">
        <f t="shared" si="183"/>
        <v>55.66</v>
      </c>
      <c r="W603" s="38">
        <f t="shared" si="184"/>
        <v>57.65</v>
      </c>
      <c r="X603" s="38">
        <f t="shared" si="185"/>
        <v>59.64</v>
      </c>
      <c r="Z603" s="4">
        <f t="shared" si="180"/>
        <v>4600.3999999999996</v>
      </c>
      <c r="AA603" s="4">
        <f t="shared" si="174"/>
        <v>5566.4839999999995</v>
      </c>
    </row>
    <row r="604" spans="1:27" x14ac:dyDescent="0.3">
      <c r="A604" s="135"/>
      <c r="B604" s="125"/>
      <c r="C604" s="3" t="s">
        <v>342</v>
      </c>
      <c r="D604" s="55" t="s">
        <v>733</v>
      </c>
      <c r="E604" s="55" t="s">
        <v>362</v>
      </c>
      <c r="F604" s="55" t="s">
        <v>290</v>
      </c>
      <c r="G604" s="56">
        <v>0</v>
      </c>
      <c r="H604" s="49">
        <f>148+200+234</f>
        <v>582</v>
      </c>
      <c r="I604" s="50">
        <f>50+4+50+211+30+50+10+50+40</f>
        <v>495</v>
      </c>
      <c r="J604" s="77">
        <f>+H604-I604</f>
        <v>87</v>
      </c>
      <c r="K604" s="31">
        <v>30.23</v>
      </c>
      <c r="L604" s="32">
        <v>44137</v>
      </c>
      <c r="M604" s="33">
        <v>0.21</v>
      </c>
      <c r="N604" s="64">
        <f t="shared" si="181"/>
        <v>36.578299999999999</v>
      </c>
      <c r="O604" s="68">
        <f t="shared" si="175"/>
        <v>39.299999999999997</v>
      </c>
      <c r="P604" s="68">
        <f t="shared" si="176"/>
        <v>40.81</v>
      </c>
      <c r="Q604" s="68">
        <f t="shared" si="177"/>
        <v>42.32</v>
      </c>
      <c r="R604" s="11">
        <f t="shared" si="178"/>
        <v>43.83</v>
      </c>
      <c r="S604" s="11">
        <f t="shared" si="173"/>
        <v>45.344999999999999</v>
      </c>
      <c r="T604" s="11">
        <f t="shared" si="179"/>
        <v>48.37</v>
      </c>
      <c r="U604" s="38">
        <f t="shared" si="182"/>
        <v>49.38</v>
      </c>
      <c r="V604" s="38">
        <f t="shared" si="183"/>
        <v>51.21</v>
      </c>
      <c r="W604" s="38">
        <f t="shared" si="184"/>
        <v>53.04</v>
      </c>
      <c r="X604" s="38">
        <f t="shared" si="185"/>
        <v>54.87</v>
      </c>
      <c r="Z604" s="4">
        <f t="shared" si="180"/>
        <v>2630.01</v>
      </c>
      <c r="AA604" s="4">
        <f t="shared" si="174"/>
        <v>3182.3121000000001</v>
      </c>
    </row>
    <row r="605" spans="1:27" x14ac:dyDescent="0.3">
      <c r="A605" s="135"/>
      <c r="B605" s="125"/>
      <c r="C605" s="3" t="s">
        <v>386</v>
      </c>
      <c r="D605" s="55" t="s">
        <v>650</v>
      </c>
      <c r="E605" s="55" t="s">
        <v>70</v>
      </c>
      <c r="F605" s="55" t="s">
        <v>228</v>
      </c>
      <c r="G605" s="56">
        <v>100</v>
      </c>
      <c r="H605" s="49">
        <f>427+100+200+4+200+300+200+200+30+70+200+200+200</f>
        <v>2331</v>
      </c>
      <c r="I605" s="50">
        <f>88+50+50+39+155+15+15+200+3+10+7+50+2+200+100+302+55+50+64+176+50+15+35+30+50+50+70+49+100+50+70+30+50</f>
        <v>2280</v>
      </c>
      <c r="J605" s="77">
        <f>+H605-I605</f>
        <v>51</v>
      </c>
      <c r="K605" s="31">
        <v>42.51</v>
      </c>
      <c r="L605" s="32">
        <v>44245</v>
      </c>
      <c r="M605" s="33">
        <v>0.21</v>
      </c>
      <c r="N605" s="64">
        <f t="shared" si="181"/>
        <v>51.437099999999994</v>
      </c>
      <c r="O605" s="68">
        <f t="shared" si="175"/>
        <v>55.26</v>
      </c>
      <c r="P605" s="68">
        <f t="shared" si="176"/>
        <v>57.39</v>
      </c>
      <c r="Q605" s="68">
        <f t="shared" si="177"/>
        <v>59.51</v>
      </c>
      <c r="R605" s="11">
        <f t="shared" si="178"/>
        <v>61.64</v>
      </c>
      <c r="S605" s="11">
        <f t="shared" si="173"/>
        <v>63.765000000000001</v>
      </c>
      <c r="T605" s="11">
        <f t="shared" si="179"/>
        <v>68.02</v>
      </c>
      <c r="U605" s="38">
        <f t="shared" si="182"/>
        <v>69.44</v>
      </c>
      <c r="V605" s="38">
        <f t="shared" si="183"/>
        <v>72.010000000000005</v>
      </c>
      <c r="W605" s="38">
        <f t="shared" si="184"/>
        <v>74.58</v>
      </c>
      <c r="X605" s="38">
        <f t="shared" si="185"/>
        <v>77.16</v>
      </c>
      <c r="Z605" s="4">
        <f t="shared" si="180"/>
        <v>2168.0099999999998</v>
      </c>
      <c r="AA605" s="4">
        <f t="shared" si="174"/>
        <v>2623.2920999999997</v>
      </c>
    </row>
    <row r="606" spans="1:27" x14ac:dyDescent="0.3">
      <c r="A606" s="135"/>
      <c r="B606" s="125"/>
      <c r="C606" s="3" t="s">
        <v>386</v>
      </c>
      <c r="D606" s="55"/>
      <c r="E606" s="55" t="s">
        <v>362</v>
      </c>
      <c r="F606" s="55" t="s">
        <v>1334</v>
      </c>
      <c r="G606" s="56">
        <v>100</v>
      </c>
      <c r="H606" s="49">
        <f>200+200+200+100+4+200+200</f>
        <v>1104</v>
      </c>
      <c r="I606" s="50">
        <f>20+100+80+120+80+17+180+20+30+20+37+58+142</f>
        <v>904</v>
      </c>
      <c r="J606" s="77">
        <f>+H606-I606</f>
        <v>200</v>
      </c>
      <c r="K606" s="31">
        <v>16.77</v>
      </c>
      <c r="L606" s="32">
        <v>44250</v>
      </c>
      <c r="M606" s="33">
        <v>0.21</v>
      </c>
      <c r="N606" s="64">
        <f t="shared" si="181"/>
        <v>20.291699999999999</v>
      </c>
      <c r="O606" s="68">
        <f t="shared" si="175"/>
        <v>21.8</v>
      </c>
      <c r="P606" s="68">
        <f t="shared" si="176"/>
        <v>22.64</v>
      </c>
      <c r="Q606" s="68">
        <f t="shared" si="177"/>
        <v>23.48</v>
      </c>
      <c r="R606" s="11">
        <f t="shared" si="178"/>
        <v>24.32</v>
      </c>
      <c r="S606" s="11">
        <f t="shared" si="173"/>
        <v>25.155000000000001</v>
      </c>
      <c r="T606" s="11">
        <f t="shared" si="179"/>
        <v>26.83</v>
      </c>
      <c r="U606" s="38">
        <f t="shared" si="182"/>
        <v>27.39</v>
      </c>
      <c r="V606" s="38">
        <f t="shared" si="183"/>
        <v>28.41</v>
      </c>
      <c r="W606" s="38">
        <f t="shared" si="184"/>
        <v>29.42</v>
      </c>
      <c r="X606" s="38">
        <f t="shared" si="185"/>
        <v>30.44</v>
      </c>
      <c r="Z606" s="4">
        <f t="shared" si="180"/>
        <v>3354</v>
      </c>
      <c r="AA606" s="4">
        <f t="shared" si="174"/>
        <v>4058.3399999999997</v>
      </c>
    </row>
    <row r="607" spans="1:27" x14ac:dyDescent="0.3">
      <c r="A607" s="135"/>
      <c r="B607" s="125"/>
      <c r="C607" s="3" t="s">
        <v>302</v>
      </c>
      <c r="D607" s="55" t="s">
        <v>651</v>
      </c>
      <c r="E607" s="55" t="s">
        <v>70</v>
      </c>
      <c r="F607" s="55" t="s">
        <v>228</v>
      </c>
      <c r="G607" s="56">
        <v>100</v>
      </c>
      <c r="H607" s="49">
        <f>301+120+300+100+100+100+200+200</f>
        <v>1421</v>
      </c>
      <c r="I607" s="50">
        <f>30+100+24+20+100+2+24+1+15+100+300+5+100+100+100+50+50+100</f>
        <v>1221</v>
      </c>
      <c r="J607" s="77">
        <f>+H607-I607</f>
        <v>200</v>
      </c>
      <c r="K607" s="31">
        <v>23.4</v>
      </c>
      <c r="L607" s="32">
        <v>44152</v>
      </c>
      <c r="M607" s="33">
        <v>0.21</v>
      </c>
      <c r="N607" s="64">
        <f t="shared" si="181"/>
        <v>28.313999999999997</v>
      </c>
      <c r="O607" s="68">
        <f t="shared" si="175"/>
        <v>30.42</v>
      </c>
      <c r="P607" s="68">
        <f t="shared" si="176"/>
        <v>31.59</v>
      </c>
      <c r="Q607" s="68">
        <f t="shared" si="177"/>
        <v>32.76</v>
      </c>
      <c r="R607" s="11">
        <f t="shared" si="178"/>
        <v>33.93</v>
      </c>
      <c r="S607" s="11">
        <f t="shared" si="173"/>
        <v>35.099999999999994</v>
      </c>
      <c r="T607" s="11">
        <f t="shared" si="179"/>
        <v>37.44</v>
      </c>
      <c r="U607" s="38">
        <f t="shared" si="182"/>
        <v>38.22</v>
      </c>
      <c r="V607" s="38">
        <f t="shared" si="183"/>
        <v>39.64</v>
      </c>
      <c r="W607" s="38">
        <f t="shared" si="184"/>
        <v>41.06</v>
      </c>
      <c r="X607" s="38">
        <f t="shared" si="185"/>
        <v>42.47</v>
      </c>
      <c r="Z607" s="4">
        <f t="shared" si="180"/>
        <v>4680</v>
      </c>
      <c r="AA607" s="4">
        <f t="shared" ref="AA607:AA634" si="186">J607*N607</f>
        <v>5662.7999999999993</v>
      </c>
    </row>
    <row r="608" spans="1:27" x14ac:dyDescent="0.3">
      <c r="A608" s="135"/>
      <c r="B608" s="125"/>
      <c r="C608" s="3" t="s">
        <v>0</v>
      </c>
      <c r="D608" s="55" t="s">
        <v>652</v>
      </c>
      <c r="E608" s="55" t="s">
        <v>70</v>
      </c>
      <c r="F608" s="55" t="s">
        <v>719</v>
      </c>
      <c r="G608" s="56">
        <v>100</v>
      </c>
      <c r="H608" s="49">
        <f>69+100+200</f>
        <v>369</v>
      </c>
      <c r="I608" s="50">
        <f>30+19+120</f>
        <v>169</v>
      </c>
      <c r="J608" s="77">
        <f>+H608-I608</f>
        <v>200</v>
      </c>
      <c r="K608" s="31">
        <v>26</v>
      </c>
      <c r="L608" s="32">
        <v>44146</v>
      </c>
      <c r="M608" s="33">
        <v>0.21</v>
      </c>
      <c r="N608" s="64">
        <f t="shared" si="181"/>
        <v>31.46</v>
      </c>
      <c r="O608" s="68">
        <f t="shared" si="175"/>
        <v>33.799999999999997</v>
      </c>
      <c r="P608" s="68">
        <f t="shared" si="176"/>
        <v>35.1</v>
      </c>
      <c r="Q608" s="68">
        <f t="shared" si="177"/>
        <v>36.4</v>
      </c>
      <c r="R608" s="11">
        <f t="shared" si="178"/>
        <v>37.700000000000003</v>
      </c>
      <c r="S608" s="11">
        <f t="shared" si="173"/>
        <v>39</v>
      </c>
      <c r="T608" s="11">
        <f t="shared" si="179"/>
        <v>41.6</v>
      </c>
      <c r="U608" s="38">
        <f t="shared" si="182"/>
        <v>42.47</v>
      </c>
      <c r="V608" s="38">
        <f t="shared" si="183"/>
        <v>44.04</v>
      </c>
      <c r="W608" s="38">
        <f t="shared" si="184"/>
        <v>45.62</v>
      </c>
      <c r="X608" s="38">
        <f t="shared" si="185"/>
        <v>47.19</v>
      </c>
      <c r="Z608" s="4">
        <f t="shared" si="180"/>
        <v>5200</v>
      </c>
      <c r="AA608" s="4">
        <f t="shared" si="186"/>
        <v>6292</v>
      </c>
    </row>
    <row r="609" spans="1:27" x14ac:dyDescent="0.3">
      <c r="A609" s="140"/>
      <c r="B609" s="125"/>
      <c r="C609" s="3" t="s">
        <v>343</v>
      </c>
      <c r="D609" s="55" t="s">
        <v>490</v>
      </c>
      <c r="E609" s="55" t="s">
        <v>70</v>
      </c>
      <c r="F609" s="55" t="s">
        <v>720</v>
      </c>
      <c r="G609" s="56">
        <v>100</v>
      </c>
      <c r="H609" s="49">
        <v>400</v>
      </c>
      <c r="I609" s="50">
        <f>122+4+30+4+2+38+50+20+8+10+20+7+2+83</f>
        <v>400</v>
      </c>
      <c r="J609" s="77">
        <f>+H609-I609</f>
        <v>0</v>
      </c>
      <c r="K609" s="31">
        <v>20</v>
      </c>
      <c r="L609" s="32">
        <v>44146</v>
      </c>
      <c r="M609" s="33">
        <v>0.21</v>
      </c>
      <c r="N609" s="64">
        <f t="shared" si="181"/>
        <v>24.2</v>
      </c>
      <c r="O609" s="68">
        <f t="shared" si="175"/>
        <v>26</v>
      </c>
      <c r="P609" s="68">
        <f t="shared" si="176"/>
        <v>27</v>
      </c>
      <c r="Q609" s="68">
        <f t="shared" si="177"/>
        <v>28</v>
      </c>
      <c r="R609" s="11">
        <f t="shared" si="178"/>
        <v>29</v>
      </c>
      <c r="S609" s="11">
        <f t="shared" si="173"/>
        <v>30</v>
      </c>
      <c r="T609" s="11">
        <f t="shared" si="179"/>
        <v>32</v>
      </c>
      <c r="U609" s="38">
        <f t="shared" si="182"/>
        <v>32.67</v>
      </c>
      <c r="V609" s="38">
        <f t="shared" si="183"/>
        <v>33.880000000000003</v>
      </c>
      <c r="W609" s="38">
        <f t="shared" si="184"/>
        <v>35.090000000000003</v>
      </c>
      <c r="X609" s="38">
        <f t="shared" si="185"/>
        <v>36.299999999999997</v>
      </c>
      <c r="Z609" s="4">
        <f t="shared" si="180"/>
        <v>0</v>
      </c>
      <c r="AA609" s="4">
        <f t="shared" si="186"/>
        <v>0</v>
      </c>
    </row>
    <row r="610" spans="1:27" x14ac:dyDescent="0.3">
      <c r="A610" s="135"/>
      <c r="B610" s="125"/>
      <c r="C610" s="3" t="s">
        <v>517</v>
      </c>
      <c r="D610" s="55" t="s">
        <v>518</v>
      </c>
      <c r="E610" s="55" t="s">
        <v>362</v>
      </c>
      <c r="F610" s="55" t="s">
        <v>290</v>
      </c>
      <c r="G610" s="56">
        <v>100</v>
      </c>
      <c r="H610" s="49">
        <v>906</v>
      </c>
      <c r="I610" s="50">
        <f>510+102+50+10+50</f>
        <v>722</v>
      </c>
      <c r="J610" s="77">
        <f>+H610-I610</f>
        <v>184</v>
      </c>
      <c r="K610" s="31">
        <v>33.5</v>
      </c>
      <c r="L610" s="32">
        <v>44146</v>
      </c>
      <c r="M610" s="33">
        <v>0.21</v>
      </c>
      <c r="N610" s="64">
        <f t="shared" si="181"/>
        <v>40.534999999999997</v>
      </c>
      <c r="O610" s="68">
        <f t="shared" si="175"/>
        <v>43.55</v>
      </c>
      <c r="P610" s="68">
        <f t="shared" si="176"/>
        <v>45.23</v>
      </c>
      <c r="Q610" s="68">
        <f t="shared" si="177"/>
        <v>46.9</v>
      </c>
      <c r="R610" s="11">
        <f t="shared" si="178"/>
        <v>48.58</v>
      </c>
      <c r="S610" s="11">
        <f t="shared" si="173"/>
        <v>50.25</v>
      </c>
      <c r="T610" s="11">
        <f t="shared" si="179"/>
        <v>53.6</v>
      </c>
      <c r="U610" s="38">
        <f t="shared" si="182"/>
        <v>54.72</v>
      </c>
      <c r="V610" s="38">
        <f t="shared" si="183"/>
        <v>56.75</v>
      </c>
      <c r="W610" s="38">
        <f t="shared" si="184"/>
        <v>58.78</v>
      </c>
      <c r="X610" s="38">
        <f t="shared" si="185"/>
        <v>60.8</v>
      </c>
      <c r="Z610" s="4">
        <f t="shared" si="180"/>
        <v>6164</v>
      </c>
      <c r="AA610" s="4">
        <f t="shared" si="186"/>
        <v>7458.44</v>
      </c>
    </row>
    <row r="611" spans="1:27" x14ac:dyDescent="0.3">
      <c r="A611" s="135"/>
      <c r="B611" s="125"/>
      <c r="C611" s="3" t="s">
        <v>517</v>
      </c>
      <c r="D611" s="55" t="s">
        <v>653</v>
      </c>
      <c r="E611" s="55" t="s">
        <v>70</v>
      </c>
      <c r="F611" s="55" t="s">
        <v>228</v>
      </c>
      <c r="G611" s="56">
        <v>100</v>
      </c>
      <c r="H611" s="49">
        <f>200+100</f>
        <v>300</v>
      </c>
      <c r="I611" s="50">
        <f>100+24+29+50</f>
        <v>203</v>
      </c>
      <c r="J611" s="77">
        <f>+H611-I611</f>
        <v>97</v>
      </c>
      <c r="K611" s="31">
        <v>25.55</v>
      </c>
      <c r="L611" s="32">
        <v>44083</v>
      </c>
      <c r="M611" s="33">
        <v>0.21</v>
      </c>
      <c r="N611" s="64">
        <f t="shared" si="181"/>
        <v>30.915500000000002</v>
      </c>
      <c r="O611" s="68">
        <f t="shared" si="175"/>
        <v>33.22</v>
      </c>
      <c r="P611" s="68">
        <f t="shared" si="176"/>
        <v>34.49</v>
      </c>
      <c r="Q611" s="68">
        <f t="shared" si="177"/>
        <v>35.770000000000003</v>
      </c>
      <c r="R611" s="11">
        <f t="shared" si="178"/>
        <v>37.049999999999997</v>
      </c>
      <c r="S611" s="11">
        <f t="shared" si="173"/>
        <v>38.325000000000003</v>
      </c>
      <c r="T611" s="11">
        <f t="shared" si="179"/>
        <v>40.880000000000003</v>
      </c>
      <c r="U611" s="38">
        <f t="shared" si="182"/>
        <v>41.74</v>
      </c>
      <c r="V611" s="38">
        <f t="shared" si="183"/>
        <v>43.28</v>
      </c>
      <c r="W611" s="38">
        <f t="shared" si="184"/>
        <v>44.83</v>
      </c>
      <c r="X611" s="38">
        <f t="shared" si="185"/>
        <v>46.37</v>
      </c>
      <c r="Z611" s="4">
        <f t="shared" si="180"/>
        <v>2478.35</v>
      </c>
      <c r="AA611" s="4">
        <f t="shared" si="186"/>
        <v>2998.8035</v>
      </c>
    </row>
    <row r="612" spans="1:27" x14ac:dyDescent="0.3">
      <c r="A612" s="135"/>
      <c r="B612" s="125"/>
      <c r="C612" s="3" t="s">
        <v>384</v>
      </c>
      <c r="D612" s="55" t="s">
        <v>1352</v>
      </c>
      <c r="E612" s="55" t="s">
        <v>362</v>
      </c>
      <c r="F612" s="55" t="s">
        <v>290</v>
      </c>
      <c r="G612" s="56">
        <v>0</v>
      </c>
      <c r="H612" s="49">
        <f>10+30+20+30</f>
        <v>90</v>
      </c>
      <c r="I612" s="50">
        <f>10+20+10+10+10+20+10</f>
        <v>90</v>
      </c>
      <c r="J612" s="77">
        <f>+H612-I612</f>
        <v>0</v>
      </c>
      <c r="K612" s="31">
        <v>209</v>
      </c>
      <c r="L612" s="32">
        <v>44146</v>
      </c>
      <c r="M612" s="33">
        <v>0.21</v>
      </c>
      <c r="N612" s="64">
        <f t="shared" si="181"/>
        <v>252.89</v>
      </c>
      <c r="O612" s="68">
        <f t="shared" si="175"/>
        <v>271.7</v>
      </c>
      <c r="P612" s="68">
        <f t="shared" si="176"/>
        <v>282.14999999999998</v>
      </c>
      <c r="Q612" s="68">
        <f t="shared" si="177"/>
        <v>292.60000000000002</v>
      </c>
      <c r="R612" s="11">
        <f t="shared" si="178"/>
        <v>303.05</v>
      </c>
      <c r="S612" s="11">
        <f t="shared" si="173"/>
        <v>313.5</v>
      </c>
      <c r="T612" s="11">
        <f t="shared" si="179"/>
        <v>334.4</v>
      </c>
      <c r="U612" s="38">
        <f t="shared" si="182"/>
        <v>341.4</v>
      </c>
      <c r="V612" s="38">
        <f t="shared" si="183"/>
        <v>354.05</v>
      </c>
      <c r="W612" s="38">
        <f t="shared" si="184"/>
        <v>366.69</v>
      </c>
      <c r="X612" s="38">
        <f t="shared" si="185"/>
        <v>379.34</v>
      </c>
      <c r="Z612" s="4">
        <f t="shared" si="180"/>
        <v>0</v>
      </c>
      <c r="AA612" s="4">
        <f t="shared" si="186"/>
        <v>0</v>
      </c>
    </row>
    <row r="613" spans="1:27" x14ac:dyDescent="0.3">
      <c r="A613" s="135"/>
      <c r="B613" s="125"/>
      <c r="C613" s="3" t="s">
        <v>384</v>
      </c>
      <c r="D613" s="55" t="s">
        <v>217</v>
      </c>
      <c r="E613" s="55" t="s">
        <v>70</v>
      </c>
      <c r="F613" s="55" t="s">
        <v>228</v>
      </c>
      <c r="G613" s="56">
        <v>20</v>
      </c>
      <c r="H613" s="49">
        <f>50+50+30+7+13+50+47+20+40+2+20+9+30+10</f>
        <v>378</v>
      </c>
      <c r="I613" s="50">
        <f>30+20+30+20+10+20+5+15+25+20+20+10+15+10+20+27+12+8+12+38</f>
        <v>367</v>
      </c>
      <c r="J613" s="77">
        <f>+H613-I613</f>
        <v>11</v>
      </c>
      <c r="K613" s="31">
        <v>149</v>
      </c>
      <c r="L613" s="32">
        <v>44169</v>
      </c>
      <c r="M613" s="33">
        <v>0.21</v>
      </c>
      <c r="N613" s="64">
        <f t="shared" si="181"/>
        <v>180.29</v>
      </c>
      <c r="O613" s="68">
        <f t="shared" si="175"/>
        <v>193.7</v>
      </c>
      <c r="P613" s="68">
        <f t="shared" si="176"/>
        <v>201.15</v>
      </c>
      <c r="Q613" s="68">
        <f t="shared" si="177"/>
        <v>208.6</v>
      </c>
      <c r="R613" s="11">
        <f t="shared" si="178"/>
        <v>216.05</v>
      </c>
      <c r="S613" s="11">
        <f t="shared" si="173"/>
        <v>223.5</v>
      </c>
      <c r="T613" s="11">
        <f t="shared" si="179"/>
        <v>238.4</v>
      </c>
      <c r="U613" s="38">
        <f t="shared" si="182"/>
        <v>243.39</v>
      </c>
      <c r="V613" s="38">
        <f t="shared" si="183"/>
        <v>252.41</v>
      </c>
      <c r="W613" s="38">
        <f t="shared" si="184"/>
        <v>261.42</v>
      </c>
      <c r="X613" s="38">
        <f t="shared" si="185"/>
        <v>270.44</v>
      </c>
      <c r="Z613" s="4">
        <f t="shared" si="180"/>
        <v>1639</v>
      </c>
      <c r="AA613" s="4">
        <f t="shared" si="186"/>
        <v>1983.1899999999998</v>
      </c>
    </row>
    <row r="614" spans="1:27" x14ac:dyDescent="0.3">
      <c r="A614" s="135"/>
      <c r="B614" s="125"/>
      <c r="C614" s="3" t="s">
        <v>344</v>
      </c>
      <c r="D614" s="55" t="s">
        <v>218</v>
      </c>
      <c r="E614" s="55" t="s">
        <v>70</v>
      </c>
      <c r="F614" s="55" t="s">
        <v>228</v>
      </c>
      <c r="G614" s="56">
        <v>5</v>
      </c>
      <c r="H614" s="108">
        <f>5+1</f>
        <v>6</v>
      </c>
      <c r="I614" s="50">
        <f>1</f>
        <v>1</v>
      </c>
      <c r="J614" s="77">
        <f>+H614-I614</f>
        <v>5</v>
      </c>
      <c r="K614" s="31">
        <v>192</v>
      </c>
      <c r="L614" s="32">
        <v>44146</v>
      </c>
      <c r="M614" s="33">
        <v>0.21</v>
      </c>
      <c r="N614" s="64">
        <f t="shared" si="181"/>
        <v>232.32</v>
      </c>
      <c r="O614" s="68">
        <f t="shared" si="175"/>
        <v>249.6</v>
      </c>
      <c r="P614" s="68">
        <f t="shared" si="176"/>
        <v>259.2</v>
      </c>
      <c r="Q614" s="68">
        <f t="shared" si="177"/>
        <v>268.8</v>
      </c>
      <c r="R614" s="11">
        <f t="shared" si="178"/>
        <v>278.39999999999998</v>
      </c>
      <c r="S614" s="11">
        <f t="shared" si="173"/>
        <v>288</v>
      </c>
      <c r="T614" s="11">
        <f t="shared" si="179"/>
        <v>307.2</v>
      </c>
      <c r="U614" s="38">
        <f t="shared" si="182"/>
        <v>313.63</v>
      </c>
      <c r="V614" s="38">
        <f t="shared" si="183"/>
        <v>325.25</v>
      </c>
      <c r="W614" s="38">
        <f t="shared" si="184"/>
        <v>336.86</v>
      </c>
      <c r="X614" s="38">
        <f t="shared" si="185"/>
        <v>348.48</v>
      </c>
      <c r="Z614" s="4">
        <f t="shared" si="180"/>
        <v>960</v>
      </c>
      <c r="AA614" s="4">
        <f t="shared" si="186"/>
        <v>1161.5999999999999</v>
      </c>
    </row>
    <row r="615" spans="1:27" x14ac:dyDescent="0.3">
      <c r="A615" s="135"/>
      <c r="B615" s="125"/>
      <c r="C615" s="3" t="s">
        <v>330</v>
      </c>
      <c r="D615" s="55" t="s">
        <v>654</v>
      </c>
      <c r="E615" s="55" t="s">
        <v>70</v>
      </c>
      <c r="F615" s="55" t="s">
        <v>228</v>
      </c>
      <c r="G615" s="56">
        <v>100</v>
      </c>
      <c r="H615" s="49">
        <f>200+200+106+200+300</f>
        <v>1006</v>
      </c>
      <c r="I615" s="50">
        <f>2+50+30+15+24+100+38+25+100+16+30+76+100+100+250+50</f>
        <v>1006</v>
      </c>
      <c r="J615" s="77">
        <f>+H615-I615</f>
        <v>0</v>
      </c>
      <c r="K615" s="31">
        <v>29.45</v>
      </c>
      <c r="L615" s="32">
        <v>44104</v>
      </c>
      <c r="M615" s="33">
        <v>0.21</v>
      </c>
      <c r="N615" s="64">
        <f t="shared" si="181"/>
        <v>35.634499999999996</v>
      </c>
      <c r="O615" s="68">
        <f t="shared" si="175"/>
        <v>38.29</v>
      </c>
      <c r="P615" s="68">
        <f t="shared" si="176"/>
        <v>39.76</v>
      </c>
      <c r="Q615" s="68">
        <f t="shared" si="177"/>
        <v>41.23</v>
      </c>
      <c r="R615" s="11">
        <f t="shared" si="178"/>
        <v>42.7</v>
      </c>
      <c r="S615" s="11">
        <f t="shared" si="173"/>
        <v>44.174999999999997</v>
      </c>
      <c r="T615" s="11">
        <f t="shared" si="179"/>
        <v>47.12</v>
      </c>
      <c r="U615" s="38">
        <f t="shared" si="182"/>
        <v>48.11</v>
      </c>
      <c r="V615" s="38">
        <f t="shared" si="183"/>
        <v>49.89</v>
      </c>
      <c r="W615" s="38">
        <f t="shared" si="184"/>
        <v>51.67</v>
      </c>
      <c r="X615" s="38">
        <f t="shared" si="185"/>
        <v>53.45</v>
      </c>
      <c r="Z615" s="4">
        <f t="shared" si="180"/>
        <v>0</v>
      </c>
      <c r="AA615" s="4">
        <f t="shared" si="186"/>
        <v>0</v>
      </c>
    </row>
    <row r="616" spans="1:27" x14ac:dyDescent="0.3">
      <c r="A616" s="135"/>
      <c r="B616" s="125"/>
      <c r="C616" s="3" t="s">
        <v>330</v>
      </c>
      <c r="D616" s="55" t="s">
        <v>519</v>
      </c>
      <c r="E616" s="55" t="s">
        <v>362</v>
      </c>
      <c r="F616" s="91" t="s">
        <v>1333</v>
      </c>
      <c r="G616" s="56">
        <v>100</v>
      </c>
      <c r="H616" s="49">
        <f>200+20+200+200+100+10+200</f>
        <v>930</v>
      </c>
      <c r="I616" s="50">
        <f>100+30+24+66+30+25+100+20+25+10+100+10+20+10+20+30+20+80+10+50+20</f>
        <v>800</v>
      </c>
      <c r="J616" s="77">
        <f>+H616-I616</f>
        <v>130</v>
      </c>
      <c r="K616" s="31">
        <v>26.21</v>
      </c>
      <c r="L616" s="32">
        <v>44230</v>
      </c>
      <c r="M616" s="33">
        <v>0.21</v>
      </c>
      <c r="N616" s="64">
        <f t="shared" si="181"/>
        <v>31.714099999999998</v>
      </c>
      <c r="O616" s="68">
        <f t="shared" si="175"/>
        <v>34.07</v>
      </c>
      <c r="P616" s="68">
        <f t="shared" si="176"/>
        <v>35.380000000000003</v>
      </c>
      <c r="Q616" s="68">
        <f t="shared" si="177"/>
        <v>36.69</v>
      </c>
      <c r="R616" s="11">
        <f t="shared" si="178"/>
        <v>38</v>
      </c>
      <c r="S616" s="11">
        <f t="shared" si="173"/>
        <v>39.314999999999998</v>
      </c>
      <c r="T616" s="11">
        <f t="shared" si="179"/>
        <v>41.94</v>
      </c>
      <c r="U616" s="38">
        <f t="shared" si="182"/>
        <v>42.81</v>
      </c>
      <c r="V616" s="38">
        <f t="shared" si="183"/>
        <v>44.4</v>
      </c>
      <c r="W616" s="38">
        <f t="shared" si="184"/>
        <v>45.99</v>
      </c>
      <c r="X616" s="38">
        <f t="shared" si="185"/>
        <v>47.57</v>
      </c>
      <c r="Z616" s="4">
        <f t="shared" si="180"/>
        <v>3407.3</v>
      </c>
      <c r="AA616" s="4">
        <f t="shared" si="186"/>
        <v>4122.8329999999996</v>
      </c>
    </row>
    <row r="617" spans="1:27" x14ac:dyDescent="0.3">
      <c r="A617" s="135"/>
      <c r="B617" s="125"/>
      <c r="C617" s="3" t="s">
        <v>681</v>
      </c>
      <c r="D617" s="55" t="s">
        <v>481</v>
      </c>
      <c r="E617" s="55" t="s">
        <v>155</v>
      </c>
      <c r="F617" s="55" t="s">
        <v>242</v>
      </c>
      <c r="G617" s="56">
        <v>0</v>
      </c>
      <c r="H617" s="49">
        <v>0</v>
      </c>
      <c r="I617" s="50">
        <f>0</f>
        <v>0</v>
      </c>
      <c r="J617" s="77">
        <f>+H617-I617</f>
        <v>0</v>
      </c>
      <c r="K617" s="31">
        <v>545.36</v>
      </c>
      <c r="L617" s="32">
        <v>44056</v>
      </c>
      <c r="M617" s="33">
        <v>0.21</v>
      </c>
      <c r="N617" s="64">
        <f t="shared" si="181"/>
        <v>659.88559999999995</v>
      </c>
      <c r="O617" s="68">
        <f t="shared" si="175"/>
        <v>708.97</v>
      </c>
      <c r="P617" s="68">
        <f t="shared" si="176"/>
        <v>736.24</v>
      </c>
      <c r="Q617" s="68">
        <f t="shared" si="177"/>
        <v>763.5</v>
      </c>
      <c r="R617" s="11">
        <f t="shared" si="178"/>
        <v>790.77</v>
      </c>
      <c r="S617" s="11">
        <f t="shared" si="173"/>
        <v>818.04</v>
      </c>
      <c r="T617" s="11">
        <f t="shared" si="179"/>
        <v>872.58</v>
      </c>
      <c r="U617" s="38">
        <f t="shared" si="182"/>
        <v>890.85</v>
      </c>
      <c r="V617" s="38">
        <f t="shared" si="183"/>
        <v>923.84</v>
      </c>
      <c r="W617" s="38">
        <f t="shared" si="184"/>
        <v>956.83</v>
      </c>
      <c r="X617" s="38">
        <f t="shared" si="185"/>
        <v>989.83</v>
      </c>
      <c r="Z617" s="4">
        <f t="shared" si="180"/>
        <v>0</v>
      </c>
      <c r="AA617" s="4">
        <f t="shared" si="186"/>
        <v>0</v>
      </c>
    </row>
    <row r="618" spans="1:27" x14ac:dyDescent="0.3">
      <c r="A618" s="135"/>
      <c r="B618" s="125"/>
      <c r="C618" s="3" t="s">
        <v>682</v>
      </c>
      <c r="D618" s="55" t="s">
        <v>479</v>
      </c>
      <c r="E618" s="55" t="s">
        <v>155</v>
      </c>
      <c r="F618" s="55" t="s">
        <v>242</v>
      </c>
      <c r="G618" s="56">
        <v>0</v>
      </c>
      <c r="H618" s="49">
        <v>3</v>
      </c>
      <c r="I618" s="50">
        <f>2+1</f>
        <v>3</v>
      </c>
      <c r="J618" s="77">
        <f>+H618-I618</f>
        <v>0</v>
      </c>
      <c r="K618" s="31">
        <v>545.36</v>
      </c>
      <c r="L618" s="32">
        <v>44056</v>
      </c>
      <c r="M618" s="33">
        <v>0.21</v>
      </c>
      <c r="N618" s="64">
        <f t="shared" si="181"/>
        <v>659.88559999999995</v>
      </c>
      <c r="O618" s="68">
        <f t="shared" si="175"/>
        <v>708.97</v>
      </c>
      <c r="P618" s="68">
        <f t="shared" si="176"/>
        <v>736.24</v>
      </c>
      <c r="Q618" s="68">
        <f t="shared" si="177"/>
        <v>763.5</v>
      </c>
      <c r="R618" s="11">
        <f t="shared" si="178"/>
        <v>790.77</v>
      </c>
      <c r="S618" s="11">
        <f t="shared" si="173"/>
        <v>818.04</v>
      </c>
      <c r="T618" s="11">
        <f t="shared" si="179"/>
        <v>872.58</v>
      </c>
      <c r="U618" s="38">
        <f t="shared" si="182"/>
        <v>890.85</v>
      </c>
      <c r="V618" s="38">
        <f t="shared" si="183"/>
        <v>923.84</v>
      </c>
      <c r="W618" s="38">
        <f t="shared" si="184"/>
        <v>956.83</v>
      </c>
      <c r="X618" s="38">
        <f t="shared" si="185"/>
        <v>989.83</v>
      </c>
      <c r="Z618" s="4">
        <f t="shared" si="180"/>
        <v>0</v>
      </c>
      <c r="AA618" s="4">
        <f t="shared" si="186"/>
        <v>0</v>
      </c>
    </row>
    <row r="619" spans="1:27" x14ac:dyDescent="0.3">
      <c r="A619" s="135"/>
      <c r="B619" s="125"/>
      <c r="C619" s="3" t="s">
        <v>683</v>
      </c>
      <c r="D619" s="55" t="s">
        <v>420</v>
      </c>
      <c r="E619" s="55" t="s">
        <v>155</v>
      </c>
      <c r="F619" s="55" t="s">
        <v>242</v>
      </c>
      <c r="G619" s="56">
        <v>0</v>
      </c>
      <c r="H619" s="49">
        <v>5</v>
      </c>
      <c r="I619" s="50">
        <f>4+1</f>
        <v>5</v>
      </c>
      <c r="J619" s="77">
        <f>+H619-I619</f>
        <v>0</v>
      </c>
      <c r="K619" s="31">
        <v>545.36</v>
      </c>
      <c r="L619" s="32">
        <v>44056</v>
      </c>
      <c r="M619" s="33">
        <v>0.21</v>
      </c>
      <c r="N619" s="64">
        <f t="shared" si="181"/>
        <v>659.88559999999995</v>
      </c>
      <c r="O619" s="68">
        <f t="shared" si="175"/>
        <v>708.97</v>
      </c>
      <c r="P619" s="68">
        <f t="shared" si="176"/>
        <v>736.24</v>
      </c>
      <c r="Q619" s="68">
        <f t="shared" si="177"/>
        <v>763.5</v>
      </c>
      <c r="R619" s="11">
        <f t="shared" si="178"/>
        <v>790.77</v>
      </c>
      <c r="S619" s="11">
        <f t="shared" si="173"/>
        <v>818.04</v>
      </c>
      <c r="T619" s="11">
        <f t="shared" si="179"/>
        <v>872.58</v>
      </c>
      <c r="U619" s="38">
        <f t="shared" si="182"/>
        <v>890.85</v>
      </c>
      <c r="V619" s="38">
        <f t="shared" si="183"/>
        <v>923.84</v>
      </c>
      <c r="W619" s="38">
        <f t="shared" si="184"/>
        <v>956.83</v>
      </c>
      <c r="X619" s="38">
        <f t="shared" si="185"/>
        <v>989.83</v>
      </c>
      <c r="Z619" s="4">
        <f t="shared" si="180"/>
        <v>0</v>
      </c>
      <c r="AA619" s="4">
        <f t="shared" si="186"/>
        <v>0</v>
      </c>
    </row>
    <row r="620" spans="1:27" x14ac:dyDescent="0.3">
      <c r="A620" s="135"/>
      <c r="B620" s="125"/>
      <c r="C620" s="3" t="s">
        <v>684</v>
      </c>
      <c r="D620" s="55" t="s">
        <v>421</v>
      </c>
      <c r="E620" s="55" t="s">
        <v>155</v>
      </c>
      <c r="F620" s="55" t="s">
        <v>242</v>
      </c>
      <c r="G620" s="56">
        <v>0</v>
      </c>
      <c r="H620" s="49">
        <v>2</v>
      </c>
      <c r="I620" s="50">
        <f>0+2</f>
        <v>2</v>
      </c>
      <c r="J620" s="77">
        <f>+H620-I620</f>
        <v>0</v>
      </c>
      <c r="K620" s="31">
        <v>545.36</v>
      </c>
      <c r="L620" s="32">
        <v>44056</v>
      </c>
      <c r="M620" s="33">
        <v>0.21</v>
      </c>
      <c r="N620" s="64">
        <f t="shared" si="181"/>
        <v>659.88559999999995</v>
      </c>
      <c r="O620" s="68">
        <f t="shared" si="175"/>
        <v>708.97</v>
      </c>
      <c r="P620" s="68">
        <f t="shared" si="176"/>
        <v>736.24</v>
      </c>
      <c r="Q620" s="68">
        <f t="shared" si="177"/>
        <v>763.5</v>
      </c>
      <c r="R620" s="11">
        <f t="shared" si="178"/>
        <v>790.77</v>
      </c>
      <c r="S620" s="11">
        <f t="shared" si="173"/>
        <v>818.04</v>
      </c>
      <c r="T620" s="11">
        <f t="shared" si="179"/>
        <v>872.58</v>
      </c>
      <c r="U620" s="38">
        <f t="shared" si="182"/>
        <v>890.85</v>
      </c>
      <c r="V620" s="38">
        <f t="shared" si="183"/>
        <v>923.84</v>
      </c>
      <c r="W620" s="38">
        <f t="shared" si="184"/>
        <v>956.83</v>
      </c>
      <c r="X620" s="38">
        <f t="shared" si="185"/>
        <v>989.83</v>
      </c>
      <c r="Z620" s="4">
        <f t="shared" si="180"/>
        <v>0</v>
      </c>
      <c r="AA620" s="4">
        <f t="shared" si="186"/>
        <v>0</v>
      </c>
    </row>
    <row r="621" spans="1:27" x14ac:dyDescent="0.3">
      <c r="A621" s="135"/>
      <c r="B621" s="125"/>
      <c r="C621" s="3" t="s">
        <v>1508</v>
      </c>
      <c r="D621" s="55"/>
      <c r="E621" s="55"/>
      <c r="F621" s="55" t="s">
        <v>242</v>
      </c>
      <c r="G621" s="56">
        <v>0</v>
      </c>
      <c r="H621" s="49">
        <f>2</f>
        <v>2</v>
      </c>
      <c r="I621" s="50">
        <f>2</f>
        <v>2</v>
      </c>
      <c r="J621" s="77">
        <f>+H621-I621</f>
        <v>0</v>
      </c>
      <c r="K621" s="31">
        <v>519</v>
      </c>
      <c r="L621" s="32">
        <v>44068</v>
      </c>
      <c r="M621" s="33">
        <v>0.21</v>
      </c>
      <c r="N621" s="64">
        <f t="shared" si="181"/>
        <v>627.99</v>
      </c>
      <c r="O621" s="68">
        <f t="shared" si="175"/>
        <v>674.7</v>
      </c>
      <c r="P621" s="68">
        <f t="shared" si="176"/>
        <v>700.65</v>
      </c>
      <c r="Q621" s="68">
        <f t="shared" si="177"/>
        <v>726.6</v>
      </c>
      <c r="R621" s="11">
        <f t="shared" si="178"/>
        <v>752.55</v>
      </c>
      <c r="S621" s="11">
        <f t="shared" si="173"/>
        <v>778.5</v>
      </c>
      <c r="T621" s="11">
        <f t="shared" si="179"/>
        <v>830.4</v>
      </c>
      <c r="U621" s="38">
        <f t="shared" si="182"/>
        <v>847.79</v>
      </c>
      <c r="V621" s="38">
        <f t="shared" si="183"/>
        <v>879.19</v>
      </c>
      <c r="W621" s="38">
        <f t="shared" si="184"/>
        <v>910.59</v>
      </c>
      <c r="X621" s="38">
        <f t="shared" si="185"/>
        <v>941.99</v>
      </c>
      <c r="Z621" s="4">
        <f t="shared" si="180"/>
        <v>0</v>
      </c>
      <c r="AA621" s="4">
        <f t="shared" si="186"/>
        <v>0</v>
      </c>
    </row>
    <row r="622" spans="1:27" x14ac:dyDescent="0.3">
      <c r="A622" s="135"/>
      <c r="B622" s="125"/>
      <c r="C622" s="3" t="s">
        <v>826</v>
      </c>
      <c r="D622" s="55" t="s">
        <v>827</v>
      </c>
      <c r="E622" s="55" t="s">
        <v>155</v>
      </c>
      <c r="F622" s="55" t="s">
        <v>242</v>
      </c>
      <c r="G622" s="56">
        <v>0</v>
      </c>
      <c r="H622" s="49">
        <v>22</v>
      </c>
      <c r="I622" s="50">
        <f>6+4+10+2</f>
        <v>22</v>
      </c>
      <c r="J622" s="77">
        <f>+H622-I622</f>
        <v>0</v>
      </c>
      <c r="K622" s="31">
        <v>2086</v>
      </c>
      <c r="L622" s="32">
        <v>44019</v>
      </c>
      <c r="M622" s="33">
        <v>0.21</v>
      </c>
      <c r="N622" s="64">
        <f t="shared" ref="N622:N625" si="187">+K622*(1+M622)</f>
        <v>2524.06</v>
      </c>
      <c r="O622" s="68"/>
      <c r="P622" s="68"/>
      <c r="Q622" s="68"/>
      <c r="R622" s="11"/>
      <c r="S622" s="11"/>
      <c r="T622" s="11">
        <f t="shared" si="179"/>
        <v>3337.6</v>
      </c>
      <c r="U622" s="38">
        <f t="shared" ref="U622:U625" si="188">ROUND((N622*(1+$U$3)),2)</f>
        <v>3407.48</v>
      </c>
      <c r="V622" s="38">
        <f t="shared" si="183"/>
        <v>3533.68</v>
      </c>
      <c r="W622" s="38"/>
      <c r="X622" s="38"/>
      <c r="Z622" s="4">
        <f>J622*K622</f>
        <v>0</v>
      </c>
      <c r="AA622" s="4">
        <f t="shared" si="186"/>
        <v>0</v>
      </c>
    </row>
    <row r="623" spans="1:27" x14ac:dyDescent="0.3">
      <c r="A623" s="135"/>
      <c r="B623" s="125"/>
      <c r="C623" s="5" t="s">
        <v>1421</v>
      </c>
      <c r="D623" s="55" t="s">
        <v>1126</v>
      </c>
      <c r="E623" s="55" t="s">
        <v>70</v>
      </c>
      <c r="F623" s="55" t="s">
        <v>228</v>
      </c>
      <c r="G623" s="56">
        <v>0</v>
      </c>
      <c r="H623" s="49">
        <v>50</v>
      </c>
      <c r="I623" s="50">
        <v>0</v>
      </c>
      <c r="J623" s="77">
        <f>+H623-I623</f>
        <v>50</v>
      </c>
      <c r="K623" s="31">
        <v>24.81</v>
      </c>
      <c r="L623" s="32">
        <v>44146</v>
      </c>
      <c r="M623" s="33">
        <v>0.21</v>
      </c>
      <c r="N623" s="64">
        <f t="shared" si="187"/>
        <v>30.020099999999999</v>
      </c>
      <c r="O623" s="68"/>
      <c r="P623" s="68"/>
      <c r="Q623" s="68"/>
      <c r="R623" s="11"/>
      <c r="S623" s="11"/>
      <c r="T623" s="11">
        <f t="shared" si="179"/>
        <v>39.700000000000003</v>
      </c>
      <c r="U623" s="38">
        <f t="shared" si="188"/>
        <v>40.53</v>
      </c>
      <c r="V623" s="38">
        <f t="shared" si="183"/>
        <v>42.03</v>
      </c>
      <c r="W623" s="38"/>
      <c r="X623" s="38"/>
      <c r="Z623" s="4">
        <f t="shared" si="180"/>
        <v>1240.5</v>
      </c>
      <c r="AA623" s="4">
        <f t="shared" si="186"/>
        <v>1501.0049999999999</v>
      </c>
    </row>
    <row r="624" spans="1:27" x14ac:dyDescent="0.3">
      <c r="A624" s="135"/>
      <c r="B624" s="125"/>
      <c r="C624" s="5" t="s">
        <v>1422</v>
      </c>
      <c r="D624" s="55" t="s">
        <v>1232</v>
      </c>
      <c r="E624" s="55" t="s">
        <v>70</v>
      </c>
      <c r="F624" s="55" t="s">
        <v>228</v>
      </c>
      <c r="G624" s="56">
        <v>0</v>
      </c>
      <c r="H624" s="49">
        <f>50</f>
        <v>50</v>
      </c>
      <c r="I624" s="50">
        <v>0</v>
      </c>
      <c r="J624" s="77">
        <f>+H624-I624</f>
        <v>50</v>
      </c>
      <c r="K624" s="31">
        <v>24.81</v>
      </c>
      <c r="L624" s="32">
        <v>44146</v>
      </c>
      <c r="M624" s="33">
        <v>0.21</v>
      </c>
      <c r="N624" s="64">
        <f t="shared" si="187"/>
        <v>30.020099999999999</v>
      </c>
      <c r="O624" s="68"/>
      <c r="P624" s="68"/>
      <c r="Q624" s="68"/>
      <c r="R624" s="11"/>
      <c r="S624" s="11"/>
      <c r="T624" s="11">
        <f t="shared" si="179"/>
        <v>39.700000000000003</v>
      </c>
      <c r="U624" s="38">
        <f t="shared" si="188"/>
        <v>40.53</v>
      </c>
      <c r="V624" s="38">
        <f t="shared" si="183"/>
        <v>42.03</v>
      </c>
      <c r="W624" s="38"/>
      <c r="X624" s="38"/>
      <c r="Z624" s="4">
        <f t="shared" si="180"/>
        <v>1240.5</v>
      </c>
      <c r="AA624" s="4">
        <f t="shared" si="186"/>
        <v>1501.0049999999999</v>
      </c>
    </row>
    <row r="625" spans="1:27" x14ac:dyDescent="0.3">
      <c r="A625" s="135"/>
      <c r="B625" s="125"/>
      <c r="C625" s="3" t="s">
        <v>1445</v>
      </c>
      <c r="D625" s="55"/>
      <c r="E625" s="55" t="s">
        <v>362</v>
      </c>
      <c r="F625" s="55" t="s">
        <v>830</v>
      </c>
      <c r="G625" s="56">
        <v>0</v>
      </c>
      <c r="H625" s="49">
        <f>50+10+30+30</f>
        <v>120</v>
      </c>
      <c r="I625" s="50">
        <f>20+30+20+10+10+14+10</f>
        <v>114</v>
      </c>
      <c r="J625" s="77">
        <f>+H625-I625</f>
        <v>6</v>
      </c>
      <c r="K625" s="89">
        <v>57.7</v>
      </c>
      <c r="L625" s="32">
        <v>44146</v>
      </c>
      <c r="M625" s="33">
        <v>0.21</v>
      </c>
      <c r="N625" s="64">
        <f t="shared" si="187"/>
        <v>69.817000000000007</v>
      </c>
      <c r="O625" s="68"/>
      <c r="P625" s="68"/>
      <c r="Q625" s="68"/>
      <c r="R625" s="11"/>
      <c r="S625" s="11"/>
      <c r="T625" s="11">
        <f t="shared" si="179"/>
        <v>92.32</v>
      </c>
      <c r="U625" s="38">
        <f t="shared" si="188"/>
        <v>94.25</v>
      </c>
      <c r="V625" s="38">
        <f t="shared" si="183"/>
        <v>97.74</v>
      </c>
      <c r="W625" s="38"/>
      <c r="X625" s="38"/>
      <c r="Z625" s="4">
        <f t="shared" si="180"/>
        <v>346.20000000000005</v>
      </c>
      <c r="AA625" s="4"/>
    </row>
    <row r="626" spans="1:27" x14ac:dyDescent="0.3">
      <c r="A626" s="135"/>
      <c r="B626" s="125"/>
      <c r="C626" s="5" t="s">
        <v>1423</v>
      </c>
      <c r="D626" s="55"/>
      <c r="E626" s="55" t="s">
        <v>812</v>
      </c>
      <c r="F626" s="55" t="s">
        <v>830</v>
      </c>
      <c r="G626" s="56">
        <v>0</v>
      </c>
      <c r="H626" s="49">
        <f>100</f>
        <v>100</v>
      </c>
      <c r="I626" s="50">
        <v>40</v>
      </c>
      <c r="J626" s="77">
        <f>+H626-I626</f>
        <v>60</v>
      </c>
      <c r="K626" s="31">
        <v>14</v>
      </c>
      <c r="L626" s="32">
        <v>44146</v>
      </c>
      <c r="M626" s="33">
        <v>0.21</v>
      </c>
      <c r="N626" s="64">
        <f t="shared" si="181"/>
        <v>16.939999999999998</v>
      </c>
      <c r="O626" s="68"/>
      <c r="P626" s="68"/>
      <c r="Q626" s="68"/>
      <c r="R626" s="11"/>
      <c r="S626" s="11"/>
      <c r="T626" s="11">
        <f t="shared" si="179"/>
        <v>22.4</v>
      </c>
      <c r="U626" s="38">
        <f t="shared" si="182"/>
        <v>22.87</v>
      </c>
      <c r="V626" s="38">
        <f t="shared" si="183"/>
        <v>23.72</v>
      </c>
      <c r="W626" s="38"/>
      <c r="X626" s="38"/>
      <c r="Z626" s="4">
        <f t="shared" si="180"/>
        <v>840</v>
      </c>
      <c r="AA626" s="4">
        <f t="shared" si="186"/>
        <v>1016.3999999999999</v>
      </c>
    </row>
    <row r="627" spans="1:27" x14ac:dyDescent="0.3">
      <c r="A627" s="135"/>
      <c r="B627" s="125"/>
      <c r="C627" s="5" t="s">
        <v>470</v>
      </c>
      <c r="D627" s="55" t="s">
        <v>520</v>
      </c>
      <c r="E627" s="55" t="s">
        <v>362</v>
      </c>
      <c r="F627" s="55" t="s">
        <v>830</v>
      </c>
      <c r="G627" s="56">
        <v>10</v>
      </c>
      <c r="H627" s="49">
        <f>30+30+40+30+30</f>
        <v>160</v>
      </c>
      <c r="I627" s="50">
        <f>20+10+10+20+10+10+20+8+50+2</f>
        <v>160</v>
      </c>
      <c r="J627" s="77">
        <f>+H627-I627</f>
        <v>0</v>
      </c>
      <c r="K627" s="31">
        <v>57.7</v>
      </c>
      <c r="L627" s="32">
        <v>44146</v>
      </c>
      <c r="M627" s="33">
        <v>0.21</v>
      </c>
      <c r="N627" s="64">
        <f t="shared" si="181"/>
        <v>69.817000000000007</v>
      </c>
      <c r="O627" s="68">
        <f t="shared" ref="O627:O650" si="189">ROUND(K627*(1+$O$3),2)</f>
        <v>75.010000000000005</v>
      </c>
      <c r="P627" s="68">
        <f t="shared" si="176"/>
        <v>77.900000000000006</v>
      </c>
      <c r="Q627" s="68">
        <f t="shared" si="177"/>
        <v>80.78</v>
      </c>
      <c r="R627" s="11">
        <f t="shared" si="178"/>
        <v>83.67</v>
      </c>
      <c r="S627" s="11">
        <f t="shared" ref="S627:S650" si="190">K627*(1+$S$3)</f>
        <v>86.550000000000011</v>
      </c>
      <c r="T627" s="11">
        <f t="shared" si="179"/>
        <v>92.32</v>
      </c>
      <c r="U627" s="38">
        <f t="shared" si="182"/>
        <v>94.25</v>
      </c>
      <c r="V627" s="38">
        <f t="shared" si="183"/>
        <v>97.74</v>
      </c>
      <c r="W627" s="38">
        <f t="shared" si="184"/>
        <v>101.23</v>
      </c>
      <c r="X627" s="38">
        <f t="shared" si="185"/>
        <v>104.73</v>
      </c>
      <c r="Z627" s="4">
        <f t="shared" si="180"/>
        <v>0</v>
      </c>
      <c r="AA627" s="4">
        <f t="shared" si="186"/>
        <v>0</v>
      </c>
    </row>
    <row r="628" spans="1:27" x14ac:dyDescent="0.3">
      <c r="A628" s="140"/>
      <c r="B628" s="125"/>
      <c r="C628" s="5" t="s">
        <v>476</v>
      </c>
      <c r="D628" s="55" t="s">
        <v>934</v>
      </c>
      <c r="E628" s="55" t="s">
        <v>812</v>
      </c>
      <c r="F628" s="55" t="s">
        <v>1334</v>
      </c>
      <c r="G628" s="56">
        <v>10</v>
      </c>
      <c r="H628" s="49">
        <f>30+30+30+10+18</f>
        <v>118</v>
      </c>
      <c r="I628" s="50">
        <f>10+20+10+20+8+2+14+16</f>
        <v>100</v>
      </c>
      <c r="J628" s="77">
        <f>+H628-I628</f>
        <v>18</v>
      </c>
      <c r="K628" s="31">
        <v>57.7</v>
      </c>
      <c r="L628" s="32">
        <v>44146</v>
      </c>
      <c r="M628" s="33">
        <v>0.21</v>
      </c>
      <c r="N628" s="64">
        <f t="shared" si="181"/>
        <v>69.817000000000007</v>
      </c>
      <c r="O628" s="68">
        <f t="shared" si="189"/>
        <v>75.010000000000005</v>
      </c>
      <c r="P628" s="68">
        <f t="shared" si="176"/>
        <v>77.900000000000006</v>
      </c>
      <c r="Q628" s="68">
        <f t="shared" si="177"/>
        <v>80.78</v>
      </c>
      <c r="R628" s="11">
        <f t="shared" si="178"/>
        <v>83.67</v>
      </c>
      <c r="S628" s="11">
        <f t="shared" si="190"/>
        <v>86.550000000000011</v>
      </c>
      <c r="T628" s="11">
        <f t="shared" si="179"/>
        <v>92.32</v>
      </c>
      <c r="U628" s="38">
        <f t="shared" si="182"/>
        <v>94.25</v>
      </c>
      <c r="V628" s="38">
        <f t="shared" si="183"/>
        <v>97.74</v>
      </c>
      <c r="W628" s="38">
        <f t="shared" si="184"/>
        <v>101.23</v>
      </c>
      <c r="X628" s="38">
        <f t="shared" si="185"/>
        <v>104.73</v>
      </c>
      <c r="Z628" s="4">
        <f t="shared" si="180"/>
        <v>1038.6000000000001</v>
      </c>
      <c r="AA628" s="4">
        <f t="shared" si="186"/>
        <v>1256.7060000000001</v>
      </c>
    </row>
    <row r="629" spans="1:27" x14ac:dyDescent="0.3">
      <c r="A629" s="135"/>
      <c r="B629" s="125"/>
      <c r="C629" s="5" t="s">
        <v>1011</v>
      </c>
      <c r="D629" s="55"/>
      <c r="E629" s="55" t="s">
        <v>812</v>
      </c>
      <c r="F629" s="55" t="s">
        <v>830</v>
      </c>
      <c r="G629" s="56">
        <v>0</v>
      </c>
      <c r="H629" s="49">
        <v>75</v>
      </c>
      <c r="I629" s="50">
        <f>5+10</f>
        <v>15</v>
      </c>
      <c r="J629" s="77">
        <f>+H629-I629</f>
        <v>60</v>
      </c>
      <c r="K629" s="31">
        <v>14</v>
      </c>
      <c r="L629" s="32">
        <v>44146</v>
      </c>
      <c r="M629" s="33">
        <v>0.21</v>
      </c>
      <c r="N629" s="64">
        <f t="shared" si="181"/>
        <v>16.939999999999998</v>
      </c>
      <c r="O629" s="68">
        <f t="shared" si="189"/>
        <v>18.2</v>
      </c>
      <c r="P629" s="68">
        <f t="shared" si="176"/>
        <v>18.899999999999999</v>
      </c>
      <c r="Q629" s="68">
        <f t="shared" si="177"/>
        <v>19.600000000000001</v>
      </c>
      <c r="R629" s="11">
        <f t="shared" si="178"/>
        <v>20.3</v>
      </c>
      <c r="S629" s="11">
        <f t="shared" si="190"/>
        <v>21</v>
      </c>
      <c r="T629" s="11">
        <f t="shared" si="179"/>
        <v>22.4</v>
      </c>
      <c r="U629" s="38">
        <f t="shared" si="182"/>
        <v>22.87</v>
      </c>
      <c r="V629" s="38">
        <f t="shared" si="183"/>
        <v>23.72</v>
      </c>
      <c r="W629" s="38">
        <f t="shared" si="184"/>
        <v>24.56</v>
      </c>
      <c r="X629" s="38">
        <f t="shared" si="185"/>
        <v>25.41</v>
      </c>
      <c r="Z629" s="4">
        <f t="shared" si="180"/>
        <v>840</v>
      </c>
      <c r="AA629" s="4">
        <f t="shared" si="186"/>
        <v>1016.3999999999999</v>
      </c>
    </row>
    <row r="630" spans="1:27" x14ac:dyDescent="0.3">
      <c r="A630" s="135"/>
      <c r="B630" s="125"/>
      <c r="C630" s="5" t="s">
        <v>1079</v>
      </c>
      <c r="D630" s="55"/>
      <c r="E630" s="55" t="s">
        <v>812</v>
      </c>
      <c r="F630" s="55" t="s">
        <v>830</v>
      </c>
      <c r="G630" s="56">
        <v>10</v>
      </c>
      <c r="H630" s="49">
        <f>30+30</f>
        <v>60</v>
      </c>
      <c r="I630" s="50">
        <f>20+10+2+20+8</f>
        <v>60</v>
      </c>
      <c r="J630" s="77">
        <f>+H630-I630</f>
        <v>0</v>
      </c>
      <c r="K630" s="31">
        <v>57.7</v>
      </c>
      <c r="L630" s="32">
        <v>44146</v>
      </c>
      <c r="M630" s="33">
        <v>0.21</v>
      </c>
      <c r="N630" s="64">
        <f t="shared" si="181"/>
        <v>69.817000000000007</v>
      </c>
      <c r="O630" s="68">
        <f t="shared" si="189"/>
        <v>75.010000000000005</v>
      </c>
      <c r="P630" s="68">
        <f t="shared" si="176"/>
        <v>77.900000000000006</v>
      </c>
      <c r="Q630" s="68">
        <f t="shared" si="177"/>
        <v>80.78</v>
      </c>
      <c r="R630" s="11">
        <f t="shared" si="178"/>
        <v>83.67</v>
      </c>
      <c r="S630" s="11">
        <f t="shared" si="190"/>
        <v>86.550000000000011</v>
      </c>
      <c r="T630" s="11">
        <f t="shared" si="179"/>
        <v>92.32</v>
      </c>
      <c r="U630" s="38">
        <f t="shared" si="182"/>
        <v>94.25</v>
      </c>
      <c r="V630" s="38">
        <f t="shared" si="183"/>
        <v>97.74</v>
      </c>
      <c r="W630" s="38">
        <f t="shared" si="184"/>
        <v>101.23</v>
      </c>
      <c r="X630" s="38">
        <f t="shared" si="185"/>
        <v>104.73</v>
      </c>
      <c r="Z630" s="4">
        <f t="shared" si="180"/>
        <v>0</v>
      </c>
      <c r="AA630" s="4">
        <f t="shared" si="186"/>
        <v>0</v>
      </c>
    </row>
    <row r="631" spans="1:27" x14ac:dyDescent="0.3">
      <c r="A631" s="135"/>
      <c r="B631" s="125"/>
      <c r="C631" s="5" t="s">
        <v>423</v>
      </c>
      <c r="D631" s="55" t="s">
        <v>655</v>
      </c>
      <c r="E631" s="55" t="s">
        <v>70</v>
      </c>
      <c r="F631" s="55" t="s">
        <v>825</v>
      </c>
      <c r="G631" s="56">
        <v>0</v>
      </c>
      <c r="H631" s="49">
        <v>40</v>
      </c>
      <c r="I631" s="50">
        <f>20</f>
        <v>20</v>
      </c>
      <c r="J631" s="77">
        <f>+H631-I631</f>
        <v>20</v>
      </c>
      <c r="K631" s="31">
        <v>120</v>
      </c>
      <c r="L631" s="32">
        <v>44146</v>
      </c>
      <c r="M631" s="33">
        <v>0.21</v>
      </c>
      <c r="N631" s="64">
        <f t="shared" si="181"/>
        <v>145.19999999999999</v>
      </c>
      <c r="O631" s="68">
        <f t="shared" si="189"/>
        <v>156</v>
      </c>
      <c r="P631" s="68">
        <f t="shared" si="176"/>
        <v>162</v>
      </c>
      <c r="Q631" s="68">
        <f t="shared" si="177"/>
        <v>168</v>
      </c>
      <c r="R631" s="11">
        <f t="shared" si="178"/>
        <v>174</v>
      </c>
      <c r="S631" s="11">
        <f t="shared" si="190"/>
        <v>180</v>
      </c>
      <c r="T631" s="11">
        <f t="shared" si="179"/>
        <v>192</v>
      </c>
      <c r="U631" s="38">
        <f t="shared" si="182"/>
        <v>196.02</v>
      </c>
      <c r="V631" s="38">
        <f t="shared" si="183"/>
        <v>203.28</v>
      </c>
      <c r="W631" s="38">
        <f t="shared" si="184"/>
        <v>210.54</v>
      </c>
      <c r="X631" s="38">
        <f t="shared" si="185"/>
        <v>217.8</v>
      </c>
      <c r="Z631" s="4">
        <f t="shared" si="180"/>
        <v>2400</v>
      </c>
      <c r="AA631" s="4">
        <f t="shared" si="186"/>
        <v>2904</v>
      </c>
    </row>
    <row r="632" spans="1:27" x14ac:dyDescent="0.3">
      <c r="A632" s="135"/>
      <c r="B632" s="125"/>
      <c r="C632" s="5" t="s">
        <v>457</v>
      </c>
      <c r="D632" s="55"/>
      <c r="E632" s="55" t="s">
        <v>362</v>
      </c>
      <c r="F632" s="55" t="s">
        <v>219</v>
      </c>
      <c r="G632" s="56">
        <v>10</v>
      </c>
      <c r="H632" s="49">
        <v>30</v>
      </c>
      <c r="I632" s="50">
        <f>20+10</f>
        <v>30</v>
      </c>
      <c r="J632" s="77">
        <f>+H632-I632</f>
        <v>0</v>
      </c>
      <c r="K632" s="31">
        <v>57.7</v>
      </c>
      <c r="L632" s="32">
        <v>44146</v>
      </c>
      <c r="M632" s="33">
        <v>0.21</v>
      </c>
      <c r="N632" s="64">
        <f t="shared" si="181"/>
        <v>69.817000000000007</v>
      </c>
      <c r="O632" s="68">
        <f t="shared" si="189"/>
        <v>75.010000000000005</v>
      </c>
      <c r="P632" s="68">
        <f t="shared" si="176"/>
        <v>77.900000000000006</v>
      </c>
      <c r="Q632" s="68">
        <f t="shared" si="177"/>
        <v>80.78</v>
      </c>
      <c r="R632" s="11">
        <f t="shared" si="178"/>
        <v>83.67</v>
      </c>
      <c r="S632" s="11">
        <f t="shared" si="190"/>
        <v>86.550000000000011</v>
      </c>
      <c r="T632" s="11">
        <f t="shared" si="179"/>
        <v>92.32</v>
      </c>
      <c r="U632" s="38">
        <f t="shared" si="182"/>
        <v>94.25</v>
      </c>
      <c r="V632" s="38">
        <f t="shared" si="183"/>
        <v>97.74</v>
      </c>
      <c r="W632" s="38">
        <f t="shared" si="184"/>
        <v>101.23</v>
      </c>
      <c r="X632" s="38">
        <f t="shared" si="185"/>
        <v>104.73</v>
      </c>
      <c r="Z632" s="4">
        <f t="shared" si="180"/>
        <v>0</v>
      </c>
      <c r="AA632" s="4">
        <f t="shared" si="186"/>
        <v>0</v>
      </c>
    </row>
    <row r="633" spans="1:27" x14ac:dyDescent="0.3">
      <c r="A633" s="135"/>
      <c r="B633" s="125"/>
      <c r="C633" s="5" t="s">
        <v>458</v>
      </c>
      <c r="D633" s="55"/>
      <c r="E633" s="55" t="s">
        <v>362</v>
      </c>
      <c r="F633" s="55" t="s">
        <v>219</v>
      </c>
      <c r="G633" s="56">
        <v>10</v>
      </c>
      <c r="H633" s="49">
        <v>20</v>
      </c>
      <c r="I633" s="50">
        <f>10+10</f>
        <v>20</v>
      </c>
      <c r="J633" s="77">
        <f>+H633-I633</f>
        <v>0</v>
      </c>
      <c r="K633" s="89">
        <v>57.7</v>
      </c>
      <c r="L633" s="32">
        <v>44146</v>
      </c>
      <c r="M633" s="33">
        <v>0.21</v>
      </c>
      <c r="N633" s="64">
        <f t="shared" si="181"/>
        <v>69.817000000000007</v>
      </c>
      <c r="O633" s="68">
        <f t="shared" si="189"/>
        <v>75.010000000000005</v>
      </c>
      <c r="P633" s="68">
        <f t="shared" si="176"/>
        <v>77.900000000000006</v>
      </c>
      <c r="Q633" s="68">
        <f t="shared" si="177"/>
        <v>80.78</v>
      </c>
      <c r="R633" s="11">
        <f t="shared" si="178"/>
        <v>83.67</v>
      </c>
      <c r="S633" s="11">
        <f t="shared" si="190"/>
        <v>86.550000000000011</v>
      </c>
      <c r="T633" s="11">
        <f t="shared" si="179"/>
        <v>92.32</v>
      </c>
      <c r="U633" s="38">
        <f t="shared" si="182"/>
        <v>94.25</v>
      </c>
      <c r="V633" s="38">
        <f t="shared" si="183"/>
        <v>97.74</v>
      </c>
      <c r="W633" s="38">
        <f t="shared" si="184"/>
        <v>101.23</v>
      </c>
      <c r="X633" s="38">
        <f t="shared" si="185"/>
        <v>104.73</v>
      </c>
      <c r="Z633" s="4">
        <f t="shared" si="180"/>
        <v>0</v>
      </c>
      <c r="AA633" s="4">
        <f t="shared" si="186"/>
        <v>0</v>
      </c>
    </row>
    <row r="634" spans="1:27" x14ac:dyDescent="0.3">
      <c r="A634" s="135"/>
      <c r="B634" s="125"/>
      <c r="C634" s="5" t="s">
        <v>1424</v>
      </c>
      <c r="D634" s="55" t="s">
        <v>656</v>
      </c>
      <c r="E634" s="55" t="s">
        <v>70</v>
      </c>
      <c r="F634" s="55" t="s">
        <v>825</v>
      </c>
      <c r="G634" s="56">
        <v>0</v>
      </c>
      <c r="H634" s="49">
        <v>25</v>
      </c>
      <c r="I634" s="69">
        <f>15</f>
        <v>15</v>
      </c>
      <c r="J634" s="77">
        <f>+H634-I634</f>
        <v>10</v>
      </c>
      <c r="K634" s="31">
        <v>120</v>
      </c>
      <c r="L634" s="32">
        <v>44146</v>
      </c>
      <c r="M634" s="33">
        <v>0.21</v>
      </c>
      <c r="N634" s="64">
        <f t="shared" si="181"/>
        <v>145.19999999999999</v>
      </c>
      <c r="O634" s="68">
        <f t="shared" si="189"/>
        <v>156</v>
      </c>
      <c r="P634" s="68">
        <f t="shared" si="176"/>
        <v>162</v>
      </c>
      <c r="Q634" s="68">
        <f t="shared" si="177"/>
        <v>168</v>
      </c>
      <c r="R634" s="11">
        <f t="shared" si="178"/>
        <v>174</v>
      </c>
      <c r="S634" s="11">
        <f t="shared" si="190"/>
        <v>180</v>
      </c>
      <c r="T634" s="11">
        <f t="shared" si="179"/>
        <v>192</v>
      </c>
      <c r="U634" s="38">
        <f t="shared" si="182"/>
        <v>196.02</v>
      </c>
      <c r="V634" s="38">
        <f t="shared" si="183"/>
        <v>203.28</v>
      </c>
      <c r="W634" s="38">
        <f t="shared" si="184"/>
        <v>210.54</v>
      </c>
      <c r="X634" s="38">
        <f t="shared" si="185"/>
        <v>217.8</v>
      </c>
      <c r="Z634" s="4">
        <f t="shared" si="180"/>
        <v>1200</v>
      </c>
      <c r="AA634" s="4">
        <f t="shared" si="186"/>
        <v>1452</v>
      </c>
    </row>
    <row r="635" spans="1:27" x14ac:dyDescent="0.3">
      <c r="A635" s="135"/>
      <c r="B635" s="125"/>
      <c r="C635" s="5" t="s">
        <v>424</v>
      </c>
      <c r="D635" s="55" t="s">
        <v>657</v>
      </c>
      <c r="E635" s="55" t="s">
        <v>70</v>
      </c>
      <c r="F635" s="55" t="s">
        <v>825</v>
      </c>
      <c r="G635" s="56">
        <v>0</v>
      </c>
      <c r="H635" s="49">
        <v>50</v>
      </c>
      <c r="I635" s="50">
        <f>0</f>
        <v>0</v>
      </c>
      <c r="J635" s="77">
        <f>+H635-I635</f>
        <v>50</v>
      </c>
      <c r="K635" s="31">
        <v>120</v>
      </c>
      <c r="L635" s="32">
        <v>44146</v>
      </c>
      <c r="M635" s="33">
        <v>0.21</v>
      </c>
      <c r="N635" s="64">
        <f t="shared" si="181"/>
        <v>145.19999999999999</v>
      </c>
      <c r="O635" s="68">
        <f t="shared" si="189"/>
        <v>156</v>
      </c>
      <c r="P635" s="68">
        <f t="shared" si="176"/>
        <v>162</v>
      </c>
      <c r="Q635" s="68">
        <f t="shared" si="177"/>
        <v>168</v>
      </c>
      <c r="R635" s="11">
        <f t="shared" si="178"/>
        <v>174</v>
      </c>
      <c r="S635" s="11">
        <f t="shared" si="190"/>
        <v>180</v>
      </c>
      <c r="T635" s="11">
        <f t="shared" si="179"/>
        <v>192</v>
      </c>
      <c r="U635" s="38">
        <f t="shared" si="182"/>
        <v>196.02</v>
      </c>
      <c r="V635" s="38">
        <f t="shared" si="183"/>
        <v>203.28</v>
      </c>
      <c r="W635" s="38">
        <f t="shared" si="184"/>
        <v>210.54</v>
      </c>
      <c r="X635" s="38">
        <f t="shared" si="185"/>
        <v>217.8</v>
      </c>
      <c r="Z635" s="4">
        <f t="shared" si="180"/>
        <v>6000</v>
      </c>
      <c r="AA635" s="4">
        <f t="shared" ref="AA635:AA643" si="191">J635*N635</f>
        <v>7259.9999999999991</v>
      </c>
    </row>
    <row r="636" spans="1:27" x14ac:dyDescent="0.3">
      <c r="A636" s="135"/>
      <c r="B636" s="125"/>
      <c r="C636" s="3" t="s">
        <v>400</v>
      </c>
      <c r="D636" s="55"/>
      <c r="E636" s="55" t="s">
        <v>362</v>
      </c>
      <c r="F636" s="55" t="s">
        <v>290</v>
      </c>
      <c r="G636" s="56">
        <v>50</v>
      </c>
      <c r="H636" s="49">
        <f>100+50</f>
        <v>150</v>
      </c>
      <c r="I636" s="50">
        <f>15+50+52</f>
        <v>117</v>
      </c>
      <c r="J636" s="77">
        <f>+H636-I636</f>
        <v>33</v>
      </c>
      <c r="K636" s="31">
        <v>37</v>
      </c>
      <c r="L636" s="32">
        <v>44146</v>
      </c>
      <c r="M636" s="33">
        <v>0.21</v>
      </c>
      <c r="N636" s="64">
        <f t="shared" si="181"/>
        <v>44.769999999999996</v>
      </c>
      <c r="O636" s="68">
        <f t="shared" si="189"/>
        <v>48.1</v>
      </c>
      <c r="P636" s="68">
        <f t="shared" si="176"/>
        <v>49.95</v>
      </c>
      <c r="Q636" s="68">
        <f t="shared" si="177"/>
        <v>51.8</v>
      </c>
      <c r="R636" s="11">
        <f t="shared" si="178"/>
        <v>53.65</v>
      </c>
      <c r="S636" s="11">
        <f t="shared" si="190"/>
        <v>55.5</v>
      </c>
      <c r="T636" s="11">
        <f t="shared" si="179"/>
        <v>59.2</v>
      </c>
      <c r="U636" s="38">
        <f t="shared" si="182"/>
        <v>60.44</v>
      </c>
      <c r="V636" s="38">
        <f t="shared" si="183"/>
        <v>62.68</v>
      </c>
      <c r="W636" s="38">
        <f t="shared" si="184"/>
        <v>64.92</v>
      </c>
      <c r="X636" s="38">
        <f t="shared" si="185"/>
        <v>67.16</v>
      </c>
      <c r="Z636" s="4">
        <f t="shared" si="180"/>
        <v>1221</v>
      </c>
      <c r="AA636" s="4">
        <f t="shared" si="191"/>
        <v>1477.4099999999999</v>
      </c>
    </row>
    <row r="637" spans="1:27" x14ac:dyDescent="0.3">
      <c r="A637" s="135"/>
      <c r="B637" s="125"/>
      <c r="C637" s="3" t="s">
        <v>399</v>
      </c>
      <c r="D637" s="55"/>
      <c r="E637" s="55" t="s">
        <v>70</v>
      </c>
      <c r="F637" s="55" t="s">
        <v>228</v>
      </c>
      <c r="G637" s="56">
        <v>50</v>
      </c>
      <c r="H637" s="49">
        <f>101+79+21</f>
        <v>201</v>
      </c>
      <c r="I637" s="50">
        <f>50+50+50+7+44</f>
        <v>201</v>
      </c>
      <c r="J637" s="77">
        <f>+H637-I637</f>
        <v>0</v>
      </c>
      <c r="K637" s="31">
        <v>24.81</v>
      </c>
      <c r="L637" s="32">
        <v>44146</v>
      </c>
      <c r="M637" s="33">
        <v>0.21</v>
      </c>
      <c r="N637" s="64">
        <f t="shared" si="181"/>
        <v>30.020099999999999</v>
      </c>
      <c r="O637" s="68">
        <f t="shared" si="189"/>
        <v>32.25</v>
      </c>
      <c r="P637" s="68">
        <f t="shared" si="176"/>
        <v>33.49</v>
      </c>
      <c r="Q637" s="68">
        <f t="shared" si="177"/>
        <v>34.729999999999997</v>
      </c>
      <c r="R637" s="11">
        <f t="shared" si="178"/>
        <v>35.97</v>
      </c>
      <c r="S637" s="11">
        <f t="shared" si="190"/>
        <v>37.214999999999996</v>
      </c>
      <c r="T637" s="11">
        <f t="shared" si="179"/>
        <v>39.700000000000003</v>
      </c>
      <c r="U637" s="38">
        <f t="shared" si="182"/>
        <v>40.53</v>
      </c>
      <c r="V637" s="38">
        <f t="shared" si="183"/>
        <v>42.03</v>
      </c>
      <c r="W637" s="38">
        <f t="shared" si="184"/>
        <v>43.53</v>
      </c>
      <c r="X637" s="38">
        <f t="shared" si="185"/>
        <v>45.03</v>
      </c>
      <c r="Z637" s="4">
        <f t="shared" si="180"/>
        <v>0</v>
      </c>
      <c r="AA637" s="4">
        <f t="shared" si="191"/>
        <v>0</v>
      </c>
    </row>
    <row r="638" spans="1:27" x14ac:dyDescent="0.3">
      <c r="A638" s="135"/>
      <c r="B638" s="125"/>
      <c r="C638" s="3" t="s">
        <v>337</v>
      </c>
      <c r="D638" s="55"/>
      <c r="E638" s="55" t="s">
        <v>70</v>
      </c>
      <c r="F638" s="55" t="s">
        <v>1494</v>
      </c>
      <c r="G638" s="56">
        <v>0</v>
      </c>
      <c r="H638" s="49">
        <f>200+100+200+200</f>
        <v>700</v>
      </c>
      <c r="I638" s="50">
        <f>100+100+50+5+45+100+100+50</f>
        <v>550</v>
      </c>
      <c r="J638" s="77">
        <f>+H638-I638</f>
        <v>150</v>
      </c>
      <c r="K638" s="31">
        <v>29</v>
      </c>
      <c r="L638" s="32">
        <v>44159</v>
      </c>
      <c r="M638" s="33">
        <v>0.21</v>
      </c>
      <c r="N638" s="64">
        <f t="shared" si="181"/>
        <v>35.089999999999996</v>
      </c>
      <c r="O638" s="68">
        <f t="shared" si="189"/>
        <v>37.700000000000003</v>
      </c>
      <c r="P638" s="68">
        <f t="shared" si="176"/>
        <v>39.15</v>
      </c>
      <c r="Q638" s="68">
        <f t="shared" si="177"/>
        <v>40.6</v>
      </c>
      <c r="R638" s="11">
        <f t="shared" si="178"/>
        <v>42.05</v>
      </c>
      <c r="S638" s="11">
        <f t="shared" si="190"/>
        <v>43.5</v>
      </c>
      <c r="T638" s="11">
        <f t="shared" si="179"/>
        <v>46.4</v>
      </c>
      <c r="U638" s="38">
        <f t="shared" si="182"/>
        <v>47.37</v>
      </c>
      <c r="V638" s="38">
        <f t="shared" si="183"/>
        <v>49.13</v>
      </c>
      <c r="W638" s="38">
        <f t="shared" si="184"/>
        <v>50.88</v>
      </c>
      <c r="X638" s="38">
        <f t="shared" si="185"/>
        <v>52.64</v>
      </c>
      <c r="Z638" s="4">
        <f t="shared" si="180"/>
        <v>4350</v>
      </c>
      <c r="AA638" s="4">
        <f t="shared" si="191"/>
        <v>5263.4999999999991</v>
      </c>
    </row>
    <row r="639" spans="1:27" x14ac:dyDescent="0.3">
      <c r="A639" s="135"/>
      <c r="B639" s="125"/>
      <c r="C639" s="3" t="s">
        <v>29</v>
      </c>
      <c r="D639" s="55" t="s">
        <v>658</v>
      </c>
      <c r="E639" s="55" t="s">
        <v>70</v>
      </c>
      <c r="F639" s="55" t="s">
        <v>315</v>
      </c>
      <c r="G639" s="56">
        <v>0</v>
      </c>
      <c r="H639" s="49">
        <v>30</v>
      </c>
      <c r="I639" s="50">
        <f>7</f>
        <v>7</v>
      </c>
      <c r="J639" s="77">
        <f>+H639-I639</f>
        <v>23</v>
      </c>
      <c r="K639" s="31">
        <v>220</v>
      </c>
      <c r="L639" s="32">
        <v>44124</v>
      </c>
      <c r="M639" s="33">
        <v>0.21</v>
      </c>
      <c r="N639" s="64">
        <f t="shared" si="181"/>
        <v>266.2</v>
      </c>
      <c r="O639" s="68">
        <f t="shared" si="189"/>
        <v>286</v>
      </c>
      <c r="P639" s="68">
        <f t="shared" ref="P639:P660" si="192">ROUND(K639*(1+$P$3),2)</f>
        <v>297</v>
      </c>
      <c r="Q639" s="68">
        <f t="shared" ref="Q639:Q660" si="193">ROUND(K639*(1+$Q$3),2)</f>
        <v>308</v>
      </c>
      <c r="R639" s="11">
        <f t="shared" ref="R639:R660" si="194">ROUND(K639*(1+$R$3),2)</f>
        <v>319</v>
      </c>
      <c r="S639" s="11">
        <f t="shared" si="190"/>
        <v>330</v>
      </c>
      <c r="T639" s="11">
        <f t="shared" ref="T639:T660" si="195">ROUND(K639*(1+$T$3),2)</f>
        <v>352</v>
      </c>
      <c r="U639" s="38">
        <f t="shared" si="182"/>
        <v>359.37</v>
      </c>
      <c r="V639" s="38">
        <f t="shared" si="183"/>
        <v>372.68</v>
      </c>
      <c r="W639" s="38">
        <f t="shared" si="184"/>
        <v>385.99</v>
      </c>
      <c r="X639" s="38">
        <f t="shared" si="185"/>
        <v>399.3</v>
      </c>
      <c r="Z639" s="4">
        <f t="shared" ref="Z639:Z662" si="196">J639*K639</f>
        <v>5060</v>
      </c>
      <c r="AA639" s="4">
        <f t="shared" si="191"/>
        <v>6122.5999999999995</v>
      </c>
    </row>
    <row r="640" spans="1:27" x14ac:dyDescent="0.3">
      <c r="A640" s="135"/>
      <c r="B640" s="125"/>
      <c r="C640" s="3" t="s">
        <v>440</v>
      </c>
      <c r="D640" s="55" t="s">
        <v>659</v>
      </c>
      <c r="E640" s="55" t="s">
        <v>70</v>
      </c>
      <c r="F640" s="55" t="s">
        <v>825</v>
      </c>
      <c r="G640" s="56">
        <v>0</v>
      </c>
      <c r="H640" s="49">
        <v>35</v>
      </c>
      <c r="I640" s="50">
        <f>0+6</f>
        <v>6</v>
      </c>
      <c r="J640" s="77">
        <f>+H640-I640</f>
        <v>29</v>
      </c>
      <c r="K640" s="31">
        <v>220</v>
      </c>
      <c r="L640" s="32">
        <v>44124</v>
      </c>
      <c r="M640" s="33">
        <v>0.21</v>
      </c>
      <c r="N640" s="64">
        <f t="shared" si="181"/>
        <v>266.2</v>
      </c>
      <c r="O640" s="68">
        <f t="shared" si="189"/>
        <v>286</v>
      </c>
      <c r="P640" s="68">
        <f t="shared" si="192"/>
        <v>297</v>
      </c>
      <c r="Q640" s="68">
        <f t="shared" si="193"/>
        <v>308</v>
      </c>
      <c r="R640" s="11">
        <f t="shared" si="194"/>
        <v>319</v>
      </c>
      <c r="S640" s="11">
        <f t="shared" si="190"/>
        <v>330</v>
      </c>
      <c r="T640" s="11">
        <f t="shared" si="195"/>
        <v>352</v>
      </c>
      <c r="U640" s="38">
        <f t="shared" si="182"/>
        <v>359.37</v>
      </c>
      <c r="V640" s="38">
        <f t="shared" si="183"/>
        <v>372.68</v>
      </c>
      <c r="W640" s="38">
        <f t="shared" si="184"/>
        <v>385.99</v>
      </c>
      <c r="X640" s="38">
        <f t="shared" si="185"/>
        <v>399.3</v>
      </c>
      <c r="Z640" s="4">
        <f t="shared" si="196"/>
        <v>6380</v>
      </c>
      <c r="AA640" s="4">
        <f t="shared" si="191"/>
        <v>7719.7999999999993</v>
      </c>
    </row>
    <row r="641" spans="1:27" x14ac:dyDescent="0.3">
      <c r="A641" s="135"/>
      <c r="B641" s="125"/>
      <c r="C641" s="3" t="s">
        <v>441</v>
      </c>
      <c r="D641" s="55" t="s">
        <v>660</v>
      </c>
      <c r="E641" s="55" t="s">
        <v>70</v>
      </c>
      <c r="F641" s="55" t="s">
        <v>315</v>
      </c>
      <c r="G641" s="56">
        <v>0</v>
      </c>
      <c r="H641" s="49">
        <v>40</v>
      </c>
      <c r="I641" s="50">
        <f>1+20</f>
        <v>21</v>
      </c>
      <c r="J641" s="77">
        <f>+H641-I641</f>
        <v>19</v>
      </c>
      <c r="K641" s="31">
        <v>220</v>
      </c>
      <c r="L641" s="32">
        <v>44124</v>
      </c>
      <c r="M641" s="33">
        <v>0.21</v>
      </c>
      <c r="N641" s="64">
        <f t="shared" si="181"/>
        <v>266.2</v>
      </c>
      <c r="O641" s="68">
        <f t="shared" si="189"/>
        <v>286</v>
      </c>
      <c r="P641" s="68">
        <f t="shared" si="192"/>
        <v>297</v>
      </c>
      <c r="Q641" s="68">
        <f t="shared" si="193"/>
        <v>308</v>
      </c>
      <c r="R641" s="11">
        <f t="shared" si="194"/>
        <v>319</v>
      </c>
      <c r="S641" s="11">
        <f t="shared" si="190"/>
        <v>330</v>
      </c>
      <c r="T641" s="11">
        <f t="shared" si="195"/>
        <v>352</v>
      </c>
      <c r="U641" s="38">
        <f t="shared" si="182"/>
        <v>359.37</v>
      </c>
      <c r="V641" s="38">
        <f t="shared" si="183"/>
        <v>372.68</v>
      </c>
      <c r="W641" s="38">
        <f t="shared" si="184"/>
        <v>385.99</v>
      </c>
      <c r="X641" s="38">
        <f t="shared" si="185"/>
        <v>399.3</v>
      </c>
      <c r="Z641" s="4">
        <f t="shared" si="196"/>
        <v>4180</v>
      </c>
      <c r="AA641" s="4">
        <f t="shared" si="191"/>
        <v>5057.8</v>
      </c>
    </row>
    <row r="642" spans="1:27" x14ac:dyDescent="0.3">
      <c r="A642" s="135"/>
      <c r="B642" s="125"/>
      <c r="C642" s="3" t="s">
        <v>1567</v>
      </c>
      <c r="D642" s="55"/>
      <c r="E642" s="55" t="s">
        <v>362</v>
      </c>
      <c r="F642" s="55" t="s">
        <v>830</v>
      </c>
      <c r="G642" s="56"/>
      <c r="H642" s="49">
        <f>50</f>
        <v>50</v>
      </c>
      <c r="I642" s="50">
        <f>10</f>
        <v>10</v>
      </c>
      <c r="J642" s="77">
        <f>+H642-I642</f>
        <v>40</v>
      </c>
      <c r="K642" s="31">
        <v>135.77000000000001</v>
      </c>
      <c r="L642" s="32">
        <v>44207</v>
      </c>
      <c r="M642" s="33">
        <v>0.21</v>
      </c>
      <c r="N642" s="64"/>
      <c r="O642" s="68">
        <f t="shared" si="189"/>
        <v>176.5</v>
      </c>
      <c r="P642" s="68">
        <f t="shared" si="192"/>
        <v>183.29</v>
      </c>
      <c r="Q642" s="68">
        <f t="shared" si="193"/>
        <v>190.08</v>
      </c>
      <c r="R642" s="11">
        <f t="shared" si="194"/>
        <v>196.87</v>
      </c>
      <c r="S642" s="11">
        <f t="shared" si="190"/>
        <v>203.65500000000003</v>
      </c>
      <c r="T642" s="11">
        <f t="shared" si="195"/>
        <v>217.23</v>
      </c>
      <c r="U642" s="38"/>
      <c r="V642" s="38"/>
      <c r="W642" s="38"/>
      <c r="X642" s="38"/>
      <c r="Z642" s="4">
        <f t="shared" si="196"/>
        <v>5430.8</v>
      </c>
      <c r="AA642" s="4"/>
    </row>
    <row r="643" spans="1:27" x14ac:dyDescent="0.3">
      <c r="A643" s="135"/>
      <c r="B643" s="125"/>
      <c r="C643" s="5" t="s">
        <v>999</v>
      </c>
      <c r="D643" s="55" t="s">
        <v>992</v>
      </c>
      <c r="E643" s="55" t="s">
        <v>362</v>
      </c>
      <c r="F643" s="55" t="s">
        <v>250</v>
      </c>
      <c r="G643" s="56">
        <v>200</v>
      </c>
      <c r="H643" s="49">
        <f>200+200+200+200+200+300+300+400+300+200+2+200+100+200+300+200+1+1200</f>
        <v>4703</v>
      </c>
      <c r="I643" s="50">
        <f>9+50+50+50+20+30+300+50+50+10+75+100+50+50+45+50+24+150+107+50+122+158+78+100+50+172+128+50+100+20+200+4+30+10+10+20+30+100+24+50+15+50+8+20+100+100+100+100+1000+200</f>
        <v>4469</v>
      </c>
      <c r="J643" s="77">
        <f>+H643-I643</f>
        <v>234</v>
      </c>
      <c r="K643" s="31">
        <v>11.77</v>
      </c>
      <c r="L643" s="32">
        <v>44250</v>
      </c>
      <c r="M643" s="33">
        <v>0.21</v>
      </c>
      <c r="N643" s="64">
        <f t="shared" ref="N643:N662" si="197">+K643*(1+M643)</f>
        <v>14.2417</v>
      </c>
      <c r="O643" s="68">
        <f t="shared" si="189"/>
        <v>15.3</v>
      </c>
      <c r="P643" s="68">
        <f t="shared" si="192"/>
        <v>15.89</v>
      </c>
      <c r="Q643" s="68">
        <f t="shared" si="193"/>
        <v>16.48</v>
      </c>
      <c r="R643" s="11">
        <f t="shared" si="194"/>
        <v>17.07</v>
      </c>
      <c r="S643" s="11">
        <f t="shared" si="190"/>
        <v>17.655000000000001</v>
      </c>
      <c r="T643" s="11">
        <f t="shared" si="195"/>
        <v>18.829999999999998</v>
      </c>
      <c r="U643" s="38">
        <f t="shared" si="182"/>
        <v>19.23</v>
      </c>
      <c r="V643" s="38">
        <f t="shared" si="183"/>
        <v>19.940000000000001</v>
      </c>
      <c r="W643" s="38">
        <f t="shared" si="184"/>
        <v>20.65</v>
      </c>
      <c r="X643" s="38">
        <f t="shared" si="185"/>
        <v>21.36</v>
      </c>
      <c r="Z643" s="4">
        <f t="shared" si="196"/>
        <v>2754.18</v>
      </c>
      <c r="AA643" s="4">
        <f t="shared" si="191"/>
        <v>3332.5578</v>
      </c>
    </row>
    <row r="644" spans="1:27" x14ac:dyDescent="0.3">
      <c r="A644" s="135"/>
      <c r="B644" s="125"/>
      <c r="C644" s="5" t="s">
        <v>1523</v>
      </c>
      <c r="D644" s="55" t="s">
        <v>1524</v>
      </c>
      <c r="E644" s="55"/>
      <c r="F644" s="55" t="s">
        <v>266</v>
      </c>
      <c r="G644" s="56">
        <v>0</v>
      </c>
      <c r="H644" s="49">
        <f>10</f>
        <v>10</v>
      </c>
      <c r="I644" s="50">
        <f>6</f>
        <v>6</v>
      </c>
      <c r="J644" s="77">
        <f>+H644-I644</f>
        <v>4</v>
      </c>
      <c r="K644" s="31">
        <v>154</v>
      </c>
      <c r="L644" s="32">
        <v>44092</v>
      </c>
      <c r="M644" s="33">
        <v>0.21</v>
      </c>
      <c r="N644" s="64"/>
      <c r="O644" s="68">
        <f t="shared" si="189"/>
        <v>200.2</v>
      </c>
      <c r="P644" s="68">
        <f t="shared" si="192"/>
        <v>207.9</v>
      </c>
      <c r="Q644" s="68">
        <f t="shared" si="193"/>
        <v>215.6</v>
      </c>
      <c r="R644" s="11">
        <f t="shared" si="194"/>
        <v>223.3</v>
      </c>
      <c r="S644" s="11">
        <f t="shared" si="190"/>
        <v>231</v>
      </c>
      <c r="T644" s="11">
        <f t="shared" si="195"/>
        <v>246.4</v>
      </c>
      <c r="U644" s="38"/>
      <c r="V644" s="38"/>
      <c r="W644" s="38"/>
      <c r="X644" s="38"/>
      <c r="Z644" s="4">
        <f t="shared" si="196"/>
        <v>616</v>
      </c>
      <c r="AA644" s="4"/>
    </row>
    <row r="645" spans="1:27" x14ac:dyDescent="0.3">
      <c r="A645" s="135"/>
      <c r="B645" s="125"/>
      <c r="C645" s="5" t="s">
        <v>1597</v>
      </c>
      <c r="D645" s="55"/>
      <c r="E645" s="55"/>
      <c r="F645" s="55" t="s">
        <v>1598</v>
      </c>
      <c r="G645" s="56">
        <v>0</v>
      </c>
      <c r="H645" s="49">
        <v>24</v>
      </c>
      <c r="I645" s="50">
        <v>0</v>
      </c>
      <c r="J645" s="77">
        <f>+H645-I645</f>
        <v>24</v>
      </c>
      <c r="K645" s="31">
        <v>157.4</v>
      </c>
      <c r="L645" s="32">
        <v>44253</v>
      </c>
      <c r="M645" s="33">
        <v>0.21</v>
      </c>
      <c r="N645" s="64"/>
      <c r="O645" s="68">
        <f t="shared" si="189"/>
        <v>204.62</v>
      </c>
      <c r="P645" s="68">
        <f t="shared" si="192"/>
        <v>212.49</v>
      </c>
      <c r="Q645" s="68">
        <f t="shared" si="193"/>
        <v>220.36</v>
      </c>
      <c r="R645" s="11">
        <f t="shared" si="194"/>
        <v>228.23</v>
      </c>
      <c r="S645" s="11">
        <f t="shared" si="190"/>
        <v>236.10000000000002</v>
      </c>
      <c r="T645" s="11">
        <f t="shared" si="195"/>
        <v>251.84</v>
      </c>
      <c r="U645" s="38"/>
      <c r="V645" s="38"/>
      <c r="W645" s="38"/>
      <c r="X645" s="38"/>
      <c r="Z645" s="4">
        <f t="shared" si="196"/>
        <v>3777.6000000000004</v>
      </c>
      <c r="AA645" s="4"/>
    </row>
    <row r="646" spans="1:27" x14ac:dyDescent="0.3">
      <c r="A646" s="135"/>
      <c r="B646" s="125"/>
      <c r="C646" s="3" t="s">
        <v>1217</v>
      </c>
      <c r="D646" s="55" t="s">
        <v>1218</v>
      </c>
      <c r="E646" s="60" t="s">
        <v>362</v>
      </c>
      <c r="F646" s="60" t="s">
        <v>1031</v>
      </c>
      <c r="G646" s="56">
        <v>12</v>
      </c>
      <c r="H646" s="49">
        <f>24</f>
        <v>24</v>
      </c>
      <c r="I646" s="50">
        <f>24+24</f>
        <v>48</v>
      </c>
      <c r="J646" s="77">
        <v>0</v>
      </c>
      <c r="K646" s="31">
        <v>80.02</v>
      </c>
      <c r="L646" s="32">
        <v>43777</v>
      </c>
      <c r="M646" s="33">
        <v>0.21</v>
      </c>
      <c r="N646" s="64">
        <f t="shared" si="197"/>
        <v>96.82419999999999</v>
      </c>
      <c r="O646" s="68">
        <f t="shared" si="189"/>
        <v>104.03</v>
      </c>
      <c r="P646" s="68">
        <f t="shared" si="192"/>
        <v>108.03</v>
      </c>
      <c r="Q646" s="68">
        <f t="shared" si="193"/>
        <v>112.03</v>
      </c>
      <c r="R646" s="11">
        <f t="shared" si="194"/>
        <v>116.03</v>
      </c>
      <c r="S646" s="11">
        <f t="shared" si="190"/>
        <v>120.03</v>
      </c>
      <c r="T646" s="11">
        <f t="shared" si="195"/>
        <v>128.03</v>
      </c>
      <c r="U646" s="38">
        <f t="shared" ref="U646:U663" si="198">ROUND((N646*(1+$U$3)),2)</f>
        <v>130.71</v>
      </c>
      <c r="V646" s="38">
        <f t="shared" ref="V646:V663" si="199">ROUND((N646*(1+$V$3)),2)</f>
        <v>135.55000000000001</v>
      </c>
      <c r="W646" s="38">
        <f t="shared" ref="W646:W663" si="200">ROUND((N646*(1+$W$3)),2)</f>
        <v>140.4</v>
      </c>
      <c r="X646" s="38">
        <f t="shared" ref="X646:X663" si="201">ROUND((N646*(1+$X$3)),2)</f>
        <v>145.24</v>
      </c>
      <c r="Z646" s="4">
        <f t="shared" si="196"/>
        <v>0</v>
      </c>
      <c r="AA646" s="4">
        <f>J646*N646</f>
        <v>0</v>
      </c>
    </row>
    <row r="647" spans="1:27" x14ac:dyDescent="0.3">
      <c r="A647" s="135"/>
      <c r="B647" s="125"/>
      <c r="C647" s="3" t="s">
        <v>1269</v>
      </c>
      <c r="D647" s="71" t="s">
        <v>1230</v>
      </c>
      <c r="E647" s="60" t="s">
        <v>362</v>
      </c>
      <c r="F647" s="60" t="s">
        <v>1031</v>
      </c>
      <c r="G647" s="56">
        <v>12</v>
      </c>
      <c r="H647" s="49">
        <f>48+48+48+24+48+48+120+24+24+24+24</f>
        <v>480</v>
      </c>
      <c r="I647" s="50">
        <f>365+5+5+33+3+5+16+1+4+10+9+10+4+10</f>
        <v>480</v>
      </c>
      <c r="J647" s="77">
        <f>+H647-I647</f>
        <v>0</v>
      </c>
      <c r="K647" s="31">
        <v>77.77</v>
      </c>
      <c r="L647" s="32">
        <v>44207</v>
      </c>
      <c r="M647" s="33">
        <v>0.21</v>
      </c>
      <c r="N647" s="64">
        <f t="shared" si="197"/>
        <v>94.101699999999994</v>
      </c>
      <c r="O647" s="68">
        <f t="shared" si="189"/>
        <v>101.1</v>
      </c>
      <c r="P647" s="68">
        <f t="shared" si="192"/>
        <v>104.99</v>
      </c>
      <c r="Q647" s="68">
        <f t="shared" si="193"/>
        <v>108.88</v>
      </c>
      <c r="R647" s="11">
        <f t="shared" si="194"/>
        <v>112.77</v>
      </c>
      <c r="S647" s="11">
        <f t="shared" si="190"/>
        <v>116.655</v>
      </c>
      <c r="T647" s="11">
        <f t="shared" si="195"/>
        <v>124.43</v>
      </c>
      <c r="U647" s="38">
        <f t="shared" si="198"/>
        <v>127.04</v>
      </c>
      <c r="V647" s="38">
        <f t="shared" si="199"/>
        <v>131.74</v>
      </c>
      <c r="W647" s="38">
        <f t="shared" si="200"/>
        <v>136.44999999999999</v>
      </c>
      <c r="X647" s="38">
        <f t="shared" si="201"/>
        <v>141.15</v>
      </c>
      <c r="Z647" s="4">
        <f t="shared" si="196"/>
        <v>0</v>
      </c>
      <c r="AA647" s="4">
        <f t="shared" ref="AA647:AA650" si="202">J647*N647</f>
        <v>0</v>
      </c>
    </row>
    <row r="648" spans="1:27" x14ac:dyDescent="0.3">
      <c r="A648" s="135"/>
      <c r="B648" s="125"/>
      <c r="C648" s="3" t="s">
        <v>1045</v>
      </c>
      <c r="D648" s="71" t="s">
        <v>1230</v>
      </c>
      <c r="E648" s="60" t="s">
        <v>362</v>
      </c>
      <c r="F648" s="60" t="s">
        <v>1031</v>
      </c>
      <c r="G648" s="56">
        <v>12</v>
      </c>
      <c r="H648" s="49">
        <f>48+48+48+24+48+25+38+6+3+24+24+24</f>
        <v>360</v>
      </c>
      <c r="I648" s="50">
        <f>24+72+4+24+10+24+24+24+3+5+4+2+24+5+5+10+5+16+3+5+19+1+4+10+9+10+14</f>
        <v>360</v>
      </c>
      <c r="J648" s="77">
        <f>+H648-I648</f>
        <v>0</v>
      </c>
      <c r="K648" s="31">
        <v>77.77</v>
      </c>
      <c r="L648" s="32" t="s">
        <v>1566</v>
      </c>
      <c r="M648" s="33">
        <v>0.21</v>
      </c>
      <c r="N648" s="64">
        <f t="shared" si="197"/>
        <v>94.101699999999994</v>
      </c>
      <c r="O648" s="68">
        <f t="shared" si="189"/>
        <v>101.1</v>
      </c>
      <c r="P648" s="68">
        <f t="shared" si="192"/>
        <v>104.99</v>
      </c>
      <c r="Q648" s="68">
        <f t="shared" si="193"/>
        <v>108.88</v>
      </c>
      <c r="R648" s="11">
        <f t="shared" si="194"/>
        <v>112.77</v>
      </c>
      <c r="S648" s="11">
        <f t="shared" si="190"/>
        <v>116.655</v>
      </c>
      <c r="T648" s="11">
        <f t="shared" si="195"/>
        <v>124.43</v>
      </c>
      <c r="U648" s="38">
        <f t="shared" si="198"/>
        <v>127.04</v>
      </c>
      <c r="V648" s="38">
        <f t="shared" si="199"/>
        <v>131.74</v>
      </c>
      <c r="W648" s="38">
        <f t="shared" si="200"/>
        <v>136.44999999999999</v>
      </c>
      <c r="X648" s="38">
        <f t="shared" si="201"/>
        <v>141.15</v>
      </c>
      <c r="Z648" s="4">
        <f t="shared" si="196"/>
        <v>0</v>
      </c>
      <c r="AA648" s="4">
        <f t="shared" si="202"/>
        <v>0</v>
      </c>
    </row>
    <row r="649" spans="1:27" x14ac:dyDescent="0.3">
      <c r="A649" s="135"/>
      <c r="B649" s="125"/>
      <c r="C649" s="3" t="s">
        <v>1224</v>
      </c>
      <c r="D649" s="71" t="s">
        <v>1225</v>
      </c>
      <c r="E649" s="60" t="s">
        <v>362</v>
      </c>
      <c r="F649" s="60" t="s">
        <v>1031</v>
      </c>
      <c r="G649" s="56">
        <v>0</v>
      </c>
      <c r="H649" s="49">
        <v>14</v>
      </c>
      <c r="I649" s="50">
        <f>8+6</f>
        <v>14</v>
      </c>
      <c r="J649" s="77">
        <f>+H649-I649</f>
        <v>0</v>
      </c>
      <c r="K649" s="31">
        <v>80.010000000000005</v>
      </c>
      <c r="L649" s="32">
        <v>43777</v>
      </c>
      <c r="M649" s="33">
        <v>0.21</v>
      </c>
      <c r="N649" s="64">
        <f t="shared" si="197"/>
        <v>96.812100000000001</v>
      </c>
      <c r="O649" s="68">
        <f t="shared" si="189"/>
        <v>104.01</v>
      </c>
      <c r="P649" s="68">
        <f t="shared" si="192"/>
        <v>108.01</v>
      </c>
      <c r="Q649" s="68">
        <f t="shared" si="193"/>
        <v>112.01</v>
      </c>
      <c r="R649" s="11">
        <f t="shared" si="194"/>
        <v>116.01</v>
      </c>
      <c r="S649" s="11">
        <f t="shared" si="190"/>
        <v>120.01500000000001</v>
      </c>
      <c r="T649" s="11">
        <f t="shared" si="195"/>
        <v>128.02000000000001</v>
      </c>
      <c r="U649" s="38">
        <f t="shared" si="198"/>
        <v>130.69999999999999</v>
      </c>
      <c r="V649" s="38">
        <f t="shared" si="199"/>
        <v>135.54</v>
      </c>
      <c r="W649" s="38">
        <f t="shared" si="200"/>
        <v>140.38</v>
      </c>
      <c r="X649" s="38">
        <f t="shared" si="201"/>
        <v>145.22</v>
      </c>
      <c r="Z649" s="4">
        <f t="shared" si="196"/>
        <v>0</v>
      </c>
      <c r="AA649" s="4">
        <f t="shared" si="202"/>
        <v>0</v>
      </c>
    </row>
    <row r="650" spans="1:27" x14ac:dyDescent="0.3">
      <c r="A650" s="135"/>
      <c r="B650" s="125"/>
      <c r="C650" s="3" t="s">
        <v>1293</v>
      </c>
      <c r="D650" s="71" t="s">
        <v>1230</v>
      </c>
      <c r="E650" s="55" t="s">
        <v>362</v>
      </c>
      <c r="F650" s="55" t="s">
        <v>1067</v>
      </c>
      <c r="G650" s="56">
        <v>12</v>
      </c>
      <c r="H650" s="49">
        <f>24+2+24+24+24</f>
        <v>98</v>
      </c>
      <c r="I650" s="50">
        <f>4+2+5+1+2+11+25+5+5+5+2+4+3+24</f>
        <v>98</v>
      </c>
      <c r="J650" s="77">
        <f>+H650-I650</f>
        <v>0</v>
      </c>
      <c r="K650" s="31">
        <v>77.77</v>
      </c>
      <c r="L650" s="32">
        <v>44181</v>
      </c>
      <c r="M650" s="33">
        <v>0.21</v>
      </c>
      <c r="N650" s="64">
        <f t="shared" si="197"/>
        <v>94.101699999999994</v>
      </c>
      <c r="O650" s="68">
        <f t="shared" si="189"/>
        <v>101.1</v>
      </c>
      <c r="P650" s="68">
        <f t="shared" si="192"/>
        <v>104.99</v>
      </c>
      <c r="Q650" s="68">
        <f t="shared" si="193"/>
        <v>108.88</v>
      </c>
      <c r="R650" s="11">
        <f t="shared" si="194"/>
        <v>112.77</v>
      </c>
      <c r="S650" s="11">
        <f t="shared" si="190"/>
        <v>116.655</v>
      </c>
      <c r="T650" s="11">
        <f t="shared" si="195"/>
        <v>124.43</v>
      </c>
      <c r="U650" s="38">
        <f t="shared" si="198"/>
        <v>127.04</v>
      </c>
      <c r="V650" s="38">
        <f t="shared" si="199"/>
        <v>131.74</v>
      </c>
      <c r="W650" s="38">
        <f t="shared" si="200"/>
        <v>136.44999999999999</v>
      </c>
      <c r="X650" s="38">
        <f t="shared" si="201"/>
        <v>141.15</v>
      </c>
      <c r="Z650" s="4">
        <f t="shared" si="196"/>
        <v>0</v>
      </c>
      <c r="AA650" s="4">
        <f t="shared" si="202"/>
        <v>0</v>
      </c>
    </row>
    <row r="651" spans="1:27" x14ac:dyDescent="0.3">
      <c r="A651" s="135"/>
      <c r="B651" s="125"/>
      <c r="C651" s="3" t="s">
        <v>1484</v>
      </c>
      <c r="D651" s="55"/>
      <c r="E651" s="55" t="s">
        <v>1075</v>
      </c>
      <c r="F651" s="55" t="s">
        <v>1485</v>
      </c>
      <c r="G651" s="56">
        <v>0</v>
      </c>
      <c r="H651" s="49">
        <f>33+36+12</f>
        <v>81</v>
      </c>
      <c r="I651" s="50">
        <f>1+36+32</f>
        <v>69</v>
      </c>
      <c r="J651" s="77">
        <f>+H651-I651</f>
        <v>12</v>
      </c>
      <c r="K651" s="31">
        <v>130</v>
      </c>
      <c r="L651" s="32">
        <v>44225</v>
      </c>
      <c r="M651" s="33">
        <v>0.21</v>
      </c>
      <c r="N651" s="64">
        <f t="shared" si="197"/>
        <v>157.29999999999998</v>
      </c>
      <c r="O651" s="68">
        <f t="shared" ref="O651:O691" si="203">ROUND(K651*(1+$O$3),2)</f>
        <v>169</v>
      </c>
      <c r="P651" s="68">
        <f t="shared" si="192"/>
        <v>175.5</v>
      </c>
      <c r="Q651" s="68">
        <f t="shared" si="193"/>
        <v>182</v>
      </c>
      <c r="R651" s="11">
        <f t="shared" si="194"/>
        <v>188.5</v>
      </c>
      <c r="S651" s="11">
        <f t="shared" ref="S651:S691" si="204">K651*(1+$S$3)</f>
        <v>195</v>
      </c>
      <c r="T651" s="11">
        <f t="shared" si="195"/>
        <v>208</v>
      </c>
      <c r="U651" s="38">
        <f t="shared" si="198"/>
        <v>212.36</v>
      </c>
      <c r="V651" s="38">
        <f t="shared" si="199"/>
        <v>220.22</v>
      </c>
      <c r="W651" s="38">
        <f t="shared" si="200"/>
        <v>228.09</v>
      </c>
      <c r="X651" s="38">
        <f t="shared" si="201"/>
        <v>235.95</v>
      </c>
      <c r="Z651" s="4">
        <f t="shared" si="196"/>
        <v>1560</v>
      </c>
      <c r="AA651" s="4">
        <f t="shared" ref="AA651:AA662" si="205">J651*N651</f>
        <v>1887.6</v>
      </c>
    </row>
    <row r="652" spans="1:27" x14ac:dyDescent="0.3">
      <c r="A652" s="135"/>
      <c r="B652" s="125"/>
      <c r="C652" s="3" t="s">
        <v>1387</v>
      </c>
      <c r="D652" s="55" t="s">
        <v>1292</v>
      </c>
      <c r="E652" s="55" t="s">
        <v>362</v>
      </c>
      <c r="F652" s="55" t="s">
        <v>1067</v>
      </c>
      <c r="G652" s="56">
        <v>12</v>
      </c>
      <c r="H652" s="49">
        <f>36+1+36+36+26</f>
        <v>135</v>
      </c>
      <c r="I652" s="50">
        <f>5+2+30+36+38+1+23</f>
        <v>135</v>
      </c>
      <c r="J652" s="77">
        <f>+H652-I652</f>
        <v>0</v>
      </c>
      <c r="K652" s="31">
        <v>130</v>
      </c>
      <c r="L652" s="32">
        <v>44225</v>
      </c>
      <c r="M652" s="33">
        <v>0.21</v>
      </c>
      <c r="N652" s="64">
        <f t="shared" si="197"/>
        <v>157.29999999999998</v>
      </c>
      <c r="O652" s="68">
        <f t="shared" si="203"/>
        <v>169</v>
      </c>
      <c r="P652" s="68">
        <f t="shared" si="192"/>
        <v>175.5</v>
      </c>
      <c r="Q652" s="68">
        <f t="shared" si="193"/>
        <v>182</v>
      </c>
      <c r="R652" s="11">
        <f t="shared" si="194"/>
        <v>188.5</v>
      </c>
      <c r="S652" s="11">
        <f t="shared" si="204"/>
        <v>195</v>
      </c>
      <c r="T652" s="11">
        <f t="shared" si="195"/>
        <v>208</v>
      </c>
      <c r="U652" s="38">
        <f t="shared" si="198"/>
        <v>212.36</v>
      </c>
      <c r="V652" s="38">
        <f t="shared" si="199"/>
        <v>220.22</v>
      </c>
      <c r="W652" s="38">
        <f t="shared" si="200"/>
        <v>228.09</v>
      </c>
      <c r="X652" s="38">
        <f t="shared" si="201"/>
        <v>235.95</v>
      </c>
      <c r="Z652" s="4">
        <f t="shared" si="196"/>
        <v>0</v>
      </c>
      <c r="AA652" s="4">
        <f t="shared" si="205"/>
        <v>0</v>
      </c>
    </row>
    <row r="653" spans="1:27" x14ac:dyDescent="0.3">
      <c r="A653" s="135"/>
      <c r="B653" s="125"/>
      <c r="C653" s="3" t="s">
        <v>1539</v>
      </c>
      <c r="D653" s="55"/>
      <c r="E653" s="55"/>
      <c r="F653" s="55" t="s">
        <v>1067</v>
      </c>
      <c r="G653" s="56">
        <v>12</v>
      </c>
      <c r="H653" s="49">
        <f>36</f>
        <v>36</v>
      </c>
      <c r="I653" s="50">
        <f>10+25</f>
        <v>35</v>
      </c>
      <c r="J653" s="77">
        <f>+H653-I653</f>
        <v>1</v>
      </c>
      <c r="K653" s="31">
        <v>108.37</v>
      </c>
      <c r="L653" s="32">
        <v>44124</v>
      </c>
      <c r="M653" s="33">
        <v>0.21</v>
      </c>
      <c r="N653" s="64"/>
      <c r="O653" s="68">
        <f t="shared" si="203"/>
        <v>140.88</v>
      </c>
      <c r="P653" s="68">
        <f t="shared" si="192"/>
        <v>146.30000000000001</v>
      </c>
      <c r="Q653" s="68">
        <f t="shared" si="193"/>
        <v>151.72</v>
      </c>
      <c r="R653" s="11">
        <f t="shared" si="194"/>
        <v>157.13999999999999</v>
      </c>
      <c r="S653" s="11">
        <f t="shared" si="204"/>
        <v>162.55500000000001</v>
      </c>
      <c r="T653" s="11">
        <f t="shared" si="195"/>
        <v>173.39</v>
      </c>
      <c r="U653" s="38"/>
      <c r="V653" s="38"/>
      <c r="W653" s="38"/>
      <c r="X653" s="38"/>
      <c r="Z653" s="4">
        <f t="shared" si="196"/>
        <v>108.37</v>
      </c>
      <c r="AA653" s="4"/>
    </row>
    <row r="654" spans="1:27" x14ac:dyDescent="0.3">
      <c r="A654" s="135"/>
      <c r="B654" s="125"/>
      <c r="C654" s="3" t="s">
        <v>1291</v>
      </c>
      <c r="D654" s="55" t="s">
        <v>1292</v>
      </c>
      <c r="E654" s="55" t="s">
        <v>362</v>
      </c>
      <c r="F654" s="55" t="s">
        <v>1067</v>
      </c>
      <c r="G654" s="56">
        <v>12</v>
      </c>
      <c r="H654" s="49">
        <f>36+6</f>
        <v>42</v>
      </c>
      <c r="I654" s="50">
        <f>5+10+3+4+2+1+5+10</f>
        <v>40</v>
      </c>
      <c r="J654" s="77">
        <f>+H654-I654</f>
        <v>2</v>
      </c>
      <c r="K654" s="31">
        <v>108.37</v>
      </c>
      <c r="L654" s="32">
        <v>44124</v>
      </c>
      <c r="M654" s="33">
        <v>0.21</v>
      </c>
      <c r="N654" s="64">
        <f t="shared" si="197"/>
        <v>131.1277</v>
      </c>
      <c r="O654" s="68">
        <f t="shared" si="203"/>
        <v>140.88</v>
      </c>
      <c r="P654" s="68">
        <f t="shared" si="192"/>
        <v>146.30000000000001</v>
      </c>
      <c r="Q654" s="68">
        <f t="shared" si="193"/>
        <v>151.72</v>
      </c>
      <c r="R654" s="11">
        <f t="shared" si="194"/>
        <v>157.13999999999999</v>
      </c>
      <c r="S654" s="11">
        <f t="shared" si="204"/>
        <v>162.55500000000001</v>
      </c>
      <c r="T654" s="11">
        <f t="shared" si="195"/>
        <v>173.39</v>
      </c>
      <c r="U654" s="38">
        <f t="shared" si="198"/>
        <v>177.02</v>
      </c>
      <c r="V654" s="38">
        <f t="shared" si="199"/>
        <v>183.58</v>
      </c>
      <c r="W654" s="38">
        <f t="shared" si="200"/>
        <v>190.14</v>
      </c>
      <c r="X654" s="38">
        <f t="shared" si="201"/>
        <v>196.69</v>
      </c>
      <c r="Z654" s="4">
        <f t="shared" si="196"/>
        <v>216.74</v>
      </c>
      <c r="AA654" s="4">
        <f t="shared" si="205"/>
        <v>262.25540000000001</v>
      </c>
    </row>
    <row r="655" spans="1:27" x14ac:dyDescent="0.3">
      <c r="A655" s="135"/>
      <c r="B655" s="125"/>
      <c r="C655" s="3" t="s">
        <v>1408</v>
      </c>
      <c r="D655" s="55" t="s">
        <v>1348</v>
      </c>
      <c r="E655" s="55" t="s">
        <v>965</v>
      </c>
      <c r="F655" s="55" t="s">
        <v>1067</v>
      </c>
      <c r="G655" s="56">
        <v>12</v>
      </c>
      <c r="H655" s="49">
        <f>36+20</f>
        <v>56</v>
      </c>
      <c r="I655" s="50">
        <f>10+10+11+3+6</f>
        <v>40</v>
      </c>
      <c r="J655" s="77">
        <f>+H655-I655</f>
        <v>16</v>
      </c>
      <c r="K655" s="31">
        <v>108.37</v>
      </c>
      <c r="L655" s="32">
        <v>44124</v>
      </c>
      <c r="M655" s="33">
        <v>0.21</v>
      </c>
      <c r="N655" s="64">
        <f t="shared" si="197"/>
        <v>131.1277</v>
      </c>
      <c r="O655" s="68">
        <f t="shared" si="203"/>
        <v>140.88</v>
      </c>
      <c r="P655" s="68">
        <f t="shared" si="192"/>
        <v>146.30000000000001</v>
      </c>
      <c r="Q655" s="68">
        <f t="shared" si="193"/>
        <v>151.72</v>
      </c>
      <c r="R655" s="11">
        <f t="shared" si="194"/>
        <v>157.13999999999999</v>
      </c>
      <c r="S655" s="11">
        <f t="shared" si="204"/>
        <v>162.55500000000001</v>
      </c>
      <c r="T655" s="11">
        <f t="shared" si="195"/>
        <v>173.39</v>
      </c>
      <c r="U655" s="38">
        <f t="shared" si="198"/>
        <v>177.02</v>
      </c>
      <c r="V655" s="38">
        <f t="shared" si="199"/>
        <v>183.58</v>
      </c>
      <c r="W655" s="38">
        <f t="shared" si="200"/>
        <v>190.14</v>
      </c>
      <c r="X655" s="38">
        <f t="shared" si="201"/>
        <v>196.69</v>
      </c>
      <c r="Z655" s="4">
        <f t="shared" si="196"/>
        <v>1733.92</v>
      </c>
      <c r="AA655" s="4">
        <f t="shared" si="205"/>
        <v>2098.0432000000001</v>
      </c>
    </row>
    <row r="656" spans="1:27" x14ac:dyDescent="0.3">
      <c r="A656" s="135"/>
      <c r="B656" s="125"/>
      <c r="C656" s="3" t="s">
        <v>1487</v>
      </c>
      <c r="D656" s="55"/>
      <c r="E656" s="55"/>
      <c r="F656" s="55" t="s">
        <v>1488</v>
      </c>
      <c r="G656" s="56">
        <v>0</v>
      </c>
      <c r="H656" s="49">
        <v>6</v>
      </c>
      <c r="I656" s="50">
        <v>0</v>
      </c>
      <c r="J656" s="77">
        <f>+H656-I656</f>
        <v>6</v>
      </c>
      <c r="K656" s="31"/>
      <c r="L656" s="32"/>
      <c r="M656" s="33"/>
      <c r="N656" s="64"/>
      <c r="O656" s="68"/>
      <c r="P656" s="68"/>
      <c r="Q656" s="68"/>
      <c r="R656" s="11"/>
      <c r="S656" s="11"/>
      <c r="T656" s="11"/>
      <c r="U656" s="38"/>
      <c r="V656" s="38"/>
      <c r="W656" s="38"/>
      <c r="X656" s="38"/>
      <c r="Z656" s="4"/>
      <c r="AA656" s="4"/>
    </row>
    <row r="657" spans="1:27" x14ac:dyDescent="0.3">
      <c r="A657" s="135"/>
      <c r="B657" s="125"/>
      <c r="C657" s="3" t="s">
        <v>1486</v>
      </c>
      <c r="D657" s="55"/>
      <c r="E657" s="55"/>
      <c r="F657" s="55" t="s">
        <v>1067</v>
      </c>
      <c r="G657" s="56">
        <v>0</v>
      </c>
      <c r="H657" s="49">
        <v>12</v>
      </c>
      <c r="I657" s="50">
        <v>0</v>
      </c>
      <c r="J657" s="77">
        <f>+H657-I657</f>
        <v>12</v>
      </c>
      <c r="K657" s="31"/>
      <c r="L657" s="32"/>
      <c r="M657" s="33"/>
      <c r="N657" s="64"/>
      <c r="O657" s="68"/>
      <c r="P657" s="68"/>
      <c r="Q657" s="68"/>
      <c r="R657" s="11"/>
      <c r="S657" s="11"/>
      <c r="T657" s="11"/>
      <c r="U657" s="38"/>
      <c r="V657" s="38"/>
      <c r="W657" s="38"/>
      <c r="X657" s="38"/>
      <c r="Z657" s="4"/>
      <c r="AA657" s="4"/>
    </row>
    <row r="658" spans="1:27" x14ac:dyDescent="0.3">
      <c r="C658" s="3" t="s">
        <v>754</v>
      </c>
      <c r="D658" s="55" t="s">
        <v>755</v>
      </c>
      <c r="E658" s="55" t="s">
        <v>70</v>
      </c>
      <c r="F658" s="55" t="s">
        <v>282</v>
      </c>
      <c r="G658" s="56">
        <v>1</v>
      </c>
      <c r="H658" s="49">
        <f>1+1+2</f>
        <v>4</v>
      </c>
      <c r="I658" s="50">
        <f>1+1</f>
        <v>2</v>
      </c>
      <c r="J658" s="77">
        <f>+H658-I658</f>
        <v>2</v>
      </c>
      <c r="K658" s="31">
        <v>273</v>
      </c>
      <c r="L658" s="32">
        <v>44210</v>
      </c>
      <c r="M658" s="33">
        <v>0.21</v>
      </c>
      <c r="N658" s="64">
        <f t="shared" si="197"/>
        <v>330.33</v>
      </c>
      <c r="O658" s="68"/>
      <c r="P658" s="68"/>
      <c r="Q658" s="68"/>
      <c r="R658" s="11"/>
      <c r="S658" s="11"/>
      <c r="T658" s="11"/>
      <c r="U658" s="38"/>
      <c r="V658" s="38"/>
      <c r="W658" s="38"/>
      <c r="X658" s="38"/>
      <c r="Z658" s="4">
        <f t="shared" si="196"/>
        <v>546</v>
      </c>
      <c r="AA658" s="4">
        <f t="shared" si="205"/>
        <v>660.66</v>
      </c>
    </row>
    <row r="659" spans="1:27" x14ac:dyDescent="0.3">
      <c r="A659" s="135"/>
      <c r="B659" s="125"/>
      <c r="C659" s="3" t="s">
        <v>166</v>
      </c>
      <c r="D659" s="55" t="s">
        <v>661</v>
      </c>
      <c r="E659" s="55" t="s">
        <v>70</v>
      </c>
      <c r="F659" s="55" t="s">
        <v>292</v>
      </c>
      <c r="G659" s="56">
        <v>10</v>
      </c>
      <c r="H659" s="49">
        <f>10+10+10+6+10+10+10+3+10+3+10+10+1+10+20+10+2+20+10+1+10+10</f>
        <v>196</v>
      </c>
      <c r="I659" s="50">
        <f>134+2+4+1+1+1+1+3+2+3+1+1+1+1+6+1+2+2+1+1+1+1+1+1+1+8+1+1+2+3</f>
        <v>189</v>
      </c>
      <c r="J659" s="77">
        <f>+H659-I659</f>
        <v>7</v>
      </c>
      <c r="K659" s="31">
        <v>345.61</v>
      </c>
      <c r="L659" s="32">
        <v>44245</v>
      </c>
      <c r="M659" s="33">
        <v>0.21</v>
      </c>
      <c r="N659" s="64">
        <f t="shared" si="197"/>
        <v>418.18810000000002</v>
      </c>
      <c r="O659" s="68">
        <f t="shared" si="203"/>
        <v>449.29</v>
      </c>
      <c r="P659" s="68">
        <f t="shared" si="192"/>
        <v>466.57</v>
      </c>
      <c r="Q659" s="68">
        <f t="shared" si="193"/>
        <v>483.85</v>
      </c>
      <c r="R659" s="11">
        <f t="shared" si="194"/>
        <v>501.13</v>
      </c>
      <c r="S659" s="11">
        <f t="shared" si="204"/>
        <v>518.41499999999996</v>
      </c>
      <c r="T659" s="11">
        <f t="shared" si="195"/>
        <v>552.98</v>
      </c>
      <c r="U659" s="38">
        <f t="shared" si="198"/>
        <v>564.54999999999995</v>
      </c>
      <c r="V659" s="38">
        <f t="shared" si="199"/>
        <v>585.46</v>
      </c>
      <c r="W659" s="38">
        <f t="shared" si="200"/>
        <v>606.37</v>
      </c>
      <c r="X659" s="38">
        <f t="shared" si="201"/>
        <v>627.28</v>
      </c>
      <c r="Z659" s="4">
        <f t="shared" si="196"/>
        <v>2419.27</v>
      </c>
      <c r="AA659" s="4">
        <f t="shared" si="205"/>
        <v>2927.3167000000003</v>
      </c>
    </row>
    <row r="660" spans="1:27" x14ac:dyDescent="0.3">
      <c r="A660" s="135"/>
      <c r="B660" s="125"/>
      <c r="C660" s="3" t="s">
        <v>202</v>
      </c>
      <c r="D660" s="55" t="s">
        <v>662</v>
      </c>
      <c r="E660" s="55" t="s">
        <v>1133</v>
      </c>
      <c r="F660" s="55" t="s">
        <v>292</v>
      </c>
      <c r="G660" s="56">
        <v>10</v>
      </c>
      <c r="H660" s="49">
        <f>20+10+10+2+8+10+1+11+10+10+10+10+20+1+1+10+8+1+20+10+10+20+2+20</f>
        <v>235</v>
      </c>
      <c r="I660" s="69">
        <f>2+1+3+1+4+2+6+1+2+1+2+3+2+4+4+2+2+6+2+11+6+2+1+1+1+3+1+1+3+4+4+1+1+1+2+2+6+1+1+8+1+1+4+1+5+1+2+1+1+1+3+2+1+9+1+4+2+1+1+12+2+6+1+1+3+22+3+2+1+1+1+2+1+1+1+5+1</f>
        <v>219</v>
      </c>
      <c r="J660" s="77">
        <f>+H660-I660</f>
        <v>16</v>
      </c>
      <c r="K660" s="31">
        <v>345.61</v>
      </c>
      <c r="L660" s="32">
        <v>44253</v>
      </c>
      <c r="M660" s="33">
        <v>0.21</v>
      </c>
      <c r="N660" s="64">
        <f t="shared" si="197"/>
        <v>418.18810000000002</v>
      </c>
      <c r="O660" s="68">
        <f t="shared" si="203"/>
        <v>449.29</v>
      </c>
      <c r="P660" s="68">
        <f t="shared" si="192"/>
        <v>466.57</v>
      </c>
      <c r="Q660" s="68">
        <f t="shared" si="193"/>
        <v>483.85</v>
      </c>
      <c r="R660" s="11">
        <f t="shared" si="194"/>
        <v>501.13</v>
      </c>
      <c r="S660" s="11">
        <f t="shared" si="204"/>
        <v>518.41499999999996</v>
      </c>
      <c r="T660" s="11">
        <f t="shared" si="195"/>
        <v>552.98</v>
      </c>
      <c r="U660" s="38">
        <f t="shared" si="198"/>
        <v>564.54999999999995</v>
      </c>
      <c r="V660" s="38">
        <f t="shared" si="199"/>
        <v>585.46</v>
      </c>
      <c r="W660" s="38">
        <f t="shared" si="200"/>
        <v>606.37</v>
      </c>
      <c r="X660" s="38">
        <f t="shared" si="201"/>
        <v>627.28</v>
      </c>
      <c r="Z660" s="4">
        <f t="shared" si="196"/>
        <v>5529.76</v>
      </c>
      <c r="AA660" s="4">
        <f t="shared" si="205"/>
        <v>6691.0096000000003</v>
      </c>
    </row>
    <row r="661" spans="1:27" x14ac:dyDescent="0.3">
      <c r="A661" s="135"/>
      <c r="B661" s="125"/>
      <c r="C661" s="3" t="s">
        <v>596</v>
      </c>
      <c r="D661" s="55" t="s">
        <v>943</v>
      </c>
      <c r="E661" s="55" t="s">
        <v>362</v>
      </c>
      <c r="F661" s="55" t="s">
        <v>1517</v>
      </c>
      <c r="G661" s="56">
        <v>3</v>
      </c>
      <c r="H661" s="49">
        <f>10+10+4+3</f>
        <v>27</v>
      </c>
      <c r="I661" s="50">
        <f>1+1+1+1+1+5+8+1+3+2</f>
        <v>24</v>
      </c>
      <c r="J661" s="77">
        <f>+H661-I661</f>
        <v>3</v>
      </c>
      <c r="K661" s="31">
        <v>637.78</v>
      </c>
      <c r="L661" s="32">
        <v>44083</v>
      </c>
      <c r="M661" s="33">
        <v>0.21</v>
      </c>
      <c r="N661" s="64">
        <f t="shared" si="197"/>
        <v>771.71379999999999</v>
      </c>
      <c r="O661" s="68">
        <f t="shared" si="203"/>
        <v>829.11</v>
      </c>
      <c r="P661" s="68">
        <f t="shared" ref="P661:P709" si="206">ROUND(K661*(1+$P$3),2)</f>
        <v>861</v>
      </c>
      <c r="Q661" s="68">
        <f t="shared" ref="Q661:Q709" si="207">ROUND(K661*(1+$Q$3),2)</f>
        <v>892.89</v>
      </c>
      <c r="R661" s="11">
        <f t="shared" ref="R661:R709" si="208">ROUND(K661*(1+$R$3),2)</f>
        <v>924.78</v>
      </c>
      <c r="S661" s="11">
        <f t="shared" si="204"/>
        <v>956.67</v>
      </c>
      <c r="T661" s="11">
        <f t="shared" ref="T661:T709" si="209">ROUND(K661*(1+$T$3),2)</f>
        <v>1020.45</v>
      </c>
      <c r="U661" s="38">
        <f t="shared" si="198"/>
        <v>1041.81</v>
      </c>
      <c r="V661" s="38">
        <f t="shared" si="199"/>
        <v>1080.4000000000001</v>
      </c>
      <c r="W661" s="38">
        <f t="shared" si="200"/>
        <v>1118.99</v>
      </c>
      <c r="X661" s="38">
        <f t="shared" si="201"/>
        <v>1157.57</v>
      </c>
      <c r="Z661" s="4">
        <f t="shared" si="196"/>
        <v>1913.34</v>
      </c>
      <c r="AA661" s="4">
        <f t="shared" si="205"/>
        <v>2315.1414</v>
      </c>
    </row>
    <row r="662" spans="1:27" x14ac:dyDescent="0.3">
      <c r="A662" s="135"/>
      <c r="B662" s="125"/>
      <c r="C662" s="3" t="s">
        <v>167</v>
      </c>
      <c r="D662" s="55" t="s">
        <v>961</v>
      </c>
      <c r="E662" s="55" t="s">
        <v>70</v>
      </c>
      <c r="F662" s="55" t="s">
        <v>1560</v>
      </c>
      <c r="G662" s="56">
        <v>3</v>
      </c>
      <c r="H662" s="49">
        <f>120+3+5+6+2+10+10+10+86+10+3+5+4</f>
        <v>274</v>
      </c>
      <c r="I662" s="50">
        <f>66+2+1+1+2+10+3+5+3+2+1+1+10+1+2+1+1+5+2+1+1+1+1+2+1+1+1+2+6+1+1+1+1+6+4+1+1+100+1+1+5+3+1+2+2+2</f>
        <v>269</v>
      </c>
      <c r="J662" s="77">
        <f>+H662-I662</f>
        <v>5</v>
      </c>
      <c r="K662" s="31">
        <v>430</v>
      </c>
      <c r="L662" s="32">
        <v>44175</v>
      </c>
      <c r="M662" s="33">
        <v>0.21</v>
      </c>
      <c r="N662" s="64">
        <f t="shared" si="197"/>
        <v>520.29999999999995</v>
      </c>
      <c r="O662" s="68">
        <f t="shared" si="203"/>
        <v>559</v>
      </c>
      <c r="P662" s="68">
        <f t="shared" si="206"/>
        <v>580.5</v>
      </c>
      <c r="Q662" s="68">
        <f t="shared" si="207"/>
        <v>602</v>
      </c>
      <c r="R662" s="11">
        <f t="shared" si="208"/>
        <v>623.5</v>
      </c>
      <c r="S662" s="11">
        <f t="shared" si="204"/>
        <v>645</v>
      </c>
      <c r="T662" s="11">
        <f t="shared" si="209"/>
        <v>688</v>
      </c>
      <c r="U662" s="38">
        <f t="shared" si="198"/>
        <v>702.41</v>
      </c>
      <c r="V662" s="38">
        <f t="shared" si="199"/>
        <v>728.42</v>
      </c>
      <c r="W662" s="38">
        <f t="shared" si="200"/>
        <v>754.44</v>
      </c>
      <c r="X662" s="38">
        <f t="shared" si="201"/>
        <v>780.45</v>
      </c>
      <c r="Z662" s="4">
        <f t="shared" si="196"/>
        <v>2150</v>
      </c>
      <c r="AA662" s="4">
        <f t="shared" si="205"/>
        <v>2601.5</v>
      </c>
    </row>
    <row r="663" spans="1:27" x14ac:dyDescent="0.3">
      <c r="A663" s="135"/>
      <c r="B663" s="125"/>
      <c r="C663" s="3" t="s">
        <v>737</v>
      </c>
      <c r="D663" s="55" t="s">
        <v>952</v>
      </c>
      <c r="E663" s="55" t="s">
        <v>176</v>
      </c>
      <c r="F663" s="55" t="s">
        <v>266</v>
      </c>
      <c r="G663" s="56">
        <v>0</v>
      </c>
      <c r="H663" s="49">
        <f>5</f>
        <v>5</v>
      </c>
      <c r="I663" s="50">
        <f>4+1</f>
        <v>5</v>
      </c>
      <c r="J663" s="77">
        <f>+H663-I663</f>
        <v>0</v>
      </c>
      <c r="K663" s="31">
        <v>2177.2199999999998</v>
      </c>
      <c r="L663" s="32">
        <v>43600</v>
      </c>
      <c r="M663" s="33">
        <v>0.21</v>
      </c>
      <c r="N663" s="64">
        <f t="shared" ref="N663:N712" si="210">+K663*(1+M663)</f>
        <v>2634.4361999999996</v>
      </c>
      <c r="O663" s="68">
        <f t="shared" si="203"/>
        <v>2830.39</v>
      </c>
      <c r="P663" s="68">
        <f t="shared" si="206"/>
        <v>2939.25</v>
      </c>
      <c r="Q663" s="68">
        <f t="shared" si="207"/>
        <v>3048.11</v>
      </c>
      <c r="R663" s="11">
        <f t="shared" si="208"/>
        <v>3156.97</v>
      </c>
      <c r="S663" s="11">
        <f t="shared" si="204"/>
        <v>3265.83</v>
      </c>
      <c r="T663" s="11">
        <f t="shared" si="209"/>
        <v>3483.55</v>
      </c>
      <c r="U663" s="38">
        <f t="shared" si="198"/>
        <v>3556.49</v>
      </c>
      <c r="V663" s="38">
        <f t="shared" si="199"/>
        <v>3688.21</v>
      </c>
      <c r="W663" s="38">
        <f t="shared" si="200"/>
        <v>3819.93</v>
      </c>
      <c r="X663" s="38">
        <f t="shared" si="201"/>
        <v>3951.65</v>
      </c>
      <c r="Z663" s="4">
        <f t="shared" ref="Z663:Z691" si="211">J663*K663</f>
        <v>0</v>
      </c>
      <c r="AA663" s="4">
        <f t="shared" ref="AA663:AA691" si="212">J663*N663</f>
        <v>0</v>
      </c>
    </row>
    <row r="664" spans="1:27" x14ac:dyDescent="0.3">
      <c r="A664" s="135"/>
      <c r="B664" s="125"/>
      <c r="C664" s="3" t="s">
        <v>169</v>
      </c>
      <c r="D664" s="91" t="s">
        <v>756</v>
      </c>
      <c r="E664" s="55" t="s">
        <v>69</v>
      </c>
      <c r="F664" s="55" t="s">
        <v>266</v>
      </c>
      <c r="G664" s="56">
        <v>1</v>
      </c>
      <c r="H664" s="49">
        <v>2</v>
      </c>
      <c r="I664" s="50">
        <f>1+1</f>
        <v>2</v>
      </c>
      <c r="J664" s="77">
        <f>+H664-I664</f>
        <v>0</v>
      </c>
      <c r="K664" s="31">
        <v>236.16</v>
      </c>
      <c r="L664" s="32">
        <v>43172</v>
      </c>
      <c r="M664" s="33">
        <v>0.21</v>
      </c>
      <c r="N664" s="64">
        <f t="shared" si="210"/>
        <v>285.75360000000001</v>
      </c>
      <c r="O664" s="68">
        <f t="shared" si="203"/>
        <v>307.01</v>
      </c>
      <c r="P664" s="68">
        <f t="shared" si="206"/>
        <v>318.82</v>
      </c>
      <c r="Q664" s="68">
        <f t="shared" si="207"/>
        <v>330.62</v>
      </c>
      <c r="R664" s="11">
        <f t="shared" si="208"/>
        <v>342.43</v>
      </c>
      <c r="S664" s="11">
        <f t="shared" si="204"/>
        <v>354.24</v>
      </c>
      <c r="T664" s="11">
        <f t="shared" si="209"/>
        <v>377.86</v>
      </c>
      <c r="U664" s="38">
        <f t="shared" ref="U664:U715" si="213">ROUND((N664*(1+$U$3)),2)</f>
        <v>385.77</v>
      </c>
      <c r="V664" s="38">
        <f t="shared" ref="V664:V715" si="214">ROUND((N664*(1+$V$3)),2)</f>
        <v>400.06</v>
      </c>
      <c r="W664" s="38">
        <f t="shared" ref="W664:W715" si="215">ROUND((N664*(1+$W$3)),2)</f>
        <v>414.34</v>
      </c>
      <c r="X664" s="38">
        <f t="shared" ref="X664:X716" si="216">ROUND((N664*(1+$X$3)),2)</f>
        <v>428.63</v>
      </c>
      <c r="Z664" s="4">
        <f t="shared" si="211"/>
        <v>0</v>
      </c>
      <c r="AA664" s="4">
        <f t="shared" si="212"/>
        <v>0</v>
      </c>
    </row>
    <row r="665" spans="1:27" x14ac:dyDescent="0.3">
      <c r="A665" s="135"/>
      <c r="B665" s="125"/>
      <c r="C665" s="3" t="s">
        <v>168</v>
      </c>
      <c r="D665" s="55" t="s">
        <v>165</v>
      </c>
      <c r="E665" s="55" t="s">
        <v>176</v>
      </c>
      <c r="F665" s="55" t="s">
        <v>266</v>
      </c>
      <c r="G665" s="56">
        <v>1</v>
      </c>
      <c r="H665" s="49">
        <f>10+5</f>
        <v>15</v>
      </c>
      <c r="I665" s="50">
        <f>1+2+5+2+4+1</f>
        <v>15</v>
      </c>
      <c r="J665" s="77">
        <f>+H665-I665</f>
        <v>0</v>
      </c>
      <c r="K665" s="31">
        <v>716</v>
      </c>
      <c r="L665" s="32">
        <v>44043</v>
      </c>
      <c r="M665" s="33">
        <v>0.21</v>
      </c>
      <c r="N665" s="64">
        <f t="shared" si="210"/>
        <v>866.36</v>
      </c>
      <c r="O665" s="68">
        <f t="shared" si="203"/>
        <v>930.8</v>
      </c>
      <c r="P665" s="68">
        <f t="shared" si="206"/>
        <v>966.6</v>
      </c>
      <c r="Q665" s="68">
        <f t="shared" si="207"/>
        <v>1002.4</v>
      </c>
      <c r="R665" s="11">
        <f t="shared" si="208"/>
        <v>1038.2</v>
      </c>
      <c r="S665" s="11">
        <f t="shared" si="204"/>
        <v>1074</v>
      </c>
      <c r="T665" s="11">
        <f t="shared" si="209"/>
        <v>1145.5999999999999</v>
      </c>
      <c r="U665" s="38">
        <f t="shared" si="213"/>
        <v>1169.5899999999999</v>
      </c>
      <c r="V665" s="38">
        <f t="shared" si="214"/>
        <v>1212.9000000000001</v>
      </c>
      <c r="W665" s="38">
        <f t="shared" si="215"/>
        <v>1256.22</v>
      </c>
      <c r="X665" s="38">
        <f t="shared" si="216"/>
        <v>1299.54</v>
      </c>
      <c r="Z665" s="4">
        <f t="shared" si="211"/>
        <v>0</v>
      </c>
      <c r="AA665" s="4">
        <f t="shared" si="212"/>
        <v>0</v>
      </c>
    </row>
    <row r="666" spans="1:27" x14ac:dyDescent="0.3">
      <c r="A666" s="135"/>
      <c r="B666" s="125"/>
      <c r="C666" s="3" t="s">
        <v>170</v>
      </c>
      <c r="D666" s="55" t="s">
        <v>51</v>
      </c>
      <c r="E666" s="55" t="s">
        <v>176</v>
      </c>
      <c r="F666" s="55" t="s">
        <v>266</v>
      </c>
      <c r="G666" s="56">
        <v>1</v>
      </c>
      <c r="H666" s="49">
        <f>18+10+5+5</f>
        <v>38</v>
      </c>
      <c r="I666" s="50">
        <f>21+1+1+4+1+4+1+2+1+2</f>
        <v>38</v>
      </c>
      <c r="J666" s="77">
        <f>+H666-I666</f>
        <v>0</v>
      </c>
      <c r="K666" s="31">
        <v>716</v>
      </c>
      <c r="L666" s="32">
        <v>44043</v>
      </c>
      <c r="M666" s="33">
        <v>0.21</v>
      </c>
      <c r="N666" s="64">
        <f t="shared" si="210"/>
        <v>866.36</v>
      </c>
      <c r="O666" s="68">
        <f t="shared" si="203"/>
        <v>930.8</v>
      </c>
      <c r="P666" s="68">
        <f t="shared" si="206"/>
        <v>966.6</v>
      </c>
      <c r="Q666" s="68">
        <f t="shared" si="207"/>
        <v>1002.4</v>
      </c>
      <c r="R666" s="11">
        <f t="shared" si="208"/>
        <v>1038.2</v>
      </c>
      <c r="S666" s="11">
        <f t="shared" si="204"/>
        <v>1074</v>
      </c>
      <c r="T666" s="11">
        <f t="shared" si="209"/>
        <v>1145.5999999999999</v>
      </c>
      <c r="U666" s="38">
        <f t="shared" si="213"/>
        <v>1169.5899999999999</v>
      </c>
      <c r="V666" s="38">
        <f t="shared" si="214"/>
        <v>1212.9000000000001</v>
      </c>
      <c r="W666" s="38">
        <f t="shared" si="215"/>
        <v>1256.22</v>
      </c>
      <c r="X666" s="38">
        <f t="shared" si="216"/>
        <v>1299.54</v>
      </c>
      <c r="Z666" s="4">
        <f t="shared" si="211"/>
        <v>0</v>
      </c>
      <c r="AA666" s="4">
        <f t="shared" si="212"/>
        <v>0</v>
      </c>
    </row>
    <row r="667" spans="1:27" x14ac:dyDescent="0.3">
      <c r="A667" s="135"/>
      <c r="B667" s="125"/>
      <c r="C667" s="3" t="s">
        <v>1426</v>
      </c>
      <c r="D667" s="55"/>
      <c r="E667" s="55" t="s">
        <v>362</v>
      </c>
      <c r="F667" s="55" t="s">
        <v>292</v>
      </c>
      <c r="G667" s="56">
        <v>0</v>
      </c>
      <c r="H667" s="49">
        <v>1</v>
      </c>
      <c r="I667" s="50">
        <v>0</v>
      </c>
      <c r="J667" s="77">
        <f>+H667-I667</f>
        <v>1</v>
      </c>
      <c r="K667" s="31">
        <v>753.55</v>
      </c>
      <c r="L667" s="32">
        <v>43858</v>
      </c>
      <c r="M667" s="33">
        <v>0.21</v>
      </c>
      <c r="N667" s="64">
        <f t="shared" si="210"/>
        <v>911.79549999999995</v>
      </c>
      <c r="O667" s="68">
        <f t="shared" si="203"/>
        <v>979.62</v>
      </c>
      <c r="P667" s="68">
        <f t="shared" si="206"/>
        <v>1017.29</v>
      </c>
      <c r="Q667" s="68">
        <f t="shared" si="207"/>
        <v>1054.97</v>
      </c>
      <c r="R667" s="11">
        <f t="shared" si="208"/>
        <v>1092.6500000000001</v>
      </c>
      <c r="S667" s="11">
        <f t="shared" si="204"/>
        <v>1130.3249999999998</v>
      </c>
      <c r="T667" s="11">
        <f t="shared" si="209"/>
        <v>1205.68</v>
      </c>
      <c r="U667" s="38">
        <f t="shared" si="213"/>
        <v>1230.92</v>
      </c>
      <c r="V667" s="38">
        <f t="shared" si="214"/>
        <v>1276.51</v>
      </c>
      <c r="W667" s="38">
        <f t="shared" si="215"/>
        <v>1322.1</v>
      </c>
      <c r="X667" s="38">
        <f t="shared" si="216"/>
        <v>1367.69</v>
      </c>
      <c r="Z667" s="4">
        <f t="shared" si="211"/>
        <v>753.55</v>
      </c>
      <c r="AA667" s="4">
        <f t="shared" si="212"/>
        <v>911.79549999999995</v>
      </c>
    </row>
    <row r="668" spans="1:27" x14ac:dyDescent="0.3">
      <c r="A668" s="135"/>
      <c r="B668" s="125"/>
      <c r="C668" s="3" t="s">
        <v>1502</v>
      </c>
      <c r="D668" s="55" t="s">
        <v>1573</v>
      </c>
      <c r="E668" s="55"/>
      <c r="F668" s="55" t="s">
        <v>1574</v>
      </c>
      <c r="G668" s="56">
        <v>2</v>
      </c>
      <c r="H668" s="49">
        <f>25+10</f>
        <v>35</v>
      </c>
      <c r="I668" s="50">
        <f>20+1+4+1</f>
        <v>26</v>
      </c>
      <c r="J668" s="77">
        <f>+H668-I668</f>
        <v>9</v>
      </c>
      <c r="K668" s="31">
        <v>2361.6</v>
      </c>
      <c r="L668" s="32">
        <v>44210</v>
      </c>
      <c r="M668" s="33">
        <v>0.105</v>
      </c>
      <c r="N668" s="64">
        <f t="shared" si="210"/>
        <v>2609.5679999999998</v>
      </c>
      <c r="O668" s="68">
        <f t="shared" si="203"/>
        <v>3070.08</v>
      </c>
      <c r="P668" s="68">
        <f t="shared" si="206"/>
        <v>3188.16</v>
      </c>
      <c r="Q668" s="68">
        <f t="shared" si="207"/>
        <v>3306.24</v>
      </c>
      <c r="R668" s="11">
        <f t="shared" si="208"/>
        <v>3424.32</v>
      </c>
      <c r="S668" s="11">
        <f t="shared" si="204"/>
        <v>3542.3999999999996</v>
      </c>
      <c r="T668" s="11">
        <f t="shared" si="209"/>
        <v>3778.56</v>
      </c>
      <c r="U668" s="38">
        <f t="shared" si="213"/>
        <v>3522.92</v>
      </c>
      <c r="V668" s="38">
        <f t="shared" si="214"/>
        <v>3653.4</v>
      </c>
      <c r="W668" s="38">
        <f t="shared" si="215"/>
        <v>3783.87</v>
      </c>
      <c r="X668" s="38">
        <f t="shared" si="216"/>
        <v>3914.35</v>
      </c>
      <c r="Z668" s="4">
        <f t="shared" si="211"/>
        <v>21254.399999999998</v>
      </c>
      <c r="AA668" s="4">
        <f t="shared" si="212"/>
        <v>23486.111999999997</v>
      </c>
    </row>
    <row r="669" spans="1:27" x14ac:dyDescent="0.3">
      <c r="A669" s="135"/>
      <c r="B669" s="125"/>
      <c r="C669" s="3" t="s">
        <v>664</v>
      </c>
      <c r="D669" s="55" t="s">
        <v>10</v>
      </c>
      <c r="E669" s="55"/>
      <c r="F669" s="55" t="s">
        <v>1459</v>
      </c>
      <c r="G669" s="56">
        <v>20</v>
      </c>
      <c r="H669" s="49">
        <f>101+50+50+3+30+50+20+20+19</f>
        <v>343</v>
      </c>
      <c r="I669" s="50">
        <f>2+6+6+1+2+5+3+1+2+2+2+2+2+3+6+1+4+5+1+1+6+1+2+1+6+3+1+2+6+5+1+2+6+1+5+1+1+1+8+1+1+4+8+1+3+8+8+5+3+10+10+5+20+1+1+5+2+1+1+10+1+8+1+25+6+2+2+8+2+1+3+2+1+2+2+8+1+2+1+2+1+1+1+1+3+3+6</f>
        <v>320</v>
      </c>
      <c r="J669" s="77">
        <f>+H669-I669</f>
        <v>23</v>
      </c>
      <c r="K669" s="31">
        <v>985</v>
      </c>
      <c r="L669" s="32">
        <v>44250</v>
      </c>
      <c r="M669" s="33">
        <v>0.21</v>
      </c>
      <c r="N669" s="64">
        <f t="shared" si="210"/>
        <v>1191.8499999999999</v>
      </c>
      <c r="O669" s="68">
        <f t="shared" si="203"/>
        <v>1280.5</v>
      </c>
      <c r="P669" s="68">
        <f t="shared" si="206"/>
        <v>1329.75</v>
      </c>
      <c r="Q669" s="68">
        <f t="shared" si="207"/>
        <v>1379</v>
      </c>
      <c r="R669" s="11">
        <f t="shared" si="208"/>
        <v>1428.25</v>
      </c>
      <c r="S669" s="11">
        <f t="shared" si="204"/>
        <v>1477.5</v>
      </c>
      <c r="T669" s="11">
        <f t="shared" si="209"/>
        <v>1576</v>
      </c>
      <c r="U669" s="38">
        <f t="shared" si="213"/>
        <v>1609</v>
      </c>
      <c r="V669" s="38">
        <f t="shared" si="214"/>
        <v>1668.59</v>
      </c>
      <c r="W669" s="38">
        <f t="shared" si="215"/>
        <v>1728.18</v>
      </c>
      <c r="X669" s="38">
        <f t="shared" si="216"/>
        <v>1787.78</v>
      </c>
      <c r="Z669" s="4">
        <f t="shared" si="211"/>
        <v>22655</v>
      </c>
      <c r="AA669" s="4">
        <f t="shared" si="212"/>
        <v>27412.55</v>
      </c>
    </row>
    <row r="670" spans="1:27" x14ac:dyDescent="0.3">
      <c r="A670" s="135"/>
      <c r="B670" s="125"/>
      <c r="C670" s="3" t="s">
        <v>1535</v>
      </c>
      <c r="D670" s="55" t="s">
        <v>1536</v>
      </c>
      <c r="E670" s="55"/>
      <c r="F670" s="55" t="s">
        <v>269</v>
      </c>
      <c r="G670" s="56">
        <v>10</v>
      </c>
      <c r="H670" s="49">
        <f>20</f>
        <v>20</v>
      </c>
      <c r="I670" s="50"/>
      <c r="J670" s="77">
        <f>+H670-I670</f>
        <v>20</v>
      </c>
      <c r="K670" s="31">
        <v>729.62</v>
      </c>
      <c r="L670" s="32">
        <v>44250</v>
      </c>
      <c r="M670" s="33">
        <v>0.21</v>
      </c>
      <c r="N670" s="64"/>
      <c r="O670" s="68">
        <f t="shared" si="203"/>
        <v>948.51</v>
      </c>
      <c r="P670" s="68">
        <f t="shared" si="206"/>
        <v>984.99</v>
      </c>
      <c r="Q670" s="68">
        <f t="shared" si="207"/>
        <v>1021.47</v>
      </c>
      <c r="R670" s="11">
        <f t="shared" si="208"/>
        <v>1057.95</v>
      </c>
      <c r="S670" s="11">
        <f t="shared" si="204"/>
        <v>1094.43</v>
      </c>
      <c r="T670" s="11">
        <f t="shared" si="209"/>
        <v>1167.3900000000001</v>
      </c>
      <c r="U670" s="38"/>
      <c r="V670" s="38"/>
      <c r="W670" s="38"/>
      <c r="X670" s="38"/>
      <c r="Z670" s="4">
        <f t="shared" si="211"/>
        <v>14592.4</v>
      </c>
      <c r="AA670" s="4"/>
    </row>
    <row r="671" spans="1:27" x14ac:dyDescent="0.3">
      <c r="A671" s="135"/>
      <c r="B671" s="125"/>
      <c r="C671" s="3" t="s">
        <v>663</v>
      </c>
      <c r="D671" s="55" t="s">
        <v>1081</v>
      </c>
      <c r="E671" s="55" t="s">
        <v>809</v>
      </c>
      <c r="F671" s="55" t="s">
        <v>269</v>
      </c>
      <c r="G671" s="56">
        <v>5</v>
      </c>
      <c r="H671" s="49">
        <f>8+2+6+5</f>
        <v>21</v>
      </c>
      <c r="I671" s="50">
        <f>2+1+1+1+1+6+1+1+1+2+1</f>
        <v>18</v>
      </c>
      <c r="J671" s="77">
        <f>+H671-I671</f>
        <v>3</v>
      </c>
      <c r="K671" s="31">
        <v>750</v>
      </c>
      <c r="L671" s="32">
        <v>44188</v>
      </c>
      <c r="M671" s="33">
        <v>0.21</v>
      </c>
      <c r="N671" s="64">
        <f>+K671*(1+M671)</f>
        <v>907.5</v>
      </c>
      <c r="O671" s="68">
        <f>ROUND(K671*(1+$O$3),2)</f>
        <v>975</v>
      </c>
      <c r="P671" s="68">
        <f>ROUND(K671*(1+$P$3),2)</f>
        <v>1012.5</v>
      </c>
      <c r="Q671" s="68">
        <f>ROUND(K671*(1+$Q$3),2)</f>
        <v>1050</v>
      </c>
      <c r="R671" s="11">
        <f>ROUND(K671*(1+$R$3),2)</f>
        <v>1087.5</v>
      </c>
      <c r="S671" s="11">
        <f>K671*(1+$S$3)</f>
        <v>1125</v>
      </c>
      <c r="T671" s="11">
        <f>ROUND(K671*(1+$T$3),2)</f>
        <v>1200</v>
      </c>
      <c r="U671" s="38">
        <f t="shared" si="213"/>
        <v>1225.1300000000001</v>
      </c>
      <c r="V671" s="38">
        <f t="shared" si="214"/>
        <v>1270.5</v>
      </c>
      <c r="W671" s="38">
        <f t="shared" si="215"/>
        <v>1315.88</v>
      </c>
      <c r="X671" s="38">
        <f t="shared" si="216"/>
        <v>1361.25</v>
      </c>
      <c r="Z671" s="4">
        <f>J671*K671</f>
        <v>2250</v>
      </c>
      <c r="AA671" s="4">
        <f>J671*N671</f>
        <v>2722.5</v>
      </c>
    </row>
    <row r="672" spans="1:27" x14ac:dyDescent="0.3">
      <c r="A672" s="135"/>
      <c r="B672" s="125"/>
      <c r="C672" s="3" t="s">
        <v>1373</v>
      </c>
      <c r="D672" s="55"/>
      <c r="E672" s="55"/>
      <c r="F672" s="55" t="s">
        <v>269</v>
      </c>
      <c r="G672" s="56">
        <v>1</v>
      </c>
      <c r="H672" s="49">
        <v>2</v>
      </c>
      <c r="I672" s="50">
        <f>0+1</f>
        <v>1</v>
      </c>
      <c r="J672" s="77">
        <f>+H672-I672</f>
        <v>1</v>
      </c>
      <c r="K672" s="31">
        <v>1230</v>
      </c>
      <c r="L672" s="32">
        <v>43608</v>
      </c>
      <c r="M672" s="33">
        <v>0.21</v>
      </c>
      <c r="N672" s="64">
        <f>+K672*(1+M672)</f>
        <v>1488.3</v>
      </c>
      <c r="O672" s="68">
        <f>ROUND(K672*(1+$O$3),2)</f>
        <v>1599</v>
      </c>
      <c r="P672" s="68">
        <f>ROUND(K672*(1+$P$3),2)</f>
        <v>1660.5</v>
      </c>
      <c r="Q672" s="68">
        <f>ROUND(K672*(1+$Q$3),2)</f>
        <v>1722</v>
      </c>
      <c r="R672" s="11">
        <f>ROUND(K672*(1+$R$3),2)</f>
        <v>1783.5</v>
      </c>
      <c r="S672" s="11">
        <f>K672*(1+$S$3)</f>
        <v>1845</v>
      </c>
      <c r="T672" s="11">
        <f>ROUND(K672*(1+$T$3),2)</f>
        <v>1968</v>
      </c>
      <c r="U672" s="38">
        <f t="shared" si="213"/>
        <v>2009.21</v>
      </c>
      <c r="V672" s="38">
        <f t="shared" si="214"/>
        <v>2083.62</v>
      </c>
      <c r="W672" s="38">
        <f t="shared" si="215"/>
        <v>2158.04</v>
      </c>
      <c r="X672" s="38">
        <f t="shared" si="216"/>
        <v>2232.4499999999998</v>
      </c>
      <c r="Z672" s="4">
        <f>J672*K672</f>
        <v>1230</v>
      </c>
      <c r="AA672" s="4">
        <f>J672*N672</f>
        <v>1488.3</v>
      </c>
    </row>
    <row r="673" spans="1:28" x14ac:dyDescent="0.3">
      <c r="A673" s="135"/>
      <c r="B673" s="125"/>
      <c r="C673" s="3" t="s">
        <v>971</v>
      </c>
      <c r="D673" s="55" t="s">
        <v>1542</v>
      </c>
      <c r="E673" s="55" t="s">
        <v>34</v>
      </c>
      <c r="F673" s="55"/>
      <c r="G673" s="56">
        <v>24</v>
      </c>
      <c r="H673" s="49">
        <f>4+3+1+9+60+112</f>
        <v>189</v>
      </c>
      <c r="I673" s="50">
        <f>1+1+1+1+1+1+1+10+4+4+20+20+1+2+5+2+1+10+4+2+16+1+2</f>
        <v>111</v>
      </c>
      <c r="J673" s="77">
        <f>+H673-I673</f>
        <v>78</v>
      </c>
      <c r="K673" s="31">
        <v>300</v>
      </c>
      <c r="L673" s="32">
        <v>44146</v>
      </c>
      <c r="M673" s="33">
        <v>0.21</v>
      </c>
      <c r="N673" s="64">
        <f t="shared" si="210"/>
        <v>363</v>
      </c>
      <c r="O673" s="68">
        <f t="shared" si="203"/>
        <v>390</v>
      </c>
      <c r="P673" s="68">
        <f t="shared" si="206"/>
        <v>405</v>
      </c>
      <c r="Q673" s="68">
        <f t="shared" si="207"/>
        <v>420</v>
      </c>
      <c r="R673" s="11">
        <f t="shared" si="208"/>
        <v>435</v>
      </c>
      <c r="S673" s="11">
        <f t="shared" si="204"/>
        <v>450</v>
      </c>
      <c r="T673" s="11">
        <f t="shared" si="209"/>
        <v>480</v>
      </c>
      <c r="U673" s="38">
        <f t="shared" si="213"/>
        <v>490.05</v>
      </c>
      <c r="V673" s="38">
        <f t="shared" si="214"/>
        <v>508.2</v>
      </c>
      <c r="W673" s="38">
        <f t="shared" si="215"/>
        <v>526.35</v>
      </c>
      <c r="X673" s="38">
        <f t="shared" si="216"/>
        <v>544.5</v>
      </c>
      <c r="Z673" s="4">
        <f t="shared" si="211"/>
        <v>23400</v>
      </c>
      <c r="AA673" s="4">
        <f t="shared" si="212"/>
        <v>28314</v>
      </c>
    </row>
    <row r="674" spans="1:28" x14ac:dyDescent="0.3">
      <c r="A674" s="135"/>
      <c r="B674" s="125"/>
      <c r="C674" s="3" t="s">
        <v>1551</v>
      </c>
      <c r="D674" s="55"/>
      <c r="E674" s="55"/>
      <c r="F674" s="55" t="s">
        <v>1550</v>
      </c>
      <c r="G674" s="56">
        <v>0</v>
      </c>
      <c r="H674" s="139">
        <f>15+2+1+3</f>
        <v>21</v>
      </c>
      <c r="I674" s="138">
        <f>6+1+1+1+1+5+2+1</f>
        <v>18</v>
      </c>
      <c r="J674" s="77">
        <f>+H674-I674</f>
        <v>3</v>
      </c>
      <c r="K674" s="31">
        <v>3250</v>
      </c>
      <c r="L674" s="32">
        <v>44144</v>
      </c>
      <c r="M674" s="33"/>
      <c r="N674" s="64"/>
      <c r="O674" s="68">
        <f t="shared" si="203"/>
        <v>4225</v>
      </c>
      <c r="P674" s="68">
        <f t="shared" si="206"/>
        <v>4387.5</v>
      </c>
      <c r="Q674" s="68">
        <f t="shared" si="207"/>
        <v>4550</v>
      </c>
      <c r="R674" s="11">
        <f t="shared" si="208"/>
        <v>4712.5</v>
      </c>
      <c r="S674" s="11">
        <f t="shared" si="204"/>
        <v>4875</v>
      </c>
      <c r="T674" s="11">
        <f t="shared" si="209"/>
        <v>5200</v>
      </c>
      <c r="U674" s="38"/>
      <c r="V674" s="38"/>
      <c r="W674" s="38"/>
      <c r="X674" s="38"/>
      <c r="Z674" s="4"/>
      <c r="AA674" s="4"/>
    </row>
    <row r="675" spans="1:28" x14ac:dyDescent="0.3">
      <c r="A675" s="135"/>
      <c r="B675" s="125"/>
      <c r="C675" s="3" t="s">
        <v>1201</v>
      </c>
      <c r="D675" s="55"/>
      <c r="E675" s="55" t="s">
        <v>70</v>
      </c>
      <c r="F675" s="55" t="s">
        <v>222</v>
      </c>
      <c r="G675" s="56">
        <v>0</v>
      </c>
      <c r="H675" s="49">
        <v>5</v>
      </c>
      <c r="I675" s="50">
        <f>3+1+1</f>
        <v>5</v>
      </c>
      <c r="J675" s="77">
        <f>+H675-I675</f>
        <v>0</v>
      </c>
      <c r="K675" s="31">
        <v>236</v>
      </c>
      <c r="L675" s="32">
        <v>44146</v>
      </c>
      <c r="M675" s="33">
        <v>0.21</v>
      </c>
      <c r="N675" s="64">
        <f t="shared" si="210"/>
        <v>285.56</v>
      </c>
      <c r="O675" s="68">
        <f t="shared" si="203"/>
        <v>306.8</v>
      </c>
      <c r="P675" s="68">
        <f t="shared" si="206"/>
        <v>318.60000000000002</v>
      </c>
      <c r="Q675" s="68">
        <f t="shared" si="207"/>
        <v>330.4</v>
      </c>
      <c r="R675" s="11">
        <f t="shared" si="208"/>
        <v>342.2</v>
      </c>
      <c r="S675" s="11">
        <f t="shared" si="204"/>
        <v>354</v>
      </c>
      <c r="T675" s="11">
        <f t="shared" si="209"/>
        <v>377.6</v>
      </c>
      <c r="U675" s="38">
        <f t="shared" si="213"/>
        <v>385.51</v>
      </c>
      <c r="V675" s="38">
        <f t="shared" si="214"/>
        <v>399.78</v>
      </c>
      <c r="W675" s="38">
        <f t="shared" si="215"/>
        <v>414.06</v>
      </c>
      <c r="X675" s="38">
        <f t="shared" si="216"/>
        <v>428.34</v>
      </c>
      <c r="Z675" s="4">
        <f t="shared" si="211"/>
        <v>0</v>
      </c>
      <c r="AA675" s="4">
        <f t="shared" si="212"/>
        <v>0</v>
      </c>
    </row>
    <row r="676" spans="1:28" x14ac:dyDescent="0.3">
      <c r="A676" s="135"/>
      <c r="B676" s="125"/>
      <c r="C676" s="3" t="s">
        <v>1317</v>
      </c>
      <c r="D676" s="55" t="s">
        <v>832</v>
      </c>
      <c r="E676" s="55" t="s">
        <v>70</v>
      </c>
      <c r="F676" s="55" t="s">
        <v>222</v>
      </c>
      <c r="G676" s="56">
        <v>3</v>
      </c>
      <c r="H676" s="49">
        <f>23+3+3+1+12</f>
        <v>42</v>
      </c>
      <c r="I676" s="50">
        <f>2+1+1+1+1+2+2+1+1+2+3+1+4+1+1+1+1+1+2+1+10</f>
        <v>40</v>
      </c>
      <c r="J676" s="77">
        <f>+H676-I676</f>
        <v>2</v>
      </c>
      <c r="K676" s="31">
        <v>275.48</v>
      </c>
      <c r="L676" s="32">
        <v>44230</v>
      </c>
      <c r="M676" s="33">
        <v>0.21</v>
      </c>
      <c r="N676" s="64">
        <f t="shared" si="210"/>
        <v>333.33080000000001</v>
      </c>
      <c r="O676" s="68">
        <f t="shared" si="203"/>
        <v>358.12</v>
      </c>
      <c r="P676" s="68">
        <f t="shared" si="206"/>
        <v>371.9</v>
      </c>
      <c r="Q676" s="68">
        <f t="shared" si="207"/>
        <v>385.67</v>
      </c>
      <c r="R676" s="11">
        <f t="shared" si="208"/>
        <v>399.45</v>
      </c>
      <c r="S676" s="11">
        <f t="shared" si="204"/>
        <v>413.22</v>
      </c>
      <c r="T676" s="11">
        <f t="shared" si="209"/>
        <v>440.77</v>
      </c>
      <c r="U676" s="38">
        <f t="shared" si="213"/>
        <v>450</v>
      </c>
      <c r="V676" s="38">
        <f t="shared" si="214"/>
        <v>466.66</v>
      </c>
      <c r="W676" s="38">
        <f t="shared" si="215"/>
        <v>483.33</v>
      </c>
      <c r="X676" s="38">
        <f t="shared" si="216"/>
        <v>500</v>
      </c>
      <c r="Z676" s="4">
        <f t="shared" si="211"/>
        <v>550.96</v>
      </c>
      <c r="AA676" s="4">
        <f t="shared" si="212"/>
        <v>666.66160000000002</v>
      </c>
    </row>
    <row r="677" spans="1:28" x14ac:dyDescent="0.3">
      <c r="A677" s="135"/>
      <c r="B677" s="125"/>
      <c r="C677" s="3" t="s">
        <v>1428</v>
      </c>
      <c r="D677" s="55"/>
      <c r="E677" s="55" t="s">
        <v>70</v>
      </c>
      <c r="F677" s="55" t="s">
        <v>222</v>
      </c>
      <c r="G677" s="56">
        <v>0</v>
      </c>
      <c r="H677" s="49">
        <v>8</v>
      </c>
      <c r="I677" s="50">
        <f>4+1</f>
        <v>5</v>
      </c>
      <c r="J677" s="77">
        <f>+H677-I677</f>
        <v>3</v>
      </c>
      <c r="K677" s="31">
        <v>139.97999999999999</v>
      </c>
      <c r="L677" s="32">
        <v>43646</v>
      </c>
      <c r="M677" s="33">
        <v>0.21</v>
      </c>
      <c r="N677" s="64">
        <f t="shared" si="210"/>
        <v>169.37579999999997</v>
      </c>
      <c r="O677" s="68">
        <f t="shared" si="203"/>
        <v>181.97</v>
      </c>
      <c r="P677" s="68">
        <f t="shared" si="206"/>
        <v>188.97</v>
      </c>
      <c r="Q677" s="68">
        <f t="shared" si="207"/>
        <v>195.97</v>
      </c>
      <c r="R677" s="11">
        <f t="shared" si="208"/>
        <v>202.97</v>
      </c>
      <c r="S677" s="11">
        <f t="shared" si="204"/>
        <v>209.96999999999997</v>
      </c>
      <c r="T677" s="11">
        <f t="shared" si="209"/>
        <v>223.97</v>
      </c>
      <c r="U677" s="38">
        <f t="shared" si="213"/>
        <v>228.66</v>
      </c>
      <c r="V677" s="38">
        <f t="shared" si="214"/>
        <v>237.13</v>
      </c>
      <c r="W677" s="38">
        <f t="shared" si="215"/>
        <v>245.59</v>
      </c>
      <c r="X677" s="38">
        <f t="shared" si="216"/>
        <v>254.06</v>
      </c>
      <c r="Z677" s="4">
        <f t="shared" si="211"/>
        <v>419.93999999999994</v>
      </c>
      <c r="AA677" s="4">
        <f t="shared" si="212"/>
        <v>508.12739999999991</v>
      </c>
    </row>
    <row r="678" spans="1:28" x14ac:dyDescent="0.3">
      <c r="B678" s="125"/>
      <c r="C678" s="3" t="s">
        <v>1187</v>
      </c>
      <c r="D678" s="55"/>
      <c r="E678" s="55"/>
      <c r="F678" s="55"/>
      <c r="G678" s="56">
        <v>2</v>
      </c>
      <c r="H678" s="49">
        <f>4+3+5</f>
        <v>12</v>
      </c>
      <c r="I678" s="50">
        <f>3+1+3+2</f>
        <v>9</v>
      </c>
      <c r="J678" s="77">
        <f>+H678-I678</f>
        <v>3</v>
      </c>
      <c r="K678" s="31">
        <v>348.41</v>
      </c>
      <c r="L678" s="32">
        <v>44141</v>
      </c>
      <c r="M678" s="33">
        <v>0.21</v>
      </c>
      <c r="N678" s="64">
        <f t="shared" si="210"/>
        <v>421.5761</v>
      </c>
      <c r="O678" s="68">
        <f t="shared" si="203"/>
        <v>452.93</v>
      </c>
      <c r="P678" s="68">
        <f t="shared" si="206"/>
        <v>470.35</v>
      </c>
      <c r="Q678" s="68">
        <f t="shared" si="207"/>
        <v>487.77</v>
      </c>
      <c r="R678" s="11">
        <f t="shared" si="208"/>
        <v>505.19</v>
      </c>
      <c r="S678" s="11">
        <f t="shared" si="204"/>
        <v>522.61500000000001</v>
      </c>
      <c r="T678" s="11">
        <f t="shared" si="209"/>
        <v>557.46</v>
      </c>
      <c r="U678" s="38">
        <f t="shared" si="213"/>
        <v>569.13</v>
      </c>
      <c r="V678" s="38">
        <f t="shared" si="214"/>
        <v>590.21</v>
      </c>
      <c r="W678" s="38">
        <f t="shared" si="215"/>
        <v>611.29</v>
      </c>
      <c r="X678" s="38">
        <f t="shared" si="216"/>
        <v>632.36</v>
      </c>
      <c r="Z678" s="4">
        <f t="shared" si="211"/>
        <v>1045.23</v>
      </c>
      <c r="AA678" s="4">
        <f t="shared" si="212"/>
        <v>1264.7283</v>
      </c>
    </row>
    <row r="679" spans="1:28" x14ac:dyDescent="0.3">
      <c r="A679" s="135"/>
      <c r="B679" s="125"/>
      <c r="C679" s="3" t="s">
        <v>1247</v>
      </c>
      <c r="D679" s="55"/>
      <c r="E679" s="55" t="s">
        <v>70</v>
      </c>
      <c r="F679" s="55" t="s">
        <v>222</v>
      </c>
      <c r="G679" s="56">
        <v>0</v>
      </c>
      <c r="H679" s="49">
        <f>4</f>
        <v>4</v>
      </c>
      <c r="I679" s="50">
        <f>0+1</f>
        <v>1</v>
      </c>
      <c r="J679" s="77">
        <f>+H679-I679</f>
        <v>3</v>
      </c>
      <c r="K679" s="31">
        <v>429</v>
      </c>
      <c r="L679" s="32">
        <v>44146</v>
      </c>
      <c r="M679" s="33">
        <v>0.21</v>
      </c>
      <c r="N679" s="64">
        <f t="shared" si="210"/>
        <v>519.09</v>
      </c>
      <c r="O679" s="68">
        <f t="shared" si="203"/>
        <v>557.70000000000005</v>
      </c>
      <c r="P679" s="68">
        <f t="shared" si="206"/>
        <v>579.15</v>
      </c>
      <c r="Q679" s="68">
        <f t="shared" si="207"/>
        <v>600.6</v>
      </c>
      <c r="R679" s="11">
        <f t="shared" si="208"/>
        <v>622.04999999999995</v>
      </c>
      <c r="S679" s="11">
        <f t="shared" si="204"/>
        <v>643.5</v>
      </c>
      <c r="T679" s="11">
        <f t="shared" si="209"/>
        <v>686.4</v>
      </c>
      <c r="U679" s="38">
        <f t="shared" si="213"/>
        <v>700.77</v>
      </c>
      <c r="V679" s="38">
        <f t="shared" si="214"/>
        <v>726.73</v>
      </c>
      <c r="W679" s="38">
        <f t="shared" si="215"/>
        <v>752.68</v>
      </c>
      <c r="X679" s="38">
        <f t="shared" si="216"/>
        <v>778.64</v>
      </c>
      <c r="Z679" s="4">
        <f t="shared" si="211"/>
        <v>1287</v>
      </c>
      <c r="AA679" s="4">
        <f t="shared" si="212"/>
        <v>1557.27</v>
      </c>
    </row>
    <row r="680" spans="1:28" x14ac:dyDescent="0.3">
      <c r="A680" s="135"/>
      <c r="B680" s="125"/>
      <c r="C680" s="3" t="s">
        <v>1537</v>
      </c>
      <c r="D680" s="55"/>
      <c r="E680" s="55" t="s">
        <v>70</v>
      </c>
      <c r="F680" s="55" t="s">
        <v>222</v>
      </c>
      <c r="G680" s="56">
        <v>0</v>
      </c>
      <c r="H680" s="49">
        <v>2</v>
      </c>
      <c r="I680" s="50">
        <f>0+2</f>
        <v>2</v>
      </c>
      <c r="J680" s="77">
        <f>+H680-I680</f>
        <v>0</v>
      </c>
      <c r="K680" s="31">
        <v>580.67999999999995</v>
      </c>
      <c r="L680" s="32">
        <v>44146</v>
      </c>
      <c r="M680" s="33">
        <v>0.21</v>
      </c>
      <c r="N680" s="64">
        <f t="shared" si="210"/>
        <v>702.62279999999987</v>
      </c>
      <c r="O680" s="68">
        <f t="shared" si="203"/>
        <v>754.88</v>
      </c>
      <c r="P680" s="68">
        <f t="shared" si="206"/>
        <v>783.92</v>
      </c>
      <c r="Q680" s="68">
        <f t="shared" si="207"/>
        <v>812.95</v>
      </c>
      <c r="R680" s="11">
        <f t="shared" si="208"/>
        <v>841.99</v>
      </c>
      <c r="S680" s="11">
        <f t="shared" si="204"/>
        <v>871.02</v>
      </c>
      <c r="T680" s="11">
        <f t="shared" si="209"/>
        <v>929.09</v>
      </c>
      <c r="U680" s="38">
        <f t="shared" si="213"/>
        <v>948.54</v>
      </c>
      <c r="V680" s="38">
        <f t="shared" si="214"/>
        <v>983.67</v>
      </c>
      <c r="W680" s="38">
        <f t="shared" si="215"/>
        <v>1018.8</v>
      </c>
      <c r="X680" s="38">
        <f t="shared" si="216"/>
        <v>1053.93</v>
      </c>
      <c r="Z680" s="4">
        <f t="shared" si="211"/>
        <v>0</v>
      </c>
      <c r="AA680" s="4">
        <f t="shared" si="212"/>
        <v>0</v>
      </c>
    </row>
    <row r="681" spans="1:28" x14ac:dyDescent="0.3">
      <c r="A681" s="135"/>
      <c r="B681" s="125"/>
      <c r="C681" s="3" t="s">
        <v>1298</v>
      </c>
      <c r="D681" s="55"/>
      <c r="E681" s="55" t="s">
        <v>70</v>
      </c>
      <c r="F681" s="55" t="s">
        <v>222</v>
      </c>
      <c r="G681" s="56">
        <v>2</v>
      </c>
      <c r="H681" s="49">
        <f>1+1</f>
        <v>2</v>
      </c>
      <c r="I681" s="50">
        <f>1+1</f>
        <v>2</v>
      </c>
      <c r="J681" s="77">
        <f>+H681-I681</f>
        <v>0</v>
      </c>
      <c r="K681" s="31">
        <v>236</v>
      </c>
      <c r="L681" s="32">
        <v>44146</v>
      </c>
      <c r="M681" s="33">
        <v>0.21</v>
      </c>
      <c r="N681" s="64">
        <f t="shared" si="210"/>
        <v>285.56</v>
      </c>
      <c r="O681" s="68">
        <f t="shared" si="203"/>
        <v>306.8</v>
      </c>
      <c r="P681" s="68">
        <f t="shared" si="206"/>
        <v>318.60000000000002</v>
      </c>
      <c r="Q681" s="68">
        <f t="shared" si="207"/>
        <v>330.4</v>
      </c>
      <c r="R681" s="11">
        <f t="shared" si="208"/>
        <v>342.2</v>
      </c>
      <c r="S681" s="11">
        <f t="shared" si="204"/>
        <v>354</v>
      </c>
      <c r="T681" s="11">
        <f t="shared" si="209"/>
        <v>377.6</v>
      </c>
      <c r="U681" s="38">
        <f t="shared" si="213"/>
        <v>385.51</v>
      </c>
      <c r="V681" s="38">
        <f t="shared" si="214"/>
        <v>399.78</v>
      </c>
      <c r="W681" s="38">
        <f t="shared" si="215"/>
        <v>414.06</v>
      </c>
      <c r="X681" s="38">
        <f t="shared" si="216"/>
        <v>428.34</v>
      </c>
      <c r="Z681" s="4"/>
      <c r="AA681" s="4"/>
    </row>
    <row r="682" spans="1:28" x14ac:dyDescent="0.3">
      <c r="A682" s="135"/>
      <c r="B682" s="125"/>
      <c r="C682" s="3" t="s">
        <v>772</v>
      </c>
      <c r="D682" s="55" t="s">
        <v>1128</v>
      </c>
      <c r="E682" s="55" t="s">
        <v>70</v>
      </c>
      <c r="F682" s="55" t="s">
        <v>222</v>
      </c>
      <c r="G682" s="56">
        <v>5</v>
      </c>
      <c r="H682" s="49">
        <f>5+10+5+1+3</f>
        <v>24</v>
      </c>
      <c r="I682" s="50">
        <f>2+2+1+10+2+2+2+3</f>
        <v>24</v>
      </c>
      <c r="J682" s="77">
        <f>+H682-I682</f>
        <v>0</v>
      </c>
      <c r="K682" s="31">
        <v>427</v>
      </c>
      <c r="L682" s="32">
        <v>44146</v>
      </c>
      <c r="M682" s="33">
        <v>0.21</v>
      </c>
      <c r="N682" s="64">
        <f t="shared" si="210"/>
        <v>516.66999999999996</v>
      </c>
      <c r="O682" s="68">
        <f t="shared" si="203"/>
        <v>555.1</v>
      </c>
      <c r="P682" s="68">
        <f t="shared" si="206"/>
        <v>576.45000000000005</v>
      </c>
      <c r="Q682" s="68">
        <f t="shared" si="207"/>
        <v>597.79999999999995</v>
      </c>
      <c r="R682" s="11">
        <f t="shared" si="208"/>
        <v>619.15</v>
      </c>
      <c r="S682" s="11">
        <f t="shared" si="204"/>
        <v>640.5</v>
      </c>
      <c r="T682" s="11">
        <f t="shared" si="209"/>
        <v>683.2</v>
      </c>
      <c r="U682" s="38">
        <f t="shared" si="213"/>
        <v>697.5</v>
      </c>
      <c r="V682" s="38">
        <f t="shared" si="214"/>
        <v>723.34</v>
      </c>
      <c r="W682" s="38">
        <f t="shared" si="215"/>
        <v>749.17</v>
      </c>
      <c r="X682" s="38">
        <f t="shared" si="216"/>
        <v>775.01</v>
      </c>
      <c r="Z682" s="4">
        <f t="shared" si="211"/>
        <v>0</v>
      </c>
      <c r="AA682" s="4">
        <f t="shared" si="212"/>
        <v>0</v>
      </c>
    </row>
    <row r="683" spans="1:28" x14ac:dyDescent="0.3">
      <c r="A683" s="135"/>
      <c r="B683" s="125"/>
      <c r="C683" s="5" t="s">
        <v>380</v>
      </c>
      <c r="D683" s="55" t="s">
        <v>521</v>
      </c>
      <c r="E683" s="55" t="s">
        <v>362</v>
      </c>
      <c r="F683" s="55" t="s">
        <v>285</v>
      </c>
      <c r="G683" s="56">
        <v>5</v>
      </c>
      <c r="H683" s="49">
        <f>10+5+5+1+10</f>
        <v>31</v>
      </c>
      <c r="I683" s="50">
        <f>6+4+3+2+2+1+2+1+5</f>
        <v>26</v>
      </c>
      <c r="J683" s="77">
        <f>+H683-I683</f>
        <v>5</v>
      </c>
      <c r="K683" s="31">
        <v>141.32</v>
      </c>
      <c r="L683" s="32">
        <v>44048</v>
      </c>
      <c r="M683" s="33">
        <v>0.21</v>
      </c>
      <c r="N683" s="64">
        <f t="shared" si="210"/>
        <v>170.99719999999999</v>
      </c>
      <c r="O683" s="68">
        <f t="shared" si="203"/>
        <v>183.72</v>
      </c>
      <c r="P683" s="68">
        <f t="shared" si="206"/>
        <v>190.78</v>
      </c>
      <c r="Q683" s="68">
        <f t="shared" si="207"/>
        <v>197.85</v>
      </c>
      <c r="R683" s="11">
        <f t="shared" si="208"/>
        <v>204.91</v>
      </c>
      <c r="S683" s="11">
        <f t="shared" si="204"/>
        <v>211.98</v>
      </c>
      <c r="T683" s="11">
        <f t="shared" si="209"/>
        <v>226.11</v>
      </c>
      <c r="U683" s="38">
        <f t="shared" si="213"/>
        <v>230.85</v>
      </c>
      <c r="V683" s="38">
        <f t="shared" si="214"/>
        <v>239.4</v>
      </c>
      <c r="W683" s="38">
        <f t="shared" si="215"/>
        <v>247.95</v>
      </c>
      <c r="X683" s="38">
        <f t="shared" si="216"/>
        <v>256.5</v>
      </c>
      <c r="Z683" s="4">
        <f t="shared" si="211"/>
        <v>706.59999999999991</v>
      </c>
      <c r="AA683" s="4">
        <f t="shared" si="212"/>
        <v>854.98599999999999</v>
      </c>
    </row>
    <row r="684" spans="1:28" x14ac:dyDescent="0.3">
      <c r="A684" s="135"/>
      <c r="B684" s="125"/>
      <c r="C684" s="5" t="s">
        <v>381</v>
      </c>
      <c r="D684" s="55" t="s">
        <v>522</v>
      </c>
      <c r="E684" s="55" t="s">
        <v>362</v>
      </c>
      <c r="F684" s="55" t="s">
        <v>285</v>
      </c>
      <c r="G684" s="56">
        <v>5</v>
      </c>
      <c r="H684" s="49">
        <f>5+5+5+10</f>
        <v>25</v>
      </c>
      <c r="I684" s="50">
        <f>5+5+4+7+4</f>
        <v>25</v>
      </c>
      <c r="J684" s="77">
        <f>+H684-I684</f>
        <v>0</v>
      </c>
      <c r="K684" s="31">
        <v>121.37</v>
      </c>
      <c r="L684" s="32">
        <v>43992</v>
      </c>
      <c r="M684" s="33">
        <v>0.21</v>
      </c>
      <c r="N684" s="64">
        <f t="shared" si="210"/>
        <v>146.85769999999999</v>
      </c>
      <c r="O684" s="68">
        <f t="shared" si="203"/>
        <v>157.78</v>
      </c>
      <c r="P684" s="68">
        <f t="shared" si="206"/>
        <v>163.85</v>
      </c>
      <c r="Q684" s="68">
        <f t="shared" si="207"/>
        <v>169.92</v>
      </c>
      <c r="R684" s="11">
        <f t="shared" si="208"/>
        <v>175.99</v>
      </c>
      <c r="S684" s="11">
        <f t="shared" si="204"/>
        <v>182.05500000000001</v>
      </c>
      <c r="T684" s="11">
        <f t="shared" si="209"/>
        <v>194.19</v>
      </c>
      <c r="U684" s="38">
        <f t="shared" si="213"/>
        <v>198.26</v>
      </c>
      <c r="V684" s="38">
        <f t="shared" si="214"/>
        <v>205.6</v>
      </c>
      <c r="W684" s="38">
        <f t="shared" si="215"/>
        <v>212.94</v>
      </c>
      <c r="X684" s="38">
        <f t="shared" si="216"/>
        <v>220.29</v>
      </c>
      <c r="Z684" s="4">
        <f t="shared" si="211"/>
        <v>0</v>
      </c>
      <c r="AA684" s="4">
        <f t="shared" si="212"/>
        <v>0</v>
      </c>
      <c r="AB684" s="7">
        <f>+T684*1.21</f>
        <v>234.9699</v>
      </c>
    </row>
    <row r="685" spans="1:28" x14ac:dyDescent="0.3">
      <c r="A685" s="135"/>
      <c r="B685" s="125"/>
      <c r="C685" s="3" t="s">
        <v>156</v>
      </c>
      <c r="D685" s="55" t="s">
        <v>665</v>
      </c>
      <c r="E685" s="55" t="s">
        <v>70</v>
      </c>
      <c r="F685" s="55" t="s">
        <v>542</v>
      </c>
      <c r="G685" s="56">
        <v>3</v>
      </c>
      <c r="H685" s="49">
        <f>10+10+10+10+10+10+10+4+5+2+1</f>
        <v>82</v>
      </c>
      <c r="I685" s="50">
        <f>5+5+10+10+10+10+10+2+4+1+3+4+4+2</f>
        <v>80</v>
      </c>
      <c r="J685" s="77">
        <f>+H685-I685</f>
        <v>2</v>
      </c>
      <c r="K685" s="31">
        <v>997.6</v>
      </c>
      <c r="L685" s="32">
        <v>44141</v>
      </c>
      <c r="M685" s="33">
        <v>0.21</v>
      </c>
      <c r="N685" s="64">
        <f t="shared" si="210"/>
        <v>1207.096</v>
      </c>
      <c r="O685" s="68">
        <f t="shared" si="203"/>
        <v>1296.8800000000001</v>
      </c>
      <c r="P685" s="68">
        <f t="shared" si="206"/>
        <v>1346.76</v>
      </c>
      <c r="Q685" s="68">
        <f t="shared" si="207"/>
        <v>1396.64</v>
      </c>
      <c r="R685" s="11">
        <f t="shared" si="208"/>
        <v>1446.52</v>
      </c>
      <c r="S685" s="11">
        <f t="shared" si="204"/>
        <v>1496.4</v>
      </c>
      <c r="T685" s="11">
        <f t="shared" si="209"/>
        <v>1596.16</v>
      </c>
      <c r="U685" s="38">
        <f t="shared" si="213"/>
        <v>1629.58</v>
      </c>
      <c r="V685" s="38">
        <f t="shared" si="214"/>
        <v>1689.93</v>
      </c>
      <c r="W685" s="38">
        <f t="shared" si="215"/>
        <v>1750.29</v>
      </c>
      <c r="X685" s="38">
        <f t="shared" si="216"/>
        <v>1810.64</v>
      </c>
      <c r="Z685" s="4">
        <f t="shared" si="211"/>
        <v>1995.2</v>
      </c>
      <c r="AA685" s="4">
        <f t="shared" si="212"/>
        <v>2414.192</v>
      </c>
    </row>
    <row r="686" spans="1:28" x14ac:dyDescent="0.3">
      <c r="A686" s="135"/>
      <c r="B686" s="125"/>
      <c r="C686" s="3" t="s">
        <v>1495</v>
      </c>
      <c r="D686" s="55"/>
      <c r="E686" s="55"/>
      <c r="F686" s="55" t="s">
        <v>229</v>
      </c>
      <c r="G686" s="56">
        <v>10</v>
      </c>
      <c r="H686" s="49">
        <v>20</v>
      </c>
      <c r="I686" s="50">
        <f>0+10</f>
        <v>10</v>
      </c>
      <c r="J686" s="77">
        <f>+H686-I686</f>
        <v>10</v>
      </c>
      <c r="K686" s="31">
        <v>180.74</v>
      </c>
      <c r="L686" s="32">
        <v>44146</v>
      </c>
      <c r="M686" s="33">
        <v>0.21</v>
      </c>
      <c r="N686" s="64">
        <f t="shared" si="210"/>
        <v>218.69540000000001</v>
      </c>
      <c r="O686" s="68">
        <f t="shared" si="203"/>
        <v>234.96</v>
      </c>
      <c r="P686" s="68">
        <f t="shared" si="206"/>
        <v>244</v>
      </c>
      <c r="Q686" s="68">
        <f t="shared" si="207"/>
        <v>253.04</v>
      </c>
      <c r="R686" s="11">
        <f t="shared" si="208"/>
        <v>262.07</v>
      </c>
      <c r="S686" s="11">
        <f t="shared" si="204"/>
        <v>271.11</v>
      </c>
      <c r="T686" s="11">
        <f t="shared" si="209"/>
        <v>289.18</v>
      </c>
      <c r="U686" s="38">
        <f t="shared" si="213"/>
        <v>295.24</v>
      </c>
      <c r="V686" s="38">
        <f t="shared" si="214"/>
        <v>306.17</v>
      </c>
      <c r="W686" s="38">
        <f t="shared" si="215"/>
        <v>317.11</v>
      </c>
      <c r="X686" s="38">
        <f t="shared" si="216"/>
        <v>328.04</v>
      </c>
      <c r="Z686" s="4">
        <f t="shared" si="211"/>
        <v>1807.4</v>
      </c>
      <c r="AA686" s="4">
        <f t="shared" si="212"/>
        <v>2186.9540000000002</v>
      </c>
    </row>
    <row r="687" spans="1:28" x14ac:dyDescent="0.3">
      <c r="A687" s="135"/>
      <c r="B687" s="125"/>
      <c r="C687" s="3" t="s">
        <v>1078</v>
      </c>
      <c r="D687" s="55" t="s">
        <v>474</v>
      </c>
      <c r="E687" s="55" t="s">
        <v>70</v>
      </c>
      <c r="F687" s="55" t="s">
        <v>229</v>
      </c>
      <c r="G687" s="56">
        <v>5</v>
      </c>
      <c r="H687" s="49">
        <v>2</v>
      </c>
      <c r="I687" s="50">
        <v>1</v>
      </c>
      <c r="J687" s="77">
        <f>+H687-I687</f>
        <v>1</v>
      </c>
      <c r="K687" s="31">
        <v>180.74</v>
      </c>
      <c r="L687" s="32">
        <v>44146</v>
      </c>
      <c r="M687" s="33">
        <v>0.21</v>
      </c>
      <c r="N687" s="64">
        <f t="shared" si="210"/>
        <v>218.69540000000001</v>
      </c>
      <c r="O687" s="68">
        <f t="shared" si="203"/>
        <v>234.96</v>
      </c>
      <c r="P687" s="68">
        <f t="shared" si="206"/>
        <v>244</v>
      </c>
      <c r="Q687" s="68">
        <f t="shared" si="207"/>
        <v>253.04</v>
      </c>
      <c r="R687" s="11">
        <f t="shared" si="208"/>
        <v>262.07</v>
      </c>
      <c r="S687" s="11">
        <f t="shared" si="204"/>
        <v>271.11</v>
      </c>
      <c r="T687" s="11">
        <f t="shared" si="209"/>
        <v>289.18</v>
      </c>
      <c r="U687" s="38">
        <f t="shared" si="213"/>
        <v>295.24</v>
      </c>
      <c r="V687" s="38">
        <f t="shared" si="214"/>
        <v>306.17</v>
      </c>
      <c r="W687" s="38">
        <f t="shared" si="215"/>
        <v>317.11</v>
      </c>
      <c r="X687" s="38">
        <f t="shared" si="216"/>
        <v>328.04</v>
      </c>
      <c r="Z687" s="4">
        <f t="shared" si="211"/>
        <v>180.74</v>
      </c>
      <c r="AA687" s="4">
        <f t="shared" si="212"/>
        <v>218.69540000000001</v>
      </c>
    </row>
    <row r="688" spans="1:28" x14ac:dyDescent="0.3">
      <c r="A688" s="135"/>
      <c r="B688" s="125"/>
      <c r="C688" s="3" t="s">
        <v>1369</v>
      </c>
      <c r="D688" s="55"/>
      <c r="E688" s="55" t="s">
        <v>70</v>
      </c>
      <c r="F688" s="55" t="s">
        <v>222</v>
      </c>
      <c r="G688" s="56">
        <v>3</v>
      </c>
      <c r="H688" s="49">
        <f>10+10</f>
        <v>20</v>
      </c>
      <c r="I688" s="50">
        <f>8+1+1+2+1</f>
        <v>13</v>
      </c>
      <c r="J688" s="77">
        <f>+H688-I688</f>
        <v>7</v>
      </c>
      <c r="K688" s="31">
        <v>120</v>
      </c>
      <c r="L688" s="32">
        <v>43635</v>
      </c>
      <c r="M688" s="33">
        <v>0.21</v>
      </c>
      <c r="N688" s="64">
        <f t="shared" si="210"/>
        <v>145.19999999999999</v>
      </c>
      <c r="O688" s="68">
        <f t="shared" si="203"/>
        <v>156</v>
      </c>
      <c r="P688" s="68">
        <f t="shared" si="206"/>
        <v>162</v>
      </c>
      <c r="Q688" s="68">
        <f t="shared" si="207"/>
        <v>168</v>
      </c>
      <c r="R688" s="11">
        <f t="shared" si="208"/>
        <v>174</v>
      </c>
      <c r="S688" s="11">
        <f t="shared" si="204"/>
        <v>180</v>
      </c>
      <c r="T688" s="11">
        <f t="shared" si="209"/>
        <v>192</v>
      </c>
      <c r="U688" s="38">
        <f t="shared" si="213"/>
        <v>196.02</v>
      </c>
      <c r="V688" s="38">
        <f t="shared" si="214"/>
        <v>203.28</v>
      </c>
      <c r="W688" s="38">
        <f t="shared" si="215"/>
        <v>210.54</v>
      </c>
      <c r="X688" s="38">
        <f t="shared" si="216"/>
        <v>217.8</v>
      </c>
      <c r="Z688" s="4">
        <f t="shared" si="211"/>
        <v>840</v>
      </c>
      <c r="AA688" s="4">
        <f t="shared" si="212"/>
        <v>1016.3999999999999</v>
      </c>
    </row>
    <row r="689" spans="1:27" x14ac:dyDescent="0.3">
      <c r="C689" s="3" t="s">
        <v>431</v>
      </c>
      <c r="D689" s="55" t="s">
        <v>1310</v>
      </c>
      <c r="E689" s="55" t="s">
        <v>801</v>
      </c>
      <c r="F689" s="55" t="s">
        <v>241</v>
      </c>
      <c r="G689" s="56">
        <v>0</v>
      </c>
      <c r="H689" s="49">
        <f>5+10+5+5+10+10</f>
        <v>45</v>
      </c>
      <c r="I689" s="50">
        <f>1+1+2+2+2+1+5+5+1+1+1+1+1+1+1+1</f>
        <v>27</v>
      </c>
      <c r="J689" s="77">
        <f>+H689-I689</f>
        <v>18</v>
      </c>
      <c r="K689" s="31">
        <v>870.8</v>
      </c>
      <c r="L689" s="32">
        <v>44043</v>
      </c>
      <c r="M689" s="33">
        <v>0.21</v>
      </c>
      <c r="N689" s="64">
        <f t="shared" si="210"/>
        <v>1053.6679999999999</v>
      </c>
      <c r="O689" s="68">
        <f t="shared" si="203"/>
        <v>1132.04</v>
      </c>
      <c r="P689" s="68">
        <f t="shared" si="206"/>
        <v>1175.58</v>
      </c>
      <c r="Q689" s="68">
        <f t="shared" si="207"/>
        <v>1219.1199999999999</v>
      </c>
      <c r="R689" s="11">
        <f t="shared" si="208"/>
        <v>1262.6600000000001</v>
      </c>
      <c r="S689" s="11">
        <f t="shared" si="204"/>
        <v>1306.1999999999998</v>
      </c>
      <c r="T689" s="11">
        <f t="shared" si="209"/>
        <v>1393.28</v>
      </c>
      <c r="U689" s="38">
        <f t="shared" si="213"/>
        <v>1422.45</v>
      </c>
      <c r="V689" s="38">
        <f t="shared" si="214"/>
        <v>1475.14</v>
      </c>
      <c r="W689" s="38">
        <f t="shared" si="215"/>
        <v>1527.82</v>
      </c>
      <c r="X689" s="38">
        <f t="shared" si="216"/>
        <v>1580.5</v>
      </c>
      <c r="Z689" s="4">
        <f t="shared" si="211"/>
        <v>15674.4</v>
      </c>
      <c r="AA689" s="4">
        <f t="shared" si="212"/>
        <v>18966.023999999998</v>
      </c>
    </row>
    <row r="690" spans="1:27" x14ac:dyDescent="0.3">
      <c r="C690" s="3" t="s">
        <v>575</v>
      </c>
      <c r="D690" s="55"/>
      <c r="E690" s="55"/>
      <c r="F690" s="55"/>
      <c r="G690" s="56">
        <v>0</v>
      </c>
      <c r="H690" s="49">
        <f>6+8</f>
        <v>14</v>
      </c>
      <c r="I690" s="50">
        <f>5+5+3+1</f>
        <v>14</v>
      </c>
      <c r="J690" s="77">
        <f>+H690-I690</f>
        <v>0</v>
      </c>
      <c r="K690" s="31">
        <v>44.08</v>
      </c>
      <c r="L690" s="32"/>
      <c r="M690" s="33">
        <v>0.21</v>
      </c>
      <c r="N690" s="64">
        <f t="shared" si="210"/>
        <v>53.336799999999997</v>
      </c>
      <c r="O690" s="68">
        <f t="shared" si="203"/>
        <v>57.3</v>
      </c>
      <c r="P690" s="68">
        <f t="shared" si="206"/>
        <v>59.51</v>
      </c>
      <c r="Q690" s="68">
        <f t="shared" si="207"/>
        <v>61.71</v>
      </c>
      <c r="R690" s="11">
        <f t="shared" si="208"/>
        <v>63.92</v>
      </c>
      <c r="S690" s="11">
        <f t="shared" si="204"/>
        <v>66.12</v>
      </c>
      <c r="T690" s="11">
        <f t="shared" si="209"/>
        <v>70.53</v>
      </c>
      <c r="U690" s="38">
        <f t="shared" si="213"/>
        <v>72</v>
      </c>
      <c r="V690" s="38">
        <f t="shared" si="214"/>
        <v>74.67</v>
      </c>
      <c r="W690" s="38">
        <f t="shared" si="215"/>
        <v>77.34</v>
      </c>
      <c r="X690" s="38">
        <f t="shared" si="216"/>
        <v>80.010000000000005</v>
      </c>
      <c r="Z690" s="4">
        <f t="shared" si="211"/>
        <v>0</v>
      </c>
      <c r="AA690" s="4">
        <f t="shared" si="212"/>
        <v>0</v>
      </c>
    </row>
    <row r="691" spans="1:27" x14ac:dyDescent="0.3">
      <c r="C691" s="3" t="s">
        <v>1055</v>
      </c>
      <c r="D691" s="55" t="s">
        <v>1105</v>
      </c>
      <c r="E691" s="55"/>
      <c r="F691" s="55" t="s">
        <v>229</v>
      </c>
      <c r="G691" s="56"/>
      <c r="H691" s="49">
        <f>5+15+3+18</f>
        <v>41</v>
      </c>
      <c r="I691" s="50">
        <f>2+5+5+2+4+10</f>
        <v>28</v>
      </c>
      <c r="J691" s="77">
        <f>+H691-I691</f>
        <v>13</v>
      </c>
      <c r="K691" s="31">
        <v>28.48</v>
      </c>
      <c r="L691" s="32">
        <v>43646</v>
      </c>
      <c r="M691" s="33">
        <v>0.21</v>
      </c>
      <c r="N691" s="64">
        <f t="shared" si="210"/>
        <v>34.460799999999999</v>
      </c>
      <c r="O691" s="68">
        <f t="shared" si="203"/>
        <v>37.020000000000003</v>
      </c>
      <c r="P691" s="68">
        <f t="shared" si="206"/>
        <v>38.450000000000003</v>
      </c>
      <c r="Q691" s="68">
        <f t="shared" si="207"/>
        <v>39.869999999999997</v>
      </c>
      <c r="R691" s="11">
        <f t="shared" si="208"/>
        <v>41.3</v>
      </c>
      <c r="S691" s="11">
        <f t="shared" si="204"/>
        <v>42.72</v>
      </c>
      <c r="T691" s="11">
        <f t="shared" si="209"/>
        <v>45.57</v>
      </c>
      <c r="U691" s="38">
        <f t="shared" si="213"/>
        <v>46.52</v>
      </c>
      <c r="V691" s="38">
        <f t="shared" si="214"/>
        <v>48.25</v>
      </c>
      <c r="W691" s="38">
        <f t="shared" si="215"/>
        <v>49.97</v>
      </c>
      <c r="X691" s="38">
        <f t="shared" si="216"/>
        <v>51.69</v>
      </c>
      <c r="Z691" s="4">
        <f t="shared" si="211"/>
        <v>370.24</v>
      </c>
      <c r="AA691" s="4">
        <f t="shared" si="212"/>
        <v>447.99039999999997</v>
      </c>
    </row>
    <row r="692" spans="1:27" x14ac:dyDescent="0.3">
      <c r="C692" s="5" t="s">
        <v>293</v>
      </c>
      <c r="D692" s="55"/>
      <c r="E692" s="55"/>
      <c r="F692" s="55"/>
      <c r="G692" s="56"/>
      <c r="H692" s="49">
        <v>27</v>
      </c>
      <c r="I692" s="50">
        <f>0</f>
        <v>0</v>
      </c>
      <c r="J692" s="77">
        <f>+H692-I692</f>
        <v>27</v>
      </c>
      <c r="K692" s="31">
        <v>10000</v>
      </c>
      <c r="L692" s="32"/>
      <c r="M692" s="33">
        <v>0.21</v>
      </c>
      <c r="N692" s="64">
        <f t="shared" si="210"/>
        <v>12100</v>
      </c>
      <c r="O692" s="68">
        <f t="shared" ref="O692:O733" si="217">ROUND(K692*(1+$O$3),2)</f>
        <v>13000</v>
      </c>
      <c r="P692" s="68">
        <f t="shared" si="206"/>
        <v>13500</v>
      </c>
      <c r="Q692" s="68">
        <f t="shared" si="207"/>
        <v>14000</v>
      </c>
      <c r="R692" s="11">
        <f t="shared" si="208"/>
        <v>14500</v>
      </c>
      <c r="S692" s="11">
        <f t="shared" ref="S692:S733" si="218">K692*(1+$S$3)</f>
        <v>15000</v>
      </c>
      <c r="T692" s="11">
        <f t="shared" si="209"/>
        <v>16000</v>
      </c>
      <c r="U692" s="38">
        <f t="shared" si="213"/>
        <v>16335</v>
      </c>
      <c r="V692" s="38">
        <f t="shared" si="214"/>
        <v>16940</v>
      </c>
      <c r="W692" s="38">
        <f t="shared" si="215"/>
        <v>17545</v>
      </c>
      <c r="X692" s="38">
        <f t="shared" si="216"/>
        <v>18150</v>
      </c>
      <c r="Z692" s="4">
        <f t="shared" ref="Z692:Z699" si="219">J692*K692</f>
        <v>270000</v>
      </c>
      <c r="AA692" s="4">
        <f t="shared" ref="AA692:AA699" si="220">J692*N692</f>
        <v>326700</v>
      </c>
    </row>
    <row r="693" spans="1:27" x14ac:dyDescent="0.3">
      <c r="A693" s="135"/>
      <c r="B693" s="125"/>
      <c r="C693" s="3" t="s">
        <v>407</v>
      </c>
      <c r="D693" s="55" t="s">
        <v>523</v>
      </c>
      <c r="E693" s="55" t="s">
        <v>70</v>
      </c>
      <c r="F693" s="55" t="s">
        <v>219</v>
      </c>
      <c r="G693" s="56">
        <v>0</v>
      </c>
      <c r="H693" s="51">
        <f>10+10+1</f>
        <v>21</v>
      </c>
      <c r="I693" s="50">
        <f>0+10+1+1</f>
        <v>12</v>
      </c>
      <c r="J693" s="77">
        <f>+H693-I693</f>
        <v>9</v>
      </c>
      <c r="K693" s="31">
        <v>490</v>
      </c>
      <c r="L693" s="32">
        <v>44146</v>
      </c>
      <c r="M693" s="33">
        <v>0.21</v>
      </c>
      <c r="N693" s="64">
        <f t="shared" si="210"/>
        <v>592.9</v>
      </c>
      <c r="O693" s="68">
        <f t="shared" si="217"/>
        <v>637</v>
      </c>
      <c r="P693" s="68">
        <f t="shared" si="206"/>
        <v>661.5</v>
      </c>
      <c r="Q693" s="68">
        <f t="shared" si="207"/>
        <v>686</v>
      </c>
      <c r="R693" s="11">
        <f t="shared" si="208"/>
        <v>710.5</v>
      </c>
      <c r="S693" s="11">
        <f t="shared" si="218"/>
        <v>735</v>
      </c>
      <c r="T693" s="11">
        <f t="shared" si="209"/>
        <v>784</v>
      </c>
      <c r="U693" s="38">
        <f t="shared" si="213"/>
        <v>800.42</v>
      </c>
      <c r="V693" s="38">
        <f t="shared" si="214"/>
        <v>830.06</v>
      </c>
      <c r="W693" s="38">
        <f t="shared" si="215"/>
        <v>859.71</v>
      </c>
      <c r="X693" s="38">
        <f t="shared" si="216"/>
        <v>889.35</v>
      </c>
      <c r="Z693" s="4">
        <f t="shared" si="219"/>
        <v>4410</v>
      </c>
      <c r="AA693" s="4">
        <f t="shared" si="220"/>
        <v>5336.0999999999995</v>
      </c>
    </row>
    <row r="694" spans="1:27" x14ac:dyDescent="0.3">
      <c r="A694" s="135"/>
      <c r="B694" s="125"/>
      <c r="C694" s="3" t="s">
        <v>402</v>
      </c>
      <c r="D694" s="55" t="s">
        <v>524</v>
      </c>
      <c r="E694" s="55" t="s">
        <v>362</v>
      </c>
      <c r="F694" s="55" t="s">
        <v>219</v>
      </c>
      <c r="G694" s="56">
        <v>0</v>
      </c>
      <c r="H694" s="51">
        <f>20+20</f>
        <v>40</v>
      </c>
      <c r="I694" s="50">
        <f>0+20+1+1</f>
        <v>22</v>
      </c>
      <c r="J694" s="77">
        <f>+H694-I694</f>
        <v>18</v>
      </c>
      <c r="K694" s="31">
        <v>490</v>
      </c>
      <c r="L694" s="32">
        <v>44146</v>
      </c>
      <c r="M694" s="33">
        <v>0.21</v>
      </c>
      <c r="N694" s="64">
        <f t="shared" si="210"/>
        <v>592.9</v>
      </c>
      <c r="O694" s="68">
        <f t="shared" si="217"/>
        <v>637</v>
      </c>
      <c r="P694" s="68">
        <f t="shared" si="206"/>
        <v>661.5</v>
      </c>
      <c r="Q694" s="68">
        <f t="shared" si="207"/>
        <v>686</v>
      </c>
      <c r="R694" s="11">
        <f t="shared" si="208"/>
        <v>710.5</v>
      </c>
      <c r="S694" s="11">
        <f t="shared" si="218"/>
        <v>735</v>
      </c>
      <c r="T694" s="11">
        <f t="shared" si="209"/>
        <v>784</v>
      </c>
      <c r="U694" s="38">
        <f t="shared" si="213"/>
        <v>800.42</v>
      </c>
      <c r="V694" s="38">
        <f t="shared" si="214"/>
        <v>830.06</v>
      </c>
      <c r="W694" s="38">
        <f t="shared" si="215"/>
        <v>859.71</v>
      </c>
      <c r="X694" s="38">
        <f t="shared" si="216"/>
        <v>889.35</v>
      </c>
      <c r="Z694" s="4">
        <f t="shared" si="219"/>
        <v>8820</v>
      </c>
      <c r="AA694" s="4">
        <f t="shared" si="220"/>
        <v>10672.199999999999</v>
      </c>
    </row>
    <row r="695" spans="1:27" x14ac:dyDescent="0.3">
      <c r="A695" s="135"/>
      <c r="B695" s="125"/>
      <c r="C695" s="3" t="s">
        <v>403</v>
      </c>
      <c r="D695" s="55" t="s">
        <v>401</v>
      </c>
      <c r="E695" s="55" t="s">
        <v>362</v>
      </c>
      <c r="F695" s="55" t="s">
        <v>698</v>
      </c>
      <c r="G695" s="56">
        <v>0</v>
      </c>
      <c r="H695" s="51">
        <f>10+2+1+30+1</f>
        <v>44</v>
      </c>
      <c r="I695" s="50">
        <f>10+30+1+2+1</f>
        <v>44</v>
      </c>
      <c r="J695" s="77">
        <f>+H695-I695</f>
        <v>0</v>
      </c>
      <c r="K695" s="31">
        <v>490</v>
      </c>
      <c r="L695" s="32">
        <v>44146</v>
      </c>
      <c r="M695" s="33">
        <v>0.21</v>
      </c>
      <c r="N695" s="64">
        <f t="shared" si="210"/>
        <v>592.9</v>
      </c>
      <c r="O695" s="68">
        <f t="shared" si="217"/>
        <v>637</v>
      </c>
      <c r="P695" s="68">
        <f t="shared" si="206"/>
        <v>661.5</v>
      </c>
      <c r="Q695" s="68">
        <f t="shared" si="207"/>
        <v>686</v>
      </c>
      <c r="R695" s="11">
        <f t="shared" si="208"/>
        <v>710.5</v>
      </c>
      <c r="S695" s="11">
        <f t="shared" si="218"/>
        <v>735</v>
      </c>
      <c r="T695" s="11">
        <f t="shared" si="209"/>
        <v>784</v>
      </c>
      <c r="U695" s="38">
        <f t="shared" si="213"/>
        <v>800.42</v>
      </c>
      <c r="V695" s="38">
        <f t="shared" si="214"/>
        <v>830.06</v>
      </c>
      <c r="W695" s="38">
        <f t="shared" si="215"/>
        <v>859.71</v>
      </c>
      <c r="X695" s="38">
        <f t="shared" si="216"/>
        <v>889.35</v>
      </c>
      <c r="Z695" s="4">
        <f t="shared" si="219"/>
        <v>0</v>
      </c>
      <c r="AA695" s="4">
        <f t="shared" si="220"/>
        <v>0</v>
      </c>
    </row>
    <row r="696" spans="1:27" x14ac:dyDescent="0.3">
      <c r="A696" s="135"/>
      <c r="B696" s="125"/>
      <c r="C696" s="3" t="s">
        <v>404</v>
      </c>
      <c r="D696" s="55" t="s">
        <v>401</v>
      </c>
      <c r="E696" s="55" t="s">
        <v>968</v>
      </c>
      <c r="F696" s="55" t="s">
        <v>219</v>
      </c>
      <c r="G696" s="56">
        <v>0</v>
      </c>
      <c r="H696" s="49">
        <f>15+10</f>
        <v>25</v>
      </c>
      <c r="I696" s="50">
        <f>10+3+2+6+2+2</f>
        <v>25</v>
      </c>
      <c r="J696" s="77">
        <f>+H696-I696</f>
        <v>0</v>
      </c>
      <c r="K696" s="31">
        <v>490</v>
      </c>
      <c r="L696" s="32">
        <v>44146</v>
      </c>
      <c r="M696" s="33">
        <v>0.21</v>
      </c>
      <c r="N696" s="64">
        <f t="shared" si="210"/>
        <v>592.9</v>
      </c>
      <c r="O696" s="68">
        <f t="shared" si="217"/>
        <v>637</v>
      </c>
      <c r="P696" s="68">
        <f t="shared" si="206"/>
        <v>661.5</v>
      </c>
      <c r="Q696" s="68">
        <f t="shared" si="207"/>
        <v>686</v>
      </c>
      <c r="R696" s="11">
        <f t="shared" si="208"/>
        <v>710.5</v>
      </c>
      <c r="S696" s="11">
        <f t="shared" si="218"/>
        <v>735</v>
      </c>
      <c r="T696" s="11">
        <f t="shared" si="209"/>
        <v>784</v>
      </c>
      <c r="U696" s="38">
        <f t="shared" si="213"/>
        <v>800.42</v>
      </c>
      <c r="V696" s="38">
        <f t="shared" si="214"/>
        <v>830.06</v>
      </c>
      <c r="W696" s="38">
        <f t="shared" si="215"/>
        <v>859.71</v>
      </c>
      <c r="X696" s="38">
        <f t="shared" si="216"/>
        <v>889.35</v>
      </c>
      <c r="Z696" s="4">
        <f t="shared" si="219"/>
        <v>0</v>
      </c>
      <c r="AA696" s="4">
        <f t="shared" si="220"/>
        <v>0</v>
      </c>
    </row>
    <row r="697" spans="1:27" x14ac:dyDescent="0.3">
      <c r="A697" s="135"/>
      <c r="B697" s="125"/>
      <c r="C697" s="3" t="s">
        <v>405</v>
      </c>
      <c r="D697" s="55" t="s">
        <v>401</v>
      </c>
      <c r="E697" s="55" t="s">
        <v>1107</v>
      </c>
      <c r="F697" s="55" t="s">
        <v>219</v>
      </c>
      <c r="G697" s="56">
        <v>0</v>
      </c>
      <c r="H697" s="51">
        <v>10</v>
      </c>
      <c r="I697" s="50">
        <f>7+2+1</f>
        <v>10</v>
      </c>
      <c r="J697" s="77">
        <f>+H697-I697</f>
        <v>0</v>
      </c>
      <c r="K697" s="31">
        <v>490</v>
      </c>
      <c r="L697" s="32">
        <v>44146</v>
      </c>
      <c r="M697" s="33">
        <v>0.21</v>
      </c>
      <c r="N697" s="64">
        <f t="shared" si="210"/>
        <v>592.9</v>
      </c>
      <c r="O697" s="68">
        <f t="shared" si="217"/>
        <v>637</v>
      </c>
      <c r="P697" s="68">
        <f t="shared" si="206"/>
        <v>661.5</v>
      </c>
      <c r="Q697" s="68">
        <f t="shared" si="207"/>
        <v>686</v>
      </c>
      <c r="R697" s="11">
        <f t="shared" si="208"/>
        <v>710.5</v>
      </c>
      <c r="S697" s="11">
        <f t="shared" si="218"/>
        <v>735</v>
      </c>
      <c r="T697" s="11">
        <f t="shared" si="209"/>
        <v>784</v>
      </c>
      <c r="U697" s="38">
        <f t="shared" si="213"/>
        <v>800.42</v>
      </c>
      <c r="V697" s="38">
        <f t="shared" si="214"/>
        <v>830.06</v>
      </c>
      <c r="W697" s="38">
        <f t="shared" si="215"/>
        <v>859.71</v>
      </c>
      <c r="X697" s="38">
        <f t="shared" si="216"/>
        <v>889.35</v>
      </c>
      <c r="Z697" s="4">
        <f t="shared" si="219"/>
        <v>0</v>
      </c>
      <c r="AA697" s="4">
        <f t="shared" si="220"/>
        <v>0</v>
      </c>
    </row>
    <row r="698" spans="1:27" x14ac:dyDescent="0.3">
      <c r="A698" s="135"/>
      <c r="B698" s="125"/>
      <c r="C698" s="3" t="s">
        <v>406</v>
      </c>
      <c r="D698" s="55" t="s">
        <v>401</v>
      </c>
      <c r="E698" s="55" t="s">
        <v>362</v>
      </c>
      <c r="F698" s="55" t="s">
        <v>219</v>
      </c>
      <c r="G698" s="56">
        <v>0</v>
      </c>
      <c r="H698" s="51">
        <f>10</f>
        <v>10</v>
      </c>
      <c r="I698" s="50">
        <f>5+3</f>
        <v>8</v>
      </c>
      <c r="J698" s="77">
        <f>+H698-I698</f>
        <v>2</v>
      </c>
      <c r="K698" s="31">
        <v>490</v>
      </c>
      <c r="L698" s="32">
        <v>44146</v>
      </c>
      <c r="M698" s="33">
        <v>0.21</v>
      </c>
      <c r="N698" s="64">
        <f t="shared" si="210"/>
        <v>592.9</v>
      </c>
      <c r="O698" s="68">
        <f t="shared" si="217"/>
        <v>637</v>
      </c>
      <c r="P698" s="68">
        <f t="shared" si="206"/>
        <v>661.5</v>
      </c>
      <c r="Q698" s="68">
        <f t="shared" si="207"/>
        <v>686</v>
      </c>
      <c r="R698" s="11">
        <f t="shared" si="208"/>
        <v>710.5</v>
      </c>
      <c r="S698" s="11">
        <f t="shared" si="218"/>
        <v>735</v>
      </c>
      <c r="T698" s="11">
        <f t="shared" si="209"/>
        <v>784</v>
      </c>
      <c r="U698" s="38">
        <f t="shared" si="213"/>
        <v>800.42</v>
      </c>
      <c r="V698" s="38">
        <f t="shared" si="214"/>
        <v>830.06</v>
      </c>
      <c r="W698" s="38">
        <f t="shared" si="215"/>
        <v>859.71</v>
      </c>
      <c r="X698" s="38">
        <f t="shared" si="216"/>
        <v>889.35</v>
      </c>
      <c r="Z698" s="4">
        <f t="shared" si="219"/>
        <v>980</v>
      </c>
      <c r="AA698" s="4">
        <f t="shared" si="220"/>
        <v>1185.8</v>
      </c>
    </row>
    <row r="699" spans="1:27" x14ac:dyDescent="0.3">
      <c r="A699" s="135"/>
      <c r="B699" s="125"/>
      <c r="C699" s="3" t="s">
        <v>125</v>
      </c>
      <c r="D699" s="55" t="s">
        <v>525</v>
      </c>
      <c r="E699" s="55" t="s">
        <v>362</v>
      </c>
      <c r="F699" s="91" t="s">
        <v>222</v>
      </c>
      <c r="G699" s="56">
        <v>20</v>
      </c>
      <c r="H699" s="49">
        <f>51+20</f>
        <v>71</v>
      </c>
      <c r="I699" s="50">
        <f>48+3</f>
        <v>51</v>
      </c>
      <c r="J699" s="77">
        <f>+H699-I699</f>
        <v>20</v>
      </c>
      <c r="K699" s="31">
        <v>60.32</v>
      </c>
      <c r="L699" s="32">
        <v>44238</v>
      </c>
      <c r="M699" s="33">
        <v>0.21</v>
      </c>
      <c r="N699" s="64">
        <f t="shared" si="210"/>
        <v>72.987200000000001</v>
      </c>
      <c r="O699" s="68">
        <f t="shared" si="217"/>
        <v>78.42</v>
      </c>
      <c r="P699" s="68">
        <f t="shared" si="206"/>
        <v>81.430000000000007</v>
      </c>
      <c r="Q699" s="68">
        <f t="shared" si="207"/>
        <v>84.45</v>
      </c>
      <c r="R699" s="11">
        <f t="shared" si="208"/>
        <v>87.46</v>
      </c>
      <c r="S699" s="11">
        <f t="shared" si="218"/>
        <v>90.48</v>
      </c>
      <c r="T699" s="11">
        <f t="shared" si="209"/>
        <v>96.51</v>
      </c>
      <c r="U699" s="38">
        <f t="shared" si="213"/>
        <v>98.53</v>
      </c>
      <c r="V699" s="38">
        <f t="shared" si="214"/>
        <v>102.18</v>
      </c>
      <c r="W699" s="38">
        <f t="shared" si="215"/>
        <v>105.83</v>
      </c>
      <c r="X699" s="38">
        <f t="shared" si="216"/>
        <v>109.48</v>
      </c>
      <c r="Z699" s="4">
        <f t="shared" si="219"/>
        <v>1206.4000000000001</v>
      </c>
      <c r="AA699" s="4">
        <f t="shared" si="220"/>
        <v>1459.7440000000001</v>
      </c>
    </row>
    <row r="700" spans="1:27" x14ac:dyDescent="0.3">
      <c r="A700" s="135"/>
      <c r="B700" s="125"/>
      <c r="C700" s="3" t="s">
        <v>126</v>
      </c>
      <c r="D700" s="55" t="s">
        <v>526</v>
      </c>
      <c r="E700" s="55" t="s">
        <v>362</v>
      </c>
      <c r="F700" s="55" t="s">
        <v>830</v>
      </c>
      <c r="G700" s="56">
        <v>20</v>
      </c>
      <c r="H700" s="49">
        <f>20+20+10+30+4+10+30</f>
        <v>124</v>
      </c>
      <c r="I700" s="50">
        <f>10+10+10+6+4+10+20+4+10+10+20</f>
        <v>114</v>
      </c>
      <c r="J700" s="77">
        <f>+H700-I700</f>
        <v>10</v>
      </c>
      <c r="K700" s="31">
        <v>70.69</v>
      </c>
      <c r="L700" s="32">
        <v>44186</v>
      </c>
      <c r="M700" s="33">
        <v>0.21</v>
      </c>
      <c r="N700" s="64">
        <f t="shared" si="210"/>
        <v>85.534899999999993</v>
      </c>
      <c r="O700" s="68">
        <f t="shared" si="217"/>
        <v>91.9</v>
      </c>
      <c r="P700" s="68">
        <f t="shared" si="206"/>
        <v>95.43</v>
      </c>
      <c r="Q700" s="68">
        <f t="shared" si="207"/>
        <v>98.97</v>
      </c>
      <c r="R700" s="11">
        <f t="shared" si="208"/>
        <v>102.5</v>
      </c>
      <c r="S700" s="11">
        <f t="shared" si="218"/>
        <v>106.035</v>
      </c>
      <c r="T700" s="11">
        <f t="shared" si="209"/>
        <v>113.1</v>
      </c>
      <c r="U700" s="38">
        <f t="shared" si="213"/>
        <v>115.47</v>
      </c>
      <c r="V700" s="38">
        <f t="shared" si="214"/>
        <v>119.75</v>
      </c>
      <c r="W700" s="38">
        <f t="shared" si="215"/>
        <v>124.03</v>
      </c>
      <c r="X700" s="38">
        <f t="shared" si="216"/>
        <v>128.30000000000001</v>
      </c>
      <c r="Z700" s="4">
        <f t="shared" ref="Z700:Z727" si="221">J700*K700</f>
        <v>706.9</v>
      </c>
      <c r="AA700" s="4">
        <f t="shared" ref="AA700:AA727" si="222">J700*N700</f>
        <v>855.34899999999993</v>
      </c>
    </row>
    <row r="701" spans="1:27" x14ac:dyDescent="0.3">
      <c r="A701" s="135"/>
      <c r="B701" s="125"/>
      <c r="C701" s="3" t="s">
        <v>127</v>
      </c>
      <c r="D701" s="55" t="s">
        <v>811</v>
      </c>
      <c r="E701" s="55" t="s">
        <v>812</v>
      </c>
      <c r="F701" s="55" t="s">
        <v>830</v>
      </c>
      <c r="G701" s="56">
        <v>20</v>
      </c>
      <c r="H701" s="49">
        <v>120</v>
      </c>
      <c r="I701" s="50">
        <f>45+30+10+5+10+10+10</f>
        <v>120</v>
      </c>
      <c r="J701" s="77">
        <f>+H701-I701</f>
        <v>0</v>
      </c>
      <c r="K701" s="31">
        <v>42</v>
      </c>
      <c r="L701" s="32">
        <v>44222</v>
      </c>
      <c r="M701" s="33">
        <v>0.21</v>
      </c>
      <c r="N701" s="64">
        <f t="shared" si="210"/>
        <v>50.82</v>
      </c>
      <c r="O701" s="68">
        <f t="shared" si="217"/>
        <v>54.6</v>
      </c>
      <c r="P701" s="68">
        <f t="shared" si="206"/>
        <v>56.7</v>
      </c>
      <c r="Q701" s="68">
        <f t="shared" si="207"/>
        <v>58.8</v>
      </c>
      <c r="R701" s="11">
        <f t="shared" si="208"/>
        <v>60.9</v>
      </c>
      <c r="S701" s="11">
        <f t="shared" si="218"/>
        <v>63</v>
      </c>
      <c r="T701" s="11">
        <f t="shared" si="209"/>
        <v>67.2</v>
      </c>
      <c r="U701" s="38">
        <f t="shared" si="213"/>
        <v>68.61</v>
      </c>
      <c r="V701" s="38">
        <f t="shared" si="214"/>
        <v>71.150000000000006</v>
      </c>
      <c r="W701" s="38">
        <f t="shared" si="215"/>
        <v>73.69</v>
      </c>
      <c r="X701" s="38">
        <f t="shared" si="216"/>
        <v>76.23</v>
      </c>
      <c r="Z701" s="4">
        <f t="shared" si="221"/>
        <v>0</v>
      </c>
      <c r="AA701" s="4">
        <f t="shared" si="222"/>
        <v>0</v>
      </c>
    </row>
    <row r="702" spans="1:27" x14ac:dyDescent="0.3">
      <c r="A702" s="135"/>
      <c r="B702" s="125"/>
      <c r="C702" s="3" t="s">
        <v>587</v>
      </c>
      <c r="D702" s="55"/>
      <c r="E702" s="55" t="s">
        <v>362</v>
      </c>
      <c r="F702" s="55" t="s">
        <v>219</v>
      </c>
      <c r="G702" s="56">
        <v>20</v>
      </c>
      <c r="H702" s="49">
        <f>20+30</f>
        <v>50</v>
      </c>
      <c r="I702" s="50">
        <f>20+10+10+10</f>
        <v>50</v>
      </c>
      <c r="J702" s="77">
        <f>+H702-I702</f>
        <v>0</v>
      </c>
      <c r="K702" s="31">
        <v>58.3</v>
      </c>
      <c r="L702" s="32">
        <v>44146</v>
      </c>
      <c r="M702" s="33">
        <v>0.21</v>
      </c>
      <c r="N702" s="64">
        <f t="shared" si="210"/>
        <v>70.542999999999992</v>
      </c>
      <c r="O702" s="68">
        <f t="shared" si="217"/>
        <v>75.790000000000006</v>
      </c>
      <c r="P702" s="68">
        <f t="shared" si="206"/>
        <v>78.709999999999994</v>
      </c>
      <c r="Q702" s="68">
        <f t="shared" si="207"/>
        <v>81.62</v>
      </c>
      <c r="R702" s="11">
        <f t="shared" si="208"/>
        <v>84.54</v>
      </c>
      <c r="S702" s="11">
        <f t="shared" si="218"/>
        <v>87.449999999999989</v>
      </c>
      <c r="T702" s="11">
        <f t="shared" si="209"/>
        <v>93.28</v>
      </c>
      <c r="U702" s="38">
        <f t="shared" si="213"/>
        <v>95.23</v>
      </c>
      <c r="V702" s="38">
        <f t="shared" si="214"/>
        <v>98.76</v>
      </c>
      <c r="W702" s="38">
        <f t="shared" si="215"/>
        <v>102.29</v>
      </c>
      <c r="X702" s="38">
        <f t="shared" si="216"/>
        <v>105.81</v>
      </c>
      <c r="Z702" s="4">
        <f t="shared" si="221"/>
        <v>0</v>
      </c>
      <c r="AA702" s="4">
        <f t="shared" si="222"/>
        <v>0</v>
      </c>
    </row>
    <row r="703" spans="1:27" x14ac:dyDescent="0.3">
      <c r="A703" s="135"/>
      <c r="B703" s="128"/>
      <c r="C703" s="3" t="s">
        <v>128</v>
      </c>
      <c r="D703" s="55"/>
      <c r="E703" s="55" t="s">
        <v>362</v>
      </c>
      <c r="F703" s="55" t="s">
        <v>219</v>
      </c>
      <c r="G703" s="56">
        <v>20</v>
      </c>
      <c r="H703" s="49">
        <f>58+10</f>
        <v>68</v>
      </c>
      <c r="I703" s="50">
        <f>20+2+6+10+10+10</f>
        <v>58</v>
      </c>
      <c r="J703" s="77">
        <f>+H703-I703</f>
        <v>10</v>
      </c>
      <c r="K703" s="31">
        <v>42</v>
      </c>
      <c r="L703" s="32">
        <v>44222</v>
      </c>
      <c r="M703" s="33">
        <v>0.21</v>
      </c>
      <c r="N703" s="64">
        <f t="shared" si="210"/>
        <v>50.82</v>
      </c>
      <c r="O703" s="68">
        <f t="shared" si="217"/>
        <v>54.6</v>
      </c>
      <c r="P703" s="68">
        <f t="shared" si="206"/>
        <v>56.7</v>
      </c>
      <c r="Q703" s="68">
        <f t="shared" si="207"/>
        <v>58.8</v>
      </c>
      <c r="R703" s="11">
        <f t="shared" si="208"/>
        <v>60.9</v>
      </c>
      <c r="S703" s="11">
        <f t="shared" si="218"/>
        <v>63</v>
      </c>
      <c r="T703" s="11">
        <f t="shared" si="209"/>
        <v>67.2</v>
      </c>
      <c r="U703" s="38">
        <f t="shared" si="213"/>
        <v>68.61</v>
      </c>
      <c r="V703" s="38">
        <f t="shared" si="214"/>
        <v>71.150000000000006</v>
      </c>
      <c r="W703" s="38">
        <f t="shared" si="215"/>
        <v>73.69</v>
      </c>
      <c r="X703" s="38">
        <f t="shared" si="216"/>
        <v>76.23</v>
      </c>
      <c r="Z703" s="4">
        <f t="shared" si="221"/>
        <v>420</v>
      </c>
      <c r="AA703" s="4">
        <f t="shared" si="222"/>
        <v>508.2</v>
      </c>
    </row>
    <row r="704" spans="1:27" x14ac:dyDescent="0.3">
      <c r="A704" s="135"/>
      <c r="B704" s="125"/>
      <c r="C704" s="5" t="s">
        <v>129</v>
      </c>
      <c r="D704" s="55" t="s">
        <v>813</v>
      </c>
      <c r="E704" s="55" t="s">
        <v>362</v>
      </c>
      <c r="F704" s="55" t="s">
        <v>698</v>
      </c>
      <c r="G704" s="56">
        <v>20</v>
      </c>
      <c r="H704" s="49">
        <f>30+10+30+20</f>
        <v>90</v>
      </c>
      <c r="I704" s="50">
        <f>20+10+10+20+10+20</f>
        <v>90</v>
      </c>
      <c r="J704" s="77">
        <f>+H704-I704</f>
        <v>0</v>
      </c>
      <c r="K704" s="31">
        <v>58.3</v>
      </c>
      <c r="L704" s="32">
        <v>44146</v>
      </c>
      <c r="M704" s="33">
        <v>0.21</v>
      </c>
      <c r="N704" s="64">
        <f t="shared" si="210"/>
        <v>70.542999999999992</v>
      </c>
      <c r="O704" s="68">
        <f t="shared" si="217"/>
        <v>75.790000000000006</v>
      </c>
      <c r="P704" s="68">
        <f t="shared" si="206"/>
        <v>78.709999999999994</v>
      </c>
      <c r="Q704" s="68">
        <f t="shared" si="207"/>
        <v>81.62</v>
      </c>
      <c r="R704" s="11">
        <f t="shared" si="208"/>
        <v>84.54</v>
      </c>
      <c r="S704" s="11">
        <f t="shared" si="218"/>
        <v>87.449999999999989</v>
      </c>
      <c r="T704" s="11">
        <f t="shared" si="209"/>
        <v>93.28</v>
      </c>
      <c r="U704" s="38">
        <f t="shared" si="213"/>
        <v>95.23</v>
      </c>
      <c r="V704" s="38">
        <f t="shared" si="214"/>
        <v>98.76</v>
      </c>
      <c r="W704" s="38">
        <f t="shared" si="215"/>
        <v>102.29</v>
      </c>
      <c r="X704" s="38">
        <f t="shared" si="216"/>
        <v>105.81</v>
      </c>
      <c r="Z704" s="4">
        <f t="shared" si="221"/>
        <v>0</v>
      </c>
      <c r="AA704" s="4">
        <f t="shared" si="222"/>
        <v>0</v>
      </c>
    </row>
    <row r="705" spans="1:27" x14ac:dyDescent="0.3">
      <c r="A705" s="140"/>
      <c r="B705" s="125"/>
      <c r="C705" s="5" t="s">
        <v>130</v>
      </c>
      <c r="D705" s="55" t="s">
        <v>814</v>
      </c>
      <c r="E705" s="55" t="s">
        <v>362</v>
      </c>
      <c r="F705" s="55" t="s">
        <v>728</v>
      </c>
      <c r="G705" s="56">
        <v>0</v>
      </c>
      <c r="H705" s="49">
        <v>142</v>
      </c>
      <c r="I705" s="50">
        <f>4+1+10+10+4+1+10+5+5+6+50+10</f>
        <v>116</v>
      </c>
      <c r="J705" s="77">
        <f>+H705-I705</f>
        <v>26</v>
      </c>
      <c r="K705" s="31">
        <v>42</v>
      </c>
      <c r="L705" s="32">
        <v>44222</v>
      </c>
      <c r="M705" s="33">
        <v>0.21</v>
      </c>
      <c r="N705" s="64">
        <f t="shared" si="210"/>
        <v>50.82</v>
      </c>
      <c r="O705" s="68">
        <f t="shared" si="217"/>
        <v>54.6</v>
      </c>
      <c r="P705" s="68">
        <f t="shared" si="206"/>
        <v>56.7</v>
      </c>
      <c r="Q705" s="68">
        <f t="shared" si="207"/>
        <v>58.8</v>
      </c>
      <c r="R705" s="11">
        <f t="shared" si="208"/>
        <v>60.9</v>
      </c>
      <c r="S705" s="11">
        <f t="shared" si="218"/>
        <v>63</v>
      </c>
      <c r="T705" s="11">
        <f t="shared" si="209"/>
        <v>67.2</v>
      </c>
      <c r="U705" s="38">
        <f t="shared" si="213"/>
        <v>68.61</v>
      </c>
      <c r="V705" s="38">
        <f t="shared" si="214"/>
        <v>71.150000000000006</v>
      </c>
      <c r="W705" s="38">
        <f t="shared" si="215"/>
        <v>73.69</v>
      </c>
      <c r="X705" s="38">
        <f t="shared" si="216"/>
        <v>76.23</v>
      </c>
      <c r="Z705" s="4">
        <f t="shared" si="221"/>
        <v>1092</v>
      </c>
      <c r="AA705" s="4">
        <f t="shared" si="222"/>
        <v>1321.32</v>
      </c>
    </row>
    <row r="706" spans="1:27" x14ac:dyDescent="0.3">
      <c r="A706" s="135"/>
      <c r="B706" s="125"/>
      <c r="C706" s="5" t="s">
        <v>131</v>
      </c>
      <c r="D706" s="55" t="s">
        <v>815</v>
      </c>
      <c r="E706" s="55" t="s">
        <v>362</v>
      </c>
      <c r="F706" s="55" t="s">
        <v>728</v>
      </c>
      <c r="G706" s="56">
        <v>20</v>
      </c>
      <c r="H706" s="49">
        <f>20+10+30+30</f>
        <v>90</v>
      </c>
      <c r="I706" s="50">
        <f>10+10+10+10+20+20+10</f>
        <v>90</v>
      </c>
      <c r="J706" s="77">
        <f>+H706-I706</f>
        <v>0</v>
      </c>
      <c r="K706" s="31">
        <v>58.3</v>
      </c>
      <c r="L706" s="32">
        <v>44146</v>
      </c>
      <c r="M706" s="33">
        <v>0.21</v>
      </c>
      <c r="N706" s="64">
        <f t="shared" si="210"/>
        <v>70.542999999999992</v>
      </c>
      <c r="O706" s="68">
        <f t="shared" si="217"/>
        <v>75.790000000000006</v>
      </c>
      <c r="P706" s="68">
        <f t="shared" si="206"/>
        <v>78.709999999999994</v>
      </c>
      <c r="Q706" s="68">
        <f t="shared" si="207"/>
        <v>81.62</v>
      </c>
      <c r="R706" s="11">
        <f t="shared" si="208"/>
        <v>84.54</v>
      </c>
      <c r="S706" s="11">
        <f t="shared" si="218"/>
        <v>87.449999999999989</v>
      </c>
      <c r="T706" s="11">
        <f t="shared" si="209"/>
        <v>93.28</v>
      </c>
      <c r="U706" s="38">
        <f t="shared" si="213"/>
        <v>95.23</v>
      </c>
      <c r="V706" s="38">
        <f t="shared" si="214"/>
        <v>98.76</v>
      </c>
      <c r="W706" s="38">
        <f t="shared" si="215"/>
        <v>102.29</v>
      </c>
      <c r="X706" s="38">
        <f t="shared" si="216"/>
        <v>105.81</v>
      </c>
      <c r="Z706" s="4">
        <f t="shared" si="221"/>
        <v>0</v>
      </c>
      <c r="AA706" s="4">
        <f t="shared" si="222"/>
        <v>0</v>
      </c>
    </row>
    <row r="707" spans="1:27" x14ac:dyDescent="0.3">
      <c r="A707" s="135"/>
      <c r="B707" s="125"/>
      <c r="C707" s="5" t="s">
        <v>1051</v>
      </c>
      <c r="D707" s="55"/>
      <c r="E707" s="55" t="s">
        <v>362</v>
      </c>
      <c r="F707" s="55" t="s">
        <v>240</v>
      </c>
      <c r="G707" s="56">
        <v>0</v>
      </c>
      <c r="H707" s="49">
        <v>10</v>
      </c>
      <c r="I707" s="50">
        <f>0+10</f>
        <v>10</v>
      </c>
      <c r="J707" s="77">
        <f>+H707-I707</f>
        <v>0</v>
      </c>
      <c r="K707" s="31">
        <v>240</v>
      </c>
      <c r="L707" s="32">
        <v>44035</v>
      </c>
      <c r="M707" s="33">
        <v>0.21</v>
      </c>
      <c r="N707" s="64">
        <f t="shared" si="210"/>
        <v>290.39999999999998</v>
      </c>
      <c r="O707" s="68">
        <f t="shared" si="217"/>
        <v>312</v>
      </c>
      <c r="P707" s="68">
        <f t="shared" si="206"/>
        <v>324</v>
      </c>
      <c r="Q707" s="68">
        <f t="shared" si="207"/>
        <v>336</v>
      </c>
      <c r="R707" s="11">
        <f t="shared" si="208"/>
        <v>348</v>
      </c>
      <c r="S707" s="11">
        <f t="shared" si="218"/>
        <v>360</v>
      </c>
      <c r="T707" s="11">
        <f t="shared" si="209"/>
        <v>384</v>
      </c>
      <c r="U707" s="38">
        <f t="shared" si="213"/>
        <v>392.04</v>
      </c>
      <c r="V707" s="38">
        <f t="shared" si="214"/>
        <v>406.56</v>
      </c>
      <c r="W707" s="38">
        <f t="shared" si="215"/>
        <v>421.08</v>
      </c>
      <c r="X707" s="38">
        <f t="shared" si="216"/>
        <v>435.6</v>
      </c>
      <c r="Z707" s="4">
        <f t="shared" si="221"/>
        <v>0</v>
      </c>
      <c r="AA707" s="4">
        <f t="shared" si="222"/>
        <v>0</v>
      </c>
    </row>
    <row r="708" spans="1:27" x14ac:dyDescent="0.3">
      <c r="A708" s="135"/>
      <c r="B708" s="125"/>
      <c r="C708" s="5" t="s">
        <v>132</v>
      </c>
      <c r="D708" s="55" t="s">
        <v>527</v>
      </c>
      <c r="E708" s="55" t="s">
        <v>362</v>
      </c>
      <c r="F708" s="55" t="s">
        <v>728</v>
      </c>
      <c r="G708" s="56">
        <v>0</v>
      </c>
      <c r="H708" s="49">
        <f>101+15</f>
        <v>116</v>
      </c>
      <c r="I708" s="69">
        <f>5+11+10+90</f>
        <v>116</v>
      </c>
      <c r="J708" s="77">
        <f>+H708-I708</f>
        <v>0</v>
      </c>
      <c r="K708" s="31">
        <v>42</v>
      </c>
      <c r="L708" s="32">
        <v>44222</v>
      </c>
      <c r="M708" s="33">
        <v>0.21</v>
      </c>
      <c r="N708" s="64">
        <f t="shared" si="210"/>
        <v>50.82</v>
      </c>
      <c r="O708" s="68">
        <f t="shared" si="217"/>
        <v>54.6</v>
      </c>
      <c r="P708" s="68">
        <f t="shared" si="206"/>
        <v>56.7</v>
      </c>
      <c r="Q708" s="68">
        <f t="shared" si="207"/>
        <v>58.8</v>
      </c>
      <c r="R708" s="11">
        <f t="shared" si="208"/>
        <v>60.9</v>
      </c>
      <c r="S708" s="11">
        <f t="shared" si="218"/>
        <v>63</v>
      </c>
      <c r="T708" s="11">
        <f t="shared" si="209"/>
        <v>67.2</v>
      </c>
      <c r="U708" s="38">
        <f t="shared" si="213"/>
        <v>68.61</v>
      </c>
      <c r="V708" s="38">
        <f t="shared" si="214"/>
        <v>71.150000000000006</v>
      </c>
      <c r="W708" s="38">
        <f t="shared" si="215"/>
        <v>73.69</v>
      </c>
      <c r="X708" s="38">
        <f t="shared" si="216"/>
        <v>76.23</v>
      </c>
      <c r="Z708" s="4">
        <f t="shared" si="221"/>
        <v>0</v>
      </c>
      <c r="AA708" s="4">
        <f t="shared" si="222"/>
        <v>0</v>
      </c>
    </row>
    <row r="709" spans="1:27" x14ac:dyDescent="0.3">
      <c r="A709" s="135"/>
      <c r="B709" s="125"/>
      <c r="C709" s="5" t="s">
        <v>133</v>
      </c>
      <c r="D709" s="55" t="s">
        <v>528</v>
      </c>
      <c r="E709" s="55" t="s">
        <v>362</v>
      </c>
      <c r="F709" s="55" t="s">
        <v>698</v>
      </c>
      <c r="G709" s="56">
        <v>20</v>
      </c>
      <c r="H709" s="49">
        <f>20+40+30</f>
        <v>90</v>
      </c>
      <c r="I709" s="50">
        <f>10+10+20+20+10+10+5+5</f>
        <v>90</v>
      </c>
      <c r="J709" s="77">
        <f>+H709-I709</f>
        <v>0</v>
      </c>
      <c r="K709" s="31">
        <v>57</v>
      </c>
      <c r="L709" s="32">
        <v>44225</v>
      </c>
      <c r="M709" s="33">
        <v>0.21</v>
      </c>
      <c r="N709" s="64">
        <f t="shared" si="210"/>
        <v>68.97</v>
      </c>
      <c r="O709" s="68">
        <f t="shared" si="217"/>
        <v>74.099999999999994</v>
      </c>
      <c r="P709" s="68">
        <f t="shared" si="206"/>
        <v>76.95</v>
      </c>
      <c r="Q709" s="68">
        <f t="shared" si="207"/>
        <v>79.8</v>
      </c>
      <c r="R709" s="11">
        <f t="shared" si="208"/>
        <v>82.65</v>
      </c>
      <c r="S709" s="11">
        <f t="shared" si="218"/>
        <v>85.5</v>
      </c>
      <c r="T709" s="11">
        <f t="shared" si="209"/>
        <v>91.2</v>
      </c>
      <c r="U709" s="38">
        <f t="shared" si="213"/>
        <v>93.11</v>
      </c>
      <c r="V709" s="38">
        <f t="shared" si="214"/>
        <v>96.56</v>
      </c>
      <c r="W709" s="38">
        <f t="shared" si="215"/>
        <v>100.01</v>
      </c>
      <c r="X709" s="38">
        <f t="shared" si="216"/>
        <v>103.46</v>
      </c>
      <c r="Z709" s="4">
        <f t="shared" si="221"/>
        <v>0</v>
      </c>
      <c r="AA709" s="4">
        <f t="shared" si="222"/>
        <v>0</v>
      </c>
    </row>
    <row r="710" spans="1:27" x14ac:dyDescent="0.3">
      <c r="A710" s="135"/>
      <c r="B710" s="125"/>
      <c r="C710" s="5" t="s">
        <v>134</v>
      </c>
      <c r="D710" s="55" t="s">
        <v>816</v>
      </c>
      <c r="E710" s="55" t="s">
        <v>362</v>
      </c>
      <c r="F710" s="55" t="s">
        <v>830</v>
      </c>
      <c r="G710" s="56">
        <v>0</v>
      </c>
      <c r="H710" s="49">
        <v>172</v>
      </c>
      <c r="I710" s="50">
        <f>30+4+1+9+84+44</f>
        <v>172</v>
      </c>
      <c r="J710" s="77">
        <f>+H710-I710</f>
        <v>0</v>
      </c>
      <c r="K710" s="31">
        <v>42</v>
      </c>
      <c r="L710" s="32">
        <v>44222</v>
      </c>
      <c r="M710" s="33">
        <v>0.21</v>
      </c>
      <c r="N710" s="64">
        <f t="shared" si="210"/>
        <v>50.82</v>
      </c>
      <c r="O710" s="68">
        <f t="shared" si="217"/>
        <v>54.6</v>
      </c>
      <c r="P710" s="68">
        <f t="shared" ref="P710:P741" si="223">ROUND(K710*(1+$P$3),2)</f>
        <v>56.7</v>
      </c>
      <c r="Q710" s="68">
        <f t="shared" ref="Q710:Q741" si="224">ROUND(K710*(1+$Q$3),2)</f>
        <v>58.8</v>
      </c>
      <c r="R710" s="11">
        <f t="shared" ref="R710:R741" si="225">ROUND(K710*(1+$R$3),2)</f>
        <v>60.9</v>
      </c>
      <c r="S710" s="11">
        <f t="shared" si="218"/>
        <v>63</v>
      </c>
      <c r="T710" s="11">
        <f t="shared" ref="T710:T741" si="226">ROUND(K710*(1+$T$3),2)</f>
        <v>67.2</v>
      </c>
      <c r="U710" s="38">
        <f t="shared" si="213"/>
        <v>68.61</v>
      </c>
      <c r="V710" s="38">
        <f t="shared" si="214"/>
        <v>71.150000000000006</v>
      </c>
      <c r="W710" s="38">
        <f t="shared" si="215"/>
        <v>73.69</v>
      </c>
      <c r="X710" s="38">
        <f t="shared" si="216"/>
        <v>76.23</v>
      </c>
      <c r="Z710" s="4">
        <f t="shared" si="221"/>
        <v>0</v>
      </c>
      <c r="AA710" s="4">
        <f t="shared" si="222"/>
        <v>0</v>
      </c>
    </row>
    <row r="711" spans="1:27" x14ac:dyDescent="0.3">
      <c r="A711" s="135"/>
      <c r="B711" s="125"/>
      <c r="C711" s="3" t="s">
        <v>135</v>
      </c>
      <c r="D711" s="55" t="s">
        <v>529</v>
      </c>
      <c r="E711" s="55" t="s">
        <v>362</v>
      </c>
      <c r="F711" s="55" t="s">
        <v>698</v>
      </c>
      <c r="G711" s="56">
        <v>20</v>
      </c>
      <c r="H711" s="49">
        <f>20+40+30+50+5</f>
        <v>145</v>
      </c>
      <c r="I711" s="50">
        <f>10+10+20+10+10+50</f>
        <v>110</v>
      </c>
      <c r="J711" s="77">
        <f>+H711-I711</f>
        <v>35</v>
      </c>
      <c r="K711" s="31">
        <v>57</v>
      </c>
      <c r="L711" s="32">
        <v>44225</v>
      </c>
      <c r="M711" s="33">
        <v>0.21</v>
      </c>
      <c r="N711" s="64">
        <f t="shared" si="210"/>
        <v>68.97</v>
      </c>
      <c r="O711" s="68">
        <f t="shared" si="217"/>
        <v>74.099999999999994</v>
      </c>
      <c r="P711" s="68">
        <f t="shared" si="223"/>
        <v>76.95</v>
      </c>
      <c r="Q711" s="68">
        <f t="shared" si="224"/>
        <v>79.8</v>
      </c>
      <c r="R711" s="11">
        <f t="shared" si="225"/>
        <v>82.65</v>
      </c>
      <c r="S711" s="11">
        <f t="shared" si="218"/>
        <v>85.5</v>
      </c>
      <c r="T711" s="11">
        <f t="shared" si="226"/>
        <v>91.2</v>
      </c>
      <c r="U711" s="38">
        <f t="shared" si="213"/>
        <v>93.11</v>
      </c>
      <c r="V711" s="38">
        <f t="shared" si="214"/>
        <v>96.56</v>
      </c>
      <c r="W711" s="38">
        <f t="shared" si="215"/>
        <v>100.01</v>
      </c>
      <c r="X711" s="38">
        <f t="shared" si="216"/>
        <v>103.46</v>
      </c>
      <c r="Z711" s="4">
        <f t="shared" si="221"/>
        <v>1995</v>
      </c>
      <c r="AA711" s="4">
        <f t="shared" si="222"/>
        <v>2413.9499999999998</v>
      </c>
    </row>
    <row r="712" spans="1:27" x14ac:dyDescent="0.3">
      <c r="A712" s="135"/>
      <c r="B712" s="125"/>
      <c r="C712" s="3" t="s">
        <v>136</v>
      </c>
      <c r="D712" s="55" t="s">
        <v>819</v>
      </c>
      <c r="E712" s="55" t="s">
        <v>362</v>
      </c>
      <c r="F712" s="55" t="s">
        <v>728</v>
      </c>
      <c r="G712" s="56">
        <v>0</v>
      </c>
      <c r="H712" s="49">
        <v>20</v>
      </c>
      <c r="I712" s="50">
        <f>10+5</f>
        <v>15</v>
      </c>
      <c r="J712" s="77">
        <f>+H712-I712</f>
        <v>5</v>
      </c>
      <c r="K712" s="31">
        <v>42</v>
      </c>
      <c r="L712" s="32">
        <v>44222</v>
      </c>
      <c r="M712" s="33">
        <v>0.21</v>
      </c>
      <c r="N712" s="64">
        <f t="shared" si="210"/>
        <v>50.82</v>
      </c>
      <c r="O712" s="68">
        <f t="shared" si="217"/>
        <v>54.6</v>
      </c>
      <c r="P712" s="68">
        <f t="shared" si="223"/>
        <v>56.7</v>
      </c>
      <c r="Q712" s="68">
        <f t="shared" si="224"/>
        <v>58.8</v>
      </c>
      <c r="R712" s="11">
        <f t="shared" si="225"/>
        <v>60.9</v>
      </c>
      <c r="S712" s="11">
        <f t="shared" si="218"/>
        <v>63</v>
      </c>
      <c r="T712" s="11">
        <f t="shared" si="226"/>
        <v>67.2</v>
      </c>
      <c r="U712" s="38">
        <f t="shared" si="213"/>
        <v>68.61</v>
      </c>
      <c r="V712" s="38">
        <f t="shared" si="214"/>
        <v>71.150000000000006</v>
      </c>
      <c r="W712" s="38">
        <f t="shared" si="215"/>
        <v>73.69</v>
      </c>
      <c r="X712" s="38">
        <f t="shared" si="216"/>
        <v>76.23</v>
      </c>
      <c r="Z712" s="4">
        <f t="shared" si="221"/>
        <v>210</v>
      </c>
      <c r="AA712" s="4">
        <f t="shared" si="222"/>
        <v>254.1</v>
      </c>
    </row>
    <row r="713" spans="1:27" x14ac:dyDescent="0.3">
      <c r="A713" s="135"/>
      <c r="B713" s="125"/>
      <c r="C713" s="3" t="s">
        <v>137</v>
      </c>
      <c r="D713" s="55" t="s">
        <v>818</v>
      </c>
      <c r="E713" s="55" t="s">
        <v>362</v>
      </c>
      <c r="F713" s="55" t="s">
        <v>728</v>
      </c>
      <c r="G713" s="56">
        <v>30</v>
      </c>
      <c r="H713" s="49">
        <f>20+10+50</f>
        <v>80</v>
      </c>
      <c r="I713" s="50">
        <f>5+25+20+10</f>
        <v>60</v>
      </c>
      <c r="J713" s="77">
        <f>+H713-I713</f>
        <v>20</v>
      </c>
      <c r="K713" s="31">
        <v>57</v>
      </c>
      <c r="L713" s="32">
        <v>44225</v>
      </c>
      <c r="M713" s="33">
        <v>0.21</v>
      </c>
      <c r="N713" s="64">
        <f t="shared" ref="N713:N741" si="227">+K713*(1+M713)</f>
        <v>68.97</v>
      </c>
      <c r="O713" s="68">
        <f t="shared" si="217"/>
        <v>74.099999999999994</v>
      </c>
      <c r="P713" s="68">
        <f t="shared" si="223"/>
        <v>76.95</v>
      </c>
      <c r="Q713" s="68">
        <f t="shared" si="224"/>
        <v>79.8</v>
      </c>
      <c r="R713" s="11">
        <f t="shared" si="225"/>
        <v>82.65</v>
      </c>
      <c r="S713" s="11">
        <f t="shared" si="218"/>
        <v>85.5</v>
      </c>
      <c r="T713" s="11">
        <v>14.24</v>
      </c>
      <c r="U713" s="38">
        <f t="shared" si="213"/>
        <v>93.11</v>
      </c>
      <c r="V713" s="38">
        <f t="shared" si="214"/>
        <v>96.56</v>
      </c>
      <c r="W713" s="38">
        <f t="shared" si="215"/>
        <v>100.01</v>
      </c>
      <c r="X713" s="38">
        <f t="shared" si="216"/>
        <v>103.46</v>
      </c>
      <c r="Z713" s="4">
        <f t="shared" si="221"/>
        <v>1140</v>
      </c>
      <c r="AA713" s="4">
        <f t="shared" si="222"/>
        <v>1379.4</v>
      </c>
    </row>
    <row r="714" spans="1:27" x14ac:dyDescent="0.3">
      <c r="A714" s="135"/>
      <c r="B714" s="125"/>
      <c r="C714" s="3" t="s">
        <v>138</v>
      </c>
      <c r="D714" s="55" t="s">
        <v>530</v>
      </c>
      <c r="E714" s="55" t="s">
        <v>362</v>
      </c>
      <c r="F714" s="55" t="s">
        <v>219</v>
      </c>
      <c r="G714" s="56">
        <v>0</v>
      </c>
      <c r="H714" s="49">
        <v>10</v>
      </c>
      <c r="I714" s="50">
        <v>10</v>
      </c>
      <c r="J714" s="77">
        <f>+H714-I714</f>
        <v>0</v>
      </c>
      <c r="K714" s="31">
        <v>42</v>
      </c>
      <c r="L714" s="32">
        <v>44222</v>
      </c>
      <c r="M714" s="33">
        <v>0.21</v>
      </c>
      <c r="N714" s="64">
        <f t="shared" si="227"/>
        <v>50.82</v>
      </c>
      <c r="O714" s="68">
        <f t="shared" si="217"/>
        <v>54.6</v>
      </c>
      <c r="P714" s="68">
        <f t="shared" si="223"/>
        <v>56.7</v>
      </c>
      <c r="Q714" s="68">
        <f t="shared" si="224"/>
        <v>58.8</v>
      </c>
      <c r="R714" s="11">
        <f t="shared" si="225"/>
        <v>60.9</v>
      </c>
      <c r="S714" s="11">
        <f t="shared" si="218"/>
        <v>63</v>
      </c>
      <c r="T714" s="11">
        <f t="shared" si="226"/>
        <v>67.2</v>
      </c>
      <c r="U714" s="38">
        <f t="shared" si="213"/>
        <v>68.61</v>
      </c>
      <c r="V714" s="38">
        <f t="shared" si="214"/>
        <v>71.150000000000006</v>
      </c>
      <c r="W714" s="38">
        <f t="shared" si="215"/>
        <v>73.69</v>
      </c>
      <c r="X714" s="38">
        <f t="shared" si="216"/>
        <v>76.23</v>
      </c>
      <c r="Z714" s="4">
        <f t="shared" si="221"/>
        <v>0</v>
      </c>
      <c r="AA714" s="4">
        <f t="shared" si="222"/>
        <v>0</v>
      </c>
    </row>
    <row r="715" spans="1:27" x14ac:dyDescent="0.3">
      <c r="A715" s="135"/>
      <c r="B715" s="125"/>
      <c r="C715" s="3" t="s">
        <v>139</v>
      </c>
      <c r="D715" s="55" t="s">
        <v>531</v>
      </c>
      <c r="E715" s="55" t="s">
        <v>362</v>
      </c>
      <c r="F715" s="55" t="s">
        <v>219</v>
      </c>
      <c r="G715" s="56">
        <v>30</v>
      </c>
      <c r="H715" s="49">
        <f>20+10+10+15+50</f>
        <v>105</v>
      </c>
      <c r="I715" s="50">
        <f>5+20+15+10+20+15+10+5+5</f>
        <v>105</v>
      </c>
      <c r="J715" s="77">
        <f>+H715-I715</f>
        <v>0</v>
      </c>
      <c r="K715" s="31">
        <v>57</v>
      </c>
      <c r="L715" s="32">
        <v>44225</v>
      </c>
      <c r="M715" s="33">
        <v>0.21</v>
      </c>
      <c r="N715" s="64">
        <f t="shared" si="227"/>
        <v>68.97</v>
      </c>
      <c r="O715" s="68">
        <f t="shared" si="217"/>
        <v>74.099999999999994</v>
      </c>
      <c r="P715" s="68">
        <f t="shared" si="223"/>
        <v>76.95</v>
      </c>
      <c r="Q715" s="68">
        <f t="shared" si="224"/>
        <v>79.8</v>
      </c>
      <c r="R715" s="11">
        <f t="shared" si="225"/>
        <v>82.65</v>
      </c>
      <c r="S715" s="11">
        <f t="shared" si="218"/>
        <v>85.5</v>
      </c>
      <c r="T715" s="11">
        <f t="shared" si="226"/>
        <v>91.2</v>
      </c>
      <c r="U715" s="38">
        <f t="shared" si="213"/>
        <v>93.11</v>
      </c>
      <c r="V715" s="38">
        <f t="shared" si="214"/>
        <v>96.56</v>
      </c>
      <c r="W715" s="38">
        <f t="shared" si="215"/>
        <v>100.01</v>
      </c>
      <c r="X715" s="38">
        <f t="shared" si="216"/>
        <v>103.46</v>
      </c>
      <c r="Z715" s="4">
        <f t="shared" si="221"/>
        <v>0</v>
      </c>
      <c r="AA715" s="4">
        <f t="shared" si="222"/>
        <v>0</v>
      </c>
    </row>
    <row r="716" spans="1:27" x14ac:dyDescent="0.3">
      <c r="A716" s="135"/>
      <c r="B716" s="125"/>
      <c r="C716" s="3" t="s">
        <v>140</v>
      </c>
      <c r="D716" s="55" t="s">
        <v>532</v>
      </c>
      <c r="E716" s="55" t="s">
        <v>362</v>
      </c>
      <c r="F716" s="55" t="s">
        <v>219</v>
      </c>
      <c r="G716" s="56">
        <v>0</v>
      </c>
      <c r="H716" s="49">
        <v>20</v>
      </c>
      <c r="I716" s="50">
        <f>20</f>
        <v>20</v>
      </c>
      <c r="J716" s="77">
        <f>+H716-I716</f>
        <v>0</v>
      </c>
      <c r="K716" s="31">
        <v>42</v>
      </c>
      <c r="L716" s="32">
        <v>44222</v>
      </c>
      <c r="M716" s="33">
        <v>0.21</v>
      </c>
      <c r="N716" s="64">
        <f t="shared" si="227"/>
        <v>50.82</v>
      </c>
      <c r="O716" s="68">
        <f t="shared" si="217"/>
        <v>54.6</v>
      </c>
      <c r="P716" s="68">
        <f t="shared" si="223"/>
        <v>56.7</v>
      </c>
      <c r="Q716" s="68">
        <f t="shared" si="224"/>
        <v>58.8</v>
      </c>
      <c r="R716" s="11">
        <f t="shared" si="225"/>
        <v>60.9</v>
      </c>
      <c r="S716" s="11">
        <f t="shared" si="218"/>
        <v>63</v>
      </c>
      <c r="T716" s="11">
        <v>14.24</v>
      </c>
      <c r="U716" s="38">
        <f t="shared" ref="U716:U760" si="228">ROUND((N716*(1+$U$3)),2)</f>
        <v>68.61</v>
      </c>
      <c r="V716" s="38">
        <f t="shared" ref="V716:V760" si="229">ROUND((N716*(1+$V$3)),2)</f>
        <v>71.150000000000006</v>
      </c>
      <c r="W716" s="38">
        <f t="shared" ref="W716:W760" si="230">ROUND((N716*(1+$W$3)),2)</f>
        <v>73.69</v>
      </c>
      <c r="X716" s="38">
        <f t="shared" si="216"/>
        <v>76.23</v>
      </c>
      <c r="Z716" s="4">
        <f t="shared" si="221"/>
        <v>0</v>
      </c>
      <c r="AA716" s="4">
        <f t="shared" si="222"/>
        <v>0</v>
      </c>
    </row>
    <row r="717" spans="1:27" x14ac:dyDescent="0.3">
      <c r="A717" s="135"/>
      <c r="B717" s="125"/>
      <c r="C717" s="3" t="s">
        <v>141</v>
      </c>
      <c r="D717" s="55" t="s">
        <v>817</v>
      </c>
      <c r="E717" s="55" t="s">
        <v>541</v>
      </c>
      <c r="F717" s="55" t="s">
        <v>699</v>
      </c>
      <c r="G717" s="56">
        <v>30</v>
      </c>
      <c r="H717" s="49">
        <f>40+20+10+100+50+30+30+30+50+10+20+30</f>
        <v>420</v>
      </c>
      <c r="I717" s="50">
        <f>32+5+20+3+10+80+20+20+20+10+20+30+20+10+1+10+20+29+10+20+5+10</f>
        <v>405</v>
      </c>
      <c r="J717" s="77">
        <f>+H717-I717</f>
        <v>15</v>
      </c>
      <c r="K717" s="31">
        <v>57</v>
      </c>
      <c r="L717" s="32">
        <v>44225</v>
      </c>
      <c r="M717" s="33">
        <v>0.21</v>
      </c>
      <c r="N717" s="64">
        <f t="shared" si="227"/>
        <v>68.97</v>
      </c>
      <c r="O717" s="68">
        <f t="shared" si="217"/>
        <v>74.099999999999994</v>
      </c>
      <c r="P717" s="68">
        <f t="shared" si="223"/>
        <v>76.95</v>
      </c>
      <c r="Q717" s="68">
        <f t="shared" si="224"/>
        <v>79.8</v>
      </c>
      <c r="R717" s="11">
        <f t="shared" si="225"/>
        <v>82.65</v>
      </c>
      <c r="S717" s="11">
        <f t="shared" si="218"/>
        <v>85.5</v>
      </c>
      <c r="T717" s="11">
        <f t="shared" si="226"/>
        <v>91.2</v>
      </c>
      <c r="U717" s="38">
        <f t="shared" si="228"/>
        <v>93.11</v>
      </c>
      <c r="V717" s="38">
        <f t="shared" si="229"/>
        <v>96.56</v>
      </c>
      <c r="W717" s="38">
        <f t="shared" si="230"/>
        <v>100.01</v>
      </c>
      <c r="X717" s="38">
        <f t="shared" ref="X717:X761" si="231">ROUND((N717*(1+$X$3)),2)</f>
        <v>103.46</v>
      </c>
      <c r="Z717" s="4">
        <f t="shared" si="221"/>
        <v>855</v>
      </c>
      <c r="AA717" s="4">
        <f t="shared" si="222"/>
        <v>1034.55</v>
      </c>
    </row>
    <row r="718" spans="1:27" x14ac:dyDescent="0.3">
      <c r="A718" s="135"/>
      <c r="B718" s="125"/>
      <c r="C718" s="3" t="s">
        <v>142</v>
      </c>
      <c r="D718" s="55" t="s">
        <v>820</v>
      </c>
      <c r="E718" s="55" t="s">
        <v>362</v>
      </c>
      <c r="F718" s="55" t="s">
        <v>1543</v>
      </c>
      <c r="G718" s="56">
        <v>50</v>
      </c>
      <c r="H718" s="49">
        <f>100+30+50+30+50+50+30+50</f>
        <v>390</v>
      </c>
      <c r="I718" s="50">
        <f>100+50+30+30+20+1+10+19+20+30+30+20+5+10</f>
        <v>375</v>
      </c>
      <c r="J718" s="77">
        <f>+H718-I718</f>
        <v>15</v>
      </c>
      <c r="K718" s="31">
        <v>57</v>
      </c>
      <c r="L718" s="32">
        <v>44225</v>
      </c>
      <c r="M718" s="33">
        <v>0.21</v>
      </c>
      <c r="N718" s="64">
        <f t="shared" si="227"/>
        <v>68.97</v>
      </c>
      <c r="O718" s="68">
        <f t="shared" si="217"/>
        <v>74.099999999999994</v>
      </c>
      <c r="P718" s="68">
        <f t="shared" si="223"/>
        <v>76.95</v>
      </c>
      <c r="Q718" s="68">
        <f t="shared" si="224"/>
        <v>79.8</v>
      </c>
      <c r="R718" s="11">
        <f t="shared" si="225"/>
        <v>82.65</v>
      </c>
      <c r="S718" s="11">
        <f t="shared" si="218"/>
        <v>85.5</v>
      </c>
      <c r="T718" s="11">
        <f t="shared" si="226"/>
        <v>91.2</v>
      </c>
      <c r="U718" s="38">
        <f t="shared" si="228"/>
        <v>93.11</v>
      </c>
      <c r="V718" s="38">
        <f t="shared" si="229"/>
        <v>96.56</v>
      </c>
      <c r="W718" s="38">
        <f t="shared" si="230"/>
        <v>100.01</v>
      </c>
      <c r="X718" s="38">
        <f t="shared" si="231"/>
        <v>103.46</v>
      </c>
      <c r="Z718" s="4">
        <f t="shared" si="221"/>
        <v>855</v>
      </c>
      <c r="AA718" s="4">
        <f t="shared" si="222"/>
        <v>1034.55</v>
      </c>
    </row>
    <row r="719" spans="1:27" x14ac:dyDescent="0.3">
      <c r="A719" s="135"/>
      <c r="B719" s="125"/>
      <c r="C719" s="3" t="s">
        <v>143</v>
      </c>
      <c r="D719" s="55" t="s">
        <v>540</v>
      </c>
      <c r="E719" s="55" t="s">
        <v>541</v>
      </c>
      <c r="F719" s="55" t="s">
        <v>1507</v>
      </c>
      <c r="G719" s="56">
        <v>30</v>
      </c>
      <c r="H719" s="49">
        <f>10+100+30+50+50+50+30</f>
        <v>320</v>
      </c>
      <c r="I719" s="50">
        <f>9+80+20+50+10+2+10+1+30+8+10+20+20+10</f>
        <v>280</v>
      </c>
      <c r="J719" s="77">
        <f>+H719-I719</f>
        <v>40</v>
      </c>
      <c r="K719" s="31">
        <v>57</v>
      </c>
      <c r="L719" s="32">
        <v>44225</v>
      </c>
      <c r="M719" s="33">
        <v>0.21</v>
      </c>
      <c r="N719" s="64">
        <f t="shared" si="227"/>
        <v>68.97</v>
      </c>
      <c r="O719" s="68">
        <f t="shared" si="217"/>
        <v>74.099999999999994</v>
      </c>
      <c r="P719" s="68">
        <f t="shared" si="223"/>
        <v>76.95</v>
      </c>
      <c r="Q719" s="68">
        <f t="shared" si="224"/>
        <v>79.8</v>
      </c>
      <c r="R719" s="11">
        <f t="shared" si="225"/>
        <v>82.65</v>
      </c>
      <c r="S719" s="11">
        <f t="shared" si="218"/>
        <v>85.5</v>
      </c>
      <c r="T719" s="11">
        <v>14.24</v>
      </c>
      <c r="U719" s="38">
        <f t="shared" si="228"/>
        <v>93.11</v>
      </c>
      <c r="V719" s="38">
        <f t="shared" si="229"/>
        <v>96.56</v>
      </c>
      <c r="W719" s="38">
        <f t="shared" si="230"/>
        <v>100.01</v>
      </c>
      <c r="X719" s="38">
        <f t="shared" si="231"/>
        <v>103.46</v>
      </c>
      <c r="Z719" s="4">
        <f t="shared" si="221"/>
        <v>2280</v>
      </c>
      <c r="AA719" s="4">
        <f t="shared" si="222"/>
        <v>2758.8</v>
      </c>
    </row>
    <row r="720" spans="1:27" x14ac:dyDescent="0.3">
      <c r="A720" s="135"/>
      <c r="B720" s="125"/>
      <c r="C720" s="5" t="s">
        <v>144</v>
      </c>
      <c r="D720" s="55" t="s">
        <v>533</v>
      </c>
      <c r="E720" s="55" t="s">
        <v>362</v>
      </c>
      <c r="F720" s="55" t="s">
        <v>219</v>
      </c>
      <c r="G720" s="56">
        <v>0</v>
      </c>
      <c r="H720" s="49">
        <v>49</v>
      </c>
      <c r="I720" s="50">
        <f>10+38</f>
        <v>48</v>
      </c>
      <c r="J720" s="77">
        <f>+H720-I720</f>
        <v>1</v>
      </c>
      <c r="K720" s="31">
        <v>42</v>
      </c>
      <c r="L720" s="32">
        <v>44222</v>
      </c>
      <c r="M720" s="33">
        <v>0.21</v>
      </c>
      <c r="N720" s="64">
        <f t="shared" si="227"/>
        <v>50.82</v>
      </c>
      <c r="O720" s="68">
        <f t="shared" si="217"/>
        <v>54.6</v>
      </c>
      <c r="P720" s="68">
        <f t="shared" si="223"/>
        <v>56.7</v>
      </c>
      <c r="Q720" s="68">
        <f t="shared" si="224"/>
        <v>58.8</v>
      </c>
      <c r="R720" s="11">
        <f t="shared" si="225"/>
        <v>60.9</v>
      </c>
      <c r="S720" s="11">
        <f t="shared" si="218"/>
        <v>63</v>
      </c>
      <c r="T720" s="11">
        <f t="shared" si="226"/>
        <v>67.2</v>
      </c>
      <c r="U720" s="38">
        <f t="shared" si="228"/>
        <v>68.61</v>
      </c>
      <c r="V720" s="38">
        <f t="shared" si="229"/>
        <v>71.150000000000006</v>
      </c>
      <c r="W720" s="38">
        <f t="shared" si="230"/>
        <v>73.69</v>
      </c>
      <c r="X720" s="38">
        <f t="shared" si="231"/>
        <v>76.23</v>
      </c>
      <c r="Z720" s="4">
        <f t="shared" si="221"/>
        <v>42</v>
      </c>
      <c r="AA720" s="4">
        <f t="shared" si="222"/>
        <v>50.82</v>
      </c>
    </row>
    <row r="721" spans="1:27" x14ac:dyDescent="0.3">
      <c r="A721" s="135"/>
      <c r="B721" s="125"/>
      <c r="C721" s="3" t="s">
        <v>145</v>
      </c>
      <c r="D721" s="55" t="s">
        <v>821</v>
      </c>
      <c r="E721" s="55" t="s">
        <v>362</v>
      </c>
      <c r="F721" s="55" t="s">
        <v>728</v>
      </c>
      <c r="G721" s="56">
        <v>30</v>
      </c>
      <c r="H721" s="49">
        <f>20+2+34+20+30</f>
        <v>106</v>
      </c>
      <c r="I721" s="50">
        <f>4+10+8+10+20+4+7+3+20+7+10</f>
        <v>103</v>
      </c>
      <c r="J721" s="77">
        <f>+H721-I721</f>
        <v>3</v>
      </c>
      <c r="K721" s="31">
        <v>57</v>
      </c>
      <c r="L721" s="32">
        <v>44225</v>
      </c>
      <c r="M721" s="33">
        <v>0.21</v>
      </c>
      <c r="N721" s="64">
        <f t="shared" si="227"/>
        <v>68.97</v>
      </c>
      <c r="O721" s="68">
        <f t="shared" si="217"/>
        <v>74.099999999999994</v>
      </c>
      <c r="P721" s="68">
        <f t="shared" si="223"/>
        <v>76.95</v>
      </c>
      <c r="Q721" s="68">
        <f t="shared" si="224"/>
        <v>79.8</v>
      </c>
      <c r="R721" s="11">
        <f t="shared" si="225"/>
        <v>82.65</v>
      </c>
      <c r="S721" s="11">
        <f t="shared" si="218"/>
        <v>85.5</v>
      </c>
      <c r="T721" s="11">
        <v>14.24</v>
      </c>
      <c r="U721" s="38">
        <f t="shared" si="228"/>
        <v>93.11</v>
      </c>
      <c r="V721" s="38">
        <f t="shared" si="229"/>
        <v>96.56</v>
      </c>
      <c r="W721" s="38">
        <f t="shared" si="230"/>
        <v>100.01</v>
      </c>
      <c r="X721" s="38">
        <f t="shared" si="231"/>
        <v>103.46</v>
      </c>
      <c r="Z721" s="4">
        <f t="shared" si="221"/>
        <v>171</v>
      </c>
      <c r="AA721" s="4">
        <f t="shared" si="222"/>
        <v>206.91</v>
      </c>
    </row>
    <row r="722" spans="1:27" x14ac:dyDescent="0.3">
      <c r="A722" s="135"/>
      <c r="B722" s="125"/>
      <c r="C722" s="3" t="s">
        <v>567</v>
      </c>
      <c r="D722" s="55" t="s">
        <v>568</v>
      </c>
      <c r="E722" s="55" t="s">
        <v>70</v>
      </c>
      <c r="F722" s="55" t="s">
        <v>222</v>
      </c>
      <c r="G722" s="56">
        <v>0</v>
      </c>
      <c r="H722" s="49">
        <f>2</f>
        <v>2</v>
      </c>
      <c r="I722" s="50">
        <v>0</v>
      </c>
      <c r="J722" s="77">
        <f>+H722-I722</f>
        <v>2</v>
      </c>
      <c r="K722" s="31">
        <v>170</v>
      </c>
      <c r="L722" s="32">
        <v>43496</v>
      </c>
      <c r="M722" s="33">
        <v>0.21</v>
      </c>
      <c r="N722" s="64">
        <f t="shared" si="227"/>
        <v>205.7</v>
      </c>
      <c r="O722" s="68">
        <f t="shared" si="217"/>
        <v>221</v>
      </c>
      <c r="P722" s="68">
        <f t="shared" si="223"/>
        <v>229.5</v>
      </c>
      <c r="Q722" s="68">
        <f t="shared" si="224"/>
        <v>238</v>
      </c>
      <c r="R722" s="11">
        <f t="shared" si="225"/>
        <v>246.5</v>
      </c>
      <c r="S722" s="11">
        <f t="shared" si="218"/>
        <v>255</v>
      </c>
      <c r="T722" s="11">
        <f t="shared" si="226"/>
        <v>272</v>
      </c>
      <c r="U722" s="38">
        <f t="shared" si="228"/>
        <v>277.7</v>
      </c>
      <c r="V722" s="38">
        <f t="shared" si="229"/>
        <v>287.98</v>
      </c>
      <c r="W722" s="38">
        <f t="shared" si="230"/>
        <v>298.27</v>
      </c>
      <c r="X722" s="38">
        <f t="shared" si="231"/>
        <v>308.55</v>
      </c>
      <c r="Z722" s="4">
        <f t="shared" si="221"/>
        <v>340</v>
      </c>
      <c r="AA722" s="4">
        <f t="shared" si="222"/>
        <v>411.4</v>
      </c>
    </row>
    <row r="723" spans="1:27" x14ac:dyDescent="0.3">
      <c r="A723" s="135"/>
      <c r="B723" s="125"/>
      <c r="C723" s="3" t="s">
        <v>1151</v>
      </c>
      <c r="D723" s="55" t="s">
        <v>666</v>
      </c>
      <c r="E723" s="55" t="s">
        <v>70</v>
      </c>
      <c r="F723" s="55" t="s">
        <v>229</v>
      </c>
      <c r="G723" s="56">
        <v>1</v>
      </c>
      <c r="H723" s="49">
        <v>2</v>
      </c>
      <c r="I723" s="50">
        <f>0+2</f>
        <v>2</v>
      </c>
      <c r="J723" s="77">
        <f>+H723-I723</f>
        <v>0</v>
      </c>
      <c r="K723" s="31">
        <v>2100</v>
      </c>
      <c r="L723" s="32">
        <v>44146</v>
      </c>
      <c r="M723" s="33">
        <v>0.21</v>
      </c>
      <c r="N723" s="64">
        <f t="shared" si="227"/>
        <v>2541</v>
      </c>
      <c r="O723" s="68">
        <f t="shared" si="217"/>
        <v>2730</v>
      </c>
      <c r="P723" s="68">
        <f t="shared" si="223"/>
        <v>2835</v>
      </c>
      <c r="Q723" s="68">
        <f t="shared" si="224"/>
        <v>2940</v>
      </c>
      <c r="R723" s="11">
        <f t="shared" si="225"/>
        <v>3045</v>
      </c>
      <c r="S723" s="11">
        <f t="shared" si="218"/>
        <v>3150</v>
      </c>
      <c r="T723" s="11">
        <f t="shared" si="226"/>
        <v>3360</v>
      </c>
      <c r="U723" s="38">
        <f t="shared" si="228"/>
        <v>3430.35</v>
      </c>
      <c r="V723" s="38">
        <f t="shared" si="229"/>
        <v>3557.4</v>
      </c>
      <c r="W723" s="38">
        <f t="shared" si="230"/>
        <v>3684.45</v>
      </c>
      <c r="X723" s="38">
        <f t="shared" si="231"/>
        <v>3811.5</v>
      </c>
      <c r="Z723" s="4">
        <f t="shared" si="221"/>
        <v>0</v>
      </c>
      <c r="AA723" s="4">
        <f t="shared" si="222"/>
        <v>0</v>
      </c>
    </row>
    <row r="724" spans="1:27" x14ac:dyDescent="0.3">
      <c r="A724" s="135"/>
      <c r="B724" s="125"/>
      <c r="C724" s="3" t="s">
        <v>1185</v>
      </c>
      <c r="D724" s="55" t="s">
        <v>1188</v>
      </c>
      <c r="E724" s="55" t="s">
        <v>829</v>
      </c>
      <c r="F724" s="55" t="s">
        <v>282</v>
      </c>
      <c r="G724" s="56">
        <v>0</v>
      </c>
      <c r="H724" s="49">
        <f>2+1</f>
        <v>3</v>
      </c>
      <c r="I724" s="50">
        <v>2</v>
      </c>
      <c r="J724" s="77">
        <f>+H724-I724</f>
        <v>1</v>
      </c>
      <c r="K724" s="31">
        <v>2184</v>
      </c>
      <c r="L724" s="32">
        <v>44035</v>
      </c>
      <c r="M724" s="33">
        <v>0.21</v>
      </c>
      <c r="N724" s="64">
        <f t="shared" si="227"/>
        <v>2642.64</v>
      </c>
      <c r="O724" s="68">
        <f t="shared" si="217"/>
        <v>2839.2</v>
      </c>
      <c r="P724" s="68">
        <f t="shared" si="223"/>
        <v>2948.4</v>
      </c>
      <c r="Q724" s="68">
        <f t="shared" si="224"/>
        <v>3057.6</v>
      </c>
      <c r="R724" s="11">
        <f t="shared" si="225"/>
        <v>3166.8</v>
      </c>
      <c r="S724" s="11">
        <f t="shared" si="218"/>
        <v>3276</v>
      </c>
      <c r="T724" s="11">
        <f t="shared" si="226"/>
        <v>3494.4</v>
      </c>
      <c r="U724" s="38">
        <f t="shared" si="228"/>
        <v>3567.56</v>
      </c>
      <c r="V724" s="38">
        <f t="shared" si="229"/>
        <v>3699.7</v>
      </c>
      <c r="W724" s="38">
        <f t="shared" si="230"/>
        <v>3831.83</v>
      </c>
      <c r="X724" s="38">
        <f t="shared" si="231"/>
        <v>3963.96</v>
      </c>
      <c r="Z724" s="4">
        <f t="shared" si="221"/>
        <v>2184</v>
      </c>
      <c r="AA724" s="4">
        <f t="shared" si="222"/>
        <v>2642.64</v>
      </c>
    </row>
    <row r="725" spans="1:27" x14ac:dyDescent="0.3">
      <c r="A725" s="135"/>
      <c r="B725" s="125"/>
      <c r="C725" s="5" t="s">
        <v>831</v>
      </c>
      <c r="D725" s="55" t="s">
        <v>981</v>
      </c>
      <c r="E725" s="55" t="s">
        <v>70</v>
      </c>
      <c r="F725" s="55" t="s">
        <v>230</v>
      </c>
      <c r="G725" s="56">
        <v>30</v>
      </c>
      <c r="H725" s="49">
        <f>65+50+2+1+50+19+50+22+22+50</f>
        <v>331</v>
      </c>
      <c r="I725" s="50">
        <f>30+2+2+1+2+1+10+5+4+6+1+10+2+3+1+52+20+5+1+18+50+1+3+3+1+1+33+13+6+3+1+1+5+1</f>
        <v>298</v>
      </c>
      <c r="J725" s="77">
        <f>+H725-I725</f>
        <v>33</v>
      </c>
      <c r="K725" s="31">
        <v>317.64</v>
      </c>
      <c r="L725" s="32">
        <v>44141</v>
      </c>
      <c r="M725" s="33">
        <v>0.21</v>
      </c>
      <c r="N725" s="64">
        <f t="shared" si="227"/>
        <v>384.34439999999995</v>
      </c>
      <c r="O725" s="68">
        <f t="shared" si="217"/>
        <v>412.93</v>
      </c>
      <c r="P725" s="68">
        <f t="shared" si="223"/>
        <v>428.81</v>
      </c>
      <c r="Q725" s="68">
        <f t="shared" si="224"/>
        <v>444.7</v>
      </c>
      <c r="R725" s="11">
        <f t="shared" si="225"/>
        <v>460.58</v>
      </c>
      <c r="S725" s="11">
        <f t="shared" si="218"/>
        <v>476.46</v>
      </c>
      <c r="T725" s="11">
        <f t="shared" si="226"/>
        <v>508.22</v>
      </c>
      <c r="U725" s="38">
        <f t="shared" si="228"/>
        <v>518.86</v>
      </c>
      <c r="V725" s="38">
        <f t="shared" si="229"/>
        <v>538.08000000000004</v>
      </c>
      <c r="W725" s="38">
        <f t="shared" si="230"/>
        <v>557.29999999999995</v>
      </c>
      <c r="X725" s="38">
        <f t="shared" si="231"/>
        <v>576.52</v>
      </c>
      <c r="Z725" s="4">
        <f t="shared" si="221"/>
        <v>10482.119999999999</v>
      </c>
      <c r="AA725" s="4">
        <f t="shared" si="222"/>
        <v>12683.365199999998</v>
      </c>
    </row>
    <row r="726" spans="1:27" x14ac:dyDescent="0.3">
      <c r="A726" s="135"/>
      <c r="B726" s="125"/>
      <c r="C726" s="3" t="s">
        <v>373</v>
      </c>
      <c r="D726" s="55" t="s">
        <v>534</v>
      </c>
      <c r="E726" s="55" t="s">
        <v>362</v>
      </c>
      <c r="F726" s="55" t="s">
        <v>294</v>
      </c>
      <c r="G726" s="56">
        <v>200</v>
      </c>
      <c r="H726" s="49">
        <f>200+200+500+200+200+200+100+200+100+200+200</f>
        <v>2300</v>
      </c>
      <c r="I726" s="50">
        <f>11+10+30+30+100+50+169+500+100+40+20+10+20+80+20+100+5+20+100+100+5+60+20+60+50+50+30+10+100+50+50+52+1+3+46+50+50+30+50</f>
        <v>2282</v>
      </c>
      <c r="J726" s="77">
        <f>+H726-I726</f>
        <v>18</v>
      </c>
      <c r="K726" s="31">
        <v>24.22</v>
      </c>
      <c r="L726" s="32">
        <v>44238</v>
      </c>
      <c r="M726" s="33">
        <v>0.21</v>
      </c>
      <c r="N726" s="64">
        <f t="shared" si="227"/>
        <v>29.306199999999997</v>
      </c>
      <c r="O726" s="68">
        <f t="shared" si="217"/>
        <v>31.49</v>
      </c>
      <c r="P726" s="68">
        <f t="shared" si="223"/>
        <v>32.700000000000003</v>
      </c>
      <c r="Q726" s="68">
        <f t="shared" si="224"/>
        <v>33.909999999999997</v>
      </c>
      <c r="R726" s="11">
        <f t="shared" si="225"/>
        <v>35.119999999999997</v>
      </c>
      <c r="S726" s="11">
        <f t="shared" si="218"/>
        <v>36.33</v>
      </c>
      <c r="T726" s="11">
        <f t="shared" si="226"/>
        <v>38.75</v>
      </c>
      <c r="U726" s="38">
        <f t="shared" si="228"/>
        <v>39.56</v>
      </c>
      <c r="V726" s="38">
        <f t="shared" si="229"/>
        <v>41.03</v>
      </c>
      <c r="W726" s="38">
        <f t="shared" si="230"/>
        <v>42.49</v>
      </c>
      <c r="X726" s="38">
        <f t="shared" si="231"/>
        <v>43.96</v>
      </c>
      <c r="Z726" s="4">
        <f t="shared" si="221"/>
        <v>435.96</v>
      </c>
      <c r="AA726" s="4">
        <f t="shared" si="222"/>
        <v>527.51159999999993</v>
      </c>
    </row>
    <row r="727" spans="1:27" x14ac:dyDescent="0.3">
      <c r="A727" s="135"/>
      <c r="B727" s="125"/>
      <c r="C727" s="3" t="s">
        <v>374</v>
      </c>
      <c r="D727" s="55" t="s">
        <v>535</v>
      </c>
      <c r="E727" s="55" t="s">
        <v>362</v>
      </c>
      <c r="F727" s="55" t="s">
        <v>294</v>
      </c>
      <c r="G727" s="56">
        <v>200</v>
      </c>
      <c r="H727" s="49">
        <f>250+250+6+100+48</f>
        <v>654</v>
      </c>
      <c r="I727" s="50">
        <f>100+30+30+20+20+40+2+60+5+11+50+30</f>
        <v>398</v>
      </c>
      <c r="J727" s="77">
        <f>+H727-I727</f>
        <v>256</v>
      </c>
      <c r="K727" s="31">
        <v>44.28</v>
      </c>
      <c r="L727" s="32">
        <v>44238</v>
      </c>
      <c r="M727" s="33">
        <v>0.21</v>
      </c>
      <c r="N727" s="64">
        <f t="shared" si="227"/>
        <v>53.578800000000001</v>
      </c>
      <c r="O727" s="68">
        <f t="shared" si="217"/>
        <v>57.56</v>
      </c>
      <c r="P727" s="68">
        <f t="shared" si="223"/>
        <v>59.78</v>
      </c>
      <c r="Q727" s="68">
        <f t="shared" si="224"/>
        <v>61.99</v>
      </c>
      <c r="R727" s="11">
        <f t="shared" si="225"/>
        <v>64.209999999999994</v>
      </c>
      <c r="S727" s="11">
        <f t="shared" si="218"/>
        <v>66.42</v>
      </c>
      <c r="T727" s="11">
        <f t="shared" si="226"/>
        <v>70.849999999999994</v>
      </c>
      <c r="U727" s="38">
        <f t="shared" si="228"/>
        <v>72.33</v>
      </c>
      <c r="V727" s="38">
        <f t="shared" si="229"/>
        <v>75.010000000000005</v>
      </c>
      <c r="W727" s="38">
        <f t="shared" si="230"/>
        <v>77.69</v>
      </c>
      <c r="X727" s="38">
        <f t="shared" si="231"/>
        <v>80.37</v>
      </c>
      <c r="Z727" s="4">
        <f t="shared" si="221"/>
        <v>11335.68</v>
      </c>
      <c r="AA727" s="4">
        <f t="shared" si="222"/>
        <v>13716.1728</v>
      </c>
    </row>
    <row r="728" spans="1:27" x14ac:dyDescent="0.3">
      <c r="A728" s="135"/>
      <c r="B728" s="125"/>
      <c r="C728" s="3" t="s">
        <v>375</v>
      </c>
      <c r="D728" s="55" t="s">
        <v>171</v>
      </c>
      <c r="E728" s="55" t="s">
        <v>362</v>
      </c>
      <c r="F728" s="55" t="s">
        <v>294</v>
      </c>
      <c r="G728" s="56">
        <v>100</v>
      </c>
      <c r="H728" s="49">
        <f>250+7+250+34+250</f>
        <v>791</v>
      </c>
      <c r="I728" s="50">
        <f>100+100+30+20+7+30+20+2+60+10+20+50+12+80+70+40</f>
        <v>651</v>
      </c>
      <c r="J728" s="77">
        <f>+H728-I728</f>
        <v>140</v>
      </c>
      <c r="K728" s="31">
        <v>59.5</v>
      </c>
      <c r="L728" s="32">
        <v>44238</v>
      </c>
      <c r="M728" s="33">
        <v>0.21</v>
      </c>
      <c r="N728" s="64">
        <f t="shared" si="227"/>
        <v>71.995000000000005</v>
      </c>
      <c r="O728" s="68">
        <f t="shared" si="217"/>
        <v>77.349999999999994</v>
      </c>
      <c r="P728" s="68">
        <f t="shared" si="223"/>
        <v>80.33</v>
      </c>
      <c r="Q728" s="68">
        <f t="shared" si="224"/>
        <v>83.3</v>
      </c>
      <c r="R728" s="11">
        <f t="shared" si="225"/>
        <v>86.28</v>
      </c>
      <c r="S728" s="11">
        <f t="shared" si="218"/>
        <v>89.25</v>
      </c>
      <c r="T728" s="11">
        <f t="shared" si="226"/>
        <v>95.2</v>
      </c>
      <c r="U728" s="38">
        <f t="shared" si="228"/>
        <v>97.19</v>
      </c>
      <c r="V728" s="38">
        <f t="shared" si="229"/>
        <v>100.79</v>
      </c>
      <c r="W728" s="38">
        <f t="shared" si="230"/>
        <v>104.39</v>
      </c>
      <c r="X728" s="38">
        <f t="shared" si="231"/>
        <v>107.99</v>
      </c>
      <c r="Z728" s="4">
        <f t="shared" ref="Z728:Z759" si="232">J728*K728</f>
        <v>8330</v>
      </c>
      <c r="AA728" s="4">
        <f t="shared" ref="AA728:AA759" si="233">J728*N728</f>
        <v>10079.300000000001</v>
      </c>
    </row>
    <row r="729" spans="1:27" x14ac:dyDescent="0.3">
      <c r="A729" s="135"/>
      <c r="B729" s="125"/>
      <c r="C729" s="3" t="s">
        <v>376</v>
      </c>
      <c r="D729" s="55" t="s">
        <v>536</v>
      </c>
      <c r="E729" s="55" t="s">
        <v>362</v>
      </c>
      <c r="F729" s="55" t="s">
        <v>294</v>
      </c>
      <c r="G729" s="56">
        <v>200</v>
      </c>
      <c r="H729" s="49">
        <f>200+200+200+200+500+200+200+17+183+200+200+200+100+13+100+200+300+100</f>
        <v>3313</v>
      </c>
      <c r="I729" s="50">
        <f>30+100+30+30+30+50+100+100+50+25+50+100+100+100+100+50+50+25+30+100+30+100+100+30+100+60+200+100+50+91+100+15+74+50+100+50+100+6+100+20+7+180+50+100+100+10+40+30</f>
        <v>3243</v>
      </c>
      <c r="J729" s="77">
        <f>+H729-I729</f>
        <v>70</v>
      </c>
      <c r="K729" s="31">
        <v>13.94</v>
      </c>
      <c r="L729" s="32">
        <v>44238</v>
      </c>
      <c r="M729" s="33">
        <v>0.21</v>
      </c>
      <c r="N729" s="64">
        <f t="shared" si="227"/>
        <v>16.8674</v>
      </c>
      <c r="O729" s="68">
        <f t="shared" si="217"/>
        <v>18.12</v>
      </c>
      <c r="P729" s="68">
        <f t="shared" si="223"/>
        <v>18.82</v>
      </c>
      <c r="Q729" s="68">
        <f t="shared" si="224"/>
        <v>19.52</v>
      </c>
      <c r="R729" s="11">
        <f t="shared" si="225"/>
        <v>20.21</v>
      </c>
      <c r="S729" s="11">
        <f t="shared" si="218"/>
        <v>20.91</v>
      </c>
      <c r="T729" s="11">
        <f t="shared" si="226"/>
        <v>22.3</v>
      </c>
      <c r="U729" s="38">
        <f t="shared" si="228"/>
        <v>22.77</v>
      </c>
      <c r="V729" s="38">
        <f t="shared" si="229"/>
        <v>23.61</v>
      </c>
      <c r="W729" s="38">
        <f t="shared" si="230"/>
        <v>24.46</v>
      </c>
      <c r="X729" s="38">
        <f t="shared" si="231"/>
        <v>25.3</v>
      </c>
      <c r="Z729" s="4">
        <f t="shared" si="232"/>
        <v>975.8</v>
      </c>
      <c r="AA729" s="4">
        <f t="shared" si="233"/>
        <v>1180.7180000000001</v>
      </c>
    </row>
    <row r="730" spans="1:27" x14ac:dyDescent="0.3">
      <c r="A730" s="135"/>
      <c r="B730" s="125"/>
      <c r="C730" s="3" t="s">
        <v>377</v>
      </c>
      <c r="D730" s="55" t="s">
        <v>537</v>
      </c>
      <c r="E730" s="55" t="s">
        <v>362</v>
      </c>
      <c r="F730" s="55" t="s">
        <v>294</v>
      </c>
      <c r="G730" s="56">
        <v>200</v>
      </c>
      <c r="H730" s="49">
        <f>200+500+200+200+200+12+200+500+200+100+100+200+200+100+100</f>
        <v>3012</v>
      </c>
      <c r="I730" s="50">
        <f>200+200+50+25+100+100+100+100+100+50+5+30+100+152+200+300+100+20+50+50+100+100+60+60+45+15+200+100+100+100</f>
        <v>2912</v>
      </c>
      <c r="J730" s="77">
        <f>+H730-I730</f>
        <v>100</v>
      </c>
      <c r="K730" s="31">
        <v>19.079999999999998</v>
      </c>
      <c r="L730" s="32">
        <v>44238</v>
      </c>
      <c r="M730" s="33">
        <v>0.21</v>
      </c>
      <c r="N730" s="64">
        <f t="shared" si="227"/>
        <v>23.086799999999997</v>
      </c>
      <c r="O730" s="68">
        <f t="shared" si="217"/>
        <v>24.8</v>
      </c>
      <c r="P730" s="68">
        <f t="shared" si="223"/>
        <v>25.76</v>
      </c>
      <c r="Q730" s="68">
        <f t="shared" si="224"/>
        <v>26.71</v>
      </c>
      <c r="R730" s="11">
        <f t="shared" si="225"/>
        <v>27.67</v>
      </c>
      <c r="S730" s="11">
        <f t="shared" si="218"/>
        <v>28.619999999999997</v>
      </c>
      <c r="T730" s="11">
        <f t="shared" si="226"/>
        <v>30.53</v>
      </c>
      <c r="U730" s="38">
        <f t="shared" si="228"/>
        <v>31.17</v>
      </c>
      <c r="V730" s="38">
        <f t="shared" si="229"/>
        <v>32.32</v>
      </c>
      <c r="W730" s="38">
        <f t="shared" si="230"/>
        <v>33.479999999999997</v>
      </c>
      <c r="X730" s="38">
        <f t="shared" si="231"/>
        <v>34.630000000000003</v>
      </c>
      <c r="Z730" s="4">
        <f t="shared" si="232"/>
        <v>1907.9999999999998</v>
      </c>
      <c r="AA730" s="4">
        <f t="shared" si="233"/>
        <v>2308.6799999999998</v>
      </c>
    </row>
    <row r="731" spans="1:27" x14ac:dyDescent="0.3">
      <c r="A731" s="135"/>
      <c r="B731" s="125"/>
      <c r="C731" s="3" t="s">
        <v>1413</v>
      </c>
      <c r="D731" s="55" t="s">
        <v>538</v>
      </c>
      <c r="E731" s="55" t="s">
        <v>362</v>
      </c>
      <c r="F731" s="55" t="s">
        <v>1480</v>
      </c>
      <c r="G731" s="56">
        <v>2</v>
      </c>
      <c r="H731" s="49">
        <f>10+30+10+10+1</f>
        <v>61</v>
      </c>
      <c r="I731" s="50">
        <f>3+3+20+10+2+6+6+1+4+1+1+1+2</f>
        <v>60</v>
      </c>
      <c r="J731" s="77">
        <f>+H731-I731</f>
        <v>1</v>
      </c>
      <c r="K731" s="31">
        <v>140</v>
      </c>
      <c r="L731" s="32">
        <v>44035</v>
      </c>
      <c r="M731" s="33">
        <v>0.21</v>
      </c>
      <c r="N731" s="64">
        <f t="shared" si="227"/>
        <v>169.4</v>
      </c>
      <c r="O731" s="68">
        <f t="shared" si="217"/>
        <v>182</v>
      </c>
      <c r="P731" s="68">
        <f t="shared" si="223"/>
        <v>189</v>
      </c>
      <c r="Q731" s="68">
        <f t="shared" si="224"/>
        <v>196</v>
      </c>
      <c r="R731" s="11">
        <f t="shared" si="225"/>
        <v>203</v>
      </c>
      <c r="S731" s="11">
        <f t="shared" si="218"/>
        <v>210</v>
      </c>
      <c r="T731" s="11">
        <f t="shared" si="226"/>
        <v>224</v>
      </c>
      <c r="U731" s="38">
        <f t="shared" si="228"/>
        <v>228.69</v>
      </c>
      <c r="V731" s="38">
        <f t="shared" si="229"/>
        <v>237.16</v>
      </c>
      <c r="W731" s="38">
        <f t="shared" si="230"/>
        <v>245.63</v>
      </c>
      <c r="X731" s="38">
        <f t="shared" si="231"/>
        <v>254.1</v>
      </c>
      <c r="Z731" s="4">
        <f t="shared" si="232"/>
        <v>140</v>
      </c>
      <c r="AA731" s="4">
        <f t="shared" si="233"/>
        <v>169.4</v>
      </c>
    </row>
    <row r="732" spans="1:27" x14ac:dyDescent="0.3">
      <c r="A732" s="135"/>
      <c r="C732" s="3" t="s">
        <v>378</v>
      </c>
      <c r="D732" s="55" t="s">
        <v>667</v>
      </c>
      <c r="E732" s="55" t="s">
        <v>1133</v>
      </c>
      <c r="F732" s="55" t="s">
        <v>295</v>
      </c>
      <c r="G732" s="56">
        <v>100</v>
      </c>
      <c r="H732" s="49">
        <f>200+100+100+94+195</f>
        <v>689</v>
      </c>
      <c r="I732" s="50">
        <f>50+5+100+50+30+30+5+30+1+1+30+50+5+50+10+25+1+10+11+10+20</f>
        <v>524</v>
      </c>
      <c r="J732" s="77">
        <f>+H732-I732</f>
        <v>165</v>
      </c>
      <c r="K732" s="31">
        <v>16.329999999999998</v>
      </c>
      <c r="L732" s="32">
        <v>44222</v>
      </c>
      <c r="M732" s="33">
        <v>0.21</v>
      </c>
      <c r="N732" s="64">
        <f t="shared" si="227"/>
        <v>19.759299999999996</v>
      </c>
      <c r="O732" s="68">
        <f t="shared" si="217"/>
        <v>21.23</v>
      </c>
      <c r="P732" s="68">
        <f t="shared" si="223"/>
        <v>22.05</v>
      </c>
      <c r="Q732" s="68">
        <f t="shared" si="224"/>
        <v>22.86</v>
      </c>
      <c r="R732" s="11">
        <f t="shared" si="225"/>
        <v>23.68</v>
      </c>
      <c r="S732" s="11">
        <f t="shared" si="218"/>
        <v>24.494999999999997</v>
      </c>
      <c r="T732" s="11">
        <f t="shared" si="226"/>
        <v>26.13</v>
      </c>
      <c r="U732" s="38">
        <f t="shared" si="228"/>
        <v>26.68</v>
      </c>
      <c r="V732" s="38">
        <f t="shared" si="229"/>
        <v>27.66</v>
      </c>
      <c r="W732" s="38">
        <f t="shared" si="230"/>
        <v>28.65</v>
      </c>
      <c r="X732" s="38">
        <f t="shared" si="231"/>
        <v>29.64</v>
      </c>
      <c r="Z732" s="4">
        <f t="shared" si="232"/>
        <v>2694.45</v>
      </c>
      <c r="AA732" s="4">
        <f t="shared" si="233"/>
        <v>3260.2844999999993</v>
      </c>
    </row>
    <row r="733" spans="1:27" x14ac:dyDescent="0.3">
      <c r="A733" s="135"/>
      <c r="B733" s="125"/>
      <c r="C733" s="3" t="s">
        <v>379</v>
      </c>
      <c r="D733" s="55" t="s">
        <v>668</v>
      </c>
      <c r="E733" s="55" t="s">
        <v>70</v>
      </c>
      <c r="F733" s="55" t="s">
        <v>295</v>
      </c>
      <c r="G733" s="56">
        <v>100</v>
      </c>
      <c r="H733" s="49">
        <f>125+125+125+125+125+125+125+125</f>
        <v>1000</v>
      </c>
      <c r="I733" s="50">
        <f>100+125+125+80+30+30+30+60+1+30+50+40+30+100+100+1</f>
        <v>932</v>
      </c>
      <c r="J733" s="77">
        <f>+H733-I733</f>
        <v>68</v>
      </c>
      <c r="K733" s="31">
        <v>22.03</v>
      </c>
      <c r="L733" s="32">
        <v>44222</v>
      </c>
      <c r="M733" s="33">
        <v>0.21</v>
      </c>
      <c r="N733" s="64">
        <f t="shared" si="227"/>
        <v>26.656300000000002</v>
      </c>
      <c r="O733" s="68">
        <f t="shared" si="217"/>
        <v>28.64</v>
      </c>
      <c r="P733" s="68">
        <f t="shared" si="223"/>
        <v>29.74</v>
      </c>
      <c r="Q733" s="68">
        <f t="shared" si="224"/>
        <v>30.84</v>
      </c>
      <c r="R733" s="11">
        <f t="shared" si="225"/>
        <v>31.94</v>
      </c>
      <c r="S733" s="11">
        <f t="shared" si="218"/>
        <v>33.045000000000002</v>
      </c>
      <c r="T733" s="11">
        <f t="shared" si="226"/>
        <v>35.25</v>
      </c>
      <c r="U733" s="38">
        <f t="shared" si="228"/>
        <v>35.99</v>
      </c>
      <c r="V733" s="38">
        <f t="shared" si="229"/>
        <v>37.32</v>
      </c>
      <c r="W733" s="38">
        <f t="shared" si="230"/>
        <v>38.65</v>
      </c>
      <c r="X733" s="38">
        <f t="shared" si="231"/>
        <v>39.979999999999997</v>
      </c>
      <c r="Z733" s="4">
        <f t="shared" si="232"/>
        <v>1498.04</v>
      </c>
      <c r="AA733" s="4">
        <f t="shared" si="233"/>
        <v>1812.6284000000001</v>
      </c>
    </row>
    <row r="734" spans="1:27" x14ac:dyDescent="0.3">
      <c r="A734" s="135"/>
      <c r="B734" s="125"/>
      <c r="C734" s="3" t="s">
        <v>712</v>
      </c>
      <c r="D734" s="55" t="s">
        <v>669</v>
      </c>
      <c r="E734" s="55" t="s">
        <v>362</v>
      </c>
      <c r="F734" s="55" t="s">
        <v>295</v>
      </c>
      <c r="G734" s="56">
        <v>50</v>
      </c>
      <c r="H734" s="49">
        <f>25+80+20+100+100+100+100+100+100+25</f>
        <v>750</v>
      </c>
      <c r="I734" s="50">
        <f>25+25+30+30+15+60+40+40+60+70+30+30+70+50+50+100</f>
        <v>725</v>
      </c>
      <c r="J734" s="77">
        <f>+H734-I734</f>
        <v>25</v>
      </c>
      <c r="K734" s="31">
        <v>47.31</v>
      </c>
      <c r="L734" s="32">
        <v>44239</v>
      </c>
      <c r="M734" s="33">
        <v>0.21</v>
      </c>
      <c r="N734" s="64">
        <f t="shared" si="227"/>
        <v>57.245100000000001</v>
      </c>
      <c r="O734" s="68">
        <f t="shared" ref="O734:O741" si="234">ROUND(K734*(1+$O$3),2)</f>
        <v>61.5</v>
      </c>
      <c r="P734" s="68">
        <f t="shared" si="223"/>
        <v>63.87</v>
      </c>
      <c r="Q734" s="68">
        <f t="shared" si="224"/>
        <v>66.23</v>
      </c>
      <c r="R734" s="11">
        <f t="shared" si="225"/>
        <v>68.599999999999994</v>
      </c>
      <c r="S734" s="11">
        <f t="shared" ref="S734:S741" si="235">K734*(1+$S$3)</f>
        <v>70.965000000000003</v>
      </c>
      <c r="T734" s="11">
        <f t="shared" si="226"/>
        <v>75.7</v>
      </c>
      <c r="U734" s="38">
        <f t="shared" si="228"/>
        <v>77.28</v>
      </c>
      <c r="V734" s="38">
        <f t="shared" si="229"/>
        <v>80.14</v>
      </c>
      <c r="W734" s="38">
        <f t="shared" si="230"/>
        <v>83.01</v>
      </c>
      <c r="X734" s="38">
        <f t="shared" si="231"/>
        <v>85.87</v>
      </c>
      <c r="Z734" s="4">
        <f t="shared" si="232"/>
        <v>1182.75</v>
      </c>
      <c r="AA734" s="4">
        <f t="shared" si="233"/>
        <v>1431.1275000000001</v>
      </c>
    </row>
    <row r="735" spans="1:27" x14ac:dyDescent="0.3">
      <c r="A735" s="135"/>
      <c r="B735" s="125"/>
      <c r="C735" s="3" t="s">
        <v>1080</v>
      </c>
      <c r="D735" s="55"/>
      <c r="E735" s="55" t="s">
        <v>70</v>
      </c>
      <c r="F735" s="55" t="s">
        <v>548</v>
      </c>
      <c r="G735" s="56">
        <v>3</v>
      </c>
      <c r="H735" s="49">
        <f>12+5</f>
        <v>17</v>
      </c>
      <c r="I735" s="50">
        <f>12</f>
        <v>12</v>
      </c>
      <c r="J735" s="77">
        <f>+H735-I735</f>
        <v>5</v>
      </c>
      <c r="K735" s="31">
        <v>234.9</v>
      </c>
      <c r="L735" s="32">
        <v>44146</v>
      </c>
      <c r="M735" s="33">
        <v>0.21</v>
      </c>
      <c r="N735" s="64">
        <f t="shared" si="227"/>
        <v>284.22899999999998</v>
      </c>
      <c r="O735" s="68">
        <f t="shared" si="234"/>
        <v>305.37</v>
      </c>
      <c r="P735" s="68">
        <f t="shared" si="223"/>
        <v>317.12</v>
      </c>
      <c r="Q735" s="68">
        <f t="shared" si="224"/>
        <v>328.86</v>
      </c>
      <c r="R735" s="11">
        <f t="shared" si="225"/>
        <v>340.61</v>
      </c>
      <c r="S735" s="11">
        <f t="shared" si="235"/>
        <v>352.35</v>
      </c>
      <c r="T735" s="11">
        <f t="shared" si="226"/>
        <v>375.84</v>
      </c>
      <c r="U735" s="38">
        <f t="shared" si="228"/>
        <v>383.71</v>
      </c>
      <c r="V735" s="38">
        <f t="shared" si="229"/>
        <v>397.92</v>
      </c>
      <c r="W735" s="38">
        <f t="shared" si="230"/>
        <v>412.13</v>
      </c>
      <c r="X735" s="38">
        <f t="shared" si="231"/>
        <v>426.34</v>
      </c>
      <c r="Z735" s="4">
        <f t="shared" si="232"/>
        <v>1174.5</v>
      </c>
      <c r="AA735" s="4">
        <f t="shared" si="233"/>
        <v>1421.145</v>
      </c>
    </row>
    <row r="736" spans="1:27" x14ac:dyDescent="0.3">
      <c r="A736" s="135"/>
      <c r="B736" s="125"/>
      <c r="C736" s="3" t="s">
        <v>713</v>
      </c>
      <c r="D736" s="55" t="s">
        <v>670</v>
      </c>
      <c r="E736" s="55" t="s">
        <v>70</v>
      </c>
      <c r="F736" s="55" t="s">
        <v>548</v>
      </c>
      <c r="G736" s="56">
        <v>3</v>
      </c>
      <c r="H736" s="49">
        <f>10+3+10+10</f>
        <v>33</v>
      </c>
      <c r="I736" s="50">
        <f>10+13</f>
        <v>23</v>
      </c>
      <c r="J736" s="77">
        <f>+H736-I736</f>
        <v>10</v>
      </c>
      <c r="K736" s="31">
        <v>266.8</v>
      </c>
      <c r="L736" s="32">
        <v>44146</v>
      </c>
      <c r="M736" s="33">
        <v>0.21</v>
      </c>
      <c r="N736" s="64">
        <f t="shared" si="227"/>
        <v>322.82800000000003</v>
      </c>
      <c r="O736" s="68">
        <f t="shared" si="234"/>
        <v>346.84</v>
      </c>
      <c r="P736" s="68">
        <f t="shared" si="223"/>
        <v>360.18</v>
      </c>
      <c r="Q736" s="68">
        <f t="shared" si="224"/>
        <v>373.52</v>
      </c>
      <c r="R736" s="11">
        <f t="shared" si="225"/>
        <v>386.86</v>
      </c>
      <c r="S736" s="11">
        <f t="shared" si="235"/>
        <v>400.20000000000005</v>
      </c>
      <c r="T736" s="11">
        <f t="shared" si="226"/>
        <v>426.88</v>
      </c>
      <c r="U736" s="38">
        <f t="shared" si="228"/>
        <v>435.82</v>
      </c>
      <c r="V736" s="38">
        <f t="shared" si="229"/>
        <v>451.96</v>
      </c>
      <c r="W736" s="38">
        <f t="shared" si="230"/>
        <v>468.1</v>
      </c>
      <c r="X736" s="38">
        <f t="shared" si="231"/>
        <v>484.24</v>
      </c>
      <c r="Z736" s="4">
        <f t="shared" si="232"/>
        <v>2668</v>
      </c>
      <c r="AA736" s="4">
        <f t="shared" si="233"/>
        <v>3228.28</v>
      </c>
    </row>
    <row r="737" spans="1:27" x14ac:dyDescent="0.3">
      <c r="A737" s="135"/>
      <c r="B737" s="125"/>
      <c r="C737" s="3" t="s">
        <v>715</v>
      </c>
      <c r="D737" s="55" t="s">
        <v>671</v>
      </c>
      <c r="E737" s="55" t="s">
        <v>70</v>
      </c>
      <c r="F737" s="55" t="s">
        <v>548</v>
      </c>
      <c r="G737" s="56">
        <v>3</v>
      </c>
      <c r="H737" s="49">
        <f>20+10+9+1</f>
        <v>40</v>
      </c>
      <c r="I737" s="50">
        <f>5+5+6+10+7+7</f>
        <v>40</v>
      </c>
      <c r="J737" s="77">
        <f>+H737-I737</f>
        <v>0</v>
      </c>
      <c r="K737" s="31">
        <v>326.25</v>
      </c>
      <c r="L737" s="32">
        <v>44146</v>
      </c>
      <c r="M737" s="33">
        <v>0.21</v>
      </c>
      <c r="N737" s="64">
        <f t="shared" si="227"/>
        <v>394.76249999999999</v>
      </c>
      <c r="O737" s="68">
        <f t="shared" si="234"/>
        <v>424.13</v>
      </c>
      <c r="P737" s="68">
        <f t="shared" si="223"/>
        <v>440.44</v>
      </c>
      <c r="Q737" s="68">
        <f t="shared" si="224"/>
        <v>456.75</v>
      </c>
      <c r="R737" s="11">
        <f t="shared" si="225"/>
        <v>473.06</v>
      </c>
      <c r="S737" s="11">
        <f t="shared" si="235"/>
        <v>489.375</v>
      </c>
      <c r="T737" s="11">
        <f t="shared" si="226"/>
        <v>522</v>
      </c>
      <c r="U737" s="38">
        <f t="shared" si="228"/>
        <v>532.92999999999995</v>
      </c>
      <c r="V737" s="38">
        <f t="shared" si="229"/>
        <v>552.66999999999996</v>
      </c>
      <c r="W737" s="38">
        <f t="shared" si="230"/>
        <v>572.41</v>
      </c>
      <c r="X737" s="38">
        <f t="shared" si="231"/>
        <v>592.14</v>
      </c>
      <c r="Z737" s="4">
        <f t="shared" si="232"/>
        <v>0</v>
      </c>
      <c r="AA737" s="4">
        <f t="shared" si="233"/>
        <v>0</v>
      </c>
    </row>
    <row r="738" spans="1:27" x14ac:dyDescent="0.3">
      <c r="A738" s="135"/>
      <c r="B738" s="125"/>
      <c r="C738" s="3" t="s">
        <v>714</v>
      </c>
      <c r="D738" s="55" t="s">
        <v>672</v>
      </c>
      <c r="E738" s="55" t="s">
        <v>70</v>
      </c>
      <c r="F738" s="55" t="s">
        <v>548</v>
      </c>
      <c r="G738" s="56">
        <v>3</v>
      </c>
      <c r="H738" s="49">
        <f>10+10+9+5+5</f>
        <v>39</v>
      </c>
      <c r="I738" s="50">
        <f>5+5+10+9+5+5</f>
        <v>39</v>
      </c>
      <c r="J738" s="77">
        <f>+H738-I738</f>
        <v>0</v>
      </c>
      <c r="K738" s="31">
        <v>348</v>
      </c>
      <c r="L738" s="32">
        <v>44146</v>
      </c>
      <c r="M738" s="33">
        <v>0.21</v>
      </c>
      <c r="N738" s="64">
        <f t="shared" si="227"/>
        <v>421.08</v>
      </c>
      <c r="O738" s="68">
        <f t="shared" si="234"/>
        <v>452.4</v>
      </c>
      <c r="P738" s="68">
        <f t="shared" si="223"/>
        <v>469.8</v>
      </c>
      <c r="Q738" s="68">
        <f t="shared" si="224"/>
        <v>487.2</v>
      </c>
      <c r="R738" s="11">
        <f t="shared" si="225"/>
        <v>504.6</v>
      </c>
      <c r="S738" s="11">
        <f t="shared" si="235"/>
        <v>522</v>
      </c>
      <c r="T738" s="11">
        <f t="shared" si="226"/>
        <v>556.79999999999995</v>
      </c>
      <c r="U738" s="38">
        <f t="shared" si="228"/>
        <v>568.46</v>
      </c>
      <c r="V738" s="38">
        <f t="shared" si="229"/>
        <v>589.51</v>
      </c>
      <c r="W738" s="38">
        <f t="shared" si="230"/>
        <v>610.57000000000005</v>
      </c>
      <c r="X738" s="38">
        <f t="shared" si="231"/>
        <v>631.62</v>
      </c>
      <c r="Z738" s="4">
        <f t="shared" si="232"/>
        <v>0</v>
      </c>
      <c r="AA738" s="4">
        <f t="shared" si="233"/>
        <v>0</v>
      </c>
    </row>
    <row r="739" spans="1:27" x14ac:dyDescent="0.3">
      <c r="A739" s="135"/>
      <c r="C739" s="3" t="s">
        <v>387</v>
      </c>
      <c r="D739" s="55" t="s">
        <v>673</v>
      </c>
      <c r="E739" s="55" t="s">
        <v>362</v>
      </c>
      <c r="F739" s="55" t="s">
        <v>270</v>
      </c>
      <c r="G739" s="56">
        <v>30</v>
      </c>
      <c r="H739" s="49">
        <f>90+60+60+60+60+30+30</f>
        <v>390</v>
      </c>
      <c r="I739" s="50">
        <f>50+30+30+30+5+65+30+10+60+30+20+30</f>
        <v>390</v>
      </c>
      <c r="J739" s="77">
        <f>+H739-I739</f>
        <v>0</v>
      </c>
      <c r="K739" s="31">
        <v>77.75</v>
      </c>
      <c r="L739" s="32">
        <v>44225</v>
      </c>
      <c r="M739" s="33">
        <v>0.21</v>
      </c>
      <c r="N739" s="64">
        <f t="shared" si="227"/>
        <v>94.077500000000001</v>
      </c>
      <c r="O739" s="68">
        <f t="shared" si="234"/>
        <v>101.08</v>
      </c>
      <c r="P739" s="68">
        <f t="shared" si="223"/>
        <v>104.96</v>
      </c>
      <c r="Q739" s="68">
        <f t="shared" si="224"/>
        <v>108.85</v>
      </c>
      <c r="R739" s="11">
        <f t="shared" si="225"/>
        <v>112.74</v>
      </c>
      <c r="S739" s="11">
        <f t="shared" si="235"/>
        <v>116.625</v>
      </c>
      <c r="T739" s="11">
        <f t="shared" si="226"/>
        <v>124.4</v>
      </c>
      <c r="U739" s="38">
        <f t="shared" si="228"/>
        <v>127</v>
      </c>
      <c r="V739" s="38">
        <f t="shared" si="229"/>
        <v>131.71</v>
      </c>
      <c r="W739" s="38">
        <f t="shared" si="230"/>
        <v>136.41</v>
      </c>
      <c r="X739" s="38">
        <f t="shared" si="231"/>
        <v>141.12</v>
      </c>
      <c r="Z739" s="4">
        <f t="shared" si="232"/>
        <v>0</v>
      </c>
      <c r="AA739" s="4">
        <f t="shared" si="233"/>
        <v>0</v>
      </c>
    </row>
    <row r="740" spans="1:27" x14ac:dyDescent="0.3">
      <c r="A740" s="135"/>
      <c r="B740" s="125"/>
      <c r="C740" s="3" t="s">
        <v>388</v>
      </c>
      <c r="D740" s="55" t="s">
        <v>674</v>
      </c>
      <c r="E740" s="55" t="s">
        <v>732</v>
      </c>
      <c r="F740" s="55" t="s">
        <v>270</v>
      </c>
      <c r="G740" s="56">
        <v>30</v>
      </c>
      <c r="H740" s="134">
        <f>120+90+90+60+60+25+60+120+120+60+120+10+60+30</f>
        <v>1025</v>
      </c>
      <c r="I740" s="50">
        <f>150+30+30+10+30+60+30+60+30+15+60+45+30+15+20+20+30+30+30+30+30+20+60+10+50+10+30+30</f>
        <v>995</v>
      </c>
      <c r="J740" s="77">
        <f>+H740-I740</f>
        <v>30</v>
      </c>
      <c r="K740" s="31">
        <v>108.46</v>
      </c>
      <c r="L740" s="32">
        <v>44225</v>
      </c>
      <c r="M740" s="33">
        <v>0.21</v>
      </c>
      <c r="N740" s="64">
        <f t="shared" si="227"/>
        <v>131.23659999999998</v>
      </c>
      <c r="O740" s="68">
        <f t="shared" si="234"/>
        <v>141</v>
      </c>
      <c r="P740" s="68">
        <f t="shared" si="223"/>
        <v>146.41999999999999</v>
      </c>
      <c r="Q740" s="68">
        <f t="shared" si="224"/>
        <v>151.84</v>
      </c>
      <c r="R740" s="11">
        <f t="shared" si="225"/>
        <v>157.27000000000001</v>
      </c>
      <c r="S740" s="11">
        <f t="shared" si="235"/>
        <v>162.69</v>
      </c>
      <c r="T740" s="11">
        <f t="shared" si="226"/>
        <v>173.54</v>
      </c>
      <c r="U740" s="38">
        <f t="shared" si="228"/>
        <v>177.17</v>
      </c>
      <c r="V740" s="38">
        <f t="shared" si="229"/>
        <v>183.73</v>
      </c>
      <c r="W740" s="38">
        <f t="shared" si="230"/>
        <v>190.29</v>
      </c>
      <c r="X740" s="38">
        <f t="shared" si="231"/>
        <v>196.85</v>
      </c>
      <c r="Z740" s="4">
        <f t="shared" si="232"/>
        <v>3253.7999999999997</v>
      </c>
      <c r="AA740" s="4">
        <f t="shared" si="233"/>
        <v>3937.0979999999995</v>
      </c>
    </row>
    <row r="741" spans="1:27" x14ac:dyDescent="0.3">
      <c r="A741" s="135"/>
      <c r="B741" s="125"/>
      <c r="C741" s="3" t="s">
        <v>389</v>
      </c>
      <c r="D741" s="55" t="s">
        <v>146</v>
      </c>
      <c r="E741" s="55" t="s">
        <v>70</v>
      </c>
      <c r="F741" s="55" t="s">
        <v>270</v>
      </c>
      <c r="G741" s="56">
        <v>30</v>
      </c>
      <c r="H741" s="49">
        <f>450+28+60+60+90+30</f>
        <v>718</v>
      </c>
      <c r="I741" s="69">
        <f>30+70+60+15+60+60+30+30+30+60+5+28+10+30+20+60+30+30+30+5+15+10</f>
        <v>718</v>
      </c>
      <c r="J741" s="77">
        <f>+H741-I741</f>
        <v>0</v>
      </c>
      <c r="K741" s="31">
        <v>142</v>
      </c>
      <c r="L741" s="32">
        <v>44225</v>
      </c>
      <c r="M741" s="33">
        <v>0.21</v>
      </c>
      <c r="N741" s="64">
        <f t="shared" si="227"/>
        <v>171.82</v>
      </c>
      <c r="O741" s="68">
        <f t="shared" si="234"/>
        <v>184.6</v>
      </c>
      <c r="P741" s="68">
        <f t="shared" si="223"/>
        <v>191.7</v>
      </c>
      <c r="Q741" s="68">
        <f t="shared" si="224"/>
        <v>198.8</v>
      </c>
      <c r="R741" s="11">
        <f t="shared" si="225"/>
        <v>205.9</v>
      </c>
      <c r="S741" s="11">
        <f t="shared" si="235"/>
        <v>213</v>
      </c>
      <c r="T741" s="11">
        <f t="shared" si="226"/>
        <v>227.2</v>
      </c>
      <c r="U741" s="38">
        <f t="shared" si="228"/>
        <v>231.96</v>
      </c>
      <c r="V741" s="38">
        <f t="shared" si="229"/>
        <v>240.55</v>
      </c>
      <c r="W741" s="38">
        <f t="shared" si="230"/>
        <v>249.14</v>
      </c>
      <c r="X741" s="38">
        <f t="shared" si="231"/>
        <v>257.73</v>
      </c>
      <c r="Z741" s="4">
        <f t="shared" si="232"/>
        <v>0</v>
      </c>
      <c r="AA741" s="4">
        <f t="shared" si="233"/>
        <v>0</v>
      </c>
    </row>
    <row r="742" spans="1:27" x14ac:dyDescent="0.3">
      <c r="A742" s="135"/>
      <c r="C742" s="5" t="s">
        <v>1175</v>
      </c>
      <c r="D742" s="55" t="s">
        <v>908</v>
      </c>
      <c r="E742" s="55" t="s">
        <v>362</v>
      </c>
      <c r="F742" s="55" t="s">
        <v>286</v>
      </c>
      <c r="G742" s="56">
        <v>6</v>
      </c>
      <c r="H742" s="49">
        <f>6+12+12+12+16+4+6+30+30+12+30+12+6+360</f>
        <v>548</v>
      </c>
      <c r="I742" s="50">
        <f>6+6+4+5+4+2+8+4+2+2+2+2+6+4+4+1+2+4+6+6+2+1+1+1+2+2+2+6+1+1+2+2+4+1+4+4+1+4+4+3+3+2+7+30+5+3+1+3+6+21+1+20+20+3+6</f>
        <v>259</v>
      </c>
      <c r="J742" s="77">
        <f>+H742-I742</f>
        <v>289</v>
      </c>
      <c r="K742" s="31">
        <v>302.94</v>
      </c>
      <c r="L742" s="32">
        <v>44230</v>
      </c>
      <c r="M742" s="33">
        <v>0.21</v>
      </c>
      <c r="N742" s="64">
        <f t="shared" ref="N742:N767" si="236">+K742*(1+M742)</f>
        <v>366.55739999999997</v>
      </c>
      <c r="O742" s="68">
        <f t="shared" ref="O742:O767" si="237">ROUND(K742*(1+$O$3),2)</f>
        <v>393.82</v>
      </c>
      <c r="P742" s="68">
        <f t="shared" ref="P742:P767" si="238">ROUND(K742*(1+$P$3),2)</f>
        <v>408.97</v>
      </c>
      <c r="Q742" s="68">
        <f t="shared" ref="Q742:Q767" si="239">ROUND(K742*(1+$Q$3),2)</f>
        <v>424.12</v>
      </c>
      <c r="R742" s="11">
        <f t="shared" ref="R742:R770" si="240">ROUND(K742*(1+$R$3),2)</f>
        <v>439.26</v>
      </c>
      <c r="S742" s="11">
        <f t="shared" ref="S742:S767" si="241">K742*(1+$S$3)</f>
        <v>454.40999999999997</v>
      </c>
      <c r="T742" s="11">
        <f t="shared" ref="T742:T767" si="242">ROUND(K742*(1+$T$3),2)</f>
        <v>484.7</v>
      </c>
      <c r="U742" s="38">
        <f t="shared" si="228"/>
        <v>494.85</v>
      </c>
      <c r="V742" s="38">
        <f t="shared" si="229"/>
        <v>513.17999999999995</v>
      </c>
      <c r="W742" s="38">
        <f t="shared" si="230"/>
        <v>531.51</v>
      </c>
      <c r="X742" s="38">
        <f t="shared" si="231"/>
        <v>549.84</v>
      </c>
      <c r="Z742" s="4">
        <f t="shared" si="232"/>
        <v>87549.66</v>
      </c>
      <c r="AA742" s="4">
        <f t="shared" si="233"/>
        <v>105935.08859999999</v>
      </c>
    </row>
    <row r="743" spans="1:27" x14ac:dyDescent="0.3">
      <c r="C743" s="5"/>
      <c r="D743" s="55"/>
      <c r="E743" s="55"/>
      <c r="F743" s="55"/>
      <c r="G743" s="56"/>
      <c r="H743" s="49"/>
      <c r="I743" s="50">
        <f>0</f>
        <v>0</v>
      </c>
      <c r="J743" s="78"/>
      <c r="K743" s="31"/>
      <c r="L743" s="32"/>
      <c r="M743" s="33"/>
      <c r="N743" s="64">
        <f t="shared" si="236"/>
        <v>0</v>
      </c>
      <c r="O743" s="68">
        <f t="shared" si="237"/>
        <v>0</v>
      </c>
      <c r="P743" s="68">
        <f t="shared" si="238"/>
        <v>0</v>
      </c>
      <c r="Q743" s="68">
        <f t="shared" si="239"/>
        <v>0</v>
      </c>
      <c r="R743" s="11">
        <f t="shared" si="240"/>
        <v>0</v>
      </c>
      <c r="S743" s="11">
        <f t="shared" si="241"/>
        <v>0</v>
      </c>
      <c r="T743" s="11">
        <f t="shared" si="242"/>
        <v>0</v>
      </c>
      <c r="U743" s="38">
        <f t="shared" si="228"/>
        <v>0</v>
      </c>
      <c r="V743" s="38">
        <f t="shared" si="229"/>
        <v>0</v>
      </c>
      <c r="W743" s="38">
        <f t="shared" si="230"/>
        <v>0</v>
      </c>
      <c r="X743" s="38">
        <f t="shared" si="231"/>
        <v>0</v>
      </c>
      <c r="Z743" s="4">
        <f t="shared" si="232"/>
        <v>0</v>
      </c>
      <c r="AA743" s="4">
        <f t="shared" si="233"/>
        <v>0</v>
      </c>
    </row>
    <row r="744" spans="1:27" x14ac:dyDescent="0.3">
      <c r="C744" s="5"/>
      <c r="D744" s="55"/>
      <c r="E744" s="55"/>
      <c r="F744" s="55"/>
      <c r="G744" s="56"/>
      <c r="H744" s="49"/>
      <c r="I744" s="50">
        <f>0</f>
        <v>0</v>
      </c>
      <c r="J744" s="78"/>
      <c r="K744" s="31"/>
      <c r="L744" s="32"/>
      <c r="M744" s="33"/>
      <c r="N744" s="64">
        <f t="shared" si="236"/>
        <v>0</v>
      </c>
      <c r="O744" s="68">
        <f t="shared" si="237"/>
        <v>0</v>
      </c>
      <c r="P744" s="68">
        <f t="shared" si="238"/>
        <v>0</v>
      </c>
      <c r="Q744" s="68">
        <f t="shared" si="239"/>
        <v>0</v>
      </c>
      <c r="R744" s="11">
        <f t="shared" si="240"/>
        <v>0</v>
      </c>
      <c r="S744" s="11">
        <f t="shared" si="241"/>
        <v>0</v>
      </c>
      <c r="T744" s="11">
        <f t="shared" si="242"/>
        <v>0</v>
      </c>
      <c r="U744" s="38">
        <f t="shared" si="228"/>
        <v>0</v>
      </c>
      <c r="V744" s="38">
        <f t="shared" si="229"/>
        <v>0</v>
      </c>
      <c r="W744" s="38">
        <f t="shared" si="230"/>
        <v>0</v>
      </c>
      <c r="X744" s="38">
        <f t="shared" si="231"/>
        <v>0</v>
      </c>
      <c r="Z744" s="4">
        <f t="shared" si="232"/>
        <v>0</v>
      </c>
      <c r="AA744" s="4">
        <f t="shared" si="233"/>
        <v>0</v>
      </c>
    </row>
    <row r="745" spans="1:27" x14ac:dyDescent="0.3">
      <c r="C745" s="137"/>
      <c r="D745" s="55"/>
      <c r="E745" s="55"/>
      <c r="F745" s="55"/>
      <c r="G745" s="56"/>
      <c r="H745" s="49"/>
      <c r="I745" s="50">
        <f>0</f>
        <v>0</v>
      </c>
      <c r="J745" s="78"/>
      <c r="K745" s="31"/>
      <c r="L745" s="32"/>
      <c r="M745" s="33"/>
      <c r="N745" s="64">
        <f t="shared" si="236"/>
        <v>0</v>
      </c>
      <c r="O745" s="68">
        <f t="shared" si="237"/>
        <v>0</v>
      </c>
      <c r="P745" s="68">
        <f t="shared" si="238"/>
        <v>0</v>
      </c>
      <c r="Q745" s="68">
        <f t="shared" si="239"/>
        <v>0</v>
      </c>
      <c r="R745" s="11">
        <f t="shared" si="240"/>
        <v>0</v>
      </c>
      <c r="S745" s="11">
        <f t="shared" si="241"/>
        <v>0</v>
      </c>
      <c r="T745" s="11">
        <f t="shared" si="242"/>
        <v>0</v>
      </c>
      <c r="U745" s="38">
        <f t="shared" si="228"/>
        <v>0</v>
      </c>
      <c r="V745" s="38">
        <f t="shared" si="229"/>
        <v>0</v>
      </c>
      <c r="W745" s="38">
        <f t="shared" si="230"/>
        <v>0</v>
      </c>
      <c r="X745" s="38">
        <f t="shared" si="231"/>
        <v>0</v>
      </c>
      <c r="Z745" s="4">
        <f t="shared" si="232"/>
        <v>0</v>
      </c>
      <c r="AA745" s="4">
        <f t="shared" si="233"/>
        <v>0</v>
      </c>
    </row>
    <row r="746" spans="1:27" x14ac:dyDescent="0.3">
      <c r="B746" s="7"/>
      <c r="C746" s="5"/>
      <c r="D746" s="55"/>
      <c r="E746" s="55"/>
      <c r="F746" s="55"/>
      <c r="G746" s="56"/>
      <c r="H746" s="49"/>
      <c r="I746" s="50"/>
      <c r="J746" s="78"/>
      <c r="K746" s="31"/>
      <c r="L746" s="32"/>
      <c r="M746" s="33"/>
      <c r="N746" s="64">
        <f t="shared" si="236"/>
        <v>0</v>
      </c>
      <c r="O746" s="68">
        <f t="shared" si="237"/>
        <v>0</v>
      </c>
      <c r="P746" s="68">
        <f t="shared" si="238"/>
        <v>0</v>
      </c>
      <c r="Q746" s="68">
        <f t="shared" si="239"/>
        <v>0</v>
      </c>
      <c r="R746" s="11">
        <f t="shared" si="240"/>
        <v>0</v>
      </c>
      <c r="S746" s="11">
        <f t="shared" si="241"/>
        <v>0</v>
      </c>
      <c r="T746" s="11">
        <f t="shared" si="242"/>
        <v>0</v>
      </c>
      <c r="U746" s="38">
        <f t="shared" si="228"/>
        <v>0</v>
      </c>
      <c r="V746" s="38">
        <f t="shared" si="229"/>
        <v>0</v>
      </c>
      <c r="W746" s="38">
        <f t="shared" si="230"/>
        <v>0</v>
      </c>
      <c r="X746" s="38">
        <f t="shared" si="231"/>
        <v>0</v>
      </c>
      <c r="Z746" s="4">
        <f t="shared" si="232"/>
        <v>0</v>
      </c>
      <c r="AA746" s="4">
        <f t="shared" si="233"/>
        <v>0</v>
      </c>
    </row>
    <row r="747" spans="1:27" x14ac:dyDescent="0.3">
      <c r="B747" s="7"/>
      <c r="C747" s="5"/>
      <c r="D747" s="55"/>
      <c r="E747" s="55"/>
      <c r="F747" s="55"/>
      <c r="G747" s="56"/>
      <c r="H747" s="49"/>
      <c r="I747" s="50"/>
      <c r="J747" s="78"/>
      <c r="K747" s="31"/>
      <c r="L747" s="32"/>
      <c r="M747" s="33"/>
      <c r="N747" s="64">
        <f t="shared" si="236"/>
        <v>0</v>
      </c>
      <c r="O747" s="68">
        <f t="shared" si="237"/>
        <v>0</v>
      </c>
      <c r="P747" s="68">
        <f t="shared" si="238"/>
        <v>0</v>
      </c>
      <c r="Q747" s="68">
        <f t="shared" si="239"/>
        <v>0</v>
      </c>
      <c r="R747" s="11">
        <f t="shared" si="240"/>
        <v>0</v>
      </c>
      <c r="S747" s="11">
        <f t="shared" si="241"/>
        <v>0</v>
      </c>
      <c r="T747" s="11">
        <f t="shared" si="242"/>
        <v>0</v>
      </c>
      <c r="U747" s="38">
        <f t="shared" si="228"/>
        <v>0</v>
      </c>
      <c r="V747" s="38">
        <f t="shared" si="229"/>
        <v>0</v>
      </c>
      <c r="W747" s="38">
        <f t="shared" si="230"/>
        <v>0</v>
      </c>
      <c r="X747" s="38">
        <f t="shared" si="231"/>
        <v>0</v>
      </c>
      <c r="Z747" s="4">
        <f t="shared" si="232"/>
        <v>0</v>
      </c>
      <c r="AA747" s="4">
        <f t="shared" si="233"/>
        <v>0</v>
      </c>
    </row>
    <row r="748" spans="1:27" x14ac:dyDescent="0.3">
      <c r="B748" s="7"/>
      <c r="C748" s="5"/>
      <c r="D748" s="55"/>
      <c r="E748" s="55"/>
      <c r="F748" s="55"/>
      <c r="G748" s="56"/>
      <c r="H748" s="49"/>
      <c r="I748" s="50"/>
      <c r="J748" s="78"/>
      <c r="K748" s="31"/>
      <c r="L748" s="32"/>
      <c r="M748" s="33"/>
      <c r="N748" s="64">
        <f t="shared" si="236"/>
        <v>0</v>
      </c>
      <c r="O748" s="68">
        <f t="shared" si="237"/>
        <v>0</v>
      </c>
      <c r="P748" s="68">
        <f t="shared" si="238"/>
        <v>0</v>
      </c>
      <c r="Q748" s="68">
        <f t="shared" si="239"/>
        <v>0</v>
      </c>
      <c r="R748" s="11">
        <f t="shared" si="240"/>
        <v>0</v>
      </c>
      <c r="S748" s="11">
        <f t="shared" si="241"/>
        <v>0</v>
      </c>
      <c r="T748" s="11">
        <f t="shared" si="242"/>
        <v>0</v>
      </c>
      <c r="U748" s="38">
        <f t="shared" si="228"/>
        <v>0</v>
      </c>
      <c r="V748" s="38">
        <f t="shared" si="229"/>
        <v>0</v>
      </c>
      <c r="W748" s="38">
        <f t="shared" si="230"/>
        <v>0</v>
      </c>
      <c r="X748" s="38">
        <f t="shared" si="231"/>
        <v>0</v>
      </c>
      <c r="Z748" s="4">
        <f t="shared" si="232"/>
        <v>0</v>
      </c>
      <c r="AA748" s="4">
        <f t="shared" si="233"/>
        <v>0</v>
      </c>
    </row>
    <row r="749" spans="1:27" x14ac:dyDescent="0.3">
      <c r="B749" s="7"/>
      <c r="C749" s="5"/>
      <c r="D749" s="55"/>
      <c r="E749" s="55"/>
      <c r="F749" s="55"/>
      <c r="G749" s="56"/>
      <c r="H749" s="49"/>
      <c r="I749" s="50"/>
      <c r="J749" s="78"/>
      <c r="K749" s="31"/>
      <c r="L749" s="32"/>
      <c r="M749" s="33"/>
      <c r="N749" s="64">
        <f t="shared" si="236"/>
        <v>0</v>
      </c>
      <c r="O749" s="68">
        <f t="shared" si="237"/>
        <v>0</v>
      </c>
      <c r="P749" s="68">
        <f t="shared" si="238"/>
        <v>0</v>
      </c>
      <c r="Q749" s="68">
        <f t="shared" si="239"/>
        <v>0</v>
      </c>
      <c r="R749" s="11">
        <f t="shared" si="240"/>
        <v>0</v>
      </c>
      <c r="S749" s="11">
        <f t="shared" si="241"/>
        <v>0</v>
      </c>
      <c r="T749" s="11">
        <f t="shared" si="242"/>
        <v>0</v>
      </c>
      <c r="U749" s="38">
        <f t="shared" si="228"/>
        <v>0</v>
      </c>
      <c r="V749" s="38">
        <f t="shared" si="229"/>
        <v>0</v>
      </c>
      <c r="W749" s="38">
        <f t="shared" si="230"/>
        <v>0</v>
      </c>
      <c r="X749" s="38">
        <f t="shared" si="231"/>
        <v>0</v>
      </c>
      <c r="Z749" s="4">
        <f t="shared" si="232"/>
        <v>0</v>
      </c>
      <c r="AA749" s="4">
        <f t="shared" si="233"/>
        <v>0</v>
      </c>
    </row>
    <row r="750" spans="1:27" x14ac:dyDescent="0.3">
      <c r="B750" s="7"/>
      <c r="C750" s="5"/>
      <c r="D750" s="55"/>
      <c r="E750" s="55"/>
      <c r="F750" s="55"/>
      <c r="G750" s="56"/>
      <c r="H750" s="49"/>
      <c r="I750" s="50"/>
      <c r="J750" s="78"/>
      <c r="K750" s="31"/>
      <c r="L750" s="32"/>
      <c r="M750" s="33"/>
      <c r="N750" s="64">
        <f t="shared" si="236"/>
        <v>0</v>
      </c>
      <c r="O750" s="68">
        <f t="shared" si="237"/>
        <v>0</v>
      </c>
      <c r="P750" s="68">
        <f t="shared" si="238"/>
        <v>0</v>
      </c>
      <c r="Q750" s="68">
        <f t="shared" si="239"/>
        <v>0</v>
      </c>
      <c r="R750" s="11">
        <f t="shared" si="240"/>
        <v>0</v>
      </c>
      <c r="S750" s="11">
        <f t="shared" si="241"/>
        <v>0</v>
      </c>
      <c r="T750" s="11">
        <f t="shared" si="242"/>
        <v>0</v>
      </c>
      <c r="U750" s="38">
        <f t="shared" si="228"/>
        <v>0</v>
      </c>
      <c r="V750" s="38">
        <f t="shared" si="229"/>
        <v>0</v>
      </c>
      <c r="W750" s="38">
        <f t="shared" si="230"/>
        <v>0</v>
      </c>
      <c r="X750" s="38">
        <f t="shared" si="231"/>
        <v>0</v>
      </c>
      <c r="Z750" s="4">
        <f t="shared" si="232"/>
        <v>0</v>
      </c>
      <c r="AA750" s="4">
        <f t="shared" si="233"/>
        <v>0</v>
      </c>
    </row>
    <row r="751" spans="1:27" x14ac:dyDescent="0.3">
      <c r="B751" s="7"/>
      <c r="C751" s="5"/>
      <c r="D751" s="55"/>
      <c r="E751" s="55"/>
      <c r="F751" s="55"/>
      <c r="G751" s="56"/>
      <c r="H751" s="49"/>
      <c r="I751" s="50"/>
      <c r="J751" s="78"/>
      <c r="K751" s="31"/>
      <c r="L751" s="32"/>
      <c r="M751" s="33"/>
      <c r="N751" s="64">
        <f t="shared" si="236"/>
        <v>0</v>
      </c>
      <c r="O751" s="68">
        <f t="shared" si="237"/>
        <v>0</v>
      </c>
      <c r="P751" s="68">
        <f t="shared" si="238"/>
        <v>0</v>
      </c>
      <c r="Q751" s="68">
        <f t="shared" si="239"/>
        <v>0</v>
      </c>
      <c r="R751" s="11">
        <f t="shared" si="240"/>
        <v>0</v>
      </c>
      <c r="S751" s="11">
        <f t="shared" si="241"/>
        <v>0</v>
      </c>
      <c r="T751" s="11">
        <f t="shared" si="242"/>
        <v>0</v>
      </c>
      <c r="U751" s="38">
        <f t="shared" si="228"/>
        <v>0</v>
      </c>
      <c r="V751" s="38">
        <f t="shared" si="229"/>
        <v>0</v>
      </c>
      <c r="W751" s="38">
        <f t="shared" si="230"/>
        <v>0</v>
      </c>
      <c r="X751" s="38">
        <f t="shared" si="231"/>
        <v>0</v>
      </c>
      <c r="Z751" s="4">
        <f t="shared" si="232"/>
        <v>0</v>
      </c>
      <c r="AA751" s="4">
        <f t="shared" si="233"/>
        <v>0</v>
      </c>
    </row>
    <row r="752" spans="1:27" x14ac:dyDescent="0.3">
      <c r="B752" s="7"/>
      <c r="C752" s="5"/>
      <c r="D752" s="55"/>
      <c r="E752" s="55"/>
      <c r="F752" s="55"/>
      <c r="G752" s="56"/>
      <c r="H752" s="49"/>
      <c r="I752" s="50"/>
      <c r="J752" s="78"/>
      <c r="K752" s="31"/>
      <c r="L752" s="32"/>
      <c r="M752" s="33"/>
      <c r="N752" s="64">
        <f t="shared" si="236"/>
        <v>0</v>
      </c>
      <c r="O752" s="68">
        <f t="shared" si="237"/>
        <v>0</v>
      </c>
      <c r="P752" s="68">
        <f t="shared" si="238"/>
        <v>0</v>
      </c>
      <c r="Q752" s="68">
        <f t="shared" si="239"/>
        <v>0</v>
      </c>
      <c r="R752" s="11">
        <f t="shared" si="240"/>
        <v>0</v>
      </c>
      <c r="S752" s="11">
        <f t="shared" si="241"/>
        <v>0</v>
      </c>
      <c r="T752" s="11">
        <f t="shared" si="242"/>
        <v>0</v>
      </c>
      <c r="U752" s="38">
        <f t="shared" si="228"/>
        <v>0</v>
      </c>
      <c r="V752" s="38">
        <f t="shared" si="229"/>
        <v>0</v>
      </c>
      <c r="W752" s="38">
        <f t="shared" si="230"/>
        <v>0</v>
      </c>
      <c r="X752" s="38">
        <f t="shared" si="231"/>
        <v>0</v>
      </c>
      <c r="Z752" s="4">
        <f t="shared" si="232"/>
        <v>0</v>
      </c>
      <c r="AA752" s="4">
        <f t="shared" si="233"/>
        <v>0</v>
      </c>
    </row>
    <row r="753" spans="2:27" x14ac:dyDescent="0.3">
      <c r="B753" s="7"/>
      <c r="C753" s="5"/>
      <c r="D753" s="55"/>
      <c r="E753" s="55"/>
      <c r="F753" s="55"/>
      <c r="G753" s="56"/>
      <c r="H753" s="49"/>
      <c r="I753" s="50"/>
      <c r="J753" s="78"/>
      <c r="K753" s="31"/>
      <c r="L753" s="32"/>
      <c r="M753" s="33"/>
      <c r="N753" s="64">
        <f t="shared" si="236"/>
        <v>0</v>
      </c>
      <c r="O753" s="68">
        <f t="shared" si="237"/>
        <v>0</v>
      </c>
      <c r="P753" s="68">
        <f t="shared" si="238"/>
        <v>0</v>
      </c>
      <c r="Q753" s="68">
        <f t="shared" si="239"/>
        <v>0</v>
      </c>
      <c r="R753" s="11">
        <f t="shared" si="240"/>
        <v>0</v>
      </c>
      <c r="S753" s="11">
        <f t="shared" si="241"/>
        <v>0</v>
      </c>
      <c r="T753" s="11">
        <f t="shared" si="242"/>
        <v>0</v>
      </c>
      <c r="U753" s="38">
        <f t="shared" si="228"/>
        <v>0</v>
      </c>
      <c r="V753" s="38">
        <f t="shared" si="229"/>
        <v>0</v>
      </c>
      <c r="W753" s="38">
        <f t="shared" si="230"/>
        <v>0</v>
      </c>
      <c r="X753" s="38">
        <f t="shared" si="231"/>
        <v>0</v>
      </c>
      <c r="Z753" s="4">
        <f t="shared" si="232"/>
        <v>0</v>
      </c>
      <c r="AA753" s="4">
        <f t="shared" si="233"/>
        <v>0</v>
      </c>
    </row>
    <row r="754" spans="2:27" x14ac:dyDescent="0.3">
      <c r="B754" s="7"/>
      <c r="C754" s="5"/>
      <c r="D754" s="55"/>
      <c r="E754" s="55"/>
      <c r="F754" s="55"/>
      <c r="G754" s="56"/>
      <c r="H754" s="49"/>
      <c r="I754" s="50"/>
      <c r="J754" s="78"/>
      <c r="K754" s="31"/>
      <c r="L754" s="32"/>
      <c r="M754" s="33"/>
      <c r="N754" s="64">
        <f t="shared" si="236"/>
        <v>0</v>
      </c>
      <c r="O754" s="68">
        <f t="shared" si="237"/>
        <v>0</v>
      </c>
      <c r="P754" s="68">
        <f t="shared" si="238"/>
        <v>0</v>
      </c>
      <c r="Q754" s="68">
        <f t="shared" si="239"/>
        <v>0</v>
      </c>
      <c r="R754" s="11">
        <f t="shared" si="240"/>
        <v>0</v>
      </c>
      <c r="S754" s="11">
        <f t="shared" si="241"/>
        <v>0</v>
      </c>
      <c r="T754" s="11">
        <f t="shared" si="242"/>
        <v>0</v>
      </c>
      <c r="U754" s="38">
        <f t="shared" si="228"/>
        <v>0</v>
      </c>
      <c r="V754" s="38">
        <f t="shared" si="229"/>
        <v>0</v>
      </c>
      <c r="W754" s="38">
        <f t="shared" si="230"/>
        <v>0</v>
      </c>
      <c r="X754" s="38">
        <f t="shared" si="231"/>
        <v>0</v>
      </c>
      <c r="Z754" s="4">
        <f t="shared" si="232"/>
        <v>0</v>
      </c>
      <c r="AA754" s="4">
        <f t="shared" si="233"/>
        <v>0</v>
      </c>
    </row>
    <row r="755" spans="2:27" x14ac:dyDescent="0.3">
      <c r="B755" s="7"/>
      <c r="C755" s="5"/>
      <c r="D755" s="55"/>
      <c r="E755" s="55"/>
      <c r="F755" s="55"/>
      <c r="G755" s="56"/>
      <c r="H755" s="49"/>
      <c r="I755" s="50"/>
      <c r="J755" s="78"/>
      <c r="K755" s="31"/>
      <c r="L755" s="32"/>
      <c r="M755" s="33"/>
      <c r="N755" s="64">
        <f t="shared" si="236"/>
        <v>0</v>
      </c>
      <c r="O755" s="68">
        <f t="shared" si="237"/>
        <v>0</v>
      </c>
      <c r="P755" s="68">
        <f t="shared" si="238"/>
        <v>0</v>
      </c>
      <c r="Q755" s="68">
        <f t="shared" si="239"/>
        <v>0</v>
      </c>
      <c r="R755" s="11">
        <f t="shared" si="240"/>
        <v>0</v>
      </c>
      <c r="S755" s="11">
        <f t="shared" si="241"/>
        <v>0</v>
      </c>
      <c r="T755" s="11">
        <f t="shared" si="242"/>
        <v>0</v>
      </c>
      <c r="U755" s="38">
        <f t="shared" si="228"/>
        <v>0</v>
      </c>
      <c r="V755" s="38">
        <f t="shared" si="229"/>
        <v>0</v>
      </c>
      <c r="W755" s="38">
        <f t="shared" si="230"/>
        <v>0</v>
      </c>
      <c r="X755" s="38">
        <f t="shared" si="231"/>
        <v>0</v>
      </c>
      <c r="Z755" s="4">
        <f t="shared" si="232"/>
        <v>0</v>
      </c>
      <c r="AA755" s="4">
        <f t="shared" si="233"/>
        <v>0</v>
      </c>
    </row>
    <row r="756" spans="2:27" x14ac:dyDescent="0.3">
      <c r="B756" s="7"/>
      <c r="C756" s="5"/>
      <c r="D756" s="55"/>
      <c r="E756" s="55"/>
      <c r="F756" s="55"/>
      <c r="G756" s="56"/>
      <c r="H756" s="49"/>
      <c r="I756" s="50"/>
      <c r="J756" s="78"/>
      <c r="K756" s="31"/>
      <c r="L756" s="32"/>
      <c r="M756" s="33"/>
      <c r="N756" s="64">
        <f t="shared" si="236"/>
        <v>0</v>
      </c>
      <c r="O756" s="68">
        <f t="shared" si="237"/>
        <v>0</v>
      </c>
      <c r="P756" s="68">
        <f t="shared" si="238"/>
        <v>0</v>
      </c>
      <c r="Q756" s="68">
        <f t="shared" si="239"/>
        <v>0</v>
      </c>
      <c r="R756" s="11">
        <f t="shared" si="240"/>
        <v>0</v>
      </c>
      <c r="S756" s="11">
        <f t="shared" si="241"/>
        <v>0</v>
      </c>
      <c r="T756" s="11">
        <f t="shared" si="242"/>
        <v>0</v>
      </c>
      <c r="U756" s="38">
        <f t="shared" si="228"/>
        <v>0</v>
      </c>
      <c r="V756" s="38">
        <f t="shared" si="229"/>
        <v>0</v>
      </c>
      <c r="W756" s="38">
        <f t="shared" si="230"/>
        <v>0</v>
      </c>
      <c r="X756" s="38">
        <f t="shared" si="231"/>
        <v>0</v>
      </c>
      <c r="Z756" s="4">
        <f t="shared" si="232"/>
        <v>0</v>
      </c>
      <c r="AA756" s="4">
        <f t="shared" si="233"/>
        <v>0</v>
      </c>
    </row>
    <row r="757" spans="2:27" x14ac:dyDescent="0.3">
      <c r="B757" s="7"/>
      <c r="C757" s="5"/>
      <c r="D757" s="55"/>
      <c r="E757" s="55"/>
      <c r="F757" s="55"/>
      <c r="G757" s="56"/>
      <c r="H757" s="49"/>
      <c r="I757" s="50"/>
      <c r="J757" s="78"/>
      <c r="K757" s="31"/>
      <c r="L757" s="32"/>
      <c r="M757" s="33"/>
      <c r="N757" s="64">
        <f t="shared" si="236"/>
        <v>0</v>
      </c>
      <c r="O757" s="68">
        <f t="shared" si="237"/>
        <v>0</v>
      </c>
      <c r="P757" s="68">
        <f t="shared" si="238"/>
        <v>0</v>
      </c>
      <c r="Q757" s="68">
        <f t="shared" si="239"/>
        <v>0</v>
      </c>
      <c r="R757" s="11">
        <f t="shared" si="240"/>
        <v>0</v>
      </c>
      <c r="S757" s="11">
        <f t="shared" si="241"/>
        <v>0</v>
      </c>
      <c r="T757" s="11">
        <f t="shared" si="242"/>
        <v>0</v>
      </c>
      <c r="U757" s="38">
        <f t="shared" si="228"/>
        <v>0</v>
      </c>
      <c r="V757" s="38">
        <f t="shared" si="229"/>
        <v>0</v>
      </c>
      <c r="W757" s="38">
        <f t="shared" si="230"/>
        <v>0</v>
      </c>
      <c r="X757" s="38">
        <f t="shared" si="231"/>
        <v>0</v>
      </c>
      <c r="Z757" s="4">
        <f t="shared" si="232"/>
        <v>0</v>
      </c>
      <c r="AA757" s="4">
        <f t="shared" si="233"/>
        <v>0</v>
      </c>
    </row>
    <row r="758" spans="2:27" x14ac:dyDescent="0.3">
      <c r="B758" s="7"/>
      <c r="C758" s="5"/>
      <c r="D758" s="55"/>
      <c r="E758" s="55"/>
      <c r="F758" s="55"/>
      <c r="G758" s="56"/>
      <c r="H758" s="49"/>
      <c r="I758" s="50"/>
      <c r="J758" s="78"/>
      <c r="K758" s="31"/>
      <c r="L758" s="32"/>
      <c r="M758" s="33"/>
      <c r="N758" s="64">
        <f t="shared" si="236"/>
        <v>0</v>
      </c>
      <c r="O758" s="68">
        <f t="shared" si="237"/>
        <v>0</v>
      </c>
      <c r="P758" s="68">
        <f t="shared" si="238"/>
        <v>0</v>
      </c>
      <c r="Q758" s="68">
        <f t="shared" si="239"/>
        <v>0</v>
      </c>
      <c r="R758" s="11">
        <f t="shared" si="240"/>
        <v>0</v>
      </c>
      <c r="S758" s="11">
        <f t="shared" si="241"/>
        <v>0</v>
      </c>
      <c r="T758" s="11">
        <f t="shared" si="242"/>
        <v>0</v>
      </c>
      <c r="U758" s="38">
        <f t="shared" si="228"/>
        <v>0</v>
      </c>
      <c r="V758" s="38">
        <f t="shared" si="229"/>
        <v>0</v>
      </c>
      <c r="W758" s="38">
        <f t="shared" si="230"/>
        <v>0</v>
      </c>
      <c r="X758" s="38">
        <f t="shared" si="231"/>
        <v>0</v>
      </c>
      <c r="Z758" s="4">
        <f t="shared" si="232"/>
        <v>0</v>
      </c>
      <c r="AA758" s="4">
        <f t="shared" si="233"/>
        <v>0</v>
      </c>
    </row>
    <row r="759" spans="2:27" x14ac:dyDescent="0.3">
      <c r="B759" s="7"/>
      <c r="C759" s="5"/>
      <c r="D759" s="55"/>
      <c r="E759" s="55"/>
      <c r="F759" s="55"/>
      <c r="G759" s="56"/>
      <c r="H759" s="49"/>
      <c r="I759" s="50"/>
      <c r="J759" s="78"/>
      <c r="K759" s="31"/>
      <c r="L759" s="32"/>
      <c r="M759" s="33"/>
      <c r="N759" s="64">
        <f t="shared" si="236"/>
        <v>0</v>
      </c>
      <c r="O759" s="68">
        <f t="shared" si="237"/>
        <v>0</v>
      </c>
      <c r="P759" s="68">
        <f t="shared" si="238"/>
        <v>0</v>
      </c>
      <c r="Q759" s="68">
        <f t="shared" si="239"/>
        <v>0</v>
      </c>
      <c r="R759" s="11">
        <f t="shared" si="240"/>
        <v>0</v>
      </c>
      <c r="S759" s="11">
        <f t="shared" si="241"/>
        <v>0</v>
      </c>
      <c r="T759" s="11">
        <f t="shared" si="242"/>
        <v>0</v>
      </c>
      <c r="U759" s="38">
        <f t="shared" si="228"/>
        <v>0</v>
      </c>
      <c r="V759" s="38">
        <f t="shared" si="229"/>
        <v>0</v>
      </c>
      <c r="W759" s="38">
        <f t="shared" si="230"/>
        <v>0</v>
      </c>
      <c r="X759" s="38">
        <f t="shared" si="231"/>
        <v>0</v>
      </c>
      <c r="Z759" s="4">
        <f t="shared" si="232"/>
        <v>0</v>
      </c>
      <c r="AA759" s="4">
        <f t="shared" si="233"/>
        <v>0</v>
      </c>
    </row>
    <row r="760" spans="2:27" x14ac:dyDescent="0.3">
      <c r="B760" s="7"/>
      <c r="C760" s="5"/>
      <c r="D760" s="55"/>
      <c r="E760" s="55"/>
      <c r="F760" s="55"/>
      <c r="G760" s="56"/>
      <c r="H760" s="49"/>
      <c r="I760" s="50"/>
      <c r="J760" s="78"/>
      <c r="K760" s="31"/>
      <c r="L760" s="32"/>
      <c r="M760" s="33"/>
      <c r="N760" s="64">
        <f t="shared" si="236"/>
        <v>0</v>
      </c>
      <c r="O760" s="68">
        <f t="shared" si="237"/>
        <v>0</v>
      </c>
      <c r="P760" s="68">
        <f t="shared" si="238"/>
        <v>0</v>
      </c>
      <c r="Q760" s="68">
        <f t="shared" si="239"/>
        <v>0</v>
      </c>
      <c r="R760" s="11">
        <f t="shared" si="240"/>
        <v>0</v>
      </c>
      <c r="S760" s="11">
        <f t="shared" si="241"/>
        <v>0</v>
      </c>
      <c r="T760" s="11">
        <f t="shared" si="242"/>
        <v>0</v>
      </c>
      <c r="U760" s="38">
        <f t="shared" si="228"/>
        <v>0</v>
      </c>
      <c r="V760" s="38">
        <f t="shared" si="229"/>
        <v>0</v>
      </c>
      <c r="W760" s="38">
        <f t="shared" si="230"/>
        <v>0</v>
      </c>
      <c r="X760" s="38">
        <f t="shared" si="231"/>
        <v>0</v>
      </c>
      <c r="Z760" s="4">
        <f t="shared" ref="Z760:Z770" si="243">J760*K760</f>
        <v>0</v>
      </c>
      <c r="AA760" s="4">
        <f t="shared" ref="AA760:AA770" si="244">J760*N760</f>
        <v>0</v>
      </c>
    </row>
    <row r="761" spans="2:27" x14ac:dyDescent="0.3">
      <c r="B761" s="7"/>
      <c r="C761" s="5"/>
      <c r="D761" s="55"/>
      <c r="E761" s="55"/>
      <c r="F761" s="55"/>
      <c r="G761" s="56"/>
      <c r="H761" s="49"/>
      <c r="I761" s="50"/>
      <c r="J761" s="78"/>
      <c r="K761" s="31"/>
      <c r="L761" s="32"/>
      <c r="M761" s="33"/>
      <c r="N761" s="64">
        <f t="shared" si="236"/>
        <v>0</v>
      </c>
      <c r="O761" s="68">
        <f t="shared" si="237"/>
        <v>0</v>
      </c>
      <c r="P761" s="68">
        <f t="shared" si="238"/>
        <v>0</v>
      </c>
      <c r="Q761" s="68">
        <f t="shared" si="239"/>
        <v>0</v>
      </c>
      <c r="R761" s="11">
        <f t="shared" si="240"/>
        <v>0</v>
      </c>
      <c r="S761" s="11">
        <f t="shared" si="241"/>
        <v>0</v>
      </c>
      <c r="T761" s="11">
        <f t="shared" si="242"/>
        <v>0</v>
      </c>
      <c r="U761" s="38">
        <f t="shared" ref="U761:U770" si="245">ROUND((N761*(1+$U$3)),2)</f>
        <v>0</v>
      </c>
      <c r="V761" s="38">
        <f t="shared" ref="V761:V770" si="246">ROUND((N761*(1+$V$3)),2)</f>
        <v>0</v>
      </c>
      <c r="W761" s="38">
        <f t="shared" ref="W761:W770" si="247">ROUND((N761*(1+$W$3)),2)</f>
        <v>0</v>
      </c>
      <c r="X761" s="38">
        <f t="shared" si="231"/>
        <v>0</v>
      </c>
      <c r="Z761" s="4">
        <f t="shared" si="243"/>
        <v>0</v>
      </c>
      <c r="AA761" s="4">
        <f t="shared" si="244"/>
        <v>0</v>
      </c>
    </row>
    <row r="762" spans="2:27" x14ac:dyDescent="0.3">
      <c r="C762" s="5"/>
      <c r="D762" s="55"/>
      <c r="E762" s="55"/>
      <c r="F762" s="55"/>
      <c r="G762" s="56"/>
      <c r="H762" s="49"/>
      <c r="I762" s="50"/>
      <c r="J762" s="78"/>
      <c r="K762" s="31"/>
      <c r="L762" s="32"/>
      <c r="M762" s="33"/>
      <c r="N762" s="64">
        <f t="shared" si="236"/>
        <v>0</v>
      </c>
      <c r="O762" s="68">
        <f t="shared" si="237"/>
        <v>0</v>
      </c>
      <c r="P762" s="68">
        <f t="shared" si="238"/>
        <v>0</v>
      </c>
      <c r="Q762" s="68">
        <f t="shared" si="239"/>
        <v>0</v>
      </c>
      <c r="R762" s="11">
        <f t="shared" si="240"/>
        <v>0</v>
      </c>
      <c r="S762" s="11">
        <f t="shared" si="241"/>
        <v>0</v>
      </c>
      <c r="T762" s="11">
        <f t="shared" si="242"/>
        <v>0</v>
      </c>
      <c r="U762" s="38">
        <f t="shared" si="245"/>
        <v>0</v>
      </c>
      <c r="V762" s="38">
        <f t="shared" si="246"/>
        <v>0</v>
      </c>
      <c r="W762" s="38">
        <f t="shared" si="247"/>
        <v>0</v>
      </c>
      <c r="X762" s="38">
        <f t="shared" ref="X762:X769" si="248">ROUND((N762*(1+$X$3)),2)</f>
        <v>0</v>
      </c>
      <c r="Z762" s="4">
        <f t="shared" si="243"/>
        <v>0</v>
      </c>
      <c r="AA762" s="4">
        <f t="shared" si="244"/>
        <v>0</v>
      </c>
    </row>
    <row r="763" spans="2:27" x14ac:dyDescent="0.3">
      <c r="C763" s="5"/>
      <c r="D763" s="55"/>
      <c r="E763" s="55"/>
      <c r="F763" s="55"/>
      <c r="G763" s="56"/>
      <c r="H763" s="49"/>
      <c r="I763" s="50"/>
      <c r="J763" s="78"/>
      <c r="K763" s="31"/>
      <c r="L763" s="32"/>
      <c r="M763" s="33"/>
      <c r="N763" s="64">
        <f t="shared" si="236"/>
        <v>0</v>
      </c>
      <c r="O763" s="68">
        <f t="shared" si="237"/>
        <v>0</v>
      </c>
      <c r="P763" s="68">
        <f t="shared" si="238"/>
        <v>0</v>
      </c>
      <c r="Q763" s="68">
        <f t="shared" si="239"/>
        <v>0</v>
      </c>
      <c r="R763" s="11">
        <f t="shared" si="240"/>
        <v>0</v>
      </c>
      <c r="S763" s="11">
        <f t="shared" si="241"/>
        <v>0</v>
      </c>
      <c r="T763" s="11">
        <f t="shared" si="242"/>
        <v>0</v>
      </c>
      <c r="U763" s="38">
        <f t="shared" si="245"/>
        <v>0</v>
      </c>
      <c r="V763" s="38">
        <f t="shared" si="246"/>
        <v>0</v>
      </c>
      <c r="W763" s="38">
        <f t="shared" si="247"/>
        <v>0</v>
      </c>
      <c r="X763" s="38">
        <f t="shared" si="248"/>
        <v>0</v>
      </c>
      <c r="Z763" s="4">
        <f t="shared" si="243"/>
        <v>0</v>
      </c>
      <c r="AA763" s="4">
        <f t="shared" si="244"/>
        <v>0</v>
      </c>
    </row>
    <row r="764" spans="2:27" x14ac:dyDescent="0.3">
      <c r="C764" s="5"/>
      <c r="D764" s="55"/>
      <c r="E764" s="55"/>
      <c r="F764" s="55"/>
      <c r="G764" s="56"/>
      <c r="H764" s="49"/>
      <c r="I764" s="50"/>
      <c r="J764" s="78"/>
      <c r="K764" s="31"/>
      <c r="L764" s="32"/>
      <c r="M764" s="33"/>
      <c r="N764" s="64">
        <f t="shared" si="236"/>
        <v>0</v>
      </c>
      <c r="O764" s="68">
        <f t="shared" si="237"/>
        <v>0</v>
      </c>
      <c r="P764" s="68">
        <f t="shared" si="238"/>
        <v>0</v>
      </c>
      <c r="Q764" s="68">
        <f t="shared" si="239"/>
        <v>0</v>
      </c>
      <c r="R764" s="11">
        <f t="shared" si="240"/>
        <v>0</v>
      </c>
      <c r="S764" s="11">
        <f t="shared" si="241"/>
        <v>0</v>
      </c>
      <c r="T764" s="11">
        <f t="shared" si="242"/>
        <v>0</v>
      </c>
      <c r="U764" s="38">
        <f t="shared" si="245"/>
        <v>0</v>
      </c>
      <c r="V764" s="38">
        <f t="shared" si="246"/>
        <v>0</v>
      </c>
      <c r="W764" s="38">
        <f t="shared" si="247"/>
        <v>0</v>
      </c>
      <c r="X764" s="38">
        <f t="shared" si="248"/>
        <v>0</v>
      </c>
      <c r="Z764" s="4">
        <f t="shared" si="243"/>
        <v>0</v>
      </c>
      <c r="AA764" s="4">
        <f t="shared" si="244"/>
        <v>0</v>
      </c>
    </row>
    <row r="765" spans="2:27" x14ac:dyDescent="0.3">
      <c r="C765" s="5"/>
      <c r="D765" s="55"/>
      <c r="E765" s="55"/>
      <c r="F765" s="55"/>
      <c r="G765" s="56"/>
      <c r="H765" s="49"/>
      <c r="I765" s="50"/>
      <c r="J765" s="78"/>
      <c r="K765" s="31"/>
      <c r="L765" s="32"/>
      <c r="M765" s="33"/>
      <c r="N765" s="64">
        <f t="shared" si="236"/>
        <v>0</v>
      </c>
      <c r="O765" s="68">
        <f t="shared" si="237"/>
        <v>0</v>
      </c>
      <c r="P765" s="68">
        <f t="shared" si="238"/>
        <v>0</v>
      </c>
      <c r="Q765" s="68">
        <f t="shared" si="239"/>
        <v>0</v>
      </c>
      <c r="R765" s="11">
        <f t="shared" si="240"/>
        <v>0</v>
      </c>
      <c r="S765" s="11">
        <f t="shared" si="241"/>
        <v>0</v>
      </c>
      <c r="T765" s="11">
        <f t="shared" si="242"/>
        <v>0</v>
      </c>
      <c r="U765" s="38">
        <f t="shared" si="245"/>
        <v>0</v>
      </c>
      <c r="V765" s="38">
        <f t="shared" si="246"/>
        <v>0</v>
      </c>
      <c r="W765" s="38">
        <f t="shared" si="247"/>
        <v>0</v>
      </c>
      <c r="X765" s="38">
        <f t="shared" si="248"/>
        <v>0</v>
      </c>
      <c r="Z765" s="4">
        <f t="shared" si="243"/>
        <v>0</v>
      </c>
      <c r="AA765" s="4">
        <f t="shared" si="244"/>
        <v>0</v>
      </c>
    </row>
    <row r="766" spans="2:27" x14ac:dyDescent="0.3">
      <c r="C766" s="5"/>
      <c r="D766" s="55"/>
      <c r="E766" s="55"/>
      <c r="F766" s="55"/>
      <c r="G766" s="56"/>
      <c r="H766" s="49"/>
      <c r="I766" s="50"/>
      <c r="J766" s="78"/>
      <c r="K766" s="31"/>
      <c r="L766" s="32"/>
      <c r="M766" s="33"/>
      <c r="N766" s="64">
        <f t="shared" si="236"/>
        <v>0</v>
      </c>
      <c r="O766" s="68">
        <f t="shared" si="237"/>
        <v>0</v>
      </c>
      <c r="P766" s="68">
        <f t="shared" si="238"/>
        <v>0</v>
      </c>
      <c r="Q766" s="68">
        <f t="shared" si="239"/>
        <v>0</v>
      </c>
      <c r="R766" s="11">
        <f t="shared" si="240"/>
        <v>0</v>
      </c>
      <c r="S766" s="11">
        <f t="shared" si="241"/>
        <v>0</v>
      </c>
      <c r="T766" s="11">
        <f t="shared" si="242"/>
        <v>0</v>
      </c>
      <c r="U766" s="38">
        <f t="shared" si="245"/>
        <v>0</v>
      </c>
      <c r="V766" s="38">
        <f t="shared" si="246"/>
        <v>0</v>
      </c>
      <c r="W766" s="38">
        <f t="shared" si="247"/>
        <v>0</v>
      </c>
      <c r="X766" s="38">
        <f t="shared" si="248"/>
        <v>0</v>
      </c>
      <c r="Z766" s="4">
        <f t="shared" si="243"/>
        <v>0</v>
      </c>
      <c r="AA766" s="4">
        <f t="shared" si="244"/>
        <v>0</v>
      </c>
    </row>
    <row r="767" spans="2:27" x14ac:dyDescent="0.3">
      <c r="C767" s="5"/>
      <c r="D767" s="55"/>
      <c r="E767" s="55"/>
      <c r="F767" s="55"/>
      <c r="G767" s="56"/>
      <c r="H767" s="49"/>
      <c r="I767" s="50"/>
      <c r="J767" s="78"/>
      <c r="K767" s="31"/>
      <c r="L767" s="32"/>
      <c r="M767" s="33"/>
      <c r="N767" s="64">
        <f t="shared" si="236"/>
        <v>0</v>
      </c>
      <c r="O767" s="68">
        <f t="shared" si="237"/>
        <v>0</v>
      </c>
      <c r="P767" s="68">
        <f t="shared" si="238"/>
        <v>0</v>
      </c>
      <c r="Q767" s="68">
        <f t="shared" si="239"/>
        <v>0</v>
      </c>
      <c r="R767" s="11">
        <f t="shared" si="240"/>
        <v>0</v>
      </c>
      <c r="S767" s="11">
        <f t="shared" si="241"/>
        <v>0</v>
      </c>
      <c r="T767" s="11">
        <f t="shared" si="242"/>
        <v>0</v>
      </c>
      <c r="U767" s="38">
        <f t="shared" si="245"/>
        <v>0</v>
      </c>
      <c r="V767" s="38">
        <f t="shared" si="246"/>
        <v>0</v>
      </c>
      <c r="W767" s="38">
        <f t="shared" si="247"/>
        <v>0</v>
      </c>
      <c r="X767" s="38">
        <f t="shared" si="248"/>
        <v>0</v>
      </c>
      <c r="Z767" s="4">
        <f t="shared" si="243"/>
        <v>0</v>
      </c>
      <c r="AA767" s="4">
        <f t="shared" si="244"/>
        <v>0</v>
      </c>
    </row>
    <row r="768" spans="2:27" x14ac:dyDescent="0.3">
      <c r="C768" s="5"/>
      <c r="D768" s="55"/>
      <c r="E768" s="55"/>
      <c r="F768" s="55"/>
      <c r="G768" s="56"/>
      <c r="H768" s="49"/>
      <c r="I768" s="50"/>
      <c r="J768" s="78"/>
      <c r="K768" s="31"/>
      <c r="L768" s="32"/>
      <c r="M768" s="33"/>
      <c r="N768" s="64">
        <f>+K768*(1+M768)</f>
        <v>0</v>
      </c>
      <c r="O768" s="68">
        <f>ROUND(K768*(1+$O$3),2)</f>
        <v>0</v>
      </c>
      <c r="P768" s="68">
        <f>ROUND(K768*(1+$P$3),2)</f>
        <v>0</v>
      </c>
      <c r="Q768" s="68">
        <f>ROUND(K768*(1+$Q$3),2)</f>
        <v>0</v>
      </c>
      <c r="R768" s="11">
        <f t="shared" si="240"/>
        <v>0</v>
      </c>
      <c r="S768" s="11">
        <f>K768*(1+$S$3)</f>
        <v>0</v>
      </c>
      <c r="T768" s="11">
        <f>ROUND(K768*(1+$T$3),2)</f>
        <v>0</v>
      </c>
      <c r="U768" s="38">
        <f t="shared" si="245"/>
        <v>0</v>
      </c>
      <c r="V768" s="38">
        <f t="shared" si="246"/>
        <v>0</v>
      </c>
      <c r="W768" s="38">
        <f t="shared" si="247"/>
        <v>0</v>
      </c>
      <c r="X768" s="38">
        <f t="shared" si="248"/>
        <v>0</v>
      </c>
      <c r="Z768" s="4">
        <f t="shared" si="243"/>
        <v>0</v>
      </c>
      <c r="AA768" s="4">
        <f t="shared" si="244"/>
        <v>0</v>
      </c>
    </row>
    <row r="769" spans="2:27" x14ac:dyDescent="0.3">
      <c r="C769" s="5"/>
      <c r="D769" s="55"/>
      <c r="E769" s="55"/>
      <c r="F769" s="55"/>
      <c r="G769" s="56"/>
      <c r="H769" s="49"/>
      <c r="I769" s="50"/>
      <c r="J769" s="78"/>
      <c r="K769" s="31"/>
      <c r="L769" s="32"/>
      <c r="M769" s="33"/>
      <c r="N769" s="64">
        <f>+K769*(1+M769)</f>
        <v>0</v>
      </c>
      <c r="O769" s="68">
        <f>ROUND(K769*(1+$O$3),2)</f>
        <v>0</v>
      </c>
      <c r="P769" s="68">
        <f>ROUND(K769*(1+$P$3),2)</f>
        <v>0</v>
      </c>
      <c r="Q769" s="68">
        <f>ROUND(K769*(1+$Q$3),2)</f>
        <v>0</v>
      </c>
      <c r="R769" s="11">
        <f t="shared" si="240"/>
        <v>0</v>
      </c>
      <c r="S769" s="11">
        <f>K769*(1+$S$3)</f>
        <v>0</v>
      </c>
      <c r="T769" s="11">
        <f>ROUND(K769*(1+$T$3),2)</f>
        <v>0</v>
      </c>
      <c r="U769" s="38">
        <f t="shared" si="245"/>
        <v>0</v>
      </c>
      <c r="V769" s="38">
        <f t="shared" si="246"/>
        <v>0</v>
      </c>
      <c r="W769" s="38">
        <f t="shared" si="247"/>
        <v>0</v>
      </c>
      <c r="X769" s="38">
        <f t="shared" si="248"/>
        <v>0</v>
      </c>
      <c r="Z769" s="4">
        <f t="shared" si="243"/>
        <v>0</v>
      </c>
      <c r="AA769" s="4">
        <f t="shared" si="244"/>
        <v>0</v>
      </c>
    </row>
    <row r="770" spans="2:27" x14ac:dyDescent="0.3">
      <c r="C770" s="5"/>
      <c r="D770" s="55"/>
      <c r="E770" s="55"/>
      <c r="F770" s="55"/>
      <c r="G770" s="56"/>
      <c r="H770" s="49"/>
      <c r="I770" s="50"/>
      <c r="J770" s="78"/>
      <c r="K770" s="31"/>
      <c r="L770" s="32"/>
      <c r="M770" s="33"/>
      <c r="N770" s="64">
        <f>+K770*(1+M770)</f>
        <v>0</v>
      </c>
      <c r="O770" s="68">
        <f>ROUND(K770*(1+$O$3),2)</f>
        <v>0</v>
      </c>
      <c r="P770" s="68">
        <f>ROUND(K770*(1+$P$3),2)</f>
        <v>0</v>
      </c>
      <c r="Q770" s="68">
        <f>ROUND(K770*(1+$Q$3),2)</f>
        <v>0</v>
      </c>
      <c r="R770" s="11">
        <f t="shared" si="240"/>
        <v>0</v>
      </c>
      <c r="S770" s="11">
        <f>K770*(1+$S$3)</f>
        <v>0</v>
      </c>
      <c r="T770" s="11">
        <f>ROUND(K770*(1+$T$3),2)</f>
        <v>0</v>
      </c>
      <c r="U770" s="38">
        <f t="shared" si="245"/>
        <v>0</v>
      </c>
      <c r="V770" s="38">
        <f t="shared" si="246"/>
        <v>0</v>
      </c>
      <c r="W770" s="38">
        <f t="shared" si="247"/>
        <v>0</v>
      </c>
      <c r="X770" s="38">
        <f>ROUND((N770*(1+$X$3)),2)</f>
        <v>0</v>
      </c>
      <c r="Z770" s="4">
        <f t="shared" si="243"/>
        <v>0</v>
      </c>
      <c r="AA770" s="4">
        <f t="shared" si="244"/>
        <v>0</v>
      </c>
    </row>
    <row r="771" spans="2:27" ht="19.2" x14ac:dyDescent="0.3">
      <c r="B771" s="109"/>
      <c r="D771" s="61"/>
      <c r="E771" s="61"/>
      <c r="F771" s="61"/>
      <c r="G771" s="62"/>
      <c r="M771" s="15"/>
      <c r="O771" s="16">
        <f t="shared" ref="O771:X771" si="249">+O3</f>
        <v>0.3</v>
      </c>
      <c r="P771" s="16">
        <f t="shared" si="249"/>
        <v>0.35</v>
      </c>
      <c r="Q771" s="16">
        <f t="shared" si="249"/>
        <v>0.4</v>
      </c>
      <c r="R771" s="16">
        <f t="shared" si="249"/>
        <v>0.45</v>
      </c>
      <c r="S771" s="16">
        <f t="shared" si="249"/>
        <v>0.5</v>
      </c>
      <c r="T771" s="16">
        <f t="shared" si="249"/>
        <v>0.6</v>
      </c>
      <c r="U771" s="37">
        <f t="shared" si="249"/>
        <v>0.35</v>
      </c>
      <c r="V771" s="37">
        <f t="shared" si="249"/>
        <v>0.4</v>
      </c>
      <c r="W771" s="37">
        <f t="shared" si="249"/>
        <v>0.45</v>
      </c>
      <c r="X771" s="37">
        <f t="shared" si="249"/>
        <v>0.5</v>
      </c>
      <c r="Y771" s="7"/>
    </row>
    <row r="772" spans="2:27" ht="19.2" x14ac:dyDescent="0.3">
      <c r="B772" s="109"/>
      <c r="D772" s="61"/>
      <c r="E772" s="61"/>
      <c r="F772" s="61"/>
      <c r="G772" s="62"/>
      <c r="M772" s="15"/>
      <c r="O772" s="22" t="str">
        <f t="shared" ref="O772:X772" si="250">+O2</f>
        <v>NETO</v>
      </c>
      <c r="P772" s="22" t="str">
        <f t="shared" si="250"/>
        <v>NETO</v>
      </c>
      <c r="Q772" s="22" t="str">
        <f t="shared" si="250"/>
        <v>NETO</v>
      </c>
      <c r="R772" s="22" t="str">
        <f t="shared" si="250"/>
        <v>NETO</v>
      </c>
      <c r="S772" s="22" t="str">
        <f t="shared" si="250"/>
        <v>NETO</v>
      </c>
      <c r="T772" s="22" t="str">
        <f t="shared" si="250"/>
        <v>NETO</v>
      </c>
      <c r="U772" s="39" t="str">
        <f t="shared" si="250"/>
        <v>CON IVA</v>
      </c>
      <c r="V772" s="39" t="str">
        <f t="shared" si="250"/>
        <v>CON IVA</v>
      </c>
      <c r="W772" s="39" t="str">
        <f t="shared" si="250"/>
        <v>CON IVA</v>
      </c>
      <c r="X772" s="39" t="str">
        <f t="shared" si="250"/>
        <v>CON IVA</v>
      </c>
      <c r="Y772" s="7"/>
    </row>
    <row r="773" spans="2:27" x14ac:dyDescent="0.3">
      <c r="B773" s="109"/>
      <c r="D773" s="61"/>
      <c r="E773" s="61"/>
      <c r="F773" s="61"/>
      <c r="G773" s="62"/>
      <c r="M773" s="15"/>
      <c r="O773" s="23">
        <f t="shared" ref="O773:T773" si="251">+O771</f>
        <v>0.3</v>
      </c>
      <c r="P773" s="23">
        <f t="shared" si="251"/>
        <v>0.35</v>
      </c>
      <c r="Q773" s="23">
        <f t="shared" si="251"/>
        <v>0.4</v>
      </c>
      <c r="R773" s="23">
        <f t="shared" si="251"/>
        <v>0.45</v>
      </c>
      <c r="S773" s="23">
        <f t="shared" si="251"/>
        <v>0.5</v>
      </c>
      <c r="T773" s="23">
        <f t="shared" si="251"/>
        <v>0.6</v>
      </c>
      <c r="U773" s="40">
        <f>+U771</f>
        <v>0.35</v>
      </c>
      <c r="V773" s="40">
        <f>+V771</f>
        <v>0.4</v>
      </c>
      <c r="W773" s="40">
        <f>+W771</f>
        <v>0.45</v>
      </c>
      <c r="X773" s="40">
        <f>+X771</f>
        <v>0.5</v>
      </c>
      <c r="Y773" s="7"/>
    </row>
    <row r="774" spans="2:27" ht="52.8" x14ac:dyDescent="0.3">
      <c r="B774" s="109"/>
      <c r="D774" s="61"/>
      <c r="E774" s="63" t="s">
        <v>304</v>
      </c>
      <c r="F774" s="63" t="s">
        <v>304</v>
      </c>
      <c r="G774" s="62"/>
      <c r="M774" s="15"/>
      <c r="O774" s="19" t="s">
        <v>92</v>
      </c>
      <c r="P774" s="19" t="s">
        <v>475</v>
      </c>
      <c r="Q774" s="19" t="s">
        <v>91</v>
      </c>
      <c r="R774" s="19"/>
      <c r="S774" s="19" t="s">
        <v>197</v>
      </c>
      <c r="T774" s="19" t="s">
        <v>426</v>
      </c>
      <c r="U774" s="41"/>
      <c r="V774" s="41"/>
      <c r="W774" s="41"/>
      <c r="X774" s="41"/>
      <c r="Y774" s="7"/>
    </row>
    <row r="775" spans="2:27" ht="52.8" x14ac:dyDescent="0.3">
      <c r="B775" s="109"/>
      <c r="D775" s="61"/>
      <c r="E775" s="63" t="s">
        <v>304</v>
      </c>
      <c r="F775" s="63" t="s">
        <v>304</v>
      </c>
      <c r="G775" s="62"/>
      <c r="M775" s="15"/>
      <c r="O775" s="45" t="s">
        <v>592</v>
      </c>
      <c r="P775" s="45"/>
      <c r="Q775" s="45" t="s">
        <v>93</v>
      </c>
      <c r="R775" s="19"/>
      <c r="S775" s="19" t="s">
        <v>422</v>
      </c>
      <c r="T775" s="19" t="s">
        <v>489</v>
      </c>
      <c r="U775" s="41"/>
      <c r="V775" s="41"/>
      <c r="W775" s="41" t="s">
        <v>82</v>
      </c>
      <c r="X775" s="41"/>
      <c r="Y775" s="7"/>
    </row>
    <row r="776" spans="2:27" ht="52.8" x14ac:dyDescent="0.3">
      <c r="B776" s="109"/>
      <c r="D776" s="61"/>
      <c r="E776" s="61"/>
      <c r="F776" s="61"/>
      <c r="G776" s="62"/>
      <c r="M776" s="15"/>
      <c r="O776" s="19"/>
      <c r="P776" s="19" t="s">
        <v>77</v>
      </c>
      <c r="Q776" s="19" t="s">
        <v>94</v>
      </c>
      <c r="R776" s="19"/>
      <c r="S776" s="19" t="s">
        <v>480</v>
      </c>
      <c r="T776" s="19" t="s">
        <v>86</v>
      </c>
      <c r="U776" s="41"/>
      <c r="V776" s="41"/>
      <c r="W776" s="41"/>
      <c r="X776" s="41" t="s">
        <v>477</v>
      </c>
      <c r="Y776" s="7"/>
    </row>
    <row r="777" spans="2:27" ht="52.8" x14ac:dyDescent="0.3">
      <c r="B777" s="109"/>
      <c r="D777" s="61"/>
      <c r="E777" s="61"/>
      <c r="F777" s="61"/>
      <c r="G777" s="62"/>
      <c r="M777" s="15"/>
      <c r="O777" s="19"/>
      <c r="P777" s="19" t="s">
        <v>78</v>
      </c>
      <c r="Q777" s="19" t="s">
        <v>701</v>
      </c>
      <c r="R777" s="19" t="s">
        <v>95</v>
      </c>
      <c r="S777" s="45"/>
      <c r="T777" s="45" t="s">
        <v>87</v>
      </c>
      <c r="U777" s="67"/>
      <c r="V777" s="67" t="s">
        <v>96</v>
      </c>
      <c r="W777" s="67"/>
      <c r="X777" s="67" t="s">
        <v>483</v>
      </c>
      <c r="Y777" s="7"/>
    </row>
    <row r="778" spans="2:27" ht="66" x14ac:dyDescent="0.3">
      <c r="B778" s="109"/>
      <c r="D778" s="61"/>
      <c r="E778" s="61"/>
      <c r="F778" s="61"/>
      <c r="G778" s="62"/>
      <c r="M778" s="15"/>
      <c r="O778" s="19"/>
      <c r="P778" s="19" t="s">
        <v>200</v>
      </c>
      <c r="Q778" s="19" t="s">
        <v>124</v>
      </c>
      <c r="R778" s="45"/>
      <c r="S778" s="19"/>
      <c r="T778" s="19" t="s">
        <v>85</v>
      </c>
      <c r="U778" s="41"/>
      <c r="V778" s="41" t="s">
        <v>97</v>
      </c>
      <c r="W778" s="41"/>
      <c r="X778" s="41"/>
      <c r="Y778" s="7"/>
    </row>
    <row r="779" spans="2:27" x14ac:dyDescent="0.3">
      <c r="B779" s="109"/>
      <c r="D779" s="61"/>
      <c r="E779" s="61"/>
      <c r="F779" s="61"/>
      <c r="G779" s="62"/>
      <c r="M779" s="15"/>
      <c r="P779" s="13" t="s">
        <v>98</v>
      </c>
      <c r="Q779" s="13" t="s">
        <v>704</v>
      </c>
      <c r="R779" s="19" t="s">
        <v>180</v>
      </c>
      <c r="S779" s="19"/>
      <c r="T779" s="19" t="s">
        <v>79</v>
      </c>
      <c r="U779" s="67"/>
      <c r="V779" s="67"/>
      <c r="W779" s="67" t="s">
        <v>485</v>
      </c>
      <c r="X779" s="67" t="s">
        <v>485</v>
      </c>
      <c r="Y779" s="7"/>
    </row>
    <row r="780" spans="2:27" ht="52.8" x14ac:dyDescent="0.3">
      <c r="B780" s="109"/>
      <c r="D780" s="61"/>
      <c r="E780" s="61"/>
      <c r="F780" s="61"/>
      <c r="G780" s="62"/>
      <c r="M780" s="15"/>
      <c r="O780" s="19"/>
      <c r="P780" s="19" t="s">
        <v>99</v>
      </c>
      <c r="Q780" s="19"/>
      <c r="R780" s="19" t="s">
        <v>447</v>
      </c>
      <c r="S780" s="19"/>
      <c r="T780" s="19" t="s">
        <v>89</v>
      </c>
      <c r="U780" s="41"/>
      <c r="V780" s="41"/>
      <c r="W780" s="41"/>
      <c r="X780" s="41"/>
      <c r="Y780" s="7"/>
    </row>
    <row r="781" spans="2:27" ht="26.4" x14ac:dyDescent="0.3">
      <c r="B781" s="109"/>
      <c r="D781" s="61"/>
      <c r="E781" s="61"/>
      <c r="F781" s="61"/>
      <c r="G781" s="62"/>
      <c r="M781" s="15"/>
      <c r="O781" s="19"/>
      <c r="P781" s="19" t="s">
        <v>100</v>
      </c>
      <c r="Q781" s="19" t="s">
        <v>451</v>
      </c>
      <c r="R781" s="19"/>
      <c r="S781" s="19"/>
      <c r="T781" s="19" t="s">
        <v>80</v>
      </c>
      <c r="U781" s="41"/>
      <c r="V781" s="41"/>
      <c r="W781" s="41"/>
      <c r="X781" s="41"/>
      <c r="Y781" s="7"/>
    </row>
    <row r="782" spans="2:27" ht="26.4" x14ac:dyDescent="0.3">
      <c r="B782" s="109"/>
      <c r="D782" s="61"/>
      <c r="E782" s="61"/>
      <c r="F782" s="61"/>
      <c r="G782" s="62"/>
      <c r="M782" s="15"/>
      <c r="O782" s="19"/>
      <c r="P782" s="19"/>
      <c r="Q782" s="19" t="s">
        <v>456</v>
      </c>
      <c r="R782" s="19"/>
      <c r="S782" s="45"/>
      <c r="T782" s="45" t="s">
        <v>482</v>
      </c>
      <c r="U782" s="41"/>
      <c r="V782" s="41"/>
      <c r="W782" s="41"/>
      <c r="X782" s="41"/>
      <c r="Y782" s="7"/>
    </row>
    <row r="783" spans="2:27" ht="52.8" x14ac:dyDescent="0.3">
      <c r="B783" s="109"/>
      <c r="D783" s="61"/>
      <c r="E783" s="61"/>
      <c r="F783" s="61"/>
      <c r="G783" s="62"/>
      <c r="M783" s="15"/>
      <c r="O783" s="19"/>
      <c r="P783" s="19"/>
      <c r="Q783" s="19" t="s">
        <v>465</v>
      </c>
      <c r="R783" s="19"/>
      <c r="S783" s="45"/>
      <c r="T783" s="45" t="s">
        <v>81</v>
      </c>
      <c r="U783" s="41"/>
      <c r="V783" s="41"/>
      <c r="W783" s="41"/>
      <c r="X783" s="41"/>
      <c r="Y783" s="7"/>
    </row>
    <row r="784" spans="2:27" ht="39.6" x14ac:dyDescent="0.3">
      <c r="B784" s="109"/>
      <c r="D784" s="61"/>
      <c r="E784" s="61"/>
      <c r="F784" s="61"/>
      <c r="G784" s="62"/>
      <c r="M784" s="15"/>
      <c r="O784" s="19"/>
      <c r="P784" s="19"/>
      <c r="Q784" s="19" t="s">
        <v>472</v>
      </c>
      <c r="R784" s="19"/>
      <c r="S784" s="45"/>
      <c r="T784" s="45" t="s">
        <v>84</v>
      </c>
      <c r="U784" s="41"/>
      <c r="V784" s="41"/>
      <c r="W784" s="41"/>
      <c r="X784" s="41"/>
      <c r="Y784" s="7"/>
    </row>
    <row r="785" spans="2:27" ht="26.4" x14ac:dyDescent="0.3">
      <c r="B785" s="109"/>
      <c r="D785" s="61"/>
      <c r="E785" s="61"/>
      <c r="F785" s="61"/>
      <c r="G785" s="62"/>
      <c r="M785" s="15"/>
      <c r="O785" s="19"/>
      <c r="P785" s="19" t="s">
        <v>90</v>
      </c>
      <c r="Q785" s="19" t="s">
        <v>106</v>
      </c>
      <c r="R785" s="19" t="s">
        <v>106</v>
      </c>
      <c r="S785" s="19"/>
      <c r="T785" s="19" t="s">
        <v>88</v>
      </c>
      <c r="U785" s="41"/>
      <c r="V785" s="41"/>
      <c r="W785" s="41"/>
      <c r="X785" s="41"/>
      <c r="Y785" s="7"/>
    </row>
    <row r="786" spans="2:27" ht="52.8" x14ac:dyDescent="0.3">
      <c r="B786" s="109"/>
      <c r="D786" s="61"/>
      <c r="E786" s="61"/>
      <c r="F786" s="61"/>
      <c r="G786" s="62"/>
      <c r="M786" s="15"/>
      <c r="O786" s="19"/>
      <c r="P786" s="19" t="s">
        <v>104</v>
      </c>
      <c r="Q786" s="19" t="s">
        <v>544</v>
      </c>
      <c r="R786" s="19"/>
      <c r="S786" s="19"/>
      <c r="T786" s="19" t="s">
        <v>109</v>
      </c>
      <c r="U786" s="41"/>
      <c r="V786" s="41"/>
      <c r="W786" s="41"/>
      <c r="X786" s="41"/>
      <c r="Y786" s="7"/>
    </row>
    <row r="787" spans="2:27" ht="39.6" x14ac:dyDescent="0.3">
      <c r="B787" s="109"/>
      <c r="G787" s="7"/>
      <c r="H787" s="53"/>
      <c r="I787" s="54"/>
      <c r="J787" s="80"/>
      <c r="K787" s="7"/>
      <c r="L787" s="7"/>
      <c r="M787" s="7"/>
      <c r="N787" s="7"/>
      <c r="O787" s="19"/>
      <c r="P787" s="19" t="s">
        <v>105</v>
      </c>
      <c r="Q787" s="19" t="s">
        <v>76</v>
      </c>
      <c r="R787" s="19"/>
      <c r="S787" s="19"/>
      <c r="T787" s="19" t="s">
        <v>110</v>
      </c>
      <c r="U787" s="41"/>
      <c r="V787" s="41"/>
      <c r="W787" s="41"/>
      <c r="X787" s="41"/>
      <c r="Y787" s="7"/>
      <c r="Z787" s="7"/>
      <c r="AA787" s="7"/>
    </row>
    <row r="788" spans="2:27" ht="39.6" x14ac:dyDescent="0.3">
      <c r="B788" s="109"/>
      <c r="G788" s="7"/>
      <c r="H788" s="53"/>
      <c r="I788" s="54"/>
      <c r="J788" s="80"/>
      <c r="K788" s="7"/>
      <c r="L788" s="7"/>
      <c r="M788" s="7"/>
      <c r="N788" s="7"/>
      <c r="O788" s="19"/>
      <c r="P788" s="19" t="s">
        <v>107</v>
      </c>
      <c r="Q788" s="19" t="s">
        <v>101</v>
      </c>
      <c r="R788" s="19"/>
      <c r="S788" s="19"/>
      <c r="T788" s="19" t="s">
        <v>425</v>
      </c>
      <c r="U788" s="41"/>
      <c r="V788" s="41"/>
      <c r="W788" s="41"/>
      <c r="X788" s="41"/>
      <c r="Y788" s="7"/>
      <c r="Z788" s="7"/>
      <c r="AA788" s="7"/>
    </row>
    <row r="789" spans="2:27" ht="26.4" x14ac:dyDescent="0.3">
      <c r="B789" s="109"/>
      <c r="G789" s="7"/>
      <c r="H789" s="53"/>
      <c r="I789" s="54"/>
      <c r="J789" s="80"/>
      <c r="K789" s="7"/>
      <c r="L789" s="7"/>
      <c r="M789" s="7"/>
      <c r="N789" s="7"/>
      <c r="O789" s="19"/>
      <c r="P789" s="19"/>
      <c r="Q789" s="19" t="s">
        <v>102</v>
      </c>
      <c r="R789" s="19"/>
      <c r="S789" s="19"/>
      <c r="T789" s="19" t="s">
        <v>427</v>
      </c>
      <c r="U789" s="41"/>
      <c r="V789" s="41"/>
      <c r="W789" s="41"/>
      <c r="X789" s="41"/>
      <c r="Y789" s="7"/>
      <c r="Z789" s="7"/>
      <c r="AA789" s="7"/>
    </row>
    <row r="790" spans="2:27" ht="26.4" x14ac:dyDescent="0.3">
      <c r="B790" s="109"/>
      <c r="G790" s="7"/>
      <c r="H790" s="53"/>
      <c r="I790" s="54"/>
      <c r="J790" s="80"/>
      <c r="K790" s="7"/>
      <c r="L790" s="7"/>
      <c r="M790" s="7"/>
      <c r="N790" s="7"/>
      <c r="O790" s="19"/>
      <c r="P790" s="19"/>
      <c r="Q790" s="19" t="s">
        <v>103</v>
      </c>
      <c r="R790" s="19"/>
      <c r="T790" s="13" t="s">
        <v>463</v>
      </c>
      <c r="U790" s="41"/>
      <c r="V790" s="41"/>
      <c r="W790" s="41"/>
      <c r="X790" s="41"/>
      <c r="Y790" s="7"/>
      <c r="Z790" s="7"/>
      <c r="AA790" s="7"/>
    </row>
    <row r="791" spans="2:27" ht="26.4" x14ac:dyDescent="0.3">
      <c r="B791" s="109"/>
      <c r="G791" s="7"/>
      <c r="H791" s="53"/>
      <c r="I791" s="54"/>
      <c r="J791" s="80"/>
      <c r="K791" s="7"/>
      <c r="L791" s="7"/>
      <c r="M791" s="7"/>
      <c r="N791" s="7"/>
      <c r="O791" s="19"/>
      <c r="P791" s="19" t="s">
        <v>428</v>
      </c>
      <c r="Q791" s="19" t="s">
        <v>108</v>
      </c>
      <c r="R791" s="45"/>
      <c r="S791" s="19"/>
      <c r="T791" s="19" t="s">
        <v>473</v>
      </c>
      <c r="U791" s="41"/>
      <c r="V791" s="41"/>
      <c r="W791" s="41"/>
      <c r="X791" s="41"/>
      <c r="Y791" s="7"/>
      <c r="Z791" s="7"/>
      <c r="AA791" s="7"/>
    </row>
    <row r="792" spans="2:27" ht="26.4" x14ac:dyDescent="0.3">
      <c r="B792" s="109"/>
      <c r="G792" s="7"/>
      <c r="H792" s="53"/>
      <c r="I792" s="54"/>
      <c r="J792" s="80"/>
      <c r="K792" s="7"/>
      <c r="L792" s="7"/>
      <c r="M792" s="27"/>
      <c r="N792" s="7"/>
      <c r="O792" s="19"/>
      <c r="P792" s="19" t="s">
        <v>436</v>
      </c>
      <c r="Q792" s="19" t="s">
        <v>154</v>
      </c>
      <c r="R792" s="45"/>
      <c r="S792" s="45"/>
      <c r="T792" s="45" t="s">
        <v>716</v>
      </c>
      <c r="U792" s="41"/>
      <c r="V792" s="41"/>
      <c r="W792" s="41"/>
      <c r="X792" s="41"/>
      <c r="Y792" s="7"/>
      <c r="Z792" s="7"/>
      <c r="AA792" s="7"/>
    </row>
    <row r="793" spans="2:27" ht="38.25" customHeight="1" x14ac:dyDescent="0.3">
      <c r="B793" s="109"/>
      <c r="G793" s="7"/>
      <c r="H793" s="53"/>
      <c r="I793" s="54"/>
      <c r="J793" s="80"/>
      <c r="K793" s="7"/>
      <c r="L793" s="7"/>
      <c r="M793" s="27"/>
      <c r="N793" s="7"/>
      <c r="O793" s="19"/>
      <c r="P793" s="19" t="s">
        <v>452</v>
      </c>
      <c r="Q793" s="19" t="s">
        <v>593</v>
      </c>
      <c r="R793" s="45"/>
      <c r="T793" s="82" t="s">
        <v>717</v>
      </c>
      <c r="U793" s="41"/>
      <c r="V793" s="41"/>
      <c r="W793" s="41"/>
      <c r="X793" s="41"/>
      <c r="Y793" s="7"/>
      <c r="Z793" s="7"/>
      <c r="AA793" s="7"/>
    </row>
    <row r="794" spans="2:27" ht="13.2" x14ac:dyDescent="0.3">
      <c r="B794" s="109"/>
      <c r="G794" s="7"/>
      <c r="H794" s="53"/>
      <c r="I794" s="54"/>
      <c r="J794" s="80"/>
      <c r="K794" s="7"/>
      <c r="L794" s="7"/>
      <c r="M794" s="27"/>
      <c r="N794" s="7"/>
      <c r="O794" s="19"/>
      <c r="P794" s="19" t="s">
        <v>471</v>
      </c>
      <c r="Q794" s="19"/>
      <c r="R794" s="45"/>
      <c r="S794" s="45"/>
      <c r="T794" s="45"/>
      <c r="U794" s="41"/>
      <c r="V794" s="41"/>
      <c r="W794" s="41"/>
      <c r="X794" s="41"/>
      <c r="Y794" s="7"/>
      <c r="Z794" s="7"/>
      <c r="AA794" s="7"/>
    </row>
    <row r="795" spans="2:27" ht="39.6" x14ac:dyDescent="0.3">
      <c r="B795" s="109"/>
      <c r="G795" s="7"/>
      <c r="H795" s="53"/>
      <c r="I795" s="54"/>
      <c r="J795" s="80"/>
      <c r="K795" s="7"/>
      <c r="L795" s="7"/>
      <c r="M795" s="27"/>
      <c r="N795" s="7"/>
      <c r="O795" s="19"/>
      <c r="P795" s="19" t="s">
        <v>484</v>
      </c>
      <c r="Q795" s="19" t="s">
        <v>484</v>
      </c>
      <c r="R795" s="45"/>
      <c r="S795" s="45"/>
      <c r="T795" s="45"/>
      <c r="U795" s="41"/>
      <c r="V795" s="41"/>
      <c r="W795" s="41"/>
      <c r="X795" s="41"/>
      <c r="Y795" s="7"/>
      <c r="Z795" s="7"/>
      <c r="AA795" s="7"/>
    </row>
    <row r="796" spans="2:27" ht="13.2" x14ac:dyDescent="0.3">
      <c r="B796" s="109"/>
      <c r="G796" s="7"/>
      <c r="H796" s="53"/>
      <c r="I796" s="54"/>
      <c r="J796" s="80"/>
      <c r="K796" s="7"/>
      <c r="L796" s="7"/>
      <c r="M796" s="27"/>
      <c r="N796" s="7"/>
      <c r="O796" s="19"/>
      <c r="P796" s="19"/>
      <c r="Q796" s="19"/>
      <c r="S796" s="19"/>
      <c r="T796" s="19"/>
      <c r="U796" s="41"/>
      <c r="V796" s="41"/>
      <c r="W796" s="41"/>
      <c r="X796" s="41"/>
      <c r="Y796" s="7"/>
      <c r="Z796" s="7"/>
      <c r="AA796" s="7"/>
    </row>
    <row r="797" spans="2:27" ht="13.2" x14ac:dyDescent="0.3">
      <c r="B797" s="109"/>
      <c r="G797" s="7"/>
      <c r="H797" s="53"/>
      <c r="I797" s="54"/>
      <c r="J797" s="80"/>
      <c r="K797" s="7"/>
      <c r="L797" s="7"/>
      <c r="M797" s="27"/>
      <c r="N797" s="7"/>
      <c r="O797" s="19"/>
      <c r="P797" s="19"/>
      <c r="Q797" s="19"/>
      <c r="S797" s="19"/>
      <c r="T797" s="19"/>
      <c r="U797" s="41"/>
      <c r="V797" s="41"/>
      <c r="W797" s="41"/>
      <c r="X797" s="41"/>
      <c r="Y797" s="7"/>
      <c r="Z797" s="7"/>
      <c r="AA797" s="7"/>
    </row>
    <row r="798" spans="2:27" ht="13.2" x14ac:dyDescent="0.3">
      <c r="B798" s="109"/>
      <c r="G798" s="7"/>
      <c r="H798" s="53"/>
      <c r="I798" s="54"/>
      <c r="J798" s="80"/>
      <c r="K798" s="7"/>
      <c r="L798" s="7"/>
      <c r="M798" s="27"/>
      <c r="N798" s="7"/>
      <c r="O798" s="19"/>
      <c r="P798" s="19"/>
      <c r="Q798" s="19"/>
      <c r="S798" s="19"/>
      <c r="T798" s="19"/>
      <c r="U798" s="41"/>
      <c r="V798" s="41"/>
      <c r="W798" s="41"/>
      <c r="X798" s="41"/>
      <c r="Y798" s="7"/>
      <c r="Z798" s="7"/>
      <c r="AA798" s="7"/>
    </row>
    <row r="799" spans="2:27" ht="13.2" x14ac:dyDescent="0.3">
      <c r="B799" s="109"/>
      <c r="G799" s="7"/>
      <c r="H799" s="53"/>
      <c r="I799" s="54"/>
      <c r="J799" s="80"/>
      <c r="K799" s="7"/>
      <c r="L799" s="7"/>
      <c r="M799" s="27"/>
      <c r="N799" s="7"/>
      <c r="O799" s="19"/>
      <c r="P799" s="19"/>
      <c r="Q799" s="19"/>
      <c r="R799" s="19"/>
      <c r="S799" s="19"/>
      <c r="T799" s="19"/>
      <c r="U799" s="41"/>
      <c r="V799" s="41"/>
      <c r="W799" s="41"/>
      <c r="X799" s="41"/>
      <c r="Y799" s="7"/>
      <c r="Z799" s="7"/>
      <c r="AA799" s="7"/>
    </row>
    <row r="800" spans="2:27" ht="13.2" x14ac:dyDescent="0.3">
      <c r="B800" s="109"/>
      <c r="G800" s="7"/>
      <c r="H800" s="53"/>
      <c r="I800" s="54"/>
      <c r="J800" s="80"/>
      <c r="K800" s="7"/>
      <c r="L800" s="7"/>
      <c r="M800" s="27"/>
      <c r="N800" s="7"/>
      <c r="O800" s="19"/>
      <c r="P800" s="19"/>
      <c r="Q800" s="19"/>
      <c r="R800" s="19"/>
      <c r="S800" s="19"/>
      <c r="T800" s="19"/>
      <c r="U800" s="41"/>
      <c r="V800" s="41"/>
      <c r="W800" s="41"/>
      <c r="X800" s="41"/>
      <c r="Y800" s="7"/>
      <c r="Z800" s="7"/>
      <c r="AA800" s="7"/>
    </row>
    <row r="801" spans="2:27" ht="13.2" x14ac:dyDescent="0.3">
      <c r="B801" s="109"/>
      <c r="G801" s="7"/>
      <c r="H801" s="53"/>
      <c r="I801" s="54"/>
      <c r="J801" s="80"/>
      <c r="K801" s="7"/>
      <c r="L801" s="7"/>
      <c r="M801" s="27"/>
      <c r="N801" s="7"/>
      <c r="O801" s="19"/>
      <c r="P801" s="19"/>
      <c r="Q801" s="19"/>
      <c r="R801" s="19"/>
      <c r="S801" s="19"/>
      <c r="T801" s="19"/>
      <c r="U801" s="41"/>
      <c r="V801" s="41"/>
      <c r="W801" s="41"/>
      <c r="X801" s="41"/>
      <c r="Y801" s="7"/>
      <c r="Z801" s="7"/>
      <c r="AA801" s="7"/>
    </row>
    <row r="802" spans="2:27" ht="13.2" x14ac:dyDescent="0.3">
      <c r="B802" s="109"/>
      <c r="G802" s="7"/>
      <c r="H802" s="53"/>
      <c r="I802" s="54"/>
      <c r="J802" s="80"/>
      <c r="K802" s="7"/>
      <c r="L802" s="7"/>
      <c r="M802" s="27"/>
      <c r="N802" s="7"/>
      <c r="O802" s="19"/>
      <c r="P802" s="19"/>
      <c r="Q802" s="19"/>
      <c r="R802" s="19"/>
      <c r="S802" s="19"/>
      <c r="T802" s="19"/>
      <c r="U802" s="41"/>
      <c r="V802" s="41"/>
      <c r="W802" s="41"/>
      <c r="X802" s="41"/>
      <c r="Y802" s="7"/>
      <c r="Z802" s="7"/>
      <c r="AA802" s="7"/>
    </row>
    <row r="803" spans="2:27" ht="13.2" x14ac:dyDescent="0.3">
      <c r="B803" s="109"/>
      <c r="G803" s="7"/>
      <c r="H803" s="53"/>
      <c r="I803" s="54"/>
      <c r="J803" s="80"/>
      <c r="K803" s="7"/>
      <c r="L803" s="7"/>
      <c r="M803" s="27"/>
      <c r="N803" s="7"/>
      <c r="O803" s="19"/>
      <c r="P803" s="19"/>
      <c r="Q803" s="19"/>
      <c r="R803" s="19"/>
      <c r="S803" s="19"/>
      <c r="T803" s="19"/>
      <c r="U803" s="41"/>
      <c r="V803" s="41"/>
      <c r="W803" s="41"/>
      <c r="X803" s="41"/>
      <c r="Y803" s="7"/>
      <c r="Z803" s="7"/>
      <c r="AA803" s="7"/>
    </row>
    <row r="804" spans="2:27" ht="13.2" x14ac:dyDescent="0.3">
      <c r="B804" s="109"/>
      <c r="G804" s="7"/>
      <c r="H804" s="53"/>
      <c r="I804" s="54"/>
      <c r="J804" s="80"/>
      <c r="K804" s="7"/>
      <c r="L804" s="7"/>
      <c r="M804" s="27"/>
      <c r="N804" s="7"/>
      <c r="O804" s="19"/>
      <c r="P804" s="19"/>
      <c r="Q804" s="19"/>
      <c r="R804" s="19"/>
      <c r="S804" s="19"/>
      <c r="T804" s="19"/>
      <c r="U804" s="41"/>
      <c r="V804" s="41"/>
      <c r="W804" s="41"/>
      <c r="X804" s="41"/>
      <c r="Y804" s="7"/>
      <c r="Z804" s="7"/>
      <c r="AA804" s="7"/>
    </row>
    <row r="805" spans="2:27" ht="13.2" x14ac:dyDescent="0.3">
      <c r="B805" s="109"/>
      <c r="G805" s="7"/>
      <c r="H805" s="53"/>
      <c r="I805" s="54"/>
      <c r="J805" s="80"/>
      <c r="K805" s="7"/>
      <c r="L805" s="7"/>
      <c r="M805" s="27"/>
      <c r="N805" s="7"/>
      <c r="O805" s="19"/>
      <c r="P805" s="19"/>
      <c r="Q805" s="19"/>
      <c r="R805" s="19"/>
      <c r="S805" s="19"/>
      <c r="T805" s="19"/>
      <c r="U805" s="41"/>
      <c r="V805" s="41"/>
      <c r="W805" s="41"/>
      <c r="X805" s="41"/>
      <c r="Y805" s="7"/>
      <c r="Z805" s="7"/>
      <c r="AA805" s="7"/>
    </row>
    <row r="806" spans="2:27" ht="13.2" x14ac:dyDescent="0.3">
      <c r="B806" s="109"/>
      <c r="G806" s="7"/>
      <c r="H806" s="53"/>
      <c r="I806" s="54"/>
      <c r="J806" s="80"/>
      <c r="K806" s="7"/>
      <c r="L806" s="7"/>
      <c r="M806" s="27"/>
      <c r="N806" s="7"/>
      <c r="O806" s="19"/>
      <c r="P806" s="19"/>
      <c r="Q806" s="19"/>
      <c r="R806" s="19"/>
      <c r="S806" s="19"/>
      <c r="T806" s="19"/>
      <c r="U806" s="41"/>
      <c r="V806" s="41"/>
      <c r="W806" s="41"/>
      <c r="X806" s="41"/>
      <c r="Y806" s="7"/>
      <c r="Z806" s="7"/>
      <c r="AA806" s="7"/>
    </row>
    <row r="807" spans="2:27" ht="13.2" x14ac:dyDescent="0.3">
      <c r="B807" s="109"/>
      <c r="G807" s="7"/>
      <c r="H807" s="53"/>
      <c r="I807" s="54"/>
      <c r="J807" s="80"/>
      <c r="K807" s="7"/>
      <c r="L807" s="7"/>
      <c r="M807" s="27"/>
      <c r="N807" s="7"/>
      <c r="O807" s="19"/>
      <c r="P807" s="19"/>
      <c r="Q807" s="19"/>
      <c r="R807" s="19"/>
      <c r="S807" s="19"/>
      <c r="T807" s="19"/>
      <c r="U807" s="41"/>
      <c r="V807" s="41"/>
      <c r="W807" s="41"/>
      <c r="X807" s="41"/>
      <c r="Y807" s="7"/>
      <c r="Z807" s="7"/>
      <c r="AA807" s="7"/>
    </row>
    <row r="808" spans="2:27" ht="13.2" x14ac:dyDescent="0.3">
      <c r="B808" s="109"/>
      <c r="G808" s="7"/>
      <c r="H808" s="53"/>
      <c r="I808" s="54"/>
      <c r="J808" s="80"/>
      <c r="K808" s="7"/>
      <c r="L808" s="7"/>
      <c r="M808" s="27"/>
      <c r="N808" s="7"/>
      <c r="O808" s="19"/>
      <c r="P808" s="19"/>
      <c r="Q808" s="19"/>
      <c r="R808" s="19"/>
      <c r="S808" s="19"/>
      <c r="T808" s="19"/>
      <c r="U808" s="41"/>
      <c r="V808" s="41"/>
      <c r="W808" s="41"/>
      <c r="X808" s="41"/>
      <c r="Y808" s="7"/>
      <c r="Z808" s="7"/>
      <c r="AA808" s="7"/>
    </row>
    <row r="809" spans="2:27" ht="13.2" x14ac:dyDescent="0.3">
      <c r="B809" s="109"/>
      <c r="G809" s="7"/>
      <c r="H809" s="53"/>
      <c r="I809" s="54"/>
      <c r="J809" s="80"/>
      <c r="K809" s="7"/>
      <c r="L809" s="7"/>
      <c r="M809" s="27"/>
      <c r="N809" s="7"/>
      <c r="O809" s="19"/>
      <c r="P809" s="19"/>
      <c r="Q809" s="19"/>
      <c r="R809" s="19"/>
      <c r="S809" s="19"/>
      <c r="T809" s="19"/>
      <c r="U809" s="41"/>
      <c r="V809" s="41"/>
      <c r="W809" s="41"/>
      <c r="X809" s="41"/>
      <c r="Y809" s="7"/>
      <c r="Z809" s="7"/>
      <c r="AA809" s="7"/>
    </row>
    <row r="810" spans="2:27" ht="13.2" x14ac:dyDescent="0.3">
      <c r="B810" s="109"/>
      <c r="G810" s="7"/>
      <c r="H810" s="53"/>
      <c r="I810" s="54"/>
      <c r="J810" s="80"/>
      <c r="K810" s="7"/>
      <c r="L810" s="7"/>
      <c r="M810" s="27"/>
      <c r="N810" s="7"/>
      <c r="O810" s="19"/>
      <c r="P810" s="19"/>
      <c r="Q810" s="19"/>
      <c r="R810" s="19"/>
      <c r="S810" s="19"/>
      <c r="T810" s="19"/>
      <c r="U810" s="41"/>
      <c r="V810" s="41"/>
      <c r="W810" s="41"/>
      <c r="X810" s="41"/>
      <c r="Y810" s="7"/>
      <c r="Z810" s="7"/>
      <c r="AA810" s="7"/>
    </row>
    <row r="811" spans="2:27" ht="13.2" x14ac:dyDescent="0.3">
      <c r="B811" s="109"/>
      <c r="G811" s="7"/>
      <c r="H811" s="53"/>
      <c r="I811" s="54"/>
      <c r="J811" s="80"/>
      <c r="K811" s="7"/>
      <c r="L811" s="7"/>
      <c r="M811" s="27"/>
      <c r="N811" s="7"/>
      <c r="O811" s="19"/>
      <c r="P811" s="19"/>
      <c r="Q811" s="19"/>
      <c r="R811" s="19"/>
      <c r="S811" s="19"/>
      <c r="T811" s="19"/>
      <c r="U811" s="41"/>
      <c r="V811" s="41"/>
      <c r="W811" s="41"/>
      <c r="X811" s="41"/>
      <c r="Y811" s="7"/>
      <c r="Z811" s="7"/>
      <c r="AA811" s="7"/>
    </row>
    <row r="812" spans="2:27" ht="13.2" x14ac:dyDescent="0.3">
      <c r="B812" s="109"/>
      <c r="G812" s="7"/>
      <c r="H812" s="53"/>
      <c r="I812" s="54"/>
      <c r="J812" s="80"/>
      <c r="K812" s="7"/>
      <c r="L812" s="7"/>
      <c r="M812" s="27"/>
      <c r="N812" s="7"/>
      <c r="O812" s="19"/>
      <c r="P812" s="19"/>
      <c r="Q812" s="19"/>
      <c r="R812" s="19"/>
      <c r="S812" s="19"/>
      <c r="T812" s="19"/>
      <c r="U812" s="41"/>
      <c r="V812" s="41"/>
      <c r="W812" s="41"/>
      <c r="X812" s="41"/>
      <c r="Y812" s="7"/>
      <c r="Z812" s="7"/>
      <c r="AA812" s="7"/>
    </row>
    <row r="813" spans="2:27" ht="13.2" x14ac:dyDescent="0.3">
      <c r="B813" s="109"/>
      <c r="G813" s="7"/>
      <c r="H813" s="53"/>
      <c r="I813" s="54"/>
      <c r="J813" s="80"/>
      <c r="K813" s="7"/>
      <c r="L813" s="7"/>
      <c r="M813" s="27"/>
      <c r="N813" s="7"/>
      <c r="O813" s="19"/>
      <c r="P813" s="19"/>
      <c r="Q813" s="19"/>
      <c r="R813" s="19"/>
      <c r="S813" s="19"/>
      <c r="T813" s="19"/>
      <c r="U813" s="41"/>
      <c r="V813" s="41"/>
      <c r="W813" s="41"/>
      <c r="X813" s="41"/>
      <c r="Y813" s="7"/>
      <c r="Z813" s="7"/>
      <c r="AA813" s="7"/>
    </row>
    <row r="814" spans="2:27" ht="13.2" x14ac:dyDescent="0.3">
      <c r="B814" s="109"/>
      <c r="G814" s="7"/>
      <c r="H814" s="53"/>
      <c r="I814" s="54"/>
      <c r="J814" s="80"/>
      <c r="K814" s="7"/>
      <c r="L814" s="7"/>
      <c r="M814" s="27"/>
      <c r="N814" s="7"/>
      <c r="O814" s="19"/>
      <c r="P814" s="19"/>
      <c r="Q814" s="19"/>
      <c r="R814" s="19"/>
      <c r="S814" s="19"/>
      <c r="T814" s="19"/>
      <c r="U814" s="41"/>
      <c r="V814" s="41"/>
      <c r="W814" s="41"/>
      <c r="X814" s="41"/>
      <c r="Y814" s="7"/>
      <c r="Z814" s="7"/>
      <c r="AA814" s="7"/>
    </row>
    <row r="815" spans="2:27" ht="13.2" x14ac:dyDescent="0.3">
      <c r="B815" s="109"/>
      <c r="G815" s="7"/>
      <c r="H815" s="53"/>
      <c r="I815" s="54"/>
      <c r="J815" s="80"/>
      <c r="K815" s="7"/>
      <c r="L815" s="7"/>
      <c r="M815" s="27"/>
      <c r="N815" s="7"/>
      <c r="O815" s="19"/>
      <c r="P815" s="19"/>
      <c r="Q815" s="19"/>
      <c r="R815" s="19"/>
      <c r="S815" s="19"/>
      <c r="T815" s="19"/>
      <c r="U815" s="41"/>
      <c r="V815" s="41"/>
      <c r="W815" s="41"/>
      <c r="X815" s="41"/>
      <c r="Y815" s="7"/>
      <c r="Z815" s="7"/>
      <c r="AA815" s="7"/>
    </row>
    <row r="816" spans="2:27" ht="13.2" x14ac:dyDescent="0.3">
      <c r="B816" s="109"/>
      <c r="G816" s="7"/>
      <c r="H816" s="53"/>
      <c r="I816" s="54"/>
      <c r="J816" s="80"/>
      <c r="K816" s="7"/>
      <c r="L816" s="7"/>
      <c r="M816" s="27"/>
      <c r="N816" s="7"/>
      <c r="O816" s="19"/>
      <c r="P816" s="19"/>
      <c r="Q816" s="19"/>
      <c r="R816" s="19"/>
      <c r="S816" s="19"/>
      <c r="T816" s="19"/>
      <c r="U816" s="41"/>
      <c r="V816" s="41"/>
      <c r="W816" s="41"/>
      <c r="X816" s="41"/>
      <c r="Y816" s="7"/>
      <c r="Z816" s="7"/>
      <c r="AA816" s="7"/>
    </row>
    <row r="817" spans="2:27" ht="13.2" x14ac:dyDescent="0.3">
      <c r="B817" s="109"/>
      <c r="G817" s="7"/>
      <c r="H817" s="53"/>
      <c r="I817" s="54"/>
      <c r="J817" s="80"/>
      <c r="K817" s="7"/>
      <c r="L817" s="7"/>
      <c r="M817" s="27"/>
      <c r="N817" s="7"/>
      <c r="O817" s="19"/>
      <c r="P817" s="19"/>
      <c r="Q817" s="19"/>
      <c r="R817" s="19"/>
      <c r="S817" s="19"/>
      <c r="T817" s="19"/>
      <c r="U817" s="41"/>
      <c r="V817" s="41"/>
      <c r="W817" s="41"/>
      <c r="X817" s="41"/>
      <c r="Y817" s="7"/>
      <c r="Z817" s="7"/>
      <c r="AA817" s="7"/>
    </row>
    <row r="818" spans="2:27" ht="13.2" x14ac:dyDescent="0.3">
      <c r="B818" s="109"/>
      <c r="G818" s="7"/>
      <c r="H818" s="53"/>
      <c r="I818" s="54"/>
      <c r="J818" s="80"/>
      <c r="K818" s="7"/>
      <c r="L818" s="7"/>
      <c r="M818" s="27"/>
      <c r="N818" s="7"/>
      <c r="O818" s="17"/>
      <c r="P818" s="17"/>
      <c r="Q818" s="17"/>
      <c r="R818" s="17"/>
      <c r="S818" s="17"/>
      <c r="T818" s="17"/>
      <c r="U818" s="42"/>
      <c r="V818" s="42"/>
      <c r="W818" s="42"/>
      <c r="X818" s="42"/>
      <c r="Y818" s="7"/>
      <c r="Z818" s="7"/>
      <c r="AA818" s="7"/>
    </row>
    <row r="819" spans="2:27" ht="13.2" x14ac:dyDescent="0.3">
      <c r="B819" s="109"/>
      <c r="G819" s="7"/>
      <c r="H819" s="53"/>
      <c r="I819" s="54"/>
      <c r="J819" s="80"/>
      <c r="K819" s="7"/>
      <c r="L819" s="7"/>
      <c r="M819" s="27"/>
      <c r="N819" s="7"/>
      <c r="O819" s="17"/>
      <c r="P819" s="17"/>
      <c r="Q819" s="17"/>
      <c r="R819" s="17"/>
      <c r="S819" s="17"/>
      <c r="T819" s="17"/>
      <c r="U819" s="42"/>
      <c r="V819" s="42"/>
      <c r="W819" s="42"/>
      <c r="X819" s="42"/>
      <c r="Y819" s="7"/>
      <c r="Z819" s="7"/>
      <c r="AA819" s="7"/>
    </row>
    <row r="820" spans="2:27" ht="13.2" x14ac:dyDescent="0.3">
      <c r="B820" s="109"/>
      <c r="G820" s="7"/>
      <c r="H820" s="53"/>
      <c r="I820" s="54"/>
      <c r="J820" s="80"/>
      <c r="K820" s="7"/>
      <c r="L820" s="7"/>
      <c r="M820" s="27"/>
      <c r="N820" s="7"/>
      <c r="O820" s="17"/>
      <c r="P820" s="17"/>
      <c r="Q820" s="17"/>
      <c r="R820" s="17"/>
      <c r="S820" s="17"/>
      <c r="T820" s="17"/>
      <c r="U820" s="42"/>
      <c r="V820" s="42"/>
      <c r="W820" s="42"/>
      <c r="X820" s="42"/>
      <c r="Y820" s="7"/>
      <c r="Z820" s="7"/>
      <c r="AA820" s="7"/>
    </row>
    <row r="821" spans="2:27" ht="13.2" x14ac:dyDescent="0.3">
      <c r="B821" s="109"/>
      <c r="G821" s="7"/>
      <c r="H821" s="53"/>
      <c r="I821" s="54"/>
      <c r="J821" s="80"/>
      <c r="K821" s="7"/>
      <c r="L821" s="7"/>
      <c r="M821" s="27"/>
      <c r="N821" s="7"/>
      <c r="O821" s="17"/>
      <c r="P821" s="17"/>
      <c r="Q821" s="17"/>
      <c r="R821" s="17"/>
      <c r="S821" s="17"/>
      <c r="T821" s="17"/>
      <c r="U821" s="42"/>
      <c r="V821" s="42"/>
      <c r="W821" s="42"/>
      <c r="X821" s="42"/>
      <c r="Y821" s="7"/>
      <c r="Z821" s="7"/>
      <c r="AA821" s="7"/>
    </row>
    <row r="822" spans="2:27" ht="13.2" x14ac:dyDescent="0.3">
      <c r="B822" s="109"/>
      <c r="G822" s="7"/>
      <c r="H822" s="53"/>
      <c r="I822" s="54"/>
      <c r="J822" s="80"/>
      <c r="K822" s="7"/>
      <c r="L822" s="7"/>
      <c r="M822" s="27"/>
      <c r="N822" s="7"/>
      <c r="O822" s="17"/>
      <c r="P822" s="17"/>
      <c r="Q822" s="17"/>
      <c r="R822" s="17"/>
      <c r="S822" s="17"/>
      <c r="T822" s="17"/>
      <c r="U822" s="42"/>
      <c r="V822" s="42"/>
      <c r="W822" s="42"/>
      <c r="X822" s="42"/>
      <c r="Y822" s="7"/>
      <c r="Z822" s="7"/>
      <c r="AA822" s="7"/>
    </row>
    <row r="823" spans="2:27" ht="13.2" x14ac:dyDescent="0.3">
      <c r="B823" s="109"/>
      <c r="G823" s="7"/>
      <c r="H823" s="53"/>
      <c r="I823" s="54"/>
      <c r="J823" s="80"/>
      <c r="K823" s="7"/>
      <c r="L823" s="7"/>
      <c r="M823" s="27"/>
      <c r="N823" s="7"/>
      <c r="O823" s="17"/>
      <c r="P823" s="17"/>
      <c r="Q823" s="17"/>
      <c r="R823" s="17"/>
      <c r="S823" s="17"/>
      <c r="T823" s="17"/>
      <c r="U823" s="42"/>
      <c r="V823" s="42"/>
      <c r="W823" s="42"/>
      <c r="X823" s="42"/>
      <c r="Y823" s="7"/>
      <c r="Z823" s="7"/>
      <c r="AA823" s="7"/>
    </row>
    <row r="824" spans="2:27" ht="13.2" x14ac:dyDescent="0.3">
      <c r="B824" s="109"/>
      <c r="G824" s="7"/>
      <c r="H824" s="53"/>
      <c r="I824" s="54"/>
      <c r="J824" s="80"/>
      <c r="K824" s="7"/>
      <c r="L824" s="7"/>
      <c r="M824" s="27"/>
      <c r="N824" s="7"/>
      <c r="O824" s="18"/>
      <c r="P824" s="18"/>
      <c r="Q824" s="18"/>
      <c r="R824" s="18"/>
      <c r="S824" s="18"/>
      <c r="T824" s="18"/>
      <c r="U824" s="43"/>
      <c r="V824" s="43"/>
      <c r="W824" s="43"/>
      <c r="X824" s="43"/>
      <c r="Y824" s="7"/>
      <c r="Z824" s="7"/>
      <c r="AA824" s="7"/>
    </row>
    <row r="825" spans="2:27" ht="13.2" x14ac:dyDescent="0.3">
      <c r="B825" s="109"/>
      <c r="G825" s="7"/>
      <c r="H825" s="53"/>
      <c r="I825" s="54"/>
      <c r="J825" s="80"/>
      <c r="K825" s="7"/>
      <c r="L825" s="7"/>
      <c r="M825" s="27"/>
      <c r="N825" s="7"/>
      <c r="O825" s="18"/>
      <c r="P825" s="18"/>
      <c r="Q825" s="18"/>
      <c r="R825" s="18"/>
      <c r="S825" s="18"/>
      <c r="T825" s="18"/>
      <c r="U825" s="43"/>
      <c r="V825" s="43"/>
      <c r="W825" s="43"/>
      <c r="X825" s="43"/>
      <c r="Y825" s="7"/>
      <c r="Z825" s="7"/>
      <c r="AA825" s="7"/>
    </row>
    <row r="826" spans="2:27" ht="13.2" x14ac:dyDescent="0.3">
      <c r="B826" s="109"/>
      <c r="G826" s="7"/>
      <c r="H826" s="53"/>
      <c r="I826" s="54"/>
      <c r="J826" s="80"/>
      <c r="K826" s="7"/>
      <c r="L826" s="7"/>
      <c r="M826" s="27"/>
      <c r="N826" s="7"/>
      <c r="O826" s="18"/>
      <c r="P826" s="18"/>
      <c r="Q826" s="18"/>
      <c r="R826" s="18"/>
      <c r="S826" s="18"/>
      <c r="T826" s="18"/>
      <c r="U826" s="43"/>
      <c r="V826" s="43"/>
      <c r="W826" s="43"/>
      <c r="X826" s="43"/>
      <c r="Y826" s="7"/>
      <c r="Z826" s="7"/>
      <c r="AA826" s="7"/>
    </row>
    <row r="827" spans="2:27" ht="13.2" x14ac:dyDescent="0.3">
      <c r="B827" s="109"/>
      <c r="G827" s="7"/>
      <c r="H827" s="53"/>
      <c r="I827" s="54"/>
      <c r="J827" s="80"/>
      <c r="K827" s="7"/>
      <c r="L827" s="7"/>
      <c r="M827" s="27"/>
      <c r="N827" s="7"/>
      <c r="O827" s="18"/>
      <c r="P827" s="18"/>
      <c r="Q827" s="18"/>
      <c r="R827" s="18"/>
      <c r="S827" s="18"/>
      <c r="T827" s="18"/>
      <c r="U827" s="43"/>
      <c r="V827" s="43"/>
      <c r="W827" s="43"/>
      <c r="X827" s="43"/>
      <c r="Y827" s="7"/>
      <c r="Z827" s="7"/>
      <c r="AA827" s="7"/>
    </row>
    <row r="828" spans="2:27" ht="13.2" x14ac:dyDescent="0.3">
      <c r="B828" s="109"/>
      <c r="G828" s="7"/>
      <c r="H828" s="53"/>
      <c r="I828" s="54"/>
      <c r="J828" s="80"/>
      <c r="K828" s="7"/>
      <c r="L828" s="7"/>
      <c r="M828" s="27"/>
      <c r="N828" s="7"/>
      <c r="O828" s="18"/>
      <c r="P828" s="18"/>
      <c r="Q828" s="18"/>
      <c r="R828" s="18"/>
      <c r="S828" s="18"/>
      <c r="T828" s="18"/>
      <c r="U828" s="43"/>
      <c r="V828" s="43"/>
      <c r="W828" s="43"/>
      <c r="X828" s="43"/>
      <c r="Y828" s="7"/>
      <c r="Z828" s="7"/>
      <c r="AA828" s="7"/>
    </row>
    <row r="829" spans="2:27" ht="13.2" x14ac:dyDescent="0.3">
      <c r="B829" s="109"/>
      <c r="G829" s="7"/>
      <c r="H829" s="53"/>
      <c r="I829" s="54"/>
      <c r="J829" s="80"/>
      <c r="K829" s="7"/>
      <c r="L829" s="7"/>
      <c r="M829" s="27"/>
      <c r="N829" s="7"/>
      <c r="O829" s="18"/>
      <c r="P829" s="18"/>
      <c r="Q829" s="18"/>
      <c r="R829" s="18"/>
      <c r="S829" s="18"/>
      <c r="T829" s="18"/>
      <c r="U829" s="43"/>
      <c r="V829" s="43"/>
      <c r="W829" s="43"/>
      <c r="X829" s="43"/>
      <c r="Y829" s="7"/>
      <c r="Z829" s="7"/>
      <c r="AA829" s="7"/>
    </row>
    <row r="830" spans="2:27" ht="13.2" x14ac:dyDescent="0.3">
      <c r="B830" s="109"/>
      <c r="G830" s="7"/>
      <c r="H830" s="53"/>
      <c r="I830" s="54"/>
      <c r="J830" s="80"/>
      <c r="K830" s="7"/>
      <c r="L830" s="7"/>
      <c r="M830" s="27"/>
      <c r="N830" s="7"/>
      <c r="O830" s="18"/>
      <c r="P830" s="18"/>
      <c r="Q830" s="18"/>
      <c r="R830" s="18"/>
      <c r="S830" s="18"/>
      <c r="T830" s="18"/>
      <c r="U830" s="43"/>
      <c r="V830" s="43"/>
      <c r="W830" s="43"/>
      <c r="X830" s="43"/>
      <c r="Y830" s="7"/>
      <c r="Z830" s="7"/>
      <c r="AA830" s="7"/>
    </row>
    <row r="831" spans="2:27" ht="13.2" x14ac:dyDescent="0.3">
      <c r="B831" s="109"/>
      <c r="G831" s="7"/>
      <c r="H831" s="53"/>
      <c r="I831" s="54"/>
      <c r="J831" s="80"/>
      <c r="K831" s="7"/>
      <c r="L831" s="7"/>
      <c r="M831" s="27"/>
      <c r="N831" s="7"/>
      <c r="O831" s="18"/>
      <c r="P831" s="18"/>
      <c r="Q831" s="18"/>
      <c r="R831" s="18"/>
      <c r="S831" s="18"/>
      <c r="T831" s="18"/>
      <c r="U831" s="43"/>
      <c r="V831" s="43"/>
      <c r="W831" s="43"/>
      <c r="X831" s="43"/>
      <c r="Y831" s="7"/>
      <c r="Z831" s="7"/>
      <c r="AA831" s="7"/>
    </row>
    <row r="832" spans="2:27" ht="13.2" x14ac:dyDescent="0.3">
      <c r="B832" s="109"/>
      <c r="G832" s="7"/>
      <c r="H832" s="53"/>
      <c r="I832" s="54"/>
      <c r="J832" s="80"/>
      <c r="K832" s="7"/>
      <c r="L832" s="7"/>
      <c r="M832" s="27"/>
      <c r="N832" s="7"/>
      <c r="O832" s="18"/>
      <c r="P832" s="18"/>
      <c r="Q832" s="18"/>
      <c r="R832" s="18"/>
      <c r="S832" s="18"/>
      <c r="T832" s="18"/>
      <c r="U832" s="43"/>
      <c r="V832" s="43"/>
      <c r="W832" s="43"/>
      <c r="X832" s="43"/>
      <c r="Y832" s="7"/>
      <c r="Z832" s="7"/>
      <c r="AA832" s="7"/>
    </row>
    <row r="833" spans="2:27" ht="13.2" x14ac:dyDescent="0.3">
      <c r="B833" s="109"/>
      <c r="G833" s="7"/>
      <c r="H833" s="53"/>
      <c r="I833" s="54"/>
      <c r="J833" s="80"/>
      <c r="K833" s="7"/>
      <c r="L833" s="7"/>
      <c r="M833" s="27"/>
      <c r="N833" s="7"/>
      <c r="O833" s="18"/>
      <c r="P833" s="18"/>
      <c r="Q833" s="18"/>
      <c r="R833" s="18"/>
      <c r="S833" s="18"/>
      <c r="T833" s="18"/>
      <c r="U833" s="43"/>
      <c r="V833" s="43"/>
      <c r="W833" s="43"/>
      <c r="X833" s="43"/>
      <c r="Y833" s="7"/>
      <c r="Z833" s="7"/>
      <c r="AA833" s="7"/>
    </row>
    <row r="834" spans="2:27" ht="13.2" x14ac:dyDescent="0.3">
      <c r="B834" s="109"/>
      <c r="G834" s="7"/>
      <c r="H834" s="53"/>
      <c r="I834" s="54"/>
      <c r="J834" s="80"/>
      <c r="K834" s="7"/>
      <c r="L834" s="7"/>
      <c r="M834" s="27"/>
      <c r="N834" s="7"/>
      <c r="O834" s="18"/>
      <c r="P834" s="18"/>
      <c r="Q834" s="18"/>
      <c r="R834" s="18"/>
      <c r="S834" s="18"/>
      <c r="T834" s="18"/>
      <c r="U834" s="43"/>
      <c r="V834" s="43"/>
      <c r="W834" s="43"/>
      <c r="X834" s="43"/>
      <c r="Y834" s="7"/>
      <c r="Z834" s="7"/>
      <c r="AA834" s="7"/>
    </row>
  </sheetData>
  <mergeCells count="12">
    <mergeCell ref="N2:N3"/>
    <mergeCell ref="Z2:Z3"/>
    <mergeCell ref="AA2:AA3"/>
    <mergeCell ref="D2:D3"/>
    <mergeCell ref="E2:E3"/>
    <mergeCell ref="F2:F3"/>
    <mergeCell ref="K2:K3"/>
    <mergeCell ref="L2:L3"/>
    <mergeCell ref="G2:G3"/>
    <mergeCell ref="H2:H3"/>
    <mergeCell ref="I2:I3"/>
    <mergeCell ref="J2:J3"/>
  </mergeCells>
  <phoneticPr fontId="14" type="noConversion"/>
  <pageMargins left="0" right="0" top="0" bottom="0" header="0.31496062992125984" footer="0.31496062992125984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4" workbookViewId="0">
      <pane xSplit="1" topLeftCell="B1" activePane="topRight" state="frozen"/>
      <selection pane="topRight" activeCell="A23" sqref="A23"/>
    </sheetView>
  </sheetViews>
  <sheetFormatPr baseColWidth="10" defaultRowHeight="14.4" x14ac:dyDescent="0.3"/>
  <cols>
    <col min="1" max="1" width="35.6640625" style="94" customWidth="1"/>
    <col min="2" max="2" width="33.109375" customWidth="1"/>
    <col min="4" max="4" width="13.109375" customWidth="1"/>
    <col min="5" max="5" width="11.44140625" style="94"/>
    <col min="6" max="6" width="13" customWidth="1"/>
    <col min="7" max="7" width="13" style="96" customWidth="1"/>
    <col min="8" max="8" width="12.6640625" customWidth="1"/>
    <col min="11" max="11" width="11.44140625" style="95"/>
  </cols>
  <sheetData>
    <row r="1" spans="1:11" s="97" customFormat="1" ht="42" customHeight="1" x14ac:dyDescent="0.3">
      <c r="A1" s="98" t="s">
        <v>858</v>
      </c>
      <c r="B1" s="97" t="s">
        <v>859</v>
      </c>
      <c r="C1" s="97" t="s">
        <v>369</v>
      </c>
      <c r="D1" s="97" t="s">
        <v>297</v>
      </c>
      <c r="E1" s="98" t="s">
        <v>298</v>
      </c>
      <c r="F1" s="97" t="s">
        <v>860</v>
      </c>
      <c r="G1" s="99" t="s">
        <v>902</v>
      </c>
      <c r="H1" s="100" t="s">
        <v>871</v>
      </c>
      <c r="I1" s="100" t="s">
        <v>872</v>
      </c>
      <c r="J1" s="101" t="s">
        <v>862</v>
      </c>
      <c r="K1" s="102" t="s">
        <v>873</v>
      </c>
    </row>
    <row r="2" spans="1:11" s="92" customFormat="1" ht="28.8" x14ac:dyDescent="0.3">
      <c r="A2" s="103" t="s">
        <v>856</v>
      </c>
      <c r="C2" s="92" t="s">
        <v>34</v>
      </c>
      <c r="D2" s="93" t="s">
        <v>861</v>
      </c>
      <c r="E2" s="103">
        <v>4</v>
      </c>
      <c r="G2" s="104"/>
      <c r="I2" s="92">
        <v>593.39</v>
      </c>
      <c r="J2" s="106">
        <v>42387</v>
      </c>
      <c r="K2" s="105">
        <v>300</v>
      </c>
    </row>
    <row r="3" spans="1:11" s="92" customFormat="1" x14ac:dyDescent="0.3">
      <c r="A3" s="103" t="s">
        <v>857</v>
      </c>
      <c r="C3" s="92" t="s">
        <v>34</v>
      </c>
      <c r="D3" s="92" t="s">
        <v>861</v>
      </c>
      <c r="E3" s="103">
        <v>2</v>
      </c>
      <c r="G3" s="104"/>
      <c r="I3" s="92">
        <v>523.12</v>
      </c>
      <c r="J3" s="106">
        <v>42387</v>
      </c>
      <c r="K3" s="105">
        <v>300</v>
      </c>
    </row>
    <row r="4" spans="1:11" s="92" customFormat="1" x14ac:dyDescent="0.3">
      <c r="A4" s="103" t="s">
        <v>868</v>
      </c>
      <c r="B4" s="92" t="s">
        <v>869</v>
      </c>
      <c r="D4" s="92" t="s">
        <v>282</v>
      </c>
      <c r="E4" s="103">
        <v>3</v>
      </c>
      <c r="F4" s="92">
        <v>1</v>
      </c>
      <c r="G4" s="104">
        <v>1</v>
      </c>
      <c r="H4" s="92">
        <v>1</v>
      </c>
      <c r="I4" s="92">
        <v>3214.26</v>
      </c>
      <c r="J4" s="106">
        <v>42401</v>
      </c>
      <c r="K4" s="105">
        <v>450</v>
      </c>
    </row>
    <row r="5" spans="1:11" s="92" customFormat="1" x14ac:dyDescent="0.3">
      <c r="A5" s="103" t="s">
        <v>868</v>
      </c>
      <c r="B5" s="92" t="s">
        <v>870</v>
      </c>
      <c r="C5" s="92" t="s">
        <v>70</v>
      </c>
      <c r="D5" s="92" t="s">
        <v>563</v>
      </c>
      <c r="E5" s="103">
        <v>1</v>
      </c>
      <c r="F5" s="92">
        <v>1</v>
      </c>
      <c r="G5" s="104">
        <v>0</v>
      </c>
      <c r="H5" s="92">
        <v>0</v>
      </c>
      <c r="I5" s="92">
        <v>2118</v>
      </c>
      <c r="J5" s="106">
        <v>42193</v>
      </c>
      <c r="K5" s="105">
        <v>450</v>
      </c>
    </row>
    <row r="6" spans="1:11" s="92" customFormat="1" x14ac:dyDescent="0.3">
      <c r="A6" s="103" t="s">
        <v>882</v>
      </c>
      <c r="C6" s="92" t="s">
        <v>895</v>
      </c>
      <c r="D6" s="92" t="s">
        <v>459</v>
      </c>
      <c r="E6" s="103" t="s">
        <v>896</v>
      </c>
      <c r="G6" s="104">
        <v>5</v>
      </c>
      <c r="H6" s="92">
        <v>5</v>
      </c>
      <c r="I6" s="92">
        <v>242.89</v>
      </c>
      <c r="J6" s="106">
        <v>42314</v>
      </c>
      <c r="K6" s="105">
        <v>300</v>
      </c>
    </row>
    <row r="7" spans="1:11" s="92" customFormat="1" x14ac:dyDescent="0.3">
      <c r="A7" s="103" t="s">
        <v>898</v>
      </c>
      <c r="B7" s="92" t="s">
        <v>899</v>
      </c>
      <c r="C7" s="92" t="s">
        <v>34</v>
      </c>
      <c r="D7" s="92" t="s">
        <v>282</v>
      </c>
      <c r="E7" s="103">
        <v>2</v>
      </c>
      <c r="G7" s="104"/>
      <c r="I7" s="92">
        <v>183</v>
      </c>
      <c r="J7" s="106">
        <v>42341</v>
      </c>
      <c r="K7" s="105"/>
    </row>
    <row r="8" spans="1:11" s="92" customFormat="1" x14ac:dyDescent="0.3">
      <c r="A8" s="103" t="s">
        <v>897</v>
      </c>
      <c r="C8" s="92" t="s">
        <v>34</v>
      </c>
      <c r="D8" s="92" t="s">
        <v>734</v>
      </c>
      <c r="E8" s="103">
        <v>3</v>
      </c>
      <c r="G8" s="104"/>
      <c r="I8" s="92">
        <v>144.9</v>
      </c>
      <c r="J8" s="106">
        <v>42314</v>
      </c>
      <c r="K8" s="105"/>
    </row>
    <row r="9" spans="1:11" s="92" customFormat="1" x14ac:dyDescent="0.3">
      <c r="A9" s="103" t="s">
        <v>900</v>
      </c>
      <c r="B9" s="92" t="s">
        <v>901</v>
      </c>
      <c r="C9" s="92" t="s">
        <v>34</v>
      </c>
      <c r="D9" s="92" t="s">
        <v>282</v>
      </c>
      <c r="E9" s="103">
        <v>2</v>
      </c>
      <c r="F9" s="92">
        <v>0</v>
      </c>
      <c r="G9" s="104"/>
      <c r="H9" s="92">
        <v>2</v>
      </c>
      <c r="I9" s="92">
        <v>248</v>
      </c>
      <c r="J9" s="106">
        <v>42412</v>
      </c>
      <c r="K9" s="105"/>
    </row>
    <row r="10" spans="1:11" s="92" customFormat="1" x14ac:dyDescent="0.3">
      <c r="A10" s="103" t="s">
        <v>863</v>
      </c>
      <c r="C10" s="92" t="s">
        <v>370</v>
      </c>
      <c r="E10" s="103">
        <v>5</v>
      </c>
      <c r="G10" s="104">
        <v>2</v>
      </c>
      <c r="H10" s="92">
        <v>3</v>
      </c>
      <c r="I10" s="92">
        <v>258</v>
      </c>
      <c r="J10" s="106">
        <v>42193</v>
      </c>
      <c r="K10" s="105">
        <v>250</v>
      </c>
    </row>
    <row r="11" spans="1:11" s="92" customFormat="1" x14ac:dyDescent="0.3">
      <c r="A11" s="103" t="s">
        <v>864</v>
      </c>
      <c r="C11" s="92" t="s">
        <v>370</v>
      </c>
      <c r="E11" s="103">
        <v>12</v>
      </c>
      <c r="G11" s="104">
        <v>3</v>
      </c>
      <c r="H11" s="92">
        <v>9</v>
      </c>
      <c r="I11" s="92">
        <v>258</v>
      </c>
      <c r="J11" s="106">
        <v>42193</v>
      </c>
      <c r="K11" s="105">
        <v>250</v>
      </c>
    </row>
    <row r="12" spans="1:11" s="92" customFormat="1" x14ac:dyDescent="0.3">
      <c r="A12" s="103" t="s">
        <v>865</v>
      </c>
      <c r="C12" s="92" t="s">
        <v>370</v>
      </c>
      <c r="D12" s="92" t="s">
        <v>359</v>
      </c>
      <c r="E12" s="103">
        <v>2</v>
      </c>
      <c r="G12" s="104"/>
      <c r="I12" s="92">
        <v>258</v>
      </c>
      <c r="J12" s="106">
        <v>42193</v>
      </c>
      <c r="K12" s="105">
        <v>250</v>
      </c>
    </row>
    <row r="13" spans="1:11" s="92" customFormat="1" x14ac:dyDescent="0.3">
      <c r="A13" s="103" t="s">
        <v>866</v>
      </c>
      <c r="B13" s="92" t="s">
        <v>867</v>
      </c>
      <c r="D13" s="92" t="s">
        <v>365</v>
      </c>
      <c r="E13" s="103">
        <v>2</v>
      </c>
      <c r="F13" s="92">
        <v>2</v>
      </c>
      <c r="G13" s="104">
        <v>0</v>
      </c>
      <c r="H13" s="92">
        <v>0</v>
      </c>
      <c r="I13" s="92">
        <v>10876.8</v>
      </c>
      <c r="K13" s="105">
        <v>2500</v>
      </c>
    </row>
    <row r="14" spans="1:11" s="92" customFormat="1" x14ac:dyDescent="0.3">
      <c r="A14" s="103" t="s">
        <v>874</v>
      </c>
      <c r="B14" s="92" t="s">
        <v>875</v>
      </c>
      <c r="E14" s="103">
        <v>5</v>
      </c>
      <c r="F14" s="92">
        <v>4</v>
      </c>
      <c r="G14" s="104">
        <v>1</v>
      </c>
      <c r="H14" s="92">
        <v>0</v>
      </c>
      <c r="I14" s="92">
        <v>1854.55</v>
      </c>
      <c r="K14" s="105">
        <v>700</v>
      </c>
    </row>
    <row r="15" spans="1:11" s="92" customFormat="1" x14ac:dyDescent="0.3">
      <c r="A15" s="103" t="s">
        <v>876</v>
      </c>
      <c r="B15" s="92" t="s">
        <v>877</v>
      </c>
      <c r="C15" s="92" t="s">
        <v>70</v>
      </c>
      <c r="D15" s="92" t="s">
        <v>878</v>
      </c>
      <c r="E15" s="103">
        <v>8</v>
      </c>
      <c r="G15" s="104"/>
      <c r="I15" s="92">
        <v>1540.56</v>
      </c>
      <c r="J15" s="106">
        <v>42401</v>
      </c>
      <c r="K15" s="105">
        <v>450</v>
      </c>
    </row>
    <row r="16" spans="1:11" s="92" customFormat="1" x14ac:dyDescent="0.3">
      <c r="A16" s="103" t="s">
        <v>879</v>
      </c>
      <c r="B16" s="92" t="s">
        <v>903</v>
      </c>
      <c r="C16" s="92" t="s">
        <v>904</v>
      </c>
      <c r="D16" s="92" t="s">
        <v>365</v>
      </c>
      <c r="E16" s="103">
        <v>24</v>
      </c>
      <c r="F16" s="92">
        <v>1</v>
      </c>
      <c r="G16" s="104">
        <v>11</v>
      </c>
      <c r="I16" s="92">
        <v>9295</v>
      </c>
      <c r="J16" s="106">
        <v>41837</v>
      </c>
      <c r="K16" s="105">
        <v>800</v>
      </c>
    </row>
    <row r="17" spans="1:11" s="92" customFormat="1" x14ac:dyDescent="0.3">
      <c r="A17" s="103" t="s">
        <v>879</v>
      </c>
      <c r="D17" s="92" t="s">
        <v>905</v>
      </c>
      <c r="E17" s="103">
        <v>14</v>
      </c>
      <c r="G17" s="104"/>
      <c r="K17" s="105"/>
    </row>
    <row r="18" spans="1:11" s="92" customFormat="1" x14ac:dyDescent="0.3">
      <c r="A18" s="103" t="s">
        <v>880</v>
      </c>
      <c r="E18" s="103">
        <v>1</v>
      </c>
      <c r="G18" s="104"/>
      <c r="K18" s="105">
        <v>4000</v>
      </c>
    </row>
    <row r="19" spans="1:11" s="92" customFormat="1" x14ac:dyDescent="0.3">
      <c r="A19" s="103" t="s">
        <v>884</v>
      </c>
      <c r="B19" s="92" t="s">
        <v>906</v>
      </c>
      <c r="E19" s="103">
        <v>18</v>
      </c>
      <c r="G19" s="104"/>
      <c r="K19" s="105">
        <v>700</v>
      </c>
    </row>
    <row r="20" spans="1:11" s="92" customFormat="1" x14ac:dyDescent="0.3">
      <c r="A20" s="103" t="s">
        <v>894</v>
      </c>
      <c r="E20" s="103">
        <v>5</v>
      </c>
      <c r="F20" s="92">
        <v>6</v>
      </c>
      <c r="G20" s="104">
        <v>0</v>
      </c>
      <c r="H20" s="92">
        <v>0</v>
      </c>
      <c r="K20" s="105">
        <v>900</v>
      </c>
    </row>
    <row r="21" spans="1:11" s="92" customFormat="1" x14ac:dyDescent="0.3">
      <c r="A21" s="103" t="s">
        <v>885</v>
      </c>
      <c r="E21" s="103"/>
      <c r="G21" s="104"/>
      <c r="K21" s="105">
        <v>300</v>
      </c>
    </row>
    <row r="22" spans="1:11" s="92" customFormat="1" x14ac:dyDescent="0.3">
      <c r="A22" s="103" t="s">
        <v>886</v>
      </c>
      <c r="E22" s="103"/>
      <c r="G22" s="104"/>
      <c r="K22" s="105">
        <v>300</v>
      </c>
    </row>
    <row r="23" spans="1:11" s="92" customFormat="1" x14ac:dyDescent="0.3">
      <c r="A23" s="103" t="s">
        <v>887</v>
      </c>
      <c r="E23" s="103"/>
      <c r="G23" s="104"/>
      <c r="K23" s="105">
        <v>300</v>
      </c>
    </row>
    <row r="24" spans="1:11" s="92" customFormat="1" x14ac:dyDescent="0.3">
      <c r="A24" s="103" t="s">
        <v>883</v>
      </c>
      <c r="B24" s="92" t="s">
        <v>907</v>
      </c>
      <c r="D24" s="92" t="s">
        <v>282</v>
      </c>
      <c r="E24" s="103">
        <v>1</v>
      </c>
      <c r="G24" s="104">
        <v>1</v>
      </c>
      <c r="K24" s="105">
        <v>250</v>
      </c>
    </row>
    <row r="25" spans="1:11" s="92" customFormat="1" x14ac:dyDescent="0.3">
      <c r="A25" s="103" t="s">
        <v>888</v>
      </c>
      <c r="E25" s="103"/>
      <c r="G25" s="104"/>
      <c r="K25" s="105">
        <v>350</v>
      </c>
    </row>
    <row r="26" spans="1:11" s="92" customFormat="1" x14ac:dyDescent="0.3">
      <c r="A26" s="103" t="s">
        <v>889</v>
      </c>
      <c r="E26" s="103"/>
      <c r="G26" s="104"/>
      <c r="K26" s="105">
        <v>500</v>
      </c>
    </row>
    <row r="27" spans="1:11" s="92" customFormat="1" x14ac:dyDescent="0.3">
      <c r="A27" s="103" t="s">
        <v>890</v>
      </c>
      <c r="E27" s="103"/>
      <c r="G27" s="104"/>
      <c r="K27" s="105">
        <v>650</v>
      </c>
    </row>
    <row r="28" spans="1:11" s="92" customFormat="1" x14ac:dyDescent="0.3">
      <c r="A28" s="103" t="s">
        <v>891</v>
      </c>
      <c r="E28" s="103"/>
      <c r="G28" s="104"/>
      <c r="K28" s="105">
        <v>500</v>
      </c>
    </row>
    <row r="29" spans="1:11" s="92" customFormat="1" x14ac:dyDescent="0.3">
      <c r="A29" s="103" t="s">
        <v>892</v>
      </c>
      <c r="E29" s="103"/>
      <c r="G29" s="104"/>
      <c r="K29" s="105">
        <v>300</v>
      </c>
    </row>
    <row r="30" spans="1:11" s="92" customFormat="1" x14ac:dyDescent="0.3">
      <c r="A30" s="103" t="s">
        <v>893</v>
      </c>
      <c r="E30" s="103"/>
      <c r="G30" s="104"/>
      <c r="K30" s="105">
        <v>550</v>
      </c>
    </row>
    <row r="31" spans="1:11" s="92" customFormat="1" x14ac:dyDescent="0.3">
      <c r="A31" s="103"/>
      <c r="E31" s="103"/>
      <c r="G31" s="104"/>
      <c r="K31" s="105"/>
    </row>
    <row r="32" spans="1:11" s="92" customFormat="1" x14ac:dyDescent="0.3">
      <c r="A32" s="103"/>
      <c r="E32" s="103"/>
      <c r="G32" s="104"/>
      <c r="K32" s="105"/>
    </row>
    <row r="33" spans="1:11" s="92" customFormat="1" x14ac:dyDescent="0.3">
      <c r="A33" s="103"/>
      <c r="E33" s="103"/>
      <c r="G33" s="104"/>
      <c r="K33" s="105"/>
    </row>
    <row r="34" spans="1:11" s="92" customFormat="1" x14ac:dyDescent="0.3">
      <c r="A34" s="103"/>
      <c r="E34" s="103"/>
      <c r="G34" s="104"/>
      <c r="K34" s="105"/>
    </row>
    <row r="35" spans="1:11" s="92" customFormat="1" x14ac:dyDescent="0.3">
      <c r="A35" s="103"/>
      <c r="E35" s="103"/>
      <c r="G35" s="104"/>
      <c r="K35" s="105"/>
    </row>
    <row r="36" spans="1:11" s="92" customFormat="1" x14ac:dyDescent="0.3">
      <c r="A36" s="103"/>
      <c r="E36" s="103"/>
      <c r="G36" s="104"/>
      <c r="K36" s="105"/>
    </row>
    <row r="37" spans="1:11" s="92" customFormat="1" x14ac:dyDescent="0.3">
      <c r="A37" s="103"/>
      <c r="E37" s="103"/>
      <c r="G37" s="104"/>
      <c r="K37" s="105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STOCK</vt:lpstr>
      <vt:lpstr>ALQUILERES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2021-02-27T14:31:32Z</dcterms:modified>
</cp:coreProperties>
</file>