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fanlin/Desktop/Gradinaru Lab/"/>
    </mc:Choice>
  </mc:AlternateContent>
  <xr:revisionPtr revIDLastSave="0" documentId="13_ncr:1_{5D7A54C1-AC24-DB46-B38E-6AD5E0E95AF0}" xr6:coauthVersionLast="47" xr6:coauthVersionMax="47" xr10:uidLastSave="{00000000-0000-0000-0000-000000000000}"/>
  <bookViews>
    <workbookView xWindow="1120" yWindow="500" windowWidth="27640" windowHeight="15780" activeTab="6" xr2:uid="{90CCEDEC-ECFD-D240-B380-C9B6A79B22D4}"/>
  </bookViews>
  <sheets>
    <sheet name="PEI-adherent" sheetId="3" r:id="rId1"/>
    <sheet name="PEI-Suspension" sheetId="1" r:id="rId2"/>
    <sheet name="Thermo-Suspension" sheetId="5" r:id="rId3"/>
    <sheet name="Library-adherent" sheetId="6" r:id="rId4"/>
    <sheet name="Library-suspension (PEI)" sheetId="7" r:id="rId5"/>
    <sheet name="PCR calculator" sheetId="11" r:id="rId6"/>
    <sheet name="Library gibson calculator" sheetId="13" r:id="rId7"/>
    <sheet name="Sheet4" sheetId="9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13" l="1"/>
  <c r="C46" i="13"/>
  <c r="C104" i="11"/>
  <c r="C99" i="11"/>
  <c r="E100" i="11" s="1"/>
  <c r="C102" i="11" l="1"/>
  <c r="E19" i="11"/>
  <c r="C47" i="13"/>
  <c r="C43" i="13"/>
  <c r="C44" i="13"/>
  <c r="C24" i="13"/>
  <c r="C25" i="13"/>
  <c r="D25" i="1" l="1"/>
  <c r="D24" i="1"/>
  <c r="C13" i="13"/>
  <c r="C18" i="13" s="1"/>
  <c r="J27" i="6"/>
  <c r="J28" i="6"/>
  <c r="J26" i="6"/>
  <c r="J44" i="6"/>
  <c r="J45" i="6"/>
  <c r="C19" i="13" l="1"/>
  <c r="F65" i="11"/>
  <c r="F64" i="11"/>
  <c r="F62" i="11"/>
  <c r="F61" i="11"/>
  <c r="F60" i="11"/>
  <c r="C34" i="11"/>
  <c r="C21" i="13" l="1"/>
  <c r="C32" i="13" s="1"/>
  <c r="C34" i="13" s="1"/>
  <c r="C32" i="11"/>
  <c r="C33" i="13" l="1"/>
  <c r="C11" i="11"/>
  <c r="J62" i="11"/>
  <c r="J63" i="11"/>
  <c r="J59" i="11"/>
  <c r="C85" i="11" l="1"/>
  <c r="C86" i="11"/>
  <c r="C88" i="11"/>
  <c r="C89" i="11"/>
  <c r="C84" i="11"/>
  <c r="C62" i="11"/>
  <c r="C64" i="11"/>
  <c r="C65" i="11"/>
  <c r="C60" i="11"/>
  <c r="C61" i="11"/>
  <c r="J37" i="11"/>
  <c r="J38" i="11"/>
  <c r="J40" i="11"/>
  <c r="J41" i="11"/>
  <c r="J42" i="11"/>
  <c r="J36" i="11"/>
  <c r="C21" i="11" l="1"/>
  <c r="E21" i="11" s="1"/>
  <c r="S27" i="3" l="1"/>
  <c r="T24" i="3"/>
  <c r="S24" i="3"/>
  <c r="O27" i="3"/>
  <c r="R24" i="3"/>
  <c r="Q24" i="3"/>
  <c r="C37" i="11"/>
  <c r="C38" i="11"/>
  <c r="C40" i="11"/>
  <c r="C41" i="11"/>
  <c r="C42" i="11"/>
  <c r="C36" i="11"/>
  <c r="C17" i="11"/>
  <c r="E17" i="11" s="1"/>
  <c r="C18" i="11"/>
  <c r="E18" i="11" s="1"/>
  <c r="C20" i="11"/>
  <c r="E20" i="11" s="1"/>
  <c r="C16" i="11"/>
  <c r="E16" i="11" s="1"/>
  <c r="E28" i="7" l="1"/>
  <c r="C12" i="7"/>
  <c r="C13" i="7" s="1"/>
  <c r="G18" i="7" s="1"/>
  <c r="C10" i="7"/>
  <c r="C11" i="7" s="1"/>
  <c r="E20" i="6"/>
  <c r="E29" i="6" s="1"/>
  <c r="C64" i="6"/>
  <c r="F53" i="6"/>
  <c r="E54" i="6"/>
  <c r="E62" i="6" s="1"/>
  <c r="E53" i="6"/>
  <c r="E63" i="6"/>
  <c r="H61" i="6"/>
  <c r="G61" i="6"/>
  <c r="G64" i="6" s="1"/>
  <c r="G56" i="6"/>
  <c r="H44" i="6"/>
  <c r="G44" i="6"/>
  <c r="E46" i="6"/>
  <c r="G39" i="6"/>
  <c r="E18" i="7" l="1"/>
  <c r="E26" i="7" s="1"/>
  <c r="E19" i="7"/>
  <c r="E27" i="7" s="1"/>
  <c r="G26" i="7"/>
  <c r="H18" i="7"/>
  <c r="H26" i="7" s="1"/>
  <c r="F61" i="6"/>
  <c r="C56" i="6"/>
  <c r="E61" i="6"/>
  <c r="F18" i="7" l="1"/>
  <c r="G29" i="7"/>
  <c r="G21" i="7"/>
  <c r="G47" i="6"/>
  <c r="F26" i="7" l="1"/>
  <c r="C29" i="7" s="1"/>
  <c r="C21" i="7"/>
  <c r="C11" i="6"/>
  <c r="C9" i="6"/>
  <c r="C10" i="6" s="1"/>
  <c r="C11" i="1"/>
  <c r="C12" i="1" s="1"/>
  <c r="C9" i="3"/>
  <c r="C10" i="3"/>
  <c r="F17" i="3" s="1"/>
  <c r="E37" i="6" l="1"/>
  <c r="E45" i="6" s="1"/>
  <c r="E36" i="6"/>
  <c r="E17" i="6"/>
  <c r="E26" i="6" s="1"/>
  <c r="E19" i="6"/>
  <c r="E28" i="6" s="1"/>
  <c r="E18" i="6"/>
  <c r="E27" i="6" s="1"/>
  <c r="C12" i="6"/>
  <c r="G17" i="6" s="1"/>
  <c r="C12" i="3"/>
  <c r="K19" i="5"/>
  <c r="K18" i="5"/>
  <c r="F25" i="5"/>
  <c r="E26" i="5"/>
  <c r="E27" i="5"/>
  <c r="E25" i="5"/>
  <c r="L17" i="5"/>
  <c r="K17" i="5"/>
  <c r="K27" i="5"/>
  <c r="K26" i="5"/>
  <c r="E19" i="5"/>
  <c r="C10" i="5"/>
  <c r="C11" i="5"/>
  <c r="E17" i="5" s="1"/>
  <c r="F36" i="6" l="1"/>
  <c r="F44" i="6" s="1"/>
  <c r="E44" i="6"/>
  <c r="C47" i="6" s="1"/>
  <c r="G26" i="6"/>
  <c r="F17" i="6"/>
  <c r="H17" i="6"/>
  <c r="H26" i="6" s="1"/>
  <c r="K25" i="5"/>
  <c r="L25" i="5"/>
  <c r="I20" i="5"/>
  <c r="I28" i="5"/>
  <c r="E18" i="5"/>
  <c r="F17" i="5" s="1"/>
  <c r="C20" i="5" s="1"/>
  <c r="F26" i="6" l="1"/>
  <c r="C30" i="6" s="1"/>
  <c r="C21" i="6"/>
  <c r="G30" i="6"/>
  <c r="G21" i="6"/>
  <c r="C28" i="5"/>
  <c r="C11" i="3"/>
  <c r="E19" i="3" s="1"/>
  <c r="E27" i="3" s="1"/>
  <c r="C13" i="1"/>
  <c r="E24" i="1" l="1"/>
  <c r="C14" i="1"/>
  <c r="G17" i="3"/>
  <c r="H17" i="3" s="1"/>
  <c r="H25" i="3" s="1"/>
  <c r="E17" i="3"/>
  <c r="G25" i="3"/>
  <c r="E18" i="3"/>
  <c r="E26" i="3" s="1"/>
  <c r="E25" i="3"/>
  <c r="D26" i="3" s="1"/>
  <c r="G24" i="1"/>
  <c r="H24" i="1" s="1"/>
  <c r="E26" i="1"/>
  <c r="E34" i="1" s="1"/>
  <c r="E25" i="1"/>
  <c r="E33" i="1" s="1"/>
  <c r="C39" i="6" l="1"/>
  <c r="F25" i="3"/>
  <c r="G28" i="3"/>
  <c r="C28" i="3"/>
  <c r="C20" i="3"/>
  <c r="G20" i="3"/>
  <c r="F24" i="1"/>
  <c r="F32" i="1" s="1"/>
  <c r="E32" i="1"/>
  <c r="H32" i="1"/>
  <c r="G27" i="1"/>
  <c r="G32" i="1"/>
  <c r="C27" i="1" l="1"/>
  <c r="C35" i="1"/>
  <c r="G35" i="1"/>
</calcChain>
</file>

<file path=xl/sharedStrings.xml><?xml version="1.0" encoding="utf-8"?>
<sst xmlns="http://schemas.openxmlformats.org/spreadsheetml/2006/main" count="463" uniqueCount="128">
  <si>
    <t xml:space="preserve">PEI: DNA ratio </t>
  </si>
  <si>
    <t>Volume of cell culture (ml)</t>
  </si>
  <si>
    <t>DNA ratio</t>
  </si>
  <si>
    <t>AAV-iCAP</t>
  </si>
  <si>
    <t>pHelper</t>
  </si>
  <si>
    <t xml:space="preserve">Plasmid name </t>
  </si>
  <si>
    <t>mNeogreen (transgene)</t>
  </si>
  <si>
    <t>DNA concentration (µg/µl)</t>
  </si>
  <si>
    <t xml:space="preserve">DNA volume (µl) </t>
  </si>
  <si>
    <t>DNA-OptiMEM solution</t>
  </si>
  <si>
    <t>DNA transfection concentration (ug/ml)</t>
  </si>
  <si>
    <t>OptiMEM volume (µl)</t>
  </si>
  <si>
    <t>PEIMAX-OptiMEM solution</t>
  </si>
  <si>
    <t>PEIMAX stock concentration (mg/ml)</t>
  </si>
  <si>
    <t>Total DNA (ug)</t>
  </si>
  <si>
    <t>Total PEI (ug)</t>
  </si>
  <si>
    <t>PEI volume (ul)</t>
  </si>
  <si>
    <t>OptiMEM volume (ul)</t>
  </si>
  <si>
    <t>Safe volume ratio (for sample loss)</t>
  </si>
  <si>
    <t>Total volume</t>
  </si>
  <si>
    <t>Input</t>
  </si>
  <si>
    <t>Output</t>
  </si>
  <si>
    <t xml:space="preserve">total DNA or PEI solution volume (ul) </t>
  </si>
  <si>
    <t>DNA or PEI solution (ul) per 30 ml cell</t>
  </si>
  <si>
    <t>Add DNA-PEI mix to cell dropwise</t>
  </si>
  <si>
    <t>Resuspend cells in fresh media to a density of 245 x10^4 cells/ml</t>
  </si>
  <si>
    <t>DNA complexation buffer volume (µl)</t>
  </si>
  <si>
    <t xml:space="preserve">total DNA solution volume (ul) </t>
  </si>
  <si>
    <t>DNA or PEI solution (ul) per 20 ml cell</t>
  </si>
  <si>
    <t>Dilute cells in fresh media to a density of 300 x10^4 cells/ml (no resuspension)</t>
  </si>
  <si>
    <t>DNA-PBS solution</t>
  </si>
  <si>
    <t>PBS volume (µl)</t>
  </si>
  <si>
    <t>PBS volume (ul)</t>
  </si>
  <si>
    <t>PEIMAX-PBS solution</t>
  </si>
  <si>
    <t>DNA solution</t>
  </si>
  <si>
    <t>pUC18</t>
  </si>
  <si>
    <t>Rep-AAP9</t>
  </si>
  <si>
    <t>AAV9 library</t>
  </si>
  <si>
    <t>DNA-Optimum solution</t>
  </si>
  <si>
    <t>PEIMAX-Optimum solution</t>
  </si>
  <si>
    <r>
      <t>DNA-</t>
    </r>
    <r>
      <rPr>
        <b/>
        <sz val="12"/>
        <color rgb="FFFF0000"/>
        <rFont val="Calibri (Body)"/>
      </rPr>
      <t>Optimum</t>
    </r>
    <r>
      <rPr>
        <b/>
        <sz val="12"/>
        <color theme="1"/>
        <rFont val="Calibri"/>
        <family val="2"/>
        <scheme val="minor"/>
      </rPr>
      <t xml:space="preserve"> solution</t>
    </r>
  </si>
  <si>
    <t>Library Input (ng)</t>
  </si>
  <si>
    <t>Make DNA solution and PEI solution (vortex), incubate for 10 min</t>
  </si>
  <si>
    <t>Add PEIMAX dropwise to DNA, pipette up and down (no vortex), incubate for &lt; 5 min</t>
  </si>
  <si>
    <t>Change media in 18-20 hours</t>
  </si>
  <si>
    <t>Dish number *1.2</t>
  </si>
  <si>
    <t>Harvest in 60 hours</t>
  </si>
  <si>
    <t>Dish number *1.2 (for sample loss)</t>
  </si>
  <si>
    <t xml:space="preserve">Add DNA-PEI mix to cell </t>
  </si>
  <si>
    <r>
      <t>DNA-</t>
    </r>
    <r>
      <rPr>
        <b/>
        <sz val="12"/>
        <color theme="1"/>
        <rFont val="Calibri (Body)"/>
      </rPr>
      <t>PBS</t>
    </r>
    <r>
      <rPr>
        <b/>
        <sz val="12"/>
        <color theme="1"/>
        <rFont val="Calibri"/>
        <family val="2"/>
        <scheme val="minor"/>
      </rPr>
      <t xml:space="preserve"> solution</t>
    </r>
  </si>
  <si>
    <t>Seed cells one day before, reach confluency of 80% to 90% on the day of transfection</t>
  </si>
  <si>
    <t>F68 (10%)</t>
  </si>
  <si>
    <t>10x DNase digestion buffer</t>
  </si>
  <si>
    <t>AAV sample</t>
  </si>
  <si>
    <t>Water</t>
  </si>
  <si>
    <t>Volume (ul)</t>
  </si>
  <si>
    <t>Total</t>
  </si>
  <si>
    <t>Sample number x 1.2</t>
  </si>
  <si>
    <t>Evagreen mix 2x</t>
  </si>
  <si>
    <t>primer F</t>
  </si>
  <si>
    <t>primer R</t>
  </si>
  <si>
    <t>Template DNA</t>
  </si>
  <si>
    <t>EVAGREEN reaction</t>
  </si>
  <si>
    <t>Dnase reaction</t>
  </si>
  <si>
    <t>6 well</t>
  </si>
  <si>
    <t xml:space="preserve">Dish </t>
  </si>
  <si>
    <t>primer F (10 uM)</t>
  </si>
  <si>
    <t>primer R (10 uM)</t>
  </si>
  <si>
    <t>restriction enzyme 6.25U</t>
  </si>
  <si>
    <t>MspI for WPRE</t>
  </si>
  <si>
    <t>HaeIII for library V2</t>
  </si>
  <si>
    <t>Seed cells one day before (2000 x10^4), reach confluency of 80% to 90% on the day of transfection</t>
  </si>
  <si>
    <t>PCR</t>
  </si>
  <si>
    <t>master mix 2x</t>
  </si>
  <si>
    <t>qPCR</t>
  </si>
  <si>
    <t>primer F (2.5 uM)</t>
  </si>
  <si>
    <t>SYBR mix 2x</t>
  </si>
  <si>
    <t>PCR 3</t>
  </si>
  <si>
    <t xml:space="preserve">primer </t>
  </si>
  <si>
    <t>Dnase I (NEB, 2 U/ul)</t>
  </si>
  <si>
    <t>primer R (2.5 uM)</t>
  </si>
  <si>
    <t>temperature = neb tempeature -9 (primer concentration used 500)</t>
  </si>
  <si>
    <t>Template DNA (2 ul)</t>
  </si>
  <si>
    <t>Dnase I (2 U/ul)</t>
  </si>
  <si>
    <t>Template DNA (2.5 ul)</t>
  </si>
  <si>
    <t>Template DNA (1 ul)</t>
  </si>
  <si>
    <t>Molar ratio</t>
  </si>
  <si>
    <t>Flask number *1.2 (each flask 30 ml)</t>
  </si>
  <si>
    <t>Harvest in 60 hours -72 hours (66 hours)</t>
  </si>
  <si>
    <t>Harvest in 96 hours</t>
  </si>
  <si>
    <t>Collect media in 72 hours and harvest everything in 120 hours</t>
  </si>
  <si>
    <t>Number of gibson reaction</t>
  </si>
  <si>
    <t>Number of PCR reaction</t>
  </si>
  <si>
    <t>Number of enzyme digestion</t>
  </si>
  <si>
    <t>mole limit of vector *90% (pmol)</t>
  </si>
  <si>
    <t>size of vector (bp)</t>
  </si>
  <si>
    <t>Vector needed per gibson reaction (ng)</t>
  </si>
  <si>
    <t>Insert needed per gibson reaction (ng)</t>
  </si>
  <si>
    <t>Yield per 50 ul PCR reaction (after gel extraction, ng)</t>
  </si>
  <si>
    <t>Yield per 50 ul enzyme digestion (after gel extraction, ng)</t>
  </si>
  <si>
    <t>conversion = mass/(pmol*size)</t>
  </si>
  <si>
    <t>Library product that we needed (ng)</t>
  </si>
  <si>
    <t>Input (no need to change everytime)</t>
  </si>
  <si>
    <t>Input (need to change everytime)</t>
  </si>
  <si>
    <t>size of insert (bp)</t>
  </si>
  <si>
    <t>product generated per gibson reaction (ng)</t>
  </si>
  <si>
    <t>Mole capacity of each gibson reaction (pmol)</t>
  </si>
  <si>
    <t>DNA size</t>
  </si>
  <si>
    <t>ratio of insert/vector</t>
  </si>
  <si>
    <t>size of removed region in vector (bp)</t>
  </si>
  <si>
    <t>Exonuclease V Reaction</t>
  </si>
  <si>
    <t>NEB buffer 4</t>
  </si>
  <si>
    <t xml:space="preserve">ATP </t>
  </si>
  <si>
    <t>H20</t>
  </si>
  <si>
    <t>Exo V required</t>
  </si>
  <si>
    <t>conversion of gibson reaction = product/theoretical product amount (after exo V)</t>
  </si>
  <si>
    <t>ddPCR titer</t>
  </si>
  <si>
    <t>sample volume (ul)</t>
  </si>
  <si>
    <t>elution volume after spin column (ul)</t>
  </si>
  <si>
    <t>total dilution factor</t>
  </si>
  <si>
    <t>titer of sample (vg/ul)</t>
  </si>
  <si>
    <t>dilution factor in PCR reaction</t>
  </si>
  <si>
    <t>ddPCR reading</t>
  </si>
  <si>
    <t xml:space="preserve">total amount of purified sample (ul) </t>
  </si>
  <si>
    <t>total yield (vg)</t>
  </si>
  <si>
    <t>Serial Dilution</t>
  </si>
  <si>
    <t>Gibson reaction number</t>
  </si>
  <si>
    <t>reaction number (to make H20 volume a positive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</si>
</sst>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FF0000"/>
      <name val="Calibri (Body)"/>
    </font>
    <font>
      <sz val="12"/>
      <color rgb="FF000000"/>
      <name val="Calibri"/>
      <family val="2"/>
      <scheme val="minor"/>
    </font>
    <font>
      <b/>
      <sz val="12"/>
      <color theme="1"/>
      <name val="Calibri (Body)"/>
    </font>
    <font>
      <b/>
      <sz val="16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C55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1" xfId="0" applyFill="1" applyBorder="1"/>
    <xf numFmtId="0" fontId="0" fillId="3" borderId="5" xfId="0" applyFill="1" applyBorder="1"/>
    <xf numFmtId="2" fontId="0" fillId="3" borderId="1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Fill="1" applyBorder="1"/>
    <xf numFmtId="0" fontId="0" fillId="2" borderId="8" xfId="0" applyFill="1" applyBorder="1"/>
    <xf numFmtId="0" fontId="0" fillId="2" borderId="2" xfId="0" applyFill="1" applyBorder="1"/>
    <xf numFmtId="0" fontId="0" fillId="0" borderId="3" xfId="0" applyBorder="1"/>
    <xf numFmtId="0" fontId="0" fillId="3" borderId="6" xfId="0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2" fontId="0" fillId="3" borderId="8" xfId="0" applyNumberFormat="1" applyFill="1" applyBorder="1"/>
    <xf numFmtId="0" fontId="0" fillId="0" borderId="25" xfId="0" applyFill="1" applyBorder="1"/>
    <xf numFmtId="0" fontId="0" fillId="2" borderId="26" xfId="0" applyFill="1" applyBorder="1"/>
    <xf numFmtId="0" fontId="0" fillId="4" borderId="26" xfId="0" applyFill="1" applyBorder="1"/>
    <xf numFmtId="0" fontId="0" fillId="4" borderId="1" xfId="0" applyFill="1" applyBorder="1"/>
    <xf numFmtId="0" fontId="0" fillId="0" borderId="24" xfId="0" applyBorder="1"/>
    <xf numFmtId="0" fontId="0" fillId="0" borderId="16" xfId="0" applyBorder="1"/>
    <xf numFmtId="0" fontId="2" fillId="0" borderId="0" xfId="0" applyFont="1" applyAlignment="1">
      <alignment horizontal="left"/>
    </xf>
    <xf numFmtId="0" fontId="4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22" xfId="0" applyBorder="1"/>
    <xf numFmtId="0" fontId="0" fillId="0" borderId="5" xfId="0" applyFont="1" applyBorder="1"/>
    <xf numFmtId="0" fontId="6" fillId="0" borderId="0" xfId="0" applyFont="1"/>
    <xf numFmtId="0" fontId="0" fillId="0" borderId="25" xfId="0" applyBorder="1"/>
    <xf numFmtId="0" fontId="7" fillId="0" borderId="0" xfId="0" applyFont="1"/>
    <xf numFmtId="0" fontId="8" fillId="0" borderId="0" xfId="0" applyFont="1"/>
    <xf numFmtId="8" fontId="0" fillId="0" borderId="0" xfId="0" applyNumberFormat="1"/>
    <xf numFmtId="0" fontId="2" fillId="0" borderId="0" xfId="0" applyFont="1" applyAlignment="1">
      <alignment horizontal="left"/>
    </xf>
    <xf numFmtId="0" fontId="8" fillId="3" borderId="7" xfId="0" applyFont="1" applyFill="1" applyBorder="1"/>
    <xf numFmtId="0" fontId="0" fillId="0" borderId="2" xfId="0" applyFill="1" applyBorder="1" applyAlignment="1">
      <alignment horizontal="center"/>
    </xf>
    <xf numFmtId="0" fontId="0" fillId="2" borderId="7" xfId="0" applyFill="1" applyBorder="1"/>
    <xf numFmtId="0" fontId="0" fillId="5" borderId="3" xfId="0" applyFill="1" applyBorder="1"/>
    <xf numFmtId="0" fontId="8" fillId="2" borderId="5" xfId="0" applyFont="1" applyFill="1" applyBorder="1"/>
    <xf numFmtId="0" fontId="0" fillId="5" borderId="5" xfId="0" applyFill="1" applyBorder="1"/>
    <xf numFmtId="0" fontId="0" fillId="0" borderId="4" xfId="0" applyFill="1" applyBorder="1"/>
    <xf numFmtId="0" fontId="9" fillId="0" borderId="1" xfId="0" applyFont="1" applyFill="1" applyBorder="1"/>
    <xf numFmtId="164" fontId="0" fillId="0" borderId="1" xfId="0" applyNumberFormat="1" applyFill="1" applyBorder="1"/>
    <xf numFmtId="0" fontId="10" fillId="0" borderId="1" xfId="0" applyFont="1" applyBorder="1"/>
    <xf numFmtId="0" fontId="0" fillId="5" borderId="1" xfId="0" applyFont="1" applyFill="1" applyBorder="1"/>
    <xf numFmtId="0" fontId="10" fillId="2" borderId="1" xfId="0" applyFont="1" applyFill="1" applyBorder="1"/>
    <xf numFmtId="0" fontId="10" fillId="3" borderId="1" xfId="0" applyFont="1" applyFill="1" applyBorder="1"/>
    <xf numFmtId="0" fontId="0" fillId="0" borderId="0" xfId="0" applyFont="1"/>
    <xf numFmtId="0" fontId="10" fillId="5" borderId="1" xfId="0" applyFont="1" applyFill="1" applyBorder="1"/>
    <xf numFmtId="0" fontId="10" fillId="0" borderId="0" xfId="0" applyFont="1" applyBorder="1"/>
    <xf numFmtId="9" fontId="10" fillId="0" borderId="1" xfId="0" applyNumberFormat="1" applyFont="1" applyBorder="1"/>
    <xf numFmtId="0" fontId="0" fillId="0" borderId="0" xfId="0" applyFont="1" applyBorder="1"/>
    <xf numFmtId="0" fontId="10" fillId="0" borderId="0" xfId="0" applyFont="1"/>
    <xf numFmtId="0" fontId="10" fillId="0" borderId="1" xfId="0" applyFont="1" applyFill="1" applyBorder="1"/>
    <xf numFmtId="0" fontId="10" fillId="0" borderId="2" xfId="0" applyFont="1" applyBorder="1"/>
    <xf numFmtId="164" fontId="10" fillId="3" borderId="3" xfId="0" applyNumberFormat="1" applyFont="1" applyFill="1" applyBorder="1"/>
    <xf numFmtId="0" fontId="10" fillId="0" borderId="4" xfId="0" applyFont="1" applyBorder="1"/>
    <xf numFmtId="164" fontId="10" fillId="3" borderId="5" xfId="0" applyNumberFormat="1" applyFont="1" applyFill="1" applyBorder="1"/>
    <xf numFmtId="0" fontId="10" fillId="0" borderId="6" xfId="0" applyFont="1" applyBorder="1"/>
    <xf numFmtId="164" fontId="10" fillId="3" borderId="7" xfId="0" applyNumberFormat="1" applyFont="1" applyFill="1" applyBorder="1"/>
    <xf numFmtId="164" fontId="10" fillId="0" borderId="1" xfId="0" applyNumberFormat="1" applyFont="1" applyBorder="1"/>
    <xf numFmtId="1" fontId="10" fillId="0" borderId="1" xfId="0" applyNumberFormat="1" applyFont="1" applyBorder="1"/>
    <xf numFmtId="0" fontId="11" fillId="0" borderId="0" xfId="0" applyFont="1" applyBorder="1"/>
    <xf numFmtId="9" fontId="10" fillId="0" borderId="0" xfId="0" applyNumberFormat="1" applyFont="1" applyBorder="1"/>
    <xf numFmtId="11" fontId="0" fillId="3" borderId="1" xfId="0" applyNumberFormat="1" applyFill="1" applyBorder="1"/>
    <xf numFmtId="11" fontId="0" fillId="0" borderId="0" xfId="0" applyNumberFormat="1"/>
    <xf numFmtId="0" fontId="0" fillId="0" borderId="0" xfId="0" applyNumberFormat="1"/>
    <xf numFmtId="11" fontId="0" fillId="0" borderId="1" xfId="0" applyNumberFormat="1" applyBorder="1"/>
    <xf numFmtId="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4" fontId="1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7FC552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FADD-F635-9143-8761-51DA9248CEA8}">
  <dimension ref="B1:T38"/>
  <sheetViews>
    <sheetView topLeftCell="A12" zoomScaleNormal="176" workbookViewId="0">
      <selection activeCell="B37" sqref="B37"/>
    </sheetView>
  </sheetViews>
  <sheetFormatPr baseColWidth="10" defaultRowHeight="16" x14ac:dyDescent="0.2"/>
  <cols>
    <col min="2" max="2" width="38.6640625" customWidth="1"/>
    <col min="5" max="5" width="19.6640625" customWidth="1"/>
    <col min="6" max="6" width="29.1640625" customWidth="1"/>
    <col min="7" max="8" width="20.5" customWidth="1"/>
  </cols>
  <sheetData>
    <row r="1" spans="2:20" ht="17" thickBot="1" x14ac:dyDescent="0.25"/>
    <row r="2" spans="2:20" x14ac:dyDescent="0.2">
      <c r="B2" s="26"/>
      <c r="C2" s="27" t="s">
        <v>20</v>
      </c>
    </row>
    <row r="3" spans="2:20" ht="17" thickBot="1" x14ac:dyDescent="0.25">
      <c r="B3" s="28"/>
      <c r="C3" s="23" t="s">
        <v>21</v>
      </c>
    </row>
    <row r="4" spans="2:20" ht="17" thickBot="1" x14ac:dyDescent="0.25"/>
    <row r="5" spans="2:20" x14ac:dyDescent="0.2">
      <c r="B5" s="3" t="s">
        <v>13</v>
      </c>
      <c r="C5" s="11">
        <v>1</v>
      </c>
    </row>
    <row r="6" spans="2:20" x14ac:dyDescent="0.2">
      <c r="B6" s="4" t="s">
        <v>0</v>
      </c>
      <c r="C6" s="5">
        <v>4</v>
      </c>
    </row>
    <row r="7" spans="2:20" x14ac:dyDescent="0.2">
      <c r="B7" s="4" t="s">
        <v>1</v>
      </c>
      <c r="C7" s="5">
        <v>20</v>
      </c>
    </row>
    <row r="8" spans="2:20" x14ac:dyDescent="0.2">
      <c r="B8" s="4" t="s">
        <v>10</v>
      </c>
      <c r="C8" s="5">
        <v>2</v>
      </c>
      <c r="N8" t="s">
        <v>64</v>
      </c>
    </row>
    <row r="9" spans="2:20" x14ac:dyDescent="0.2">
      <c r="B9" s="4" t="s">
        <v>28</v>
      </c>
      <c r="C9" s="15">
        <f>20/20*1000</f>
        <v>1000</v>
      </c>
    </row>
    <row r="10" spans="2:20" ht="17" thickBot="1" x14ac:dyDescent="0.25">
      <c r="B10" s="4" t="s">
        <v>22</v>
      </c>
      <c r="C10" s="12">
        <f>C7/20*C9</f>
        <v>1000</v>
      </c>
    </row>
    <row r="11" spans="2:20" x14ac:dyDescent="0.2">
      <c r="B11" s="4" t="s">
        <v>14</v>
      </c>
      <c r="C11" s="12">
        <f>C7*C8</f>
        <v>40</v>
      </c>
      <c r="N11" s="92" t="s">
        <v>30</v>
      </c>
      <c r="O11" s="93"/>
      <c r="P11" s="93"/>
      <c r="Q11" s="93"/>
      <c r="R11" s="93"/>
      <c r="S11" s="93" t="s">
        <v>33</v>
      </c>
      <c r="T11" s="94"/>
    </row>
    <row r="12" spans="2:20" ht="17" thickBot="1" x14ac:dyDescent="0.25">
      <c r="B12" s="6" t="s">
        <v>15</v>
      </c>
      <c r="C12" s="13">
        <f>C11*C6</f>
        <v>160</v>
      </c>
      <c r="N12" s="4" t="s">
        <v>5</v>
      </c>
      <c r="O12" s="1" t="s">
        <v>7</v>
      </c>
      <c r="P12" s="1" t="s">
        <v>2</v>
      </c>
      <c r="Q12" s="1" t="s">
        <v>8</v>
      </c>
      <c r="R12" s="1" t="s">
        <v>31</v>
      </c>
      <c r="S12" s="1" t="s">
        <v>16</v>
      </c>
      <c r="T12" s="17" t="s">
        <v>32</v>
      </c>
    </row>
    <row r="13" spans="2:20" x14ac:dyDescent="0.2">
      <c r="B13" s="9"/>
      <c r="C13" s="10"/>
      <c r="N13" s="4" t="s">
        <v>6</v>
      </c>
      <c r="O13" s="2">
        <v>0.2</v>
      </c>
      <c r="P13" s="2">
        <v>1</v>
      </c>
      <c r="Q13" s="21">
        <v>15</v>
      </c>
      <c r="R13" s="95">
        <v>60</v>
      </c>
      <c r="S13" s="96">
        <v>12</v>
      </c>
      <c r="T13" s="97">
        <v>63</v>
      </c>
    </row>
    <row r="14" spans="2:20" ht="17" thickBot="1" x14ac:dyDescent="0.25">
      <c r="N14" s="4"/>
      <c r="O14" s="2"/>
      <c r="P14" s="2"/>
      <c r="Q14" s="21"/>
      <c r="R14" s="95"/>
      <c r="S14" s="96"/>
      <c r="T14" s="97"/>
    </row>
    <row r="15" spans="2:20" x14ac:dyDescent="0.2">
      <c r="B15" s="92" t="s">
        <v>30</v>
      </c>
      <c r="C15" s="93"/>
      <c r="D15" s="93"/>
      <c r="E15" s="93"/>
      <c r="F15" s="93"/>
      <c r="G15" s="93" t="s">
        <v>33</v>
      </c>
      <c r="H15" s="94"/>
      <c r="N15" s="4"/>
      <c r="O15" s="2"/>
      <c r="P15" s="2"/>
      <c r="Q15" s="21"/>
      <c r="R15" s="95"/>
      <c r="S15" s="96"/>
      <c r="T15" s="97"/>
    </row>
    <row r="16" spans="2:20" ht="17" thickBot="1" x14ac:dyDescent="0.25">
      <c r="B16" s="4" t="s">
        <v>5</v>
      </c>
      <c r="C16" s="1" t="s">
        <v>7</v>
      </c>
      <c r="D16" s="1" t="s">
        <v>2</v>
      </c>
      <c r="E16" s="1" t="s">
        <v>8</v>
      </c>
      <c r="F16" s="1" t="s">
        <v>31</v>
      </c>
      <c r="G16" s="1" t="s">
        <v>16</v>
      </c>
      <c r="H16" s="17" t="s">
        <v>32</v>
      </c>
      <c r="N16" s="22" t="s">
        <v>19</v>
      </c>
      <c r="O16" s="88">
        <v>75</v>
      </c>
      <c r="P16" s="89"/>
      <c r="Q16" s="89"/>
      <c r="R16" s="89"/>
      <c r="S16" s="90">
        <v>75</v>
      </c>
      <c r="T16" s="91"/>
    </row>
    <row r="17" spans="2:20" x14ac:dyDescent="0.2">
      <c r="B17" s="4" t="s">
        <v>6</v>
      </c>
      <c r="C17" s="2">
        <v>0.2</v>
      </c>
      <c r="D17" s="2">
        <v>1</v>
      </c>
      <c r="E17" s="21">
        <f>C11/SUM(D17:D19)*D17/C17</f>
        <v>28.571428571428569</v>
      </c>
      <c r="F17" s="95">
        <f>C10-SUM(E17:E19)</f>
        <v>800</v>
      </c>
      <c r="G17" s="96">
        <f>C12/C5</f>
        <v>160</v>
      </c>
      <c r="H17" s="97">
        <f>C10-G17</f>
        <v>840</v>
      </c>
    </row>
    <row r="18" spans="2:20" x14ac:dyDescent="0.2">
      <c r="B18" s="4" t="s">
        <v>3</v>
      </c>
      <c r="C18" s="2">
        <v>0.2</v>
      </c>
      <c r="D18" s="2">
        <v>4</v>
      </c>
      <c r="E18" s="21">
        <f>C11/SUM(D17:D19)*D18/C18</f>
        <v>114.28571428571428</v>
      </c>
      <c r="F18" s="95"/>
      <c r="G18" s="96"/>
      <c r="H18" s="97"/>
    </row>
    <row r="19" spans="2:20" x14ac:dyDescent="0.2">
      <c r="B19" s="4" t="s">
        <v>4</v>
      </c>
      <c r="C19" s="2">
        <v>0.2</v>
      </c>
      <c r="D19" s="2">
        <v>2</v>
      </c>
      <c r="E19" s="21">
        <f>C11/SUM(D17:D19)*D19/C19</f>
        <v>57.142857142857139</v>
      </c>
      <c r="F19" s="95"/>
      <c r="G19" s="96"/>
      <c r="H19" s="97"/>
    </row>
    <row r="20" spans="2:20" ht="17" thickBot="1" x14ac:dyDescent="0.25">
      <c r="B20" s="22" t="s">
        <v>19</v>
      </c>
      <c r="C20" s="88">
        <f>SUM(E17:F19)</f>
        <v>1000</v>
      </c>
      <c r="D20" s="89"/>
      <c r="E20" s="89"/>
      <c r="F20" s="89"/>
      <c r="G20" s="90">
        <f>SUM(G17:H19)</f>
        <v>1000</v>
      </c>
      <c r="H20" s="91"/>
    </row>
    <row r="21" spans="2:20" ht="17" thickBot="1" x14ac:dyDescent="0.25">
      <c r="B21" s="9"/>
      <c r="C21" s="10"/>
      <c r="D21" s="10"/>
      <c r="E21" s="19"/>
      <c r="F21" s="18"/>
      <c r="G21" s="20"/>
      <c r="H21" s="20"/>
      <c r="N21" t="s">
        <v>65</v>
      </c>
      <c r="O21">
        <v>3.6</v>
      </c>
    </row>
    <row r="22" spans="2:20" ht="17" thickBot="1" x14ac:dyDescent="0.25">
      <c r="B22" s="24" t="s">
        <v>47</v>
      </c>
      <c r="C22" s="25">
        <v>4.5999999999999996</v>
      </c>
      <c r="N22" s="92" t="s">
        <v>30</v>
      </c>
      <c r="O22" s="93"/>
      <c r="P22" s="93"/>
      <c r="Q22" s="93"/>
      <c r="R22" s="93"/>
      <c r="S22" s="93" t="s">
        <v>33</v>
      </c>
      <c r="T22" s="94"/>
    </row>
    <row r="23" spans="2:20" x14ac:dyDescent="0.2">
      <c r="B23" s="92" t="s">
        <v>30</v>
      </c>
      <c r="C23" s="93"/>
      <c r="D23" s="93"/>
      <c r="E23" s="93"/>
      <c r="F23" s="93"/>
      <c r="G23" s="93" t="s">
        <v>33</v>
      </c>
      <c r="H23" s="94"/>
      <c r="N23" s="4" t="s">
        <v>5</v>
      </c>
      <c r="O23" s="1" t="s">
        <v>7</v>
      </c>
      <c r="P23" s="1" t="s">
        <v>2</v>
      </c>
      <c r="Q23" s="1" t="s">
        <v>8</v>
      </c>
      <c r="R23" s="1" t="s">
        <v>31</v>
      </c>
      <c r="S23" s="1" t="s">
        <v>16</v>
      </c>
      <c r="T23" s="17" t="s">
        <v>32</v>
      </c>
    </row>
    <row r="24" spans="2:20" x14ac:dyDescent="0.2">
      <c r="B24" s="4" t="s">
        <v>5</v>
      </c>
      <c r="C24" s="1" t="s">
        <v>7</v>
      </c>
      <c r="D24" s="1" t="s">
        <v>2</v>
      </c>
      <c r="E24" s="1" t="s">
        <v>8</v>
      </c>
      <c r="F24" s="1" t="s">
        <v>31</v>
      </c>
      <c r="G24" s="1" t="s">
        <v>16</v>
      </c>
      <c r="H24" s="17" t="s">
        <v>32</v>
      </c>
      <c r="N24" s="4" t="s">
        <v>6</v>
      </c>
      <c r="O24" s="2">
        <v>0.2</v>
      </c>
      <c r="P24" s="2">
        <v>1</v>
      </c>
      <c r="Q24" s="21">
        <f>Q13*$O$21</f>
        <v>54</v>
      </c>
      <c r="R24" s="95">
        <f>R13*$O$21</f>
        <v>216</v>
      </c>
      <c r="S24" s="96">
        <f>S13*O21</f>
        <v>43.2</v>
      </c>
      <c r="T24" s="97">
        <f>T13*O21</f>
        <v>226.8</v>
      </c>
    </row>
    <row r="25" spans="2:20" x14ac:dyDescent="0.2">
      <c r="B25" s="4" t="s">
        <v>6</v>
      </c>
      <c r="C25" s="14"/>
      <c r="D25" s="14"/>
      <c r="E25" s="16">
        <f>E17*$C$22</f>
        <v>131.42857142857142</v>
      </c>
      <c r="F25" s="100">
        <f>F17*C22</f>
        <v>3679.9999999999995</v>
      </c>
      <c r="G25" s="101">
        <f>G17*C22</f>
        <v>736</v>
      </c>
      <c r="H25" s="102">
        <f>H17*C22</f>
        <v>3863.9999999999995</v>
      </c>
      <c r="N25" s="4"/>
      <c r="O25" s="2"/>
      <c r="P25" s="2"/>
      <c r="Q25" s="21"/>
      <c r="R25" s="95"/>
      <c r="S25" s="96"/>
      <c r="T25" s="97"/>
    </row>
    <row r="26" spans="2:20" x14ac:dyDescent="0.2">
      <c r="B26" s="4" t="s">
        <v>3</v>
      </c>
      <c r="C26" s="14"/>
      <c r="D26" s="21">
        <f>SUM(E25:E27)</f>
        <v>920</v>
      </c>
      <c r="E26" s="16">
        <f t="shared" ref="E26:E27" si="0">E18*$C$22</f>
        <v>525.71428571428567</v>
      </c>
      <c r="F26" s="100"/>
      <c r="G26" s="101"/>
      <c r="H26" s="102"/>
      <c r="N26" s="4"/>
      <c r="O26" s="2"/>
      <c r="P26" s="2"/>
      <c r="Q26" s="21"/>
      <c r="R26" s="95"/>
      <c r="S26" s="96"/>
      <c r="T26" s="97"/>
    </row>
    <row r="27" spans="2:20" ht="17" thickBot="1" x14ac:dyDescent="0.25">
      <c r="B27" s="4" t="s">
        <v>4</v>
      </c>
      <c r="C27" s="14"/>
      <c r="D27" s="14"/>
      <c r="E27" s="16">
        <f t="shared" si="0"/>
        <v>262.85714285714283</v>
      </c>
      <c r="F27" s="100"/>
      <c r="G27" s="101"/>
      <c r="H27" s="102"/>
      <c r="N27" s="22" t="s">
        <v>19</v>
      </c>
      <c r="O27" s="88">
        <f>O16*O21</f>
        <v>270</v>
      </c>
      <c r="P27" s="89"/>
      <c r="Q27" s="89"/>
      <c r="R27" s="89"/>
      <c r="S27" s="90">
        <f>S16*O21</f>
        <v>270</v>
      </c>
      <c r="T27" s="91"/>
    </row>
    <row r="28" spans="2:20" ht="17" thickBot="1" x14ac:dyDescent="0.25">
      <c r="B28" s="22" t="s">
        <v>19</v>
      </c>
      <c r="C28" s="88">
        <f>SUM(E25:F27)</f>
        <v>4600</v>
      </c>
      <c r="D28" s="89"/>
      <c r="E28" s="89"/>
      <c r="F28" s="89"/>
      <c r="G28" s="103">
        <f>SUM(G25:H27)</f>
        <v>4600</v>
      </c>
      <c r="H28" s="104"/>
    </row>
    <row r="29" spans="2:20" x14ac:dyDescent="0.2">
      <c r="F29" s="7"/>
    </row>
    <row r="30" spans="2:20" ht="24" x14ac:dyDescent="0.3">
      <c r="B30" s="31"/>
      <c r="F30" s="7"/>
    </row>
    <row r="31" spans="2:20" ht="24" x14ac:dyDescent="0.3">
      <c r="B31" s="33" t="s">
        <v>71</v>
      </c>
      <c r="C31" s="31"/>
      <c r="D31" s="31"/>
      <c r="E31" s="31"/>
      <c r="F31" s="31"/>
    </row>
    <row r="32" spans="2:20" ht="24" customHeight="1" x14ac:dyDescent="0.3">
      <c r="B32" s="31" t="s">
        <v>42</v>
      </c>
      <c r="C32" s="31"/>
      <c r="D32" s="31"/>
      <c r="E32" s="31"/>
      <c r="F32" s="31"/>
    </row>
    <row r="33" spans="2:6" ht="24" customHeight="1" x14ac:dyDescent="0.3">
      <c r="B33" s="98" t="s">
        <v>43</v>
      </c>
      <c r="C33" s="98"/>
      <c r="D33" s="98"/>
      <c r="E33" s="98"/>
      <c r="F33" s="98"/>
    </row>
    <row r="34" spans="2:6" ht="24" customHeight="1" x14ac:dyDescent="0.3">
      <c r="B34" s="99" t="s">
        <v>24</v>
      </c>
      <c r="C34" s="99"/>
      <c r="D34" s="99"/>
      <c r="E34" s="99"/>
      <c r="F34" s="99"/>
    </row>
    <row r="35" spans="2:6" ht="24" x14ac:dyDescent="0.3">
      <c r="B35" s="32" t="s">
        <v>44</v>
      </c>
      <c r="C35" s="32"/>
      <c r="D35" s="32"/>
      <c r="E35" s="32"/>
    </row>
    <row r="36" spans="2:6" ht="24" x14ac:dyDescent="0.3">
      <c r="B36" s="32" t="s">
        <v>90</v>
      </c>
      <c r="C36" s="32"/>
      <c r="D36" s="32"/>
      <c r="E36" s="32"/>
    </row>
    <row r="37" spans="2:6" ht="24" x14ac:dyDescent="0.3">
      <c r="B37" s="32"/>
      <c r="C37" s="32"/>
      <c r="D37" s="32"/>
      <c r="E37" s="32"/>
    </row>
    <row r="38" spans="2:6" ht="24" x14ac:dyDescent="0.3">
      <c r="B38" s="32"/>
      <c r="C38" s="32"/>
      <c r="D38" s="32"/>
      <c r="E38" s="32"/>
    </row>
  </sheetData>
  <mergeCells count="30">
    <mergeCell ref="B33:F33"/>
    <mergeCell ref="B34:F34"/>
    <mergeCell ref="B23:F23"/>
    <mergeCell ref="G23:H23"/>
    <mergeCell ref="F25:F27"/>
    <mergeCell ref="G25:G27"/>
    <mergeCell ref="H25:H27"/>
    <mergeCell ref="C28:F28"/>
    <mergeCell ref="G28:H28"/>
    <mergeCell ref="C20:F20"/>
    <mergeCell ref="G20:H20"/>
    <mergeCell ref="B15:F15"/>
    <mergeCell ref="G15:H15"/>
    <mergeCell ref="F17:F19"/>
    <mergeCell ref="G17:G19"/>
    <mergeCell ref="H17:H19"/>
    <mergeCell ref="N11:R11"/>
    <mergeCell ref="S11:T11"/>
    <mergeCell ref="R13:R15"/>
    <mergeCell ref="S13:S15"/>
    <mergeCell ref="T13:T15"/>
    <mergeCell ref="O27:R27"/>
    <mergeCell ref="S27:T27"/>
    <mergeCell ref="O16:R16"/>
    <mergeCell ref="S16:T16"/>
    <mergeCell ref="N22:R22"/>
    <mergeCell ref="S22:T22"/>
    <mergeCell ref="R24:R26"/>
    <mergeCell ref="S24:S26"/>
    <mergeCell ref="T24:T2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F6A1-DF04-3C4E-A167-FD95C5389676}">
  <sheetPr>
    <pageSetUpPr fitToPage="1"/>
  </sheetPr>
  <dimension ref="B2:K45"/>
  <sheetViews>
    <sheetView topLeftCell="A6" zoomScaleNormal="176" workbookViewId="0">
      <selection activeCell="E32" sqref="E32"/>
    </sheetView>
  </sheetViews>
  <sheetFormatPr baseColWidth="10" defaultRowHeight="16" x14ac:dyDescent="0.2"/>
  <cols>
    <col min="2" max="2" width="38.6640625" customWidth="1"/>
    <col min="5" max="5" width="19.6640625" customWidth="1"/>
    <col min="6" max="6" width="29.1640625" customWidth="1"/>
    <col min="7" max="8" width="20.5" customWidth="1"/>
  </cols>
  <sheetData>
    <row r="2" spans="2:3" ht="17" thickBot="1" x14ac:dyDescent="0.25"/>
    <row r="3" spans="2:3" x14ac:dyDescent="0.2">
      <c r="B3" s="3" t="s">
        <v>102</v>
      </c>
      <c r="C3" s="57"/>
    </row>
    <row r="4" spans="2:3" ht="21" x14ac:dyDescent="0.25">
      <c r="B4" s="4" t="s">
        <v>103</v>
      </c>
      <c r="C4" s="58"/>
    </row>
    <row r="5" spans="2:3" ht="22" thickBot="1" x14ac:dyDescent="0.3">
      <c r="B5" s="6" t="s">
        <v>21</v>
      </c>
      <c r="C5" s="54"/>
    </row>
    <row r="6" spans="2:3" ht="17" thickBot="1" x14ac:dyDescent="0.25"/>
    <row r="7" spans="2:3" x14ac:dyDescent="0.2">
      <c r="B7" s="3" t="s">
        <v>13</v>
      </c>
      <c r="C7" s="11">
        <v>1</v>
      </c>
    </row>
    <row r="8" spans="2:3" x14ac:dyDescent="0.2">
      <c r="B8" s="4" t="s">
        <v>0</v>
      </c>
      <c r="C8" s="59">
        <v>3</v>
      </c>
    </row>
    <row r="9" spans="2:3" x14ac:dyDescent="0.2">
      <c r="B9" s="4" t="s">
        <v>1</v>
      </c>
      <c r="C9" s="59">
        <v>30</v>
      </c>
    </row>
    <row r="10" spans="2:3" x14ac:dyDescent="0.2">
      <c r="B10" s="4" t="s">
        <v>10</v>
      </c>
      <c r="C10" s="12">
        <v>1.5</v>
      </c>
    </row>
    <row r="11" spans="2:3" x14ac:dyDescent="0.2">
      <c r="B11" s="4" t="s">
        <v>23</v>
      </c>
      <c r="C11" s="12">
        <f>30/20/2*1000</f>
        <v>750</v>
      </c>
    </row>
    <row r="12" spans="2:3" x14ac:dyDescent="0.2">
      <c r="B12" s="4" t="s">
        <v>22</v>
      </c>
      <c r="C12" s="17">
        <f>C9/30*C11</f>
        <v>750</v>
      </c>
    </row>
    <row r="13" spans="2:3" x14ac:dyDescent="0.2">
      <c r="B13" s="4" t="s">
        <v>14</v>
      </c>
      <c r="C13" s="12">
        <f>C9*C10</f>
        <v>45</v>
      </c>
    </row>
    <row r="14" spans="2:3" ht="17" thickBot="1" x14ac:dyDescent="0.25">
      <c r="B14" s="6" t="s">
        <v>15</v>
      </c>
      <c r="C14" s="13">
        <f>C13*C8</f>
        <v>135</v>
      </c>
    </row>
    <row r="15" spans="2:3" ht="17" thickBot="1" x14ac:dyDescent="0.25">
      <c r="B15" s="9"/>
      <c r="C15" s="10"/>
    </row>
    <row r="16" spans="2:3" x14ac:dyDescent="0.2">
      <c r="B16" s="55" t="s">
        <v>86</v>
      </c>
      <c r="C16" s="27" t="s">
        <v>107</v>
      </c>
    </row>
    <row r="17" spans="2:11" x14ac:dyDescent="0.2">
      <c r="B17" s="60">
        <v>2</v>
      </c>
      <c r="C17" s="5">
        <v>5882</v>
      </c>
    </row>
    <row r="18" spans="2:11" x14ac:dyDescent="0.2">
      <c r="B18" s="60">
        <v>4</v>
      </c>
      <c r="C18" s="5">
        <v>9357</v>
      </c>
    </row>
    <row r="19" spans="2:11" ht="17" thickBot="1" x14ac:dyDescent="0.25">
      <c r="B19" s="22">
        <v>1</v>
      </c>
      <c r="C19" s="56">
        <v>11635</v>
      </c>
    </row>
    <row r="20" spans="2:11" x14ac:dyDescent="0.2">
      <c r="B20" s="9"/>
      <c r="C20" s="10"/>
    </row>
    <row r="21" spans="2:11" ht="17" thickBot="1" x14ac:dyDescent="0.25"/>
    <row r="22" spans="2:11" x14ac:dyDescent="0.2">
      <c r="B22" s="92" t="s">
        <v>9</v>
      </c>
      <c r="C22" s="93"/>
      <c r="D22" s="93"/>
      <c r="E22" s="93"/>
      <c r="F22" s="93"/>
      <c r="G22" s="93" t="s">
        <v>12</v>
      </c>
      <c r="H22" s="94"/>
      <c r="I22" s="8"/>
      <c r="K22" s="8"/>
    </row>
    <row r="23" spans="2:11" x14ac:dyDescent="0.2">
      <c r="B23" s="4" t="s">
        <v>5</v>
      </c>
      <c r="C23" s="1" t="s">
        <v>7</v>
      </c>
      <c r="D23" s="1" t="s">
        <v>2</v>
      </c>
      <c r="E23" s="1" t="s">
        <v>8</v>
      </c>
      <c r="F23" s="1" t="s">
        <v>11</v>
      </c>
      <c r="G23" s="1" t="s">
        <v>16</v>
      </c>
      <c r="H23" s="17" t="s">
        <v>17</v>
      </c>
    </row>
    <row r="24" spans="2:11" x14ac:dyDescent="0.2">
      <c r="B24" s="4" t="s">
        <v>6</v>
      </c>
      <c r="C24" s="61">
        <v>0.2</v>
      </c>
      <c r="D24" s="62">
        <f>C17*B17/C19</f>
        <v>1.0110872367855608</v>
      </c>
      <c r="E24" s="21">
        <f>C13/SUM(D24:D26)*D24/C24</f>
        <v>43.51521528268696</v>
      </c>
      <c r="F24" s="95">
        <f>C12-SUM(E24:E26)</f>
        <v>525</v>
      </c>
      <c r="G24" s="96">
        <f>C14/C7</f>
        <v>135</v>
      </c>
      <c r="H24" s="97">
        <f>C12-G24</f>
        <v>615</v>
      </c>
    </row>
    <row r="25" spans="2:11" x14ac:dyDescent="0.2">
      <c r="B25" s="4" t="s">
        <v>3</v>
      </c>
      <c r="C25" s="61">
        <v>0.2</v>
      </c>
      <c r="D25" s="62">
        <f>C18*B18/C19</f>
        <v>3.2168457241082939</v>
      </c>
      <c r="E25" s="21">
        <f>C13/SUM(D24:D26)*D25/C25</f>
        <v>138.4467424005787</v>
      </c>
      <c r="F25" s="95"/>
      <c r="G25" s="96"/>
      <c r="H25" s="97"/>
    </row>
    <row r="26" spans="2:11" x14ac:dyDescent="0.2">
      <c r="B26" s="4" t="s">
        <v>4</v>
      </c>
      <c r="C26" s="61">
        <v>0.2</v>
      </c>
      <c r="D26" s="14">
        <v>1</v>
      </c>
      <c r="E26" s="21">
        <f>C13/SUM(D24:D26)*D26/C26</f>
        <v>43.038042316734341</v>
      </c>
      <c r="F26" s="95"/>
      <c r="G26" s="96"/>
      <c r="H26" s="97"/>
    </row>
    <row r="27" spans="2:11" ht="17" thickBot="1" x14ac:dyDescent="0.25">
      <c r="B27" s="22" t="s">
        <v>19</v>
      </c>
      <c r="C27" s="88">
        <f>SUM(E24:F26)</f>
        <v>750.00000000000011</v>
      </c>
      <c r="D27" s="89"/>
      <c r="E27" s="89"/>
      <c r="F27" s="89"/>
      <c r="G27" s="90">
        <f>SUM(G24:H26)</f>
        <v>750</v>
      </c>
      <c r="H27" s="91"/>
    </row>
    <row r="28" spans="2:11" x14ac:dyDescent="0.2">
      <c r="B28" s="9"/>
      <c r="C28" s="10"/>
      <c r="D28" s="10"/>
      <c r="E28" s="19"/>
      <c r="F28" s="18"/>
      <c r="G28" s="20"/>
      <c r="H28" s="20"/>
    </row>
    <row r="29" spans="2:11" ht="17" thickBot="1" x14ac:dyDescent="0.25">
      <c r="B29" s="24" t="s">
        <v>45</v>
      </c>
      <c r="C29" s="25">
        <v>2</v>
      </c>
    </row>
    <row r="30" spans="2:11" x14ac:dyDescent="0.2">
      <c r="B30" s="105" t="s">
        <v>9</v>
      </c>
      <c r="C30" s="106"/>
      <c r="D30" s="106"/>
      <c r="E30" s="106"/>
      <c r="F30" s="106"/>
      <c r="G30" s="106" t="s">
        <v>12</v>
      </c>
      <c r="H30" s="107"/>
    </row>
    <row r="31" spans="2:11" x14ac:dyDescent="0.2">
      <c r="B31" s="4" t="s">
        <v>5</v>
      </c>
      <c r="C31" s="1" t="s">
        <v>7</v>
      </c>
      <c r="D31" s="1" t="s">
        <v>2</v>
      </c>
      <c r="E31" s="1" t="s">
        <v>8</v>
      </c>
      <c r="F31" s="1" t="s">
        <v>11</v>
      </c>
      <c r="G31" s="1" t="s">
        <v>16</v>
      </c>
      <c r="H31" s="17" t="s">
        <v>17</v>
      </c>
    </row>
    <row r="32" spans="2:11" x14ac:dyDescent="0.2">
      <c r="B32" s="4" t="s">
        <v>6</v>
      </c>
      <c r="C32" s="14"/>
      <c r="D32" s="14"/>
      <c r="E32" s="16">
        <f>E24*$C$29</f>
        <v>87.030430565373919</v>
      </c>
      <c r="F32" s="100">
        <f>F24*C29</f>
        <v>1050</v>
      </c>
      <c r="G32" s="101">
        <f>G24*C29</f>
        <v>270</v>
      </c>
      <c r="H32" s="102">
        <f>H24*C29</f>
        <v>1230</v>
      </c>
    </row>
    <row r="33" spans="2:8" x14ac:dyDescent="0.2">
      <c r="B33" s="4" t="s">
        <v>3</v>
      </c>
      <c r="C33" s="14"/>
      <c r="D33" s="21"/>
      <c r="E33" s="16">
        <f t="shared" ref="E33:E34" si="0">E25*$C$29</f>
        <v>276.8934848011574</v>
      </c>
      <c r="F33" s="100"/>
      <c r="G33" s="101"/>
      <c r="H33" s="102"/>
    </row>
    <row r="34" spans="2:8" x14ac:dyDescent="0.2">
      <c r="B34" s="4" t="s">
        <v>4</v>
      </c>
      <c r="C34" s="14"/>
      <c r="D34" s="14"/>
      <c r="E34" s="16">
        <f t="shared" si="0"/>
        <v>86.076084633468682</v>
      </c>
      <c r="F34" s="100"/>
      <c r="G34" s="101"/>
      <c r="H34" s="102"/>
    </row>
    <row r="35" spans="2:8" ht="17" thickBot="1" x14ac:dyDescent="0.25">
      <c r="B35" s="22" t="s">
        <v>19</v>
      </c>
      <c r="C35" s="88">
        <f>SUM(E32:F34)</f>
        <v>1500.0000000000002</v>
      </c>
      <c r="D35" s="89"/>
      <c r="E35" s="89"/>
      <c r="F35" s="89"/>
      <c r="G35" s="103">
        <f>SUM(G32:H34)</f>
        <v>1500</v>
      </c>
      <c r="H35" s="104"/>
    </row>
    <row r="36" spans="2:8" x14ac:dyDescent="0.2">
      <c r="F36" s="7"/>
    </row>
    <row r="37" spans="2:8" x14ac:dyDescent="0.2">
      <c r="F37" s="7"/>
    </row>
    <row r="38" spans="2:8" ht="24" x14ac:dyDescent="0.3">
      <c r="B38" s="30" t="s">
        <v>25</v>
      </c>
      <c r="C38" s="30"/>
      <c r="D38" s="30"/>
      <c r="E38" s="30"/>
      <c r="F38" s="30"/>
    </row>
    <row r="39" spans="2:8" ht="24" customHeight="1" x14ac:dyDescent="0.3">
      <c r="B39" s="33" t="s">
        <v>42</v>
      </c>
      <c r="C39" s="33"/>
      <c r="D39" s="33"/>
      <c r="E39" s="33"/>
      <c r="F39" s="33"/>
    </row>
    <row r="40" spans="2:8" ht="24" customHeight="1" x14ac:dyDescent="0.3">
      <c r="B40" s="98" t="s">
        <v>43</v>
      </c>
      <c r="C40" s="98"/>
      <c r="D40" s="98"/>
      <c r="E40" s="98"/>
      <c r="F40" s="98"/>
    </row>
    <row r="41" spans="2:8" ht="24" customHeight="1" x14ac:dyDescent="0.3">
      <c r="B41" s="99" t="s">
        <v>24</v>
      </c>
      <c r="C41" s="99"/>
      <c r="D41" s="99"/>
      <c r="E41" s="99"/>
      <c r="F41" s="99"/>
    </row>
    <row r="42" spans="2:8" ht="24" x14ac:dyDescent="0.3">
      <c r="B42" s="99" t="s">
        <v>89</v>
      </c>
      <c r="C42" s="99"/>
      <c r="D42" s="99"/>
      <c r="E42" s="99"/>
      <c r="F42" s="99"/>
    </row>
    <row r="43" spans="2:8" ht="24" x14ac:dyDescent="0.3">
      <c r="B43" s="29"/>
      <c r="C43" s="29"/>
      <c r="D43" s="29"/>
      <c r="E43" s="29"/>
    </row>
    <row r="44" spans="2:8" ht="24" x14ac:dyDescent="0.3">
      <c r="B44" s="29"/>
      <c r="C44" s="29"/>
      <c r="D44" s="29"/>
      <c r="E44" s="29"/>
    </row>
    <row r="45" spans="2:8" ht="24" x14ac:dyDescent="0.3">
      <c r="B45" s="29"/>
      <c r="C45" s="29"/>
      <c r="D45" s="29"/>
      <c r="E45" s="29"/>
    </row>
  </sheetData>
  <mergeCells count="17">
    <mergeCell ref="G27:H27"/>
    <mergeCell ref="G35:H35"/>
    <mergeCell ref="B40:F40"/>
    <mergeCell ref="B42:F42"/>
    <mergeCell ref="B41:F41"/>
    <mergeCell ref="G22:H22"/>
    <mergeCell ref="B30:F30"/>
    <mergeCell ref="G30:H30"/>
    <mergeCell ref="F32:F34"/>
    <mergeCell ref="G32:G34"/>
    <mergeCell ref="H32:H34"/>
    <mergeCell ref="F24:F26"/>
    <mergeCell ref="B22:F22"/>
    <mergeCell ref="G24:G26"/>
    <mergeCell ref="H24:H26"/>
    <mergeCell ref="C35:F35"/>
    <mergeCell ref="C27:F27"/>
  </mergeCells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703B-AAF0-6B4D-8FAB-48259F89A121}">
  <sheetPr>
    <pageSetUpPr fitToPage="1"/>
  </sheetPr>
  <dimension ref="B1:L38"/>
  <sheetViews>
    <sheetView zoomScale="76" zoomScaleNormal="176" workbookViewId="0">
      <selection activeCell="H7" sqref="H7:L10"/>
    </sheetView>
  </sheetViews>
  <sheetFormatPr baseColWidth="10" defaultRowHeight="16" x14ac:dyDescent="0.2"/>
  <cols>
    <col min="2" max="2" width="38.6640625" customWidth="1"/>
    <col min="5" max="5" width="19.6640625" customWidth="1"/>
    <col min="6" max="6" width="29.1640625" customWidth="1"/>
    <col min="8" max="8" width="22.33203125" customWidth="1"/>
    <col min="11" max="11" width="25" customWidth="1"/>
    <col min="12" max="12" width="20.6640625" customWidth="1"/>
  </cols>
  <sheetData>
    <row r="1" spans="2:12" ht="17" thickBot="1" x14ac:dyDescent="0.25"/>
    <row r="2" spans="2:12" x14ac:dyDescent="0.2">
      <c r="B2" s="26"/>
      <c r="C2" s="27" t="s">
        <v>20</v>
      </c>
    </row>
    <row r="3" spans="2:12" ht="17" thickBot="1" x14ac:dyDescent="0.25">
      <c r="B3" s="28"/>
      <c r="C3" s="23" t="s">
        <v>21</v>
      </c>
    </row>
    <row r="4" spans="2:12" ht="17" thickBot="1" x14ac:dyDescent="0.25"/>
    <row r="5" spans="2:12" x14ac:dyDescent="0.2">
      <c r="B5" s="3"/>
      <c r="C5" s="11"/>
    </row>
    <row r="6" spans="2:12" x14ac:dyDescent="0.2">
      <c r="B6" s="4"/>
      <c r="C6" s="5"/>
    </row>
    <row r="7" spans="2:12" x14ac:dyDescent="0.2">
      <c r="B7" s="4" t="s">
        <v>1</v>
      </c>
      <c r="C7" s="5">
        <v>30</v>
      </c>
    </row>
    <row r="8" spans="2:12" x14ac:dyDescent="0.2">
      <c r="B8" s="4" t="s">
        <v>10</v>
      </c>
      <c r="C8" s="5">
        <v>1.5</v>
      </c>
    </row>
    <row r="9" spans="2:12" x14ac:dyDescent="0.2">
      <c r="B9" s="4"/>
      <c r="C9" s="15"/>
    </row>
    <row r="10" spans="2:12" x14ac:dyDescent="0.2">
      <c r="B10" s="4" t="s">
        <v>27</v>
      </c>
      <c r="C10" s="17">
        <f>C7/10*1000</f>
        <v>3000</v>
      </c>
    </row>
    <row r="11" spans="2:12" x14ac:dyDescent="0.2">
      <c r="B11" s="4" t="s">
        <v>14</v>
      </c>
      <c r="C11" s="12">
        <f>C7*C8</f>
        <v>45</v>
      </c>
    </row>
    <row r="12" spans="2:12" ht="17" thickBot="1" x14ac:dyDescent="0.25">
      <c r="B12" s="6"/>
      <c r="C12" s="13"/>
    </row>
    <row r="13" spans="2:12" x14ac:dyDescent="0.2">
      <c r="B13" s="9"/>
      <c r="C13" s="10"/>
    </row>
    <row r="14" spans="2:12" ht="17" thickBot="1" x14ac:dyDescent="0.25"/>
    <row r="15" spans="2:12" x14ac:dyDescent="0.2">
      <c r="B15" s="108" t="s">
        <v>34</v>
      </c>
      <c r="C15" s="109"/>
      <c r="D15" s="109"/>
      <c r="E15" s="109"/>
      <c r="F15" s="110"/>
      <c r="G15" s="8"/>
      <c r="H15" s="108" t="s">
        <v>34</v>
      </c>
      <c r="I15" s="109"/>
      <c r="J15" s="109"/>
      <c r="K15" s="109"/>
      <c r="L15" s="110"/>
    </row>
    <row r="16" spans="2:12" x14ac:dyDescent="0.2">
      <c r="B16" s="4" t="s">
        <v>5</v>
      </c>
      <c r="C16" s="1" t="s">
        <v>7</v>
      </c>
      <c r="D16" s="1" t="s">
        <v>2</v>
      </c>
      <c r="E16" s="1" t="s">
        <v>8</v>
      </c>
      <c r="F16" s="1" t="s">
        <v>26</v>
      </c>
      <c r="H16" s="4" t="s">
        <v>5</v>
      </c>
      <c r="I16" s="1" t="s">
        <v>7</v>
      </c>
      <c r="J16" s="1" t="s">
        <v>2</v>
      </c>
      <c r="K16" s="1" t="s">
        <v>8</v>
      </c>
      <c r="L16" s="1" t="s">
        <v>26</v>
      </c>
    </row>
    <row r="17" spans="2:12" x14ac:dyDescent="0.2">
      <c r="B17" s="4" t="s">
        <v>6</v>
      </c>
      <c r="C17" s="2">
        <v>0.2</v>
      </c>
      <c r="D17" s="2">
        <v>1</v>
      </c>
      <c r="E17" s="21">
        <f>C11/SUM(D17:D19)*D17/C17</f>
        <v>43.269230769230766</v>
      </c>
      <c r="F17" s="111">
        <f>C10-SUM(E17:E19)</f>
        <v>2775</v>
      </c>
      <c r="H17" s="4" t="s">
        <v>6</v>
      </c>
      <c r="I17" s="2">
        <v>0.2</v>
      </c>
      <c r="J17" s="2">
        <v>0.62</v>
      </c>
      <c r="K17" s="21">
        <f>C11/SUM(J17:J19)*J17/I17</f>
        <v>11.053882725832013</v>
      </c>
      <c r="L17" s="111">
        <f>C10-SUM(K17:K19)</f>
        <v>2775</v>
      </c>
    </row>
    <row r="18" spans="2:12" x14ac:dyDescent="0.2">
      <c r="B18" s="4" t="s">
        <v>3</v>
      </c>
      <c r="C18" s="2">
        <v>0.2</v>
      </c>
      <c r="D18" s="2">
        <v>3.2</v>
      </c>
      <c r="E18" s="21">
        <f>C11/SUM(D17:D19)*D18/C18</f>
        <v>138.46153846153845</v>
      </c>
      <c r="F18" s="112"/>
      <c r="H18" s="4" t="s">
        <v>3</v>
      </c>
      <c r="I18" s="2">
        <v>0.2</v>
      </c>
      <c r="J18" s="2">
        <v>10</v>
      </c>
      <c r="K18" s="21">
        <f>C11/SUM(J17:J19)*J18/I18</f>
        <v>178.28843106180665</v>
      </c>
      <c r="L18" s="112"/>
    </row>
    <row r="19" spans="2:12" x14ac:dyDescent="0.2">
      <c r="B19" s="4" t="s">
        <v>4</v>
      </c>
      <c r="C19" s="2">
        <v>0.2</v>
      </c>
      <c r="D19" s="2">
        <v>1</v>
      </c>
      <c r="E19" s="21">
        <f>C11/SUM(D17:D19)*D19/C19</f>
        <v>43.269230769230766</v>
      </c>
      <c r="F19" s="113"/>
      <c r="H19" s="4" t="s">
        <v>4</v>
      </c>
      <c r="I19" s="2">
        <v>0.2</v>
      </c>
      <c r="J19" s="2">
        <v>2</v>
      </c>
      <c r="K19" s="21">
        <f>C11/SUM(J17:J19)*J19/I19</f>
        <v>35.657686212361334</v>
      </c>
      <c r="L19" s="113"/>
    </row>
    <row r="20" spans="2:12" ht="17" thickBot="1" x14ac:dyDescent="0.25">
      <c r="B20" s="22" t="s">
        <v>19</v>
      </c>
      <c r="C20" s="114">
        <f>SUM(E17:F19)</f>
        <v>3000.0000000000005</v>
      </c>
      <c r="D20" s="115"/>
      <c r="E20" s="115"/>
      <c r="F20" s="116"/>
      <c r="H20" s="22" t="s">
        <v>19</v>
      </c>
      <c r="I20" s="114">
        <f>SUM(K17:L19)</f>
        <v>2999.9999999999995</v>
      </c>
      <c r="J20" s="115"/>
      <c r="K20" s="115"/>
      <c r="L20" s="116"/>
    </row>
    <row r="21" spans="2:12" x14ac:dyDescent="0.2">
      <c r="B21" s="9"/>
      <c r="C21" s="10"/>
      <c r="D21" s="10"/>
      <c r="E21" s="19"/>
      <c r="F21" s="18"/>
      <c r="H21" s="9"/>
      <c r="I21" s="10"/>
      <c r="J21" s="10"/>
      <c r="K21" s="19"/>
      <c r="L21" s="18"/>
    </row>
    <row r="22" spans="2:12" ht="17" thickBot="1" x14ac:dyDescent="0.25">
      <c r="B22" s="24" t="s">
        <v>45</v>
      </c>
      <c r="C22" s="25">
        <v>1.2</v>
      </c>
      <c r="H22" s="24" t="s">
        <v>18</v>
      </c>
      <c r="I22" s="25">
        <v>1.2</v>
      </c>
    </row>
    <row r="23" spans="2:12" x14ac:dyDescent="0.2">
      <c r="B23" s="108" t="s">
        <v>34</v>
      </c>
      <c r="C23" s="109"/>
      <c r="D23" s="109"/>
      <c r="E23" s="109"/>
      <c r="F23" s="110"/>
      <c r="H23" s="108" t="s">
        <v>34</v>
      </c>
      <c r="I23" s="109"/>
      <c r="J23" s="109"/>
      <c r="K23" s="109"/>
      <c r="L23" s="110"/>
    </row>
    <row r="24" spans="2:12" x14ac:dyDescent="0.2">
      <c r="B24" s="4" t="s">
        <v>5</v>
      </c>
      <c r="C24" s="1" t="s">
        <v>7</v>
      </c>
      <c r="D24" s="1" t="s">
        <v>2</v>
      </c>
      <c r="E24" s="1" t="s">
        <v>8</v>
      </c>
      <c r="F24" s="1" t="s">
        <v>11</v>
      </c>
      <c r="H24" s="4" t="s">
        <v>5</v>
      </c>
      <c r="I24" s="1" t="s">
        <v>7</v>
      </c>
      <c r="J24" s="1" t="s">
        <v>2</v>
      </c>
      <c r="K24" s="1" t="s">
        <v>8</v>
      </c>
      <c r="L24" s="1" t="s">
        <v>11</v>
      </c>
    </row>
    <row r="25" spans="2:12" x14ac:dyDescent="0.2">
      <c r="B25" s="4" t="s">
        <v>6</v>
      </c>
      <c r="C25" s="14"/>
      <c r="D25" s="14"/>
      <c r="E25" s="16">
        <f>E17*$C$22*2</f>
        <v>103.84615384615384</v>
      </c>
      <c r="F25" s="100">
        <f>F17*C22*2</f>
        <v>6660</v>
      </c>
      <c r="H25" s="4" t="s">
        <v>6</v>
      </c>
      <c r="I25" s="14"/>
      <c r="J25" s="14"/>
      <c r="K25" s="16">
        <f>K17*$C$22</f>
        <v>13.264659270998415</v>
      </c>
      <c r="L25" s="100">
        <f>L17*I22</f>
        <v>3330</v>
      </c>
    </row>
    <row r="26" spans="2:12" x14ac:dyDescent="0.2">
      <c r="B26" s="4" t="s">
        <v>3</v>
      </c>
      <c r="C26" s="14"/>
      <c r="D26" s="14"/>
      <c r="E26" s="16">
        <f t="shared" ref="E26:E27" si="0">E18*$C$22*2</f>
        <v>332.30769230769226</v>
      </c>
      <c r="F26" s="100"/>
      <c r="H26" s="4" t="s">
        <v>3</v>
      </c>
      <c r="I26" s="14"/>
      <c r="J26" s="14"/>
      <c r="K26" s="16">
        <f>K18*$C$22</f>
        <v>213.94611727416796</v>
      </c>
      <c r="L26" s="100"/>
    </row>
    <row r="27" spans="2:12" x14ac:dyDescent="0.2">
      <c r="B27" s="4" t="s">
        <v>4</v>
      </c>
      <c r="C27" s="14"/>
      <c r="D27" s="14"/>
      <c r="E27" s="16">
        <f t="shared" si="0"/>
        <v>103.84615384615384</v>
      </c>
      <c r="F27" s="100"/>
      <c r="H27" s="4" t="s">
        <v>4</v>
      </c>
      <c r="I27" s="14"/>
      <c r="J27" s="14"/>
      <c r="K27" s="16">
        <f>K19*$C$22</f>
        <v>42.789223454833596</v>
      </c>
      <c r="L27" s="100"/>
    </row>
    <row r="28" spans="2:12" ht="17" thickBot="1" x14ac:dyDescent="0.25">
      <c r="B28" s="22" t="s">
        <v>19</v>
      </c>
      <c r="C28" s="88">
        <f>SUM(E25:F27)</f>
        <v>7200.0000000000009</v>
      </c>
      <c r="D28" s="89"/>
      <c r="E28" s="89"/>
      <c r="F28" s="89"/>
      <c r="H28" s="22" t="s">
        <v>19</v>
      </c>
      <c r="I28" s="88">
        <f>SUM(K25:L27)</f>
        <v>3600</v>
      </c>
      <c r="J28" s="89"/>
      <c r="K28" s="89"/>
      <c r="L28" s="89"/>
    </row>
    <row r="29" spans="2:12" x14ac:dyDescent="0.2">
      <c r="F29" s="7"/>
    </row>
    <row r="30" spans="2:12" x14ac:dyDescent="0.2">
      <c r="F30" s="7"/>
    </row>
    <row r="31" spans="2:12" ht="24" x14ac:dyDescent="0.3">
      <c r="B31" s="31" t="s">
        <v>29</v>
      </c>
      <c r="C31" s="31"/>
      <c r="D31" s="31"/>
      <c r="E31" s="31"/>
      <c r="F31" s="31"/>
    </row>
    <row r="32" spans="2:12" ht="24" customHeight="1" x14ac:dyDescent="0.3">
      <c r="B32" s="31"/>
      <c r="C32" s="31"/>
      <c r="D32" s="31"/>
      <c r="E32" s="31"/>
      <c r="F32" s="31"/>
    </row>
    <row r="33" spans="2:6" ht="24" customHeight="1" x14ac:dyDescent="0.3">
      <c r="B33" s="98"/>
      <c r="C33" s="98"/>
      <c r="D33" s="98"/>
      <c r="E33" s="98"/>
      <c r="F33" s="98"/>
    </row>
    <row r="34" spans="2:6" ht="24" customHeight="1" x14ac:dyDescent="0.3">
      <c r="B34" s="99"/>
      <c r="C34" s="99"/>
      <c r="D34" s="99"/>
      <c r="E34" s="99"/>
      <c r="F34" s="99"/>
    </row>
    <row r="35" spans="2:6" ht="24" x14ac:dyDescent="0.3">
      <c r="B35" s="32"/>
      <c r="C35" s="32"/>
      <c r="D35" s="32"/>
      <c r="E35" s="32"/>
    </row>
    <row r="36" spans="2:6" ht="24" x14ac:dyDescent="0.3">
      <c r="B36" s="32"/>
      <c r="C36" s="32"/>
      <c r="D36" s="32"/>
      <c r="E36" s="32"/>
    </row>
    <row r="37" spans="2:6" ht="24" x14ac:dyDescent="0.3">
      <c r="B37" s="32"/>
      <c r="C37" s="32"/>
      <c r="D37" s="32"/>
      <c r="E37" s="32"/>
    </row>
    <row r="38" spans="2:6" ht="24" x14ac:dyDescent="0.3">
      <c r="B38" s="32"/>
      <c r="C38" s="32"/>
      <c r="D38" s="32"/>
      <c r="E38" s="32"/>
    </row>
  </sheetData>
  <mergeCells count="14">
    <mergeCell ref="B33:F33"/>
    <mergeCell ref="B34:F34"/>
    <mergeCell ref="H15:L15"/>
    <mergeCell ref="L17:L19"/>
    <mergeCell ref="I20:L20"/>
    <mergeCell ref="H23:L23"/>
    <mergeCell ref="L25:L27"/>
    <mergeCell ref="I28:L28"/>
    <mergeCell ref="B23:F23"/>
    <mergeCell ref="F25:F27"/>
    <mergeCell ref="C28:F28"/>
    <mergeCell ref="B15:F15"/>
    <mergeCell ref="F17:F19"/>
    <mergeCell ref="C20:F20"/>
  </mergeCells>
  <pageMargins left="0.7" right="0.7" top="0.75" bottom="0.75" header="0.3" footer="0.3"/>
  <pageSetup scale="47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320-062D-C448-B43F-8111C0B4AA7F}">
  <sheetPr>
    <pageSetUpPr fitToPage="1"/>
  </sheetPr>
  <dimension ref="B1:K73"/>
  <sheetViews>
    <sheetView topLeftCell="A38" workbookViewId="0">
      <selection activeCell="K35" sqref="K35"/>
    </sheetView>
  </sheetViews>
  <sheetFormatPr baseColWidth="10" defaultRowHeight="16" x14ac:dyDescent="0.2"/>
  <cols>
    <col min="2" max="2" width="38.6640625" customWidth="1"/>
    <col min="5" max="5" width="19.6640625" customWidth="1"/>
    <col min="6" max="6" width="29.1640625" customWidth="1"/>
    <col min="7" max="8" width="20.5" customWidth="1"/>
  </cols>
  <sheetData>
    <row r="1" spans="2:8" ht="17" thickBot="1" x14ac:dyDescent="0.25"/>
    <row r="2" spans="2:8" x14ac:dyDescent="0.2">
      <c r="B2" s="26"/>
      <c r="C2" s="27" t="s">
        <v>20</v>
      </c>
    </row>
    <row r="3" spans="2:8" ht="17" thickBot="1" x14ac:dyDescent="0.25">
      <c r="B3" s="28"/>
      <c r="C3" s="23" t="s">
        <v>21</v>
      </c>
    </row>
    <row r="4" spans="2:8" ht="17" thickBot="1" x14ac:dyDescent="0.25"/>
    <row r="5" spans="2:8" x14ac:dyDescent="0.2">
      <c r="B5" s="3" t="s">
        <v>13</v>
      </c>
      <c r="C5" s="11">
        <v>1</v>
      </c>
    </row>
    <row r="6" spans="2:8" x14ac:dyDescent="0.2">
      <c r="B6" s="4" t="s">
        <v>0</v>
      </c>
      <c r="C6" s="5">
        <v>4</v>
      </c>
    </row>
    <row r="7" spans="2:8" x14ac:dyDescent="0.2">
      <c r="B7" s="4" t="s">
        <v>1</v>
      </c>
      <c r="C7" s="5">
        <v>20</v>
      </c>
    </row>
    <row r="8" spans="2:8" x14ac:dyDescent="0.2">
      <c r="B8" s="4" t="s">
        <v>10</v>
      </c>
      <c r="C8" s="5">
        <v>2</v>
      </c>
    </row>
    <row r="9" spans="2:8" x14ac:dyDescent="0.2">
      <c r="B9" s="4" t="s">
        <v>28</v>
      </c>
      <c r="C9" s="15">
        <f>20/20*1000</f>
        <v>1000</v>
      </c>
    </row>
    <row r="10" spans="2:8" x14ac:dyDescent="0.2">
      <c r="B10" s="4" t="s">
        <v>22</v>
      </c>
      <c r="C10" s="12">
        <f>C7/20*C9</f>
        <v>1000</v>
      </c>
    </row>
    <row r="11" spans="2:8" x14ac:dyDescent="0.2">
      <c r="B11" s="4" t="s">
        <v>14</v>
      </c>
      <c r="C11" s="12">
        <f>C7*C8</f>
        <v>40</v>
      </c>
    </row>
    <row r="12" spans="2:8" ht="17" thickBot="1" x14ac:dyDescent="0.25">
      <c r="B12" s="6" t="s">
        <v>15</v>
      </c>
      <c r="C12" s="13">
        <f>C11*C6</f>
        <v>160</v>
      </c>
    </row>
    <row r="13" spans="2:8" ht="17" thickBot="1" x14ac:dyDescent="0.25">
      <c r="B13" s="9"/>
      <c r="C13" s="10"/>
    </row>
    <row r="14" spans="2:8" ht="17" thickBot="1" x14ac:dyDescent="0.25">
      <c r="B14" s="36" t="s">
        <v>41</v>
      </c>
      <c r="C14" s="38">
        <v>10</v>
      </c>
    </row>
    <row r="15" spans="2:8" x14ac:dyDescent="0.2">
      <c r="B15" s="117" t="s">
        <v>49</v>
      </c>
      <c r="C15" s="118"/>
      <c r="D15" s="93"/>
      <c r="E15" s="93"/>
      <c r="F15" s="93"/>
      <c r="G15" s="93" t="s">
        <v>33</v>
      </c>
      <c r="H15" s="94"/>
    </row>
    <row r="16" spans="2:8" x14ac:dyDescent="0.2">
      <c r="B16" s="4" t="s">
        <v>5</v>
      </c>
      <c r="C16" s="1" t="s">
        <v>7</v>
      </c>
      <c r="D16" s="1" t="s">
        <v>2</v>
      </c>
      <c r="E16" s="1" t="s">
        <v>8</v>
      </c>
      <c r="F16" s="1" t="s">
        <v>31</v>
      </c>
      <c r="G16" s="1" t="s">
        <v>16</v>
      </c>
      <c r="H16" s="17" t="s">
        <v>32</v>
      </c>
    </row>
    <row r="17" spans="2:11" x14ac:dyDescent="0.2">
      <c r="B17" s="4" t="s">
        <v>35</v>
      </c>
      <c r="C17" s="2">
        <v>0.2</v>
      </c>
      <c r="D17" s="2">
        <v>1</v>
      </c>
      <c r="E17" s="21">
        <f>C11/SUM(D17:D20)*D17/C17</f>
        <v>50</v>
      </c>
      <c r="F17" s="95">
        <f>C10-SUM(E17:E20)</f>
        <v>799</v>
      </c>
      <c r="G17" s="96">
        <f>C12/C5</f>
        <v>160</v>
      </c>
      <c r="H17" s="97">
        <f>C10-G17</f>
        <v>840</v>
      </c>
    </row>
    <row r="18" spans="2:11" x14ac:dyDescent="0.2">
      <c r="B18" s="4" t="s">
        <v>36</v>
      </c>
      <c r="C18" s="2">
        <v>0.2</v>
      </c>
      <c r="D18" s="2">
        <v>1</v>
      </c>
      <c r="E18" s="21">
        <f>C11/SUM(D17:D20)*D18/C18</f>
        <v>50</v>
      </c>
      <c r="F18" s="95"/>
      <c r="G18" s="96"/>
      <c r="H18" s="97"/>
    </row>
    <row r="19" spans="2:11" x14ac:dyDescent="0.2">
      <c r="B19" s="4" t="s">
        <v>4</v>
      </c>
      <c r="C19" s="2">
        <v>0.2</v>
      </c>
      <c r="D19" s="2">
        <v>2</v>
      </c>
      <c r="E19" s="21">
        <f>C11/SUM(D17:D20)*D19/C19</f>
        <v>100</v>
      </c>
      <c r="F19" s="95"/>
      <c r="G19" s="96"/>
      <c r="H19" s="97"/>
    </row>
    <row r="20" spans="2:11" x14ac:dyDescent="0.2">
      <c r="B20" s="4" t="s">
        <v>37</v>
      </c>
      <c r="C20" s="2">
        <v>0.01</v>
      </c>
      <c r="D20" s="2"/>
      <c r="E20" s="21">
        <f>C14/1000/C20</f>
        <v>1</v>
      </c>
      <c r="F20" s="95"/>
      <c r="G20" s="96"/>
      <c r="H20" s="97"/>
    </row>
    <row r="21" spans="2:11" ht="17" thickBot="1" x14ac:dyDescent="0.25">
      <c r="B21" s="22" t="s">
        <v>19</v>
      </c>
      <c r="C21" s="88">
        <f>SUM(E17:F20)</f>
        <v>1000</v>
      </c>
      <c r="D21" s="89"/>
      <c r="E21" s="89"/>
      <c r="F21" s="89"/>
      <c r="G21" s="90">
        <f>SUM(G17:H20)</f>
        <v>1000</v>
      </c>
      <c r="H21" s="91"/>
    </row>
    <row r="22" spans="2:11" x14ac:dyDescent="0.2">
      <c r="B22" s="9"/>
      <c r="C22" s="10"/>
      <c r="D22" s="10"/>
      <c r="E22" s="19"/>
      <c r="F22" s="18"/>
      <c r="G22" s="20"/>
      <c r="H22" s="20"/>
    </row>
    <row r="23" spans="2:11" ht="17" thickBot="1" x14ac:dyDescent="0.25">
      <c r="B23" s="14" t="s">
        <v>45</v>
      </c>
      <c r="C23" s="2">
        <v>72</v>
      </c>
    </row>
    <row r="24" spans="2:11" x14ac:dyDescent="0.2">
      <c r="B24" s="117" t="s">
        <v>49</v>
      </c>
      <c r="C24" s="118"/>
      <c r="D24" s="93"/>
      <c r="E24" s="93"/>
      <c r="F24" s="93"/>
      <c r="G24" s="93" t="s">
        <v>33</v>
      </c>
      <c r="H24" s="94"/>
    </row>
    <row r="25" spans="2:11" x14ac:dyDescent="0.2">
      <c r="B25" s="4" t="s">
        <v>5</v>
      </c>
      <c r="C25" s="1" t="s">
        <v>7</v>
      </c>
      <c r="D25" s="1" t="s">
        <v>2</v>
      </c>
      <c r="E25" s="1" t="s">
        <v>8</v>
      </c>
      <c r="F25" s="1" t="s">
        <v>31</v>
      </c>
      <c r="G25" s="1" t="s">
        <v>16</v>
      </c>
      <c r="H25" s="17" t="s">
        <v>32</v>
      </c>
    </row>
    <row r="26" spans="2:11" x14ac:dyDescent="0.2">
      <c r="B26" s="4" t="s">
        <v>35</v>
      </c>
      <c r="C26" s="14"/>
      <c r="D26" s="14"/>
      <c r="E26" s="16">
        <f>E17*$C$23</f>
        <v>3600</v>
      </c>
      <c r="F26" s="119">
        <f>F17*C23</f>
        <v>57528</v>
      </c>
      <c r="G26" s="101">
        <f>G17*C23</f>
        <v>11520</v>
      </c>
      <c r="H26" s="122">
        <f>H17*C23</f>
        <v>60480</v>
      </c>
      <c r="J26">
        <f>0.2*E26</f>
        <v>720</v>
      </c>
      <c r="K26">
        <v>2</v>
      </c>
    </row>
    <row r="27" spans="2:11" x14ac:dyDescent="0.2">
      <c r="B27" s="4" t="s">
        <v>36</v>
      </c>
      <c r="C27" s="14"/>
      <c r="D27" s="14"/>
      <c r="E27" s="16">
        <f>E18*$C$23</f>
        <v>3600</v>
      </c>
      <c r="F27" s="120"/>
      <c r="G27" s="101"/>
      <c r="H27" s="123"/>
      <c r="J27">
        <f t="shared" ref="J27:J28" si="0">0.2*E27</f>
        <v>720</v>
      </c>
      <c r="K27">
        <v>2</v>
      </c>
    </row>
    <row r="28" spans="2:11" x14ac:dyDescent="0.2">
      <c r="B28" s="4" t="s">
        <v>4</v>
      </c>
      <c r="C28" s="14"/>
      <c r="D28" s="14"/>
      <c r="E28" s="16">
        <f>E19*$C$23</f>
        <v>7200</v>
      </c>
      <c r="F28" s="120"/>
      <c r="G28" s="101"/>
      <c r="H28" s="123"/>
      <c r="J28">
        <f t="shared" si="0"/>
        <v>1440</v>
      </c>
      <c r="K28">
        <v>4</v>
      </c>
    </row>
    <row r="29" spans="2:11" x14ac:dyDescent="0.2">
      <c r="B29" s="4" t="s">
        <v>37</v>
      </c>
      <c r="C29" s="24"/>
      <c r="D29" s="24"/>
      <c r="E29" s="35">
        <f>E20*C23</f>
        <v>72</v>
      </c>
      <c r="F29" s="121"/>
      <c r="G29" s="101"/>
      <c r="H29" s="124"/>
    </row>
    <row r="30" spans="2:11" ht="17" thickBot="1" x14ac:dyDescent="0.25">
      <c r="B30" s="22" t="s">
        <v>19</v>
      </c>
      <c r="C30" s="88">
        <f>SUM(E26:F29)</f>
        <v>72000</v>
      </c>
      <c r="D30" s="89"/>
      <c r="E30" s="89"/>
      <c r="F30" s="89"/>
      <c r="G30" s="103">
        <f>SUM(G26:H28)</f>
        <v>72000</v>
      </c>
      <c r="H30" s="104"/>
    </row>
    <row r="31" spans="2:11" x14ac:dyDescent="0.2">
      <c r="F31" s="7"/>
    </row>
    <row r="32" spans="2:11" ht="17" thickBot="1" x14ac:dyDescent="0.25">
      <c r="F32" s="7"/>
    </row>
    <row r="33" spans="2:10" ht="17" thickBot="1" x14ac:dyDescent="0.25">
      <c r="B33" s="36" t="s">
        <v>41</v>
      </c>
      <c r="C33" s="38">
        <v>100</v>
      </c>
    </row>
    <row r="34" spans="2:10" ht="24" customHeight="1" x14ac:dyDescent="0.2">
      <c r="B34" s="117" t="s">
        <v>40</v>
      </c>
      <c r="C34" s="118"/>
      <c r="D34" s="93"/>
      <c r="E34" s="93"/>
      <c r="F34" s="93"/>
      <c r="G34" s="93" t="s">
        <v>39</v>
      </c>
      <c r="H34" s="94"/>
    </row>
    <row r="35" spans="2:10" ht="24" customHeight="1" x14ac:dyDescent="0.2">
      <c r="B35" s="4" t="s">
        <v>5</v>
      </c>
      <c r="C35" s="1" t="s">
        <v>7</v>
      </c>
      <c r="D35" s="1" t="s">
        <v>2</v>
      </c>
      <c r="E35" s="1" t="s">
        <v>8</v>
      </c>
      <c r="F35" s="43" t="s">
        <v>11</v>
      </c>
      <c r="G35" s="1" t="s">
        <v>16</v>
      </c>
      <c r="H35" s="43" t="s">
        <v>11</v>
      </c>
    </row>
    <row r="36" spans="2:10" x14ac:dyDescent="0.2">
      <c r="B36" s="4" t="s">
        <v>36</v>
      </c>
      <c r="C36" s="2">
        <v>0.2</v>
      </c>
      <c r="D36" s="2">
        <v>1</v>
      </c>
      <c r="E36" s="21">
        <f>($C$11-0.1)/SUM(D36:D38)*D36/C36</f>
        <v>66.499999999999986</v>
      </c>
      <c r="F36" s="125">
        <f>C10-SUM(E36:E38)</f>
        <v>790.5</v>
      </c>
      <c r="G36" s="126">
        <v>160</v>
      </c>
      <c r="H36" s="129">
        <v>840</v>
      </c>
    </row>
    <row r="37" spans="2:10" x14ac:dyDescent="0.2">
      <c r="B37" s="4" t="s">
        <v>4</v>
      </c>
      <c r="C37" s="2">
        <v>0.2</v>
      </c>
      <c r="D37" s="2">
        <v>2</v>
      </c>
      <c r="E37" s="21">
        <f>($C$11-0.1)/SUM(D36:D38)*D37/C37</f>
        <v>132.99999999999997</v>
      </c>
      <c r="F37" s="95"/>
      <c r="G37" s="127"/>
      <c r="H37" s="130"/>
    </row>
    <row r="38" spans="2:10" x14ac:dyDescent="0.2">
      <c r="B38" s="4" t="s">
        <v>37</v>
      </c>
      <c r="C38" s="2">
        <v>0.01</v>
      </c>
      <c r="D38" s="2"/>
      <c r="E38" s="21">
        <v>10</v>
      </c>
      <c r="F38" s="95"/>
      <c r="G38" s="128"/>
      <c r="H38" s="131"/>
    </row>
    <row r="39" spans="2:10" ht="17" thickBot="1" x14ac:dyDescent="0.25">
      <c r="B39" s="22" t="s">
        <v>19</v>
      </c>
      <c r="C39" s="88">
        <f>SUM(E36:F38)</f>
        <v>1000</v>
      </c>
      <c r="D39" s="89"/>
      <c r="E39" s="89"/>
      <c r="F39" s="89"/>
      <c r="G39" s="132">
        <f>SUM(G36:H38)</f>
        <v>1000</v>
      </c>
      <c r="H39" s="133"/>
    </row>
    <row r="40" spans="2:10" x14ac:dyDescent="0.2">
      <c r="B40" s="9"/>
      <c r="C40" s="10"/>
      <c r="D40" s="10"/>
      <c r="E40" s="19"/>
      <c r="F40" s="18"/>
      <c r="G40" s="20"/>
      <c r="H40" s="20"/>
    </row>
    <row r="41" spans="2:10" ht="17" thickBot="1" x14ac:dyDescent="0.25">
      <c r="B41" s="24" t="s">
        <v>45</v>
      </c>
      <c r="C41" s="25">
        <v>72</v>
      </c>
    </row>
    <row r="42" spans="2:10" x14ac:dyDescent="0.2">
      <c r="B42" s="92" t="s">
        <v>38</v>
      </c>
      <c r="C42" s="93"/>
      <c r="D42" s="93"/>
      <c r="E42" s="93"/>
      <c r="F42" s="93"/>
      <c r="G42" s="93" t="s">
        <v>39</v>
      </c>
      <c r="H42" s="94"/>
    </row>
    <row r="43" spans="2:10" x14ac:dyDescent="0.2">
      <c r="B43" s="4" t="s">
        <v>5</v>
      </c>
      <c r="C43" s="1" t="s">
        <v>7</v>
      </c>
      <c r="D43" s="1" t="s">
        <v>2</v>
      </c>
      <c r="E43" s="1" t="s">
        <v>8</v>
      </c>
      <c r="F43" s="43" t="s">
        <v>11</v>
      </c>
      <c r="G43" s="1" t="s">
        <v>16</v>
      </c>
      <c r="H43" s="43" t="s">
        <v>11</v>
      </c>
    </row>
    <row r="44" spans="2:10" x14ac:dyDescent="0.2">
      <c r="B44" s="4" t="s">
        <v>36</v>
      </c>
      <c r="C44" s="14"/>
      <c r="D44" s="14"/>
      <c r="E44" s="16">
        <f>E36*C41</f>
        <v>4787.9999999999991</v>
      </c>
      <c r="F44" s="119">
        <f>F36*C41</f>
        <v>56916</v>
      </c>
      <c r="G44" s="101">
        <f>G36*C41</f>
        <v>11520</v>
      </c>
      <c r="H44" s="101">
        <f>H36*C41</f>
        <v>60480</v>
      </c>
      <c r="J44">
        <f>0.2*E44</f>
        <v>957.59999999999991</v>
      </c>
    </row>
    <row r="45" spans="2:10" x14ac:dyDescent="0.2">
      <c r="B45" s="4" t="s">
        <v>4</v>
      </c>
      <c r="C45" s="14"/>
      <c r="D45" s="14"/>
      <c r="E45" s="16">
        <f>E37*C41</f>
        <v>9575.9999999999982</v>
      </c>
      <c r="F45" s="120"/>
      <c r="G45" s="101"/>
      <c r="H45" s="101"/>
      <c r="J45">
        <f>0.2*E45</f>
        <v>1915.1999999999998</v>
      </c>
    </row>
    <row r="46" spans="2:10" x14ac:dyDescent="0.2">
      <c r="B46" s="4" t="s">
        <v>37</v>
      </c>
      <c r="C46" s="24"/>
      <c r="D46" s="24"/>
      <c r="E46" s="35">
        <f>E38*C41</f>
        <v>720</v>
      </c>
      <c r="F46" s="121"/>
      <c r="G46" s="101"/>
      <c r="H46" s="101"/>
    </row>
    <row r="47" spans="2:10" ht="17" thickBot="1" x14ac:dyDescent="0.25">
      <c r="B47" s="22" t="s">
        <v>19</v>
      </c>
      <c r="C47" s="88">
        <f>SUM(E44:F46)</f>
        <v>72000</v>
      </c>
      <c r="D47" s="89"/>
      <c r="E47" s="89"/>
      <c r="F47" s="89"/>
      <c r="G47" s="103">
        <f>SUM(G44:H45)</f>
        <v>72000</v>
      </c>
      <c r="H47" s="104"/>
    </row>
    <row r="50" spans="2:8" ht="17" thickBot="1" x14ac:dyDescent="0.25">
      <c r="B50" s="14" t="s">
        <v>41</v>
      </c>
      <c r="C50" s="39">
        <v>1000</v>
      </c>
    </row>
    <row r="51" spans="2:8" x14ac:dyDescent="0.2">
      <c r="B51" s="117" t="s">
        <v>40</v>
      </c>
      <c r="C51" s="118"/>
      <c r="D51" s="93"/>
      <c r="E51" s="93"/>
      <c r="F51" s="93"/>
      <c r="G51" s="93" t="s">
        <v>39</v>
      </c>
      <c r="H51" s="94"/>
    </row>
    <row r="52" spans="2:8" x14ac:dyDescent="0.2">
      <c r="B52" s="4" t="s">
        <v>5</v>
      </c>
      <c r="C52" s="1" t="s">
        <v>7</v>
      </c>
      <c r="D52" s="1" t="s">
        <v>2</v>
      </c>
      <c r="E52" s="1" t="s">
        <v>8</v>
      </c>
      <c r="F52" s="43" t="s">
        <v>11</v>
      </c>
      <c r="G52" s="1" t="s">
        <v>16</v>
      </c>
      <c r="H52" s="43" t="s">
        <v>11</v>
      </c>
    </row>
    <row r="53" spans="2:8" x14ac:dyDescent="0.2">
      <c r="B53" s="4" t="s">
        <v>36</v>
      </c>
      <c r="C53" s="2">
        <v>0.2</v>
      </c>
      <c r="D53" s="2">
        <v>1</v>
      </c>
      <c r="E53" s="21">
        <f>($C$11-1)/SUM(D53:D55)*D53/C53</f>
        <v>65</v>
      </c>
      <c r="F53" s="125">
        <f>C10-SUM(E53:E55)</f>
        <v>705</v>
      </c>
      <c r="G53" s="126">
        <v>160</v>
      </c>
      <c r="H53" s="129">
        <v>840</v>
      </c>
    </row>
    <row r="54" spans="2:8" x14ac:dyDescent="0.2">
      <c r="B54" s="4" t="s">
        <v>4</v>
      </c>
      <c r="C54" s="2">
        <v>0.2</v>
      </c>
      <c r="D54" s="2">
        <v>2</v>
      </c>
      <c r="E54" s="21">
        <f>($C$11-1)/SUM(D53:D55)*D54/C54</f>
        <v>130</v>
      </c>
      <c r="F54" s="95"/>
      <c r="G54" s="127"/>
      <c r="H54" s="130"/>
    </row>
    <row r="55" spans="2:8" x14ac:dyDescent="0.2">
      <c r="B55" s="4" t="s">
        <v>37</v>
      </c>
      <c r="C55" s="2">
        <v>0.01</v>
      </c>
      <c r="D55" s="2"/>
      <c r="E55" s="21">
        <v>100</v>
      </c>
      <c r="F55" s="95"/>
      <c r="G55" s="128"/>
      <c r="H55" s="131"/>
    </row>
    <row r="56" spans="2:8" ht="17" thickBot="1" x14ac:dyDescent="0.25">
      <c r="B56" s="22" t="s">
        <v>19</v>
      </c>
      <c r="C56" s="88">
        <f>SUM(E53:F55)</f>
        <v>1000</v>
      </c>
      <c r="D56" s="89"/>
      <c r="E56" s="89"/>
      <c r="F56" s="89"/>
      <c r="G56" s="132">
        <f>SUM(G53:H55)</f>
        <v>1000</v>
      </c>
      <c r="H56" s="133"/>
    </row>
    <row r="57" spans="2:8" ht="17" thickBot="1" x14ac:dyDescent="0.25">
      <c r="B57" s="9"/>
      <c r="C57" s="10"/>
      <c r="D57" s="10"/>
      <c r="E57" s="19"/>
      <c r="F57" s="18"/>
      <c r="G57" s="20"/>
      <c r="H57" s="20"/>
    </row>
    <row r="58" spans="2:8" ht="17" thickBot="1" x14ac:dyDescent="0.25">
      <c r="B58" s="36" t="s">
        <v>45</v>
      </c>
      <c r="C58" s="37">
        <v>1.2</v>
      </c>
    </row>
    <row r="59" spans="2:8" ht="17" thickBot="1" x14ac:dyDescent="0.25">
      <c r="B59" s="134" t="s">
        <v>38</v>
      </c>
      <c r="C59" s="135"/>
      <c r="D59" s="136"/>
      <c r="E59" s="136"/>
      <c r="F59" s="137"/>
      <c r="G59" s="110" t="s">
        <v>39</v>
      </c>
      <c r="H59" s="94"/>
    </row>
    <row r="60" spans="2:8" x14ac:dyDescent="0.2">
      <c r="B60" s="40" t="s">
        <v>5</v>
      </c>
      <c r="C60" s="41" t="s">
        <v>7</v>
      </c>
      <c r="D60" s="41" t="s">
        <v>2</v>
      </c>
      <c r="E60" s="41" t="s">
        <v>8</v>
      </c>
      <c r="F60" s="43" t="s">
        <v>11</v>
      </c>
      <c r="G60" s="1" t="s">
        <v>16</v>
      </c>
      <c r="H60" s="43" t="s">
        <v>11</v>
      </c>
    </row>
    <row r="61" spans="2:8" x14ac:dyDescent="0.2">
      <c r="B61" s="4" t="s">
        <v>36</v>
      </c>
      <c r="C61" s="14"/>
      <c r="D61" s="14"/>
      <c r="E61" s="16">
        <f>E53*C58</f>
        <v>78</v>
      </c>
      <c r="F61" s="119">
        <f>F53*C58</f>
        <v>846</v>
      </c>
      <c r="G61" s="101">
        <f>G53*C58</f>
        <v>192</v>
      </c>
      <c r="H61" s="101">
        <f>H53*C58</f>
        <v>1008</v>
      </c>
    </row>
    <row r="62" spans="2:8" x14ac:dyDescent="0.2">
      <c r="B62" s="4" t="s">
        <v>4</v>
      </c>
      <c r="C62" s="14"/>
      <c r="D62" s="14"/>
      <c r="E62" s="16">
        <f>E54*C58</f>
        <v>156</v>
      </c>
      <c r="F62" s="120"/>
      <c r="G62" s="101"/>
      <c r="H62" s="101"/>
    </row>
    <row r="63" spans="2:8" x14ac:dyDescent="0.2">
      <c r="B63" s="4" t="s">
        <v>37</v>
      </c>
      <c r="C63" s="24"/>
      <c r="D63" s="24"/>
      <c r="E63" s="35">
        <f>E55*C58</f>
        <v>120</v>
      </c>
      <c r="F63" s="121"/>
      <c r="G63" s="101"/>
      <c r="H63" s="101"/>
    </row>
    <row r="64" spans="2:8" ht="17" thickBot="1" x14ac:dyDescent="0.25">
      <c r="B64" s="22" t="s">
        <v>19</v>
      </c>
      <c r="C64" s="88">
        <f>SUM(E61:F63)</f>
        <v>1200</v>
      </c>
      <c r="D64" s="89"/>
      <c r="E64" s="89"/>
      <c r="F64" s="89"/>
      <c r="G64" s="103">
        <f>SUM(G61:H62)</f>
        <v>1200</v>
      </c>
      <c r="H64" s="104"/>
    </row>
    <row r="67" spans="2:6" ht="24" x14ac:dyDescent="0.3">
      <c r="B67" s="33"/>
      <c r="F67" s="7"/>
    </row>
    <row r="68" spans="2:6" ht="24" x14ac:dyDescent="0.3">
      <c r="B68" s="42" t="s">
        <v>50</v>
      </c>
      <c r="C68" s="33"/>
      <c r="D68" s="33"/>
      <c r="E68" s="33"/>
      <c r="F68" s="33"/>
    </row>
    <row r="69" spans="2:6" ht="24" x14ac:dyDescent="0.3">
      <c r="B69" s="33" t="s">
        <v>42</v>
      </c>
      <c r="C69" s="33"/>
      <c r="D69" s="33"/>
      <c r="E69" s="33"/>
      <c r="F69" s="33"/>
    </row>
    <row r="70" spans="2:6" ht="24" x14ac:dyDescent="0.3">
      <c r="B70" s="98" t="s">
        <v>43</v>
      </c>
      <c r="C70" s="98"/>
      <c r="D70" s="98"/>
      <c r="E70" s="98"/>
      <c r="F70" s="98"/>
    </row>
    <row r="71" spans="2:6" ht="24" x14ac:dyDescent="0.3">
      <c r="B71" s="99" t="s">
        <v>48</v>
      </c>
      <c r="C71" s="99"/>
      <c r="D71" s="99"/>
      <c r="E71" s="99"/>
      <c r="F71" s="99"/>
    </row>
    <row r="72" spans="2:6" ht="24" x14ac:dyDescent="0.3">
      <c r="B72" s="34" t="s">
        <v>44</v>
      </c>
      <c r="C72" s="34"/>
      <c r="D72" s="34"/>
      <c r="E72" s="34"/>
    </row>
    <row r="73" spans="2:6" ht="24" x14ac:dyDescent="0.3">
      <c r="B73" s="99" t="s">
        <v>46</v>
      </c>
      <c r="C73" s="99"/>
      <c r="D73" s="99"/>
      <c r="E73" s="99"/>
      <c r="F73" s="99"/>
    </row>
  </sheetData>
  <mergeCells count="45">
    <mergeCell ref="C56:F56"/>
    <mergeCell ref="G56:H56"/>
    <mergeCell ref="B71:F71"/>
    <mergeCell ref="F61:F63"/>
    <mergeCell ref="G61:G63"/>
    <mergeCell ref="H61:H63"/>
    <mergeCell ref="C64:F64"/>
    <mergeCell ref="G64:H64"/>
    <mergeCell ref="B70:F70"/>
    <mergeCell ref="H44:H46"/>
    <mergeCell ref="B51:F51"/>
    <mergeCell ref="G51:H51"/>
    <mergeCell ref="F53:F55"/>
    <mergeCell ref="G53:G55"/>
    <mergeCell ref="H53:H55"/>
    <mergeCell ref="G42:H42"/>
    <mergeCell ref="C47:F47"/>
    <mergeCell ref="G47:H47"/>
    <mergeCell ref="B73:F73"/>
    <mergeCell ref="B34:F34"/>
    <mergeCell ref="G34:H34"/>
    <mergeCell ref="F36:F38"/>
    <mergeCell ref="G36:G38"/>
    <mergeCell ref="H36:H38"/>
    <mergeCell ref="C39:F39"/>
    <mergeCell ref="G39:H39"/>
    <mergeCell ref="B42:F42"/>
    <mergeCell ref="B59:F59"/>
    <mergeCell ref="G59:H59"/>
    <mergeCell ref="F44:F46"/>
    <mergeCell ref="G44:G46"/>
    <mergeCell ref="G26:G29"/>
    <mergeCell ref="C30:F30"/>
    <mergeCell ref="G30:H30"/>
    <mergeCell ref="B15:F15"/>
    <mergeCell ref="G15:H15"/>
    <mergeCell ref="F17:F20"/>
    <mergeCell ref="G17:G20"/>
    <mergeCell ref="H17:H20"/>
    <mergeCell ref="C21:F21"/>
    <mergeCell ref="G21:H21"/>
    <mergeCell ref="B24:F24"/>
    <mergeCell ref="G24:H24"/>
    <mergeCell ref="F26:F29"/>
    <mergeCell ref="H26:H29"/>
  </mergeCells>
  <pageMargins left="0.7" right="0.7" top="0.75" bottom="0.75" header="0.3" footer="0.3"/>
  <pageSetup scale="71" fitToHeight="2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270E-B18F-1243-B899-32B759404DA2}">
  <sheetPr>
    <pageSetUpPr fitToPage="1"/>
  </sheetPr>
  <dimension ref="B1:H46"/>
  <sheetViews>
    <sheetView topLeftCell="A6" workbookViewId="0">
      <selection activeCell="B36" sqref="B36:F36"/>
    </sheetView>
  </sheetViews>
  <sheetFormatPr baseColWidth="10" defaultRowHeight="16" x14ac:dyDescent="0.2"/>
  <cols>
    <col min="2" max="2" width="69.33203125" customWidth="1"/>
    <col min="6" max="6" width="20.33203125" customWidth="1"/>
    <col min="8" max="8" width="25.83203125" customWidth="1"/>
  </cols>
  <sheetData>
    <row r="1" spans="2:8" ht="17" thickBot="1" x14ac:dyDescent="0.25"/>
    <row r="2" spans="2:8" x14ac:dyDescent="0.2">
      <c r="B2" s="3" t="s">
        <v>102</v>
      </c>
      <c r="C2" s="57"/>
    </row>
    <row r="3" spans="2:8" ht="21" x14ac:dyDescent="0.25">
      <c r="B3" s="4" t="s">
        <v>20</v>
      </c>
      <c r="C3" s="58"/>
    </row>
    <row r="4" spans="2:8" ht="22" thickBot="1" x14ac:dyDescent="0.3">
      <c r="B4" s="6" t="s">
        <v>21</v>
      </c>
      <c r="C4" s="54"/>
    </row>
    <row r="5" spans="2:8" ht="17" thickBot="1" x14ac:dyDescent="0.25"/>
    <row r="6" spans="2:8" x14ac:dyDescent="0.2">
      <c r="B6" s="3" t="s">
        <v>13</v>
      </c>
      <c r="C6" s="11">
        <v>1</v>
      </c>
    </row>
    <row r="7" spans="2:8" x14ac:dyDescent="0.2">
      <c r="B7" s="4" t="s">
        <v>0</v>
      </c>
      <c r="C7" s="59">
        <v>3</v>
      </c>
    </row>
    <row r="8" spans="2:8" x14ac:dyDescent="0.2">
      <c r="B8" s="4" t="s">
        <v>1</v>
      </c>
      <c r="C8" s="12">
        <v>30</v>
      </c>
    </row>
    <row r="9" spans="2:8" x14ac:dyDescent="0.2">
      <c r="B9" s="4" t="s">
        <v>10</v>
      </c>
      <c r="C9" s="12">
        <v>1.5</v>
      </c>
    </row>
    <row r="10" spans="2:8" x14ac:dyDescent="0.2">
      <c r="B10" s="4" t="s">
        <v>23</v>
      </c>
      <c r="C10" s="15">
        <f>30/20/2*1000</f>
        <v>750</v>
      </c>
    </row>
    <row r="11" spans="2:8" x14ac:dyDescent="0.2">
      <c r="B11" s="4" t="s">
        <v>22</v>
      </c>
      <c r="C11" s="17">
        <f>C8/30*C10</f>
        <v>750</v>
      </c>
    </row>
    <row r="12" spans="2:8" x14ac:dyDescent="0.2">
      <c r="B12" s="4" t="s">
        <v>14</v>
      </c>
      <c r="C12" s="12">
        <f>C8*C9</f>
        <v>45</v>
      </c>
    </row>
    <row r="13" spans="2:8" ht="17" thickBot="1" x14ac:dyDescent="0.25">
      <c r="B13" s="6" t="s">
        <v>15</v>
      </c>
      <c r="C13" s="13">
        <f>C12*C7</f>
        <v>135</v>
      </c>
    </row>
    <row r="14" spans="2:8" ht="17" thickBot="1" x14ac:dyDescent="0.25">
      <c r="B14" s="9"/>
      <c r="C14" s="10"/>
    </row>
    <row r="15" spans="2:8" ht="17" thickBot="1" x14ac:dyDescent="0.25">
      <c r="B15" s="36" t="s">
        <v>41</v>
      </c>
      <c r="C15" s="38">
        <v>150</v>
      </c>
    </row>
    <row r="16" spans="2:8" x14ac:dyDescent="0.2">
      <c r="B16" s="92" t="s">
        <v>9</v>
      </c>
      <c r="C16" s="93"/>
      <c r="D16" s="93"/>
      <c r="E16" s="93"/>
      <c r="F16" s="93"/>
      <c r="G16" s="93" t="s">
        <v>12</v>
      </c>
      <c r="H16" s="94"/>
    </row>
    <row r="17" spans="2:8" x14ac:dyDescent="0.2">
      <c r="B17" s="4" t="s">
        <v>5</v>
      </c>
      <c r="C17" s="1" t="s">
        <v>7</v>
      </c>
      <c r="D17" s="1" t="s">
        <v>2</v>
      </c>
      <c r="E17" s="1" t="s">
        <v>8</v>
      </c>
      <c r="F17" s="1" t="s">
        <v>11</v>
      </c>
      <c r="G17" s="1" t="s">
        <v>16</v>
      </c>
      <c r="H17" s="17" t="s">
        <v>17</v>
      </c>
    </row>
    <row r="18" spans="2:8" x14ac:dyDescent="0.2">
      <c r="B18" s="4" t="s">
        <v>36</v>
      </c>
      <c r="C18" s="2">
        <v>0.2</v>
      </c>
      <c r="D18" s="2">
        <v>1</v>
      </c>
      <c r="E18" s="21">
        <f>(C12-C15/1000)/SUM(D18:D20)*D18/C18</f>
        <v>74.75</v>
      </c>
      <c r="F18" s="95">
        <f>C11-SUM(E18:E20)</f>
        <v>510.75</v>
      </c>
      <c r="G18" s="96">
        <f>C13/C6</f>
        <v>135</v>
      </c>
      <c r="H18" s="97">
        <f>C11-G18</f>
        <v>615</v>
      </c>
    </row>
    <row r="19" spans="2:8" x14ac:dyDescent="0.2">
      <c r="B19" s="4" t="s">
        <v>4</v>
      </c>
      <c r="C19" s="2">
        <v>0.2</v>
      </c>
      <c r="D19" s="2">
        <v>2</v>
      </c>
      <c r="E19" s="21">
        <f>(C12-C15/1000)/SUM(D18:D20)*D19/C19</f>
        <v>149.5</v>
      </c>
      <c r="F19" s="95"/>
      <c r="G19" s="96"/>
      <c r="H19" s="97"/>
    </row>
    <row r="20" spans="2:8" x14ac:dyDescent="0.2">
      <c r="B20" s="4" t="s">
        <v>37</v>
      </c>
      <c r="C20" s="2">
        <v>0.01</v>
      </c>
      <c r="D20" s="2"/>
      <c r="E20" s="21">
        <v>15</v>
      </c>
      <c r="F20" s="95"/>
      <c r="G20" s="96"/>
      <c r="H20" s="97"/>
    </row>
    <row r="21" spans="2:8" ht="17" thickBot="1" x14ac:dyDescent="0.25">
      <c r="B21" s="22" t="s">
        <v>19</v>
      </c>
      <c r="C21" s="88">
        <f>SUM(E18:F20)</f>
        <v>750</v>
      </c>
      <c r="D21" s="89"/>
      <c r="E21" s="89"/>
      <c r="F21" s="89"/>
      <c r="G21" s="90">
        <f>SUM(G18:H20)</f>
        <v>750</v>
      </c>
      <c r="H21" s="91"/>
    </row>
    <row r="22" spans="2:8" x14ac:dyDescent="0.2">
      <c r="B22" s="9"/>
      <c r="C22" s="10"/>
      <c r="D22" s="10"/>
      <c r="E22" s="19"/>
      <c r="F22" s="18"/>
      <c r="G22" s="20"/>
      <c r="H22" s="20"/>
    </row>
    <row r="23" spans="2:8" ht="17" thickBot="1" x14ac:dyDescent="0.25">
      <c r="B23" s="24" t="s">
        <v>87</v>
      </c>
      <c r="C23" s="25">
        <v>4</v>
      </c>
    </row>
    <row r="24" spans="2:8" x14ac:dyDescent="0.2">
      <c r="B24" s="105" t="s">
        <v>9</v>
      </c>
      <c r="C24" s="106"/>
      <c r="D24" s="106"/>
      <c r="E24" s="106"/>
      <c r="F24" s="106"/>
      <c r="G24" s="106" t="s">
        <v>12</v>
      </c>
      <c r="H24" s="107"/>
    </row>
    <row r="25" spans="2:8" x14ac:dyDescent="0.2">
      <c r="B25" s="4" t="s">
        <v>5</v>
      </c>
      <c r="C25" s="1" t="s">
        <v>7</v>
      </c>
      <c r="D25" s="1" t="s">
        <v>2</v>
      </c>
      <c r="E25" s="1" t="s">
        <v>8</v>
      </c>
      <c r="F25" s="1" t="s">
        <v>11</v>
      </c>
      <c r="G25" s="1" t="s">
        <v>16</v>
      </c>
      <c r="H25" s="17" t="s">
        <v>17</v>
      </c>
    </row>
    <row r="26" spans="2:8" x14ac:dyDescent="0.2">
      <c r="B26" s="4" t="s">
        <v>36</v>
      </c>
      <c r="C26" s="14"/>
      <c r="D26" s="14"/>
      <c r="E26" s="16">
        <f>E18*$C$23</f>
        <v>299</v>
      </c>
      <c r="F26" s="100">
        <f>F18*C23</f>
        <v>2043</v>
      </c>
      <c r="G26" s="101">
        <f>G18*C23</f>
        <v>540</v>
      </c>
      <c r="H26" s="102">
        <f>H18*C23</f>
        <v>2460</v>
      </c>
    </row>
    <row r="27" spans="2:8" x14ac:dyDescent="0.2">
      <c r="B27" s="4" t="s">
        <v>4</v>
      </c>
      <c r="C27" s="14"/>
      <c r="D27" s="14"/>
      <c r="E27" s="16">
        <f t="shared" ref="E27:E28" si="0">E19*$C$23</f>
        <v>598</v>
      </c>
      <c r="F27" s="100"/>
      <c r="G27" s="101"/>
      <c r="H27" s="102"/>
    </row>
    <row r="28" spans="2:8" x14ac:dyDescent="0.2">
      <c r="B28" s="4" t="s">
        <v>37</v>
      </c>
      <c r="C28" s="14"/>
      <c r="D28" s="14"/>
      <c r="E28" s="16">
        <f t="shared" si="0"/>
        <v>60</v>
      </c>
      <c r="F28" s="100"/>
      <c r="G28" s="101"/>
      <c r="H28" s="102"/>
    </row>
    <row r="29" spans="2:8" ht="17" thickBot="1" x14ac:dyDescent="0.25">
      <c r="B29" s="22" t="s">
        <v>19</v>
      </c>
      <c r="C29" s="88">
        <f>SUM(E26:F28)</f>
        <v>3000</v>
      </c>
      <c r="D29" s="89"/>
      <c r="E29" s="89"/>
      <c r="F29" s="89"/>
      <c r="G29" s="103">
        <f>SUM(G26:H28)</f>
        <v>3000</v>
      </c>
      <c r="H29" s="104"/>
    </row>
    <row r="30" spans="2:8" x14ac:dyDescent="0.2">
      <c r="F30" s="7"/>
    </row>
    <row r="32" spans="2:8" ht="24" x14ac:dyDescent="0.3">
      <c r="B32" s="53" t="s">
        <v>25</v>
      </c>
    </row>
    <row r="33" spans="2:6" ht="24" x14ac:dyDescent="0.3">
      <c r="B33" s="33" t="s">
        <v>42</v>
      </c>
    </row>
    <row r="34" spans="2:6" ht="24" x14ac:dyDescent="0.3">
      <c r="B34" s="33" t="s">
        <v>43</v>
      </c>
    </row>
    <row r="35" spans="2:6" ht="24" x14ac:dyDescent="0.3">
      <c r="B35" s="34" t="s">
        <v>24</v>
      </c>
    </row>
    <row r="36" spans="2:6" ht="24" x14ac:dyDescent="0.3">
      <c r="B36" s="99" t="s">
        <v>88</v>
      </c>
      <c r="C36" s="99"/>
      <c r="D36" s="99"/>
      <c r="E36" s="99"/>
      <c r="F36" s="99"/>
    </row>
    <row r="45" spans="2:6" ht="24" x14ac:dyDescent="0.3">
      <c r="B45" s="34"/>
    </row>
    <row r="46" spans="2:6" ht="24" x14ac:dyDescent="0.3">
      <c r="B46" s="34"/>
    </row>
  </sheetData>
  <mergeCells count="15">
    <mergeCell ref="B36:F36"/>
    <mergeCell ref="F26:F28"/>
    <mergeCell ref="G26:G28"/>
    <mergeCell ref="H26:H28"/>
    <mergeCell ref="C29:F29"/>
    <mergeCell ref="G29:H29"/>
    <mergeCell ref="C21:F21"/>
    <mergeCell ref="G21:H21"/>
    <mergeCell ref="B24:F24"/>
    <mergeCell ref="G24:H24"/>
    <mergeCell ref="B16:F16"/>
    <mergeCell ref="G16:H16"/>
    <mergeCell ref="F18:F20"/>
    <mergeCell ref="G18:G20"/>
    <mergeCell ref="H18:H20"/>
  </mergeCells>
  <pageMargins left="0.7" right="0.7" top="0.75" bottom="0.75" header="0.3" footer="0.3"/>
  <pageSetup scale="7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08D4-32B5-E846-8D87-7E0C040463F8}">
  <dimension ref="A1:K104"/>
  <sheetViews>
    <sheetView topLeftCell="A45" zoomScale="142" workbookViewId="0">
      <selection activeCell="E108" sqref="E108"/>
    </sheetView>
  </sheetViews>
  <sheetFormatPr baseColWidth="10" defaultRowHeight="16" x14ac:dyDescent="0.2"/>
  <cols>
    <col min="2" max="2" width="30.83203125" customWidth="1"/>
    <col min="5" max="5" width="20.33203125" customWidth="1"/>
    <col min="9" max="9" width="15.5" customWidth="1"/>
  </cols>
  <sheetData>
    <row r="1" spans="1:5" ht="17" thickBot="1" x14ac:dyDescent="0.25"/>
    <row r="2" spans="1:5" x14ac:dyDescent="0.2">
      <c r="B2" s="26"/>
      <c r="C2" s="27" t="s">
        <v>20</v>
      </c>
    </row>
    <row r="3" spans="1:5" ht="17" thickBot="1" x14ac:dyDescent="0.25">
      <c r="B3" s="28"/>
      <c r="C3" s="23" t="s">
        <v>21</v>
      </c>
    </row>
    <row r="4" spans="1:5" ht="27" thickBot="1" x14ac:dyDescent="0.35">
      <c r="A4" s="50" t="s">
        <v>63</v>
      </c>
    </row>
    <row r="5" spans="1:5" x14ac:dyDescent="0.2">
      <c r="B5" s="3"/>
      <c r="C5" s="27" t="s">
        <v>55</v>
      </c>
    </row>
    <row r="6" spans="1:5" x14ac:dyDescent="0.2">
      <c r="B6" s="4" t="s">
        <v>52</v>
      </c>
      <c r="C6" s="17">
        <v>6</v>
      </c>
    </row>
    <row r="7" spans="1:5" x14ac:dyDescent="0.2">
      <c r="B7" s="4" t="s">
        <v>51</v>
      </c>
      <c r="C7" s="17">
        <v>0.6</v>
      </c>
    </row>
    <row r="8" spans="1:5" x14ac:dyDescent="0.2">
      <c r="B8" s="4" t="s">
        <v>79</v>
      </c>
      <c r="C8" s="17">
        <v>6</v>
      </c>
    </row>
    <row r="9" spans="1:5" x14ac:dyDescent="0.2">
      <c r="B9" s="4" t="s">
        <v>53</v>
      </c>
      <c r="C9" s="17">
        <v>3</v>
      </c>
    </row>
    <row r="10" spans="1:5" x14ac:dyDescent="0.2">
      <c r="B10" s="4" t="s">
        <v>54</v>
      </c>
      <c r="C10" s="17">
        <v>44.4</v>
      </c>
    </row>
    <row r="11" spans="1:5" ht="17" thickBot="1" x14ac:dyDescent="0.25">
      <c r="B11" s="44" t="s">
        <v>56</v>
      </c>
      <c r="C11" s="45">
        <f>SUM(C6:C10)</f>
        <v>60</v>
      </c>
    </row>
    <row r="13" spans="1:5" ht="17" thickBot="1" x14ac:dyDescent="0.25"/>
    <row r="14" spans="1:5" ht="17" thickBot="1" x14ac:dyDescent="0.25">
      <c r="B14" s="49" t="s">
        <v>57</v>
      </c>
      <c r="C14" s="37">
        <v>6.7</v>
      </c>
    </row>
    <row r="15" spans="1:5" x14ac:dyDescent="0.2">
      <c r="B15" s="40"/>
      <c r="C15" s="46" t="s">
        <v>55</v>
      </c>
    </row>
    <row r="16" spans="1:5" x14ac:dyDescent="0.2">
      <c r="B16" s="4" t="s">
        <v>52</v>
      </c>
      <c r="C16" s="17">
        <f>C6*$C$14</f>
        <v>40.200000000000003</v>
      </c>
      <c r="E16">
        <f>C16*4*1.2</f>
        <v>192.96</v>
      </c>
    </row>
    <row r="17" spans="1:10" x14ac:dyDescent="0.2">
      <c r="B17" s="4" t="s">
        <v>51</v>
      </c>
      <c r="C17" s="17">
        <f>C7*$C$14</f>
        <v>4.0199999999999996</v>
      </c>
      <c r="E17">
        <f t="shared" ref="E17:E21" si="0">C17*4*1.2</f>
        <v>19.295999999999996</v>
      </c>
    </row>
    <row r="18" spans="1:10" x14ac:dyDescent="0.2">
      <c r="B18" s="4" t="s">
        <v>83</v>
      </c>
      <c r="C18" s="17">
        <f>C8*$C$14</f>
        <v>40.200000000000003</v>
      </c>
      <c r="E18">
        <f t="shared" si="0"/>
        <v>192.96</v>
      </c>
    </row>
    <row r="19" spans="1:10" x14ac:dyDescent="0.2">
      <c r="B19" s="4" t="s">
        <v>53</v>
      </c>
      <c r="C19" s="17"/>
      <c r="E19">
        <f t="shared" si="0"/>
        <v>0</v>
      </c>
    </row>
    <row r="20" spans="1:10" x14ac:dyDescent="0.2">
      <c r="B20" s="4" t="s">
        <v>54</v>
      </c>
      <c r="C20" s="17">
        <f>C10*$C$14</f>
        <v>297.48</v>
      </c>
      <c r="E20">
        <f t="shared" si="0"/>
        <v>1427.904</v>
      </c>
    </row>
    <row r="21" spans="1:10" ht="17" thickBot="1" x14ac:dyDescent="0.25">
      <c r="B21" s="44" t="s">
        <v>56</v>
      </c>
      <c r="C21" s="23">
        <f>C11*$C$14</f>
        <v>402</v>
      </c>
      <c r="E21">
        <f t="shared" si="0"/>
        <v>1929.6</v>
      </c>
    </row>
    <row r="24" spans="1:10" ht="22" thickBot="1" x14ac:dyDescent="0.3">
      <c r="A24" s="48" t="s">
        <v>62</v>
      </c>
    </row>
    <row r="25" spans="1:10" x14ac:dyDescent="0.2">
      <c r="B25" s="3"/>
      <c r="C25" s="27" t="s">
        <v>55</v>
      </c>
      <c r="I25" s="3"/>
      <c r="J25" s="27" t="s">
        <v>55</v>
      </c>
    </row>
    <row r="26" spans="1:10" x14ac:dyDescent="0.2">
      <c r="B26" s="4" t="s">
        <v>58</v>
      </c>
      <c r="C26" s="17">
        <v>12.5</v>
      </c>
      <c r="I26" s="4" t="s">
        <v>58</v>
      </c>
      <c r="J26" s="17">
        <v>12.5</v>
      </c>
    </row>
    <row r="27" spans="1:10" x14ac:dyDescent="0.2">
      <c r="B27" s="4" t="s">
        <v>66</v>
      </c>
      <c r="C27" s="17">
        <v>0.25</v>
      </c>
      <c r="I27" s="4" t="s">
        <v>66</v>
      </c>
      <c r="J27" s="17">
        <v>0.25</v>
      </c>
    </row>
    <row r="28" spans="1:10" x14ac:dyDescent="0.2">
      <c r="B28" s="4" t="s">
        <v>67</v>
      </c>
      <c r="C28" s="17">
        <v>0.25</v>
      </c>
      <c r="I28" s="4" t="s">
        <v>67</v>
      </c>
      <c r="J28" s="17">
        <v>0.25</v>
      </c>
    </row>
    <row r="29" spans="1:10" x14ac:dyDescent="0.2">
      <c r="B29" s="4" t="s">
        <v>61</v>
      </c>
      <c r="C29" s="17">
        <v>2.5</v>
      </c>
      <c r="I29" s="4" t="s">
        <v>61</v>
      </c>
      <c r="J29" s="17">
        <v>2.5</v>
      </c>
    </row>
    <row r="30" spans="1:10" x14ac:dyDescent="0.2">
      <c r="B30" s="4" t="s">
        <v>68</v>
      </c>
      <c r="C30" s="17">
        <v>0.3</v>
      </c>
      <c r="F30" t="s">
        <v>69</v>
      </c>
      <c r="I30" s="4" t="s">
        <v>68</v>
      </c>
      <c r="J30" s="17">
        <v>0</v>
      </c>
    </row>
    <row r="31" spans="1:10" x14ac:dyDescent="0.2">
      <c r="B31" s="4" t="s">
        <v>54</v>
      </c>
      <c r="C31" s="47">
        <v>9.1999999999999993</v>
      </c>
      <c r="F31" t="s">
        <v>70</v>
      </c>
      <c r="I31" s="4" t="s">
        <v>54</v>
      </c>
      <c r="J31" s="47">
        <v>9.5</v>
      </c>
    </row>
    <row r="32" spans="1:10" ht="17" thickBot="1" x14ac:dyDescent="0.25">
      <c r="B32" s="44" t="s">
        <v>56</v>
      </c>
      <c r="C32" s="45">
        <f>SUM(C26:C31)</f>
        <v>25</v>
      </c>
      <c r="I32" s="44" t="s">
        <v>56</v>
      </c>
      <c r="J32" s="45">
        <v>25</v>
      </c>
    </row>
    <row r="33" spans="1:10" ht="17" thickBot="1" x14ac:dyDescent="0.25"/>
    <row r="34" spans="1:10" ht="17" thickBot="1" x14ac:dyDescent="0.25">
      <c r="B34" s="49" t="s">
        <v>57</v>
      </c>
      <c r="C34" s="37">
        <f>12*1.2</f>
        <v>14.399999999999999</v>
      </c>
      <c r="I34" s="49" t="s">
        <v>57</v>
      </c>
      <c r="J34" s="37">
        <v>9.6</v>
      </c>
    </row>
    <row r="35" spans="1:10" x14ac:dyDescent="0.2">
      <c r="B35" s="40"/>
      <c r="C35" s="46" t="s">
        <v>55</v>
      </c>
      <c r="I35" s="40"/>
      <c r="J35" s="46" t="s">
        <v>55</v>
      </c>
    </row>
    <row r="36" spans="1:10" x14ac:dyDescent="0.2">
      <c r="B36" s="4" t="s">
        <v>58</v>
      </c>
      <c r="C36" s="17">
        <f>C26*$C$34</f>
        <v>179.99999999999997</v>
      </c>
      <c r="I36" s="4" t="s">
        <v>58</v>
      </c>
      <c r="J36" s="17">
        <f>J26*$J$34</f>
        <v>120</v>
      </c>
    </row>
    <row r="37" spans="1:10" x14ac:dyDescent="0.2">
      <c r="B37" s="4" t="s">
        <v>59</v>
      </c>
      <c r="C37" s="17">
        <f>C27*$C$34</f>
        <v>3.5999999999999996</v>
      </c>
      <c r="I37" s="4" t="s">
        <v>59</v>
      </c>
      <c r="J37" s="17">
        <f t="shared" ref="J37:J42" si="1">J27*$J$34</f>
        <v>2.4</v>
      </c>
    </row>
    <row r="38" spans="1:10" x14ac:dyDescent="0.2">
      <c r="B38" s="4" t="s">
        <v>60</v>
      </c>
      <c r="C38" s="17">
        <f>C28*$C$34</f>
        <v>3.5999999999999996</v>
      </c>
      <c r="I38" s="4" t="s">
        <v>60</v>
      </c>
      <c r="J38" s="17">
        <f t="shared" si="1"/>
        <v>2.4</v>
      </c>
    </row>
    <row r="39" spans="1:10" x14ac:dyDescent="0.2">
      <c r="B39" s="4" t="s">
        <v>84</v>
      </c>
      <c r="C39" s="17"/>
      <c r="I39" s="4" t="s">
        <v>61</v>
      </c>
      <c r="J39" s="17"/>
    </row>
    <row r="40" spans="1:10" x14ac:dyDescent="0.2">
      <c r="B40" s="4" t="s">
        <v>68</v>
      </c>
      <c r="C40" s="17">
        <f>C30*$C$34</f>
        <v>4.3199999999999994</v>
      </c>
      <c r="I40" s="4" t="s">
        <v>68</v>
      </c>
      <c r="J40" s="17">
        <f t="shared" si="1"/>
        <v>0</v>
      </c>
    </row>
    <row r="41" spans="1:10" x14ac:dyDescent="0.2">
      <c r="B41" s="4" t="s">
        <v>54</v>
      </c>
      <c r="C41" s="17">
        <f>C31*$C$34</f>
        <v>132.47999999999999</v>
      </c>
      <c r="I41" s="4" t="s">
        <v>54</v>
      </c>
      <c r="J41" s="17">
        <f t="shared" si="1"/>
        <v>91.2</v>
      </c>
    </row>
    <row r="42" spans="1:10" ht="17" thickBot="1" x14ac:dyDescent="0.25">
      <c r="B42" s="44" t="s">
        <v>56</v>
      </c>
      <c r="C42" s="23">
        <f>C32*$C$34</f>
        <v>359.99999999999994</v>
      </c>
      <c r="I42" s="44" t="s">
        <v>56</v>
      </c>
      <c r="J42" s="17">
        <f t="shared" si="1"/>
        <v>240</v>
      </c>
    </row>
    <row r="48" spans="1:10" ht="21" x14ac:dyDescent="0.25">
      <c r="A48" s="51" t="s">
        <v>72</v>
      </c>
      <c r="H48" s="51" t="s">
        <v>77</v>
      </c>
    </row>
    <row r="49" spans="2:11" ht="17" thickBot="1" x14ac:dyDescent="0.25"/>
    <row r="50" spans="2:11" x14ac:dyDescent="0.2">
      <c r="B50" s="3"/>
      <c r="C50" s="27" t="s">
        <v>55</v>
      </c>
      <c r="E50" s="3"/>
      <c r="F50" s="27" t="s">
        <v>55</v>
      </c>
      <c r="I50" s="3"/>
      <c r="J50" s="27" t="s">
        <v>55</v>
      </c>
      <c r="K50" s="52"/>
    </row>
    <row r="51" spans="2:11" x14ac:dyDescent="0.2">
      <c r="B51" s="4" t="s">
        <v>73</v>
      </c>
      <c r="C51" s="17">
        <v>12.5</v>
      </c>
      <c r="E51" s="4" t="s">
        <v>73</v>
      </c>
      <c r="F51" s="17">
        <v>25</v>
      </c>
      <c r="I51" s="4" t="s">
        <v>73</v>
      </c>
      <c r="J51" s="17">
        <v>12.5</v>
      </c>
    </row>
    <row r="52" spans="2:11" x14ac:dyDescent="0.2">
      <c r="B52" s="4" t="s">
        <v>66</v>
      </c>
      <c r="C52" s="17">
        <v>1.25</v>
      </c>
      <c r="E52" s="4" t="s">
        <v>66</v>
      </c>
      <c r="F52" s="17">
        <v>2.5</v>
      </c>
      <c r="I52" s="4" t="s">
        <v>78</v>
      </c>
      <c r="J52" s="17">
        <v>5</v>
      </c>
    </row>
    <row r="53" spans="2:11" x14ac:dyDescent="0.2">
      <c r="B53" s="4" t="s">
        <v>67</v>
      </c>
      <c r="C53" s="17">
        <v>1.25</v>
      </c>
      <c r="E53" s="4" t="s">
        <v>67</v>
      </c>
      <c r="F53" s="17">
        <v>2.5</v>
      </c>
      <c r="I53" s="4" t="s">
        <v>61</v>
      </c>
      <c r="J53" s="17">
        <v>7.5</v>
      </c>
    </row>
    <row r="54" spans="2:11" x14ac:dyDescent="0.2">
      <c r="B54" s="4" t="s">
        <v>61</v>
      </c>
      <c r="C54" s="17">
        <v>2</v>
      </c>
      <c r="E54" s="4" t="s">
        <v>61</v>
      </c>
      <c r="F54" s="17">
        <v>1</v>
      </c>
      <c r="I54" s="4" t="s">
        <v>54</v>
      </c>
      <c r="J54" s="47">
        <v>0</v>
      </c>
    </row>
    <row r="55" spans="2:11" ht="17" thickBot="1" x14ac:dyDescent="0.25">
      <c r="B55" s="4" t="s">
        <v>54</v>
      </c>
      <c r="C55" s="47">
        <v>8</v>
      </c>
      <c r="E55" s="4" t="s">
        <v>54</v>
      </c>
      <c r="F55" s="47">
        <v>19</v>
      </c>
      <c r="I55" s="44" t="s">
        <v>56</v>
      </c>
      <c r="J55" s="45">
        <v>25</v>
      </c>
    </row>
    <row r="56" spans="2:11" ht="17" thickBot="1" x14ac:dyDescent="0.25">
      <c r="B56" s="44" t="s">
        <v>56</v>
      </c>
      <c r="C56" s="45">
        <v>25</v>
      </c>
      <c r="E56" s="44" t="s">
        <v>56</v>
      </c>
      <c r="F56" s="45">
        <v>50</v>
      </c>
    </row>
    <row r="57" spans="2:11" ht="17" thickBot="1" x14ac:dyDescent="0.25">
      <c r="I57" s="49" t="s">
        <v>57</v>
      </c>
      <c r="J57" s="37">
        <v>1</v>
      </c>
    </row>
    <row r="58" spans="2:11" ht="17" thickBot="1" x14ac:dyDescent="0.25">
      <c r="B58" s="49" t="s">
        <v>57</v>
      </c>
      <c r="C58" s="37">
        <v>14.4</v>
      </c>
      <c r="E58" s="49" t="s">
        <v>57</v>
      </c>
      <c r="F58" s="37">
        <v>4.8</v>
      </c>
      <c r="I58" s="40"/>
      <c r="J58" s="46" t="s">
        <v>55</v>
      </c>
    </row>
    <row r="59" spans="2:11" x14ac:dyDescent="0.2">
      <c r="B59" s="40"/>
      <c r="C59" s="46" t="s">
        <v>55</v>
      </c>
      <c r="E59" s="40"/>
      <c r="F59" s="46" t="s">
        <v>55</v>
      </c>
      <c r="I59" s="4" t="s">
        <v>73</v>
      </c>
      <c r="J59" s="17">
        <f>J51*$J$57</f>
        <v>12.5</v>
      </c>
    </row>
    <row r="60" spans="2:11" x14ac:dyDescent="0.2">
      <c r="B60" s="4" t="s">
        <v>73</v>
      </c>
      <c r="C60" s="17">
        <f>C51*$C$58</f>
        <v>180</v>
      </c>
      <c r="E60" s="4" t="s">
        <v>73</v>
      </c>
      <c r="F60" s="17">
        <f>F51*$F$58</f>
        <v>120</v>
      </c>
      <c r="I60" s="4" t="s">
        <v>78</v>
      </c>
      <c r="J60" s="17"/>
    </row>
    <row r="61" spans="2:11" x14ac:dyDescent="0.2">
      <c r="B61" s="4" t="s">
        <v>59</v>
      </c>
      <c r="C61" s="17">
        <f>C52*$C$58</f>
        <v>18</v>
      </c>
      <c r="E61" s="4" t="s">
        <v>59</v>
      </c>
      <c r="F61" s="17">
        <f>F52*$F$58</f>
        <v>12</v>
      </c>
      <c r="I61" s="4" t="s">
        <v>61</v>
      </c>
      <c r="J61" s="17"/>
    </row>
    <row r="62" spans="2:11" x14ac:dyDescent="0.2">
      <c r="B62" s="4" t="s">
        <v>60</v>
      </c>
      <c r="C62" s="17">
        <f t="shared" ref="C62:C65" si="2">C53*$C$58</f>
        <v>18</v>
      </c>
      <c r="E62" s="4" t="s">
        <v>60</v>
      </c>
      <c r="F62" s="17">
        <f>F53*$F$58</f>
        <v>12</v>
      </c>
      <c r="I62" s="4" t="s">
        <v>54</v>
      </c>
      <c r="J62" s="17">
        <f t="shared" ref="J62:J63" si="3">J54*$J$57</f>
        <v>0</v>
      </c>
    </row>
    <row r="63" spans="2:11" ht="17" thickBot="1" x14ac:dyDescent="0.25">
      <c r="B63" s="4" t="s">
        <v>82</v>
      </c>
      <c r="C63" s="17"/>
      <c r="E63" s="4" t="s">
        <v>85</v>
      </c>
      <c r="F63" s="17"/>
      <c r="I63" s="44" t="s">
        <v>56</v>
      </c>
      <c r="J63" s="17">
        <f t="shared" si="3"/>
        <v>25</v>
      </c>
    </row>
    <row r="64" spans="2:11" x14ac:dyDescent="0.2">
      <c r="B64" s="4" t="s">
        <v>54</v>
      </c>
      <c r="C64" s="17">
        <f t="shared" si="2"/>
        <v>115.2</v>
      </c>
      <c r="E64" s="4" t="s">
        <v>54</v>
      </c>
      <c r="F64" s="17">
        <f>F55*$F$58</f>
        <v>91.2</v>
      </c>
    </row>
    <row r="65" spans="1:6" ht="17" thickBot="1" x14ac:dyDescent="0.25">
      <c r="B65" s="44" t="s">
        <v>56</v>
      </c>
      <c r="C65" s="17">
        <f t="shared" si="2"/>
        <v>360</v>
      </c>
      <c r="E65" s="44" t="s">
        <v>56</v>
      </c>
      <c r="F65" s="17">
        <f>F56*$F$58</f>
        <v>240</v>
      </c>
    </row>
    <row r="72" spans="1:6" ht="21" x14ac:dyDescent="0.25">
      <c r="A72" s="51" t="s">
        <v>74</v>
      </c>
    </row>
    <row r="73" spans="1:6" ht="17" thickBot="1" x14ac:dyDescent="0.25">
      <c r="E73" t="s">
        <v>81</v>
      </c>
    </row>
    <row r="74" spans="1:6" x14ac:dyDescent="0.2">
      <c r="B74" s="3"/>
      <c r="C74" s="27" t="s">
        <v>55</v>
      </c>
    </row>
    <row r="75" spans="1:6" x14ac:dyDescent="0.2">
      <c r="B75" s="4" t="s">
        <v>76</v>
      </c>
      <c r="C75" s="17">
        <v>12.5</v>
      </c>
    </row>
    <row r="76" spans="1:6" x14ac:dyDescent="0.2">
      <c r="B76" s="4" t="s">
        <v>75</v>
      </c>
      <c r="C76" s="17">
        <v>0.5</v>
      </c>
    </row>
    <row r="77" spans="1:6" x14ac:dyDescent="0.2">
      <c r="B77" s="4" t="s">
        <v>80</v>
      </c>
      <c r="C77" s="17">
        <v>0.5</v>
      </c>
    </row>
    <row r="78" spans="1:6" x14ac:dyDescent="0.2">
      <c r="B78" s="4" t="s">
        <v>61</v>
      </c>
      <c r="C78" s="17">
        <v>2</v>
      </c>
    </row>
    <row r="79" spans="1:6" x14ac:dyDescent="0.2">
      <c r="B79" s="4" t="s">
        <v>54</v>
      </c>
      <c r="C79" s="47">
        <v>9.5</v>
      </c>
    </row>
    <row r="80" spans="1:6" ht="17" thickBot="1" x14ac:dyDescent="0.25">
      <c r="B80" s="44" t="s">
        <v>56</v>
      </c>
      <c r="C80" s="45">
        <v>25</v>
      </c>
    </row>
    <row r="81" spans="1:3" ht="17" thickBot="1" x14ac:dyDescent="0.25"/>
    <row r="82" spans="1:3" ht="17" thickBot="1" x14ac:dyDescent="0.25">
      <c r="B82" s="49" t="s">
        <v>57</v>
      </c>
      <c r="C82" s="37">
        <v>4.8</v>
      </c>
    </row>
    <row r="83" spans="1:3" x14ac:dyDescent="0.2">
      <c r="B83" s="40"/>
      <c r="C83" s="46" t="s">
        <v>55</v>
      </c>
    </row>
    <row r="84" spans="1:3" x14ac:dyDescent="0.2">
      <c r="B84" s="4" t="s">
        <v>76</v>
      </c>
      <c r="C84" s="17">
        <f>C75*$C$82</f>
        <v>60</v>
      </c>
    </row>
    <row r="85" spans="1:3" x14ac:dyDescent="0.2">
      <c r="B85" s="4" t="s">
        <v>75</v>
      </c>
      <c r="C85" s="17">
        <f t="shared" ref="C85:C89" si="4">C76*$C$82</f>
        <v>2.4</v>
      </c>
    </row>
    <row r="86" spans="1:3" x14ac:dyDescent="0.2">
      <c r="B86" s="4" t="s">
        <v>80</v>
      </c>
      <c r="C86" s="17">
        <f t="shared" si="4"/>
        <v>2.4</v>
      </c>
    </row>
    <row r="87" spans="1:3" x14ac:dyDescent="0.2">
      <c r="B87" s="4" t="s">
        <v>82</v>
      </c>
      <c r="C87" s="17"/>
    </row>
    <row r="88" spans="1:3" x14ac:dyDescent="0.2">
      <c r="B88" s="4" t="s">
        <v>54</v>
      </c>
      <c r="C88" s="17">
        <f t="shared" si="4"/>
        <v>45.6</v>
      </c>
    </row>
    <row r="89" spans="1:3" ht="17" thickBot="1" x14ac:dyDescent="0.25">
      <c r="B89" s="44" t="s">
        <v>56</v>
      </c>
      <c r="C89" s="23">
        <f t="shared" si="4"/>
        <v>120</v>
      </c>
    </row>
    <row r="93" spans="1:3" x14ac:dyDescent="0.2">
      <c r="A93" t="s">
        <v>116</v>
      </c>
    </row>
    <row r="95" spans="1:3" x14ac:dyDescent="0.2">
      <c r="B95" s="1" t="s">
        <v>117</v>
      </c>
      <c r="C95" s="2">
        <v>20</v>
      </c>
    </row>
    <row r="96" spans="1:3" x14ac:dyDescent="0.2">
      <c r="B96" s="1" t="s">
        <v>118</v>
      </c>
      <c r="C96" s="2">
        <v>50</v>
      </c>
    </row>
    <row r="97" spans="2:5" x14ac:dyDescent="0.2">
      <c r="B97" s="1" t="s">
        <v>125</v>
      </c>
      <c r="C97" s="2">
        <v>100000</v>
      </c>
    </row>
    <row r="98" spans="2:5" x14ac:dyDescent="0.2">
      <c r="B98" s="1" t="s">
        <v>121</v>
      </c>
      <c r="C98" s="1">
        <v>10</v>
      </c>
    </row>
    <row r="99" spans="2:5" x14ac:dyDescent="0.2">
      <c r="B99" s="1" t="s">
        <v>119</v>
      </c>
      <c r="C99" s="1">
        <f>C96/C95*C97*C98</f>
        <v>2500000</v>
      </c>
    </row>
    <row r="100" spans="2:5" x14ac:dyDescent="0.2">
      <c r="E100" s="86">
        <f>E101/C99</f>
        <v>4000</v>
      </c>
    </row>
    <row r="101" spans="2:5" x14ac:dyDescent="0.2">
      <c r="B101" s="1" t="s">
        <v>122</v>
      </c>
      <c r="C101" s="2">
        <v>1850</v>
      </c>
      <c r="E101" s="85">
        <v>10000000000</v>
      </c>
    </row>
    <row r="102" spans="2:5" x14ac:dyDescent="0.2">
      <c r="B102" s="1" t="s">
        <v>120</v>
      </c>
      <c r="C102" s="84">
        <f>C101*C99</f>
        <v>4625000000</v>
      </c>
    </row>
    <row r="103" spans="2:5" x14ac:dyDescent="0.2">
      <c r="B103" s="14" t="s">
        <v>123</v>
      </c>
      <c r="C103" s="1">
        <v>500</v>
      </c>
    </row>
    <row r="104" spans="2:5" x14ac:dyDescent="0.2">
      <c r="B104" s="1" t="s">
        <v>124</v>
      </c>
      <c r="C104" s="87">
        <f>C102*500</f>
        <v>2312500000000</v>
      </c>
    </row>
  </sheetData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8F55-0A9D-CA4E-B2EB-0634BFFBB30F}">
  <dimension ref="B4:C47"/>
  <sheetViews>
    <sheetView tabSelected="1" topLeftCell="A25" zoomScale="99" workbookViewId="0">
      <selection activeCell="C45" sqref="C45"/>
    </sheetView>
  </sheetViews>
  <sheetFormatPr baseColWidth="10" defaultRowHeight="16" x14ac:dyDescent="0.2"/>
  <cols>
    <col min="2" max="2" width="76.83203125" customWidth="1"/>
    <col min="3" max="3" width="18" customWidth="1"/>
  </cols>
  <sheetData>
    <row r="4" spans="2:3" ht="21" x14ac:dyDescent="0.25">
      <c r="B4" s="63" t="s">
        <v>102</v>
      </c>
      <c r="C4" s="64"/>
    </row>
    <row r="5" spans="2:3" ht="21" x14ac:dyDescent="0.25">
      <c r="B5" s="63" t="s">
        <v>20</v>
      </c>
      <c r="C5" s="65"/>
    </row>
    <row r="6" spans="2:3" ht="21" x14ac:dyDescent="0.25">
      <c r="B6" s="63" t="s">
        <v>21</v>
      </c>
      <c r="C6" s="66"/>
    </row>
    <row r="7" spans="2:3" x14ac:dyDescent="0.2">
      <c r="B7" s="67"/>
      <c r="C7" s="67"/>
    </row>
    <row r="8" spans="2:3" x14ac:dyDescent="0.2">
      <c r="B8" s="67"/>
      <c r="C8" s="67"/>
    </row>
    <row r="9" spans="2:3" ht="21" x14ac:dyDescent="0.25">
      <c r="B9" s="63" t="s">
        <v>109</v>
      </c>
      <c r="C9" s="68">
        <v>718</v>
      </c>
    </row>
    <row r="10" spans="2:3" ht="21" x14ac:dyDescent="0.25">
      <c r="B10" s="63" t="s">
        <v>95</v>
      </c>
      <c r="C10" s="68">
        <v>5400</v>
      </c>
    </row>
    <row r="11" spans="2:3" ht="21" x14ac:dyDescent="0.25">
      <c r="B11" s="63" t="s">
        <v>104</v>
      </c>
      <c r="C11" s="68">
        <v>1740</v>
      </c>
    </row>
    <row r="12" spans="2:3" ht="21" x14ac:dyDescent="0.25">
      <c r="B12" s="63" t="s">
        <v>106</v>
      </c>
      <c r="C12" s="63">
        <v>0.2</v>
      </c>
    </row>
    <row r="13" spans="2:3" ht="21" x14ac:dyDescent="0.25">
      <c r="B13" s="63" t="s">
        <v>94</v>
      </c>
      <c r="C13" s="63">
        <f>C12/(C14+1)*0.9</f>
        <v>0.06</v>
      </c>
    </row>
    <row r="14" spans="2:3" ht="21" x14ac:dyDescent="0.25">
      <c r="B14" s="63" t="s">
        <v>108</v>
      </c>
      <c r="C14" s="63">
        <v>2</v>
      </c>
    </row>
    <row r="15" spans="2:3" ht="21" x14ac:dyDescent="0.25">
      <c r="B15" s="63" t="s">
        <v>100</v>
      </c>
      <c r="C15" s="63">
        <v>0.61790123456790125</v>
      </c>
    </row>
    <row r="16" spans="2:3" ht="21" x14ac:dyDescent="0.25">
      <c r="B16" s="69"/>
      <c r="C16" s="69"/>
    </row>
    <row r="17" spans="2:3" x14ac:dyDescent="0.2">
      <c r="B17" s="67"/>
      <c r="C17" s="67"/>
    </row>
    <row r="18" spans="2:3" ht="21" x14ac:dyDescent="0.25">
      <c r="B18" s="63" t="s">
        <v>96</v>
      </c>
      <c r="C18" s="63">
        <f>C15*C13*C10</f>
        <v>200.2</v>
      </c>
    </row>
    <row r="19" spans="2:3" ht="21" x14ac:dyDescent="0.25">
      <c r="B19" s="63" t="s">
        <v>97</v>
      </c>
      <c r="C19" s="80">
        <f>C13*C14*C15*C11</f>
        <v>129.01777777777778</v>
      </c>
    </row>
    <row r="20" spans="2:3" ht="21" x14ac:dyDescent="0.25">
      <c r="B20" s="63" t="s">
        <v>115</v>
      </c>
      <c r="C20" s="70">
        <v>0.4</v>
      </c>
    </row>
    <row r="21" spans="2:3" ht="21" x14ac:dyDescent="0.25">
      <c r="B21" s="63" t="s">
        <v>105</v>
      </c>
      <c r="C21" s="80">
        <f>(C18+C19/C14)*C20</f>
        <v>105.88355555555555</v>
      </c>
    </row>
    <row r="22" spans="2:3" ht="21" x14ac:dyDescent="0.25">
      <c r="B22" s="69"/>
      <c r="C22" s="83"/>
    </row>
    <row r="23" spans="2:3" ht="21" x14ac:dyDescent="0.25">
      <c r="B23" s="71"/>
      <c r="C23" s="69"/>
    </row>
    <row r="24" spans="2:3" ht="21" x14ac:dyDescent="0.25">
      <c r="B24" s="63" t="s">
        <v>98</v>
      </c>
      <c r="C24" s="63">
        <f>2000*C11/1740</f>
        <v>2000</v>
      </c>
    </row>
    <row r="25" spans="2:3" ht="21" x14ac:dyDescent="0.25">
      <c r="B25" s="63" t="s">
        <v>99</v>
      </c>
      <c r="C25" s="81">
        <f>585*C10/(C10+C9)</f>
        <v>516.34521085322001</v>
      </c>
    </row>
    <row r="26" spans="2:3" ht="21" x14ac:dyDescent="0.25">
      <c r="B26" s="71"/>
      <c r="C26" s="69"/>
    </row>
    <row r="27" spans="2:3" x14ac:dyDescent="0.2">
      <c r="B27" s="67"/>
      <c r="C27" s="67"/>
    </row>
    <row r="28" spans="2:3" ht="21" x14ac:dyDescent="0.25">
      <c r="B28" s="67"/>
      <c r="C28" s="72"/>
    </row>
    <row r="29" spans="2:3" ht="21" x14ac:dyDescent="0.25">
      <c r="B29" s="72"/>
      <c r="C29" s="72"/>
    </row>
    <row r="30" spans="2:3" ht="21" x14ac:dyDescent="0.25">
      <c r="B30" s="73" t="s">
        <v>101</v>
      </c>
      <c r="C30" s="65">
        <v>1500</v>
      </c>
    </row>
    <row r="31" spans="2:3" ht="17" thickBot="1" x14ac:dyDescent="0.25">
      <c r="B31" s="67"/>
      <c r="C31" s="67"/>
    </row>
    <row r="32" spans="2:3" ht="21" x14ac:dyDescent="0.25">
      <c r="B32" s="74" t="s">
        <v>91</v>
      </c>
      <c r="C32" s="75">
        <f>C30/C21</f>
        <v>14.16650576314442</v>
      </c>
    </row>
    <row r="33" spans="2:3" ht="21" x14ac:dyDescent="0.25">
      <c r="B33" s="76" t="s">
        <v>92</v>
      </c>
      <c r="C33" s="77">
        <f>C32*C19/C24</f>
        <v>0.91386554621848748</v>
      </c>
    </row>
    <row r="34" spans="2:3" ht="22" thickBot="1" x14ac:dyDescent="0.3">
      <c r="B34" s="78" t="s">
        <v>93</v>
      </c>
      <c r="C34" s="79">
        <f>C32*C18/C25</f>
        <v>5.4927099044746104</v>
      </c>
    </row>
    <row r="38" spans="2:3" ht="26" x14ac:dyDescent="0.3">
      <c r="B38" s="82" t="s">
        <v>110</v>
      </c>
    </row>
    <row r="39" spans="2:3" ht="21" x14ac:dyDescent="0.25">
      <c r="B39" s="63" t="s">
        <v>126</v>
      </c>
      <c r="C39" s="65">
        <v>14</v>
      </c>
    </row>
    <row r="40" spans="2:3" ht="21" x14ac:dyDescent="0.25">
      <c r="B40" s="63" t="s">
        <v>127</v>
      </c>
      <c r="C40" s="65">
        <v>4</v>
      </c>
    </row>
    <row r="41" spans="2:3" x14ac:dyDescent="0.2">
      <c r="B41" s="1"/>
      <c r="C41" s="1"/>
    </row>
    <row r="42" spans="2:3" ht="21" x14ac:dyDescent="0.25">
      <c r="B42" s="63" t="s">
        <v>34</v>
      </c>
      <c r="C42" s="65">
        <v>140</v>
      </c>
    </row>
    <row r="43" spans="2:3" ht="21" x14ac:dyDescent="0.25">
      <c r="B43" s="63" t="s">
        <v>111</v>
      </c>
      <c r="C43" s="63">
        <f>5*C40</f>
        <v>20</v>
      </c>
    </row>
    <row r="44" spans="2:3" ht="21" x14ac:dyDescent="0.25">
      <c r="B44" s="63" t="s">
        <v>112</v>
      </c>
      <c r="C44" s="63">
        <f>5*C40</f>
        <v>20</v>
      </c>
    </row>
    <row r="45" spans="2:3" ht="21" x14ac:dyDescent="0.25">
      <c r="B45" s="63" t="s">
        <v>114</v>
      </c>
      <c r="C45" s="138">
        <f>C39*(C18+C19)/1000</f>
        <v>4.6090488888888883</v>
      </c>
    </row>
    <row r="46" spans="2:3" ht="21" x14ac:dyDescent="0.25">
      <c r="B46" s="63" t="s">
        <v>113</v>
      </c>
      <c r="C46" s="80">
        <f>50*C40-C42-C43-C44-C45</f>
        <v>15.390951111111111</v>
      </c>
    </row>
    <row r="47" spans="2:3" ht="21" x14ac:dyDescent="0.25">
      <c r="B47" s="63" t="s">
        <v>56</v>
      </c>
      <c r="C47" s="63">
        <f>C40*50</f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780EC-C8D1-0D49-8808-F54181955EB4}">
  <dimension ref="A1"/>
  <sheetViews>
    <sheetView workbookViewId="0">
      <selection activeCell="B3" sqref="B3:H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PEI-adherent</vt:lpstr>
      <vt:lpstr>PEI-Suspension</vt:lpstr>
      <vt:lpstr>Thermo-Suspension</vt:lpstr>
      <vt:lpstr>Library-adherent</vt:lpstr>
      <vt:lpstr>Library-suspension (PEI)</vt:lpstr>
      <vt:lpstr>PCR calculator</vt:lpstr>
      <vt:lpstr>Library gibson calculator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2022-04-16T00:24:43Z</cp:lastPrinted>
  <dcterms:created xsi:type="dcterms:W3CDTF">2022-02-19T17:25:51Z</dcterms:created>
  <dcterms:modified xsi:type="dcterms:W3CDTF">2022-07-10T21:54:50Z</dcterms:modified>
</cp:coreProperties>
</file>