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KEAN3\documents\"/>
    </mc:Choice>
  </mc:AlternateContent>
  <xr:revisionPtr revIDLastSave="0" documentId="13_ncr:1_{6B2641EF-8F6A-4ABD-97EE-099BE50D3D1F}" xr6:coauthVersionLast="45" xr6:coauthVersionMax="45" xr10:uidLastSave="{00000000-0000-0000-0000-000000000000}"/>
  <bookViews>
    <workbookView xWindow="6668" yWindow="1477" windowWidth="10110" windowHeight="3286" activeTab="1" xr2:uid="{00000000-000D-0000-FFFF-FFFF00000000}"/>
  </bookViews>
  <sheets>
    <sheet name="Cash Flows" sheetId="34" r:id="rId1"/>
    <sheet name="Basic LBO" sheetId="20" r:id="rId2"/>
    <sheet name="Output1 " sheetId="35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43571.785150463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W_Capacity">'Basic LBO'!$F$2</definedName>
    <definedName name="_xlnm.Print_Area" localSheetId="1">'Basic LBO'!$C$6:$U$62</definedName>
  </definedNames>
  <calcPr calcId="191029" calcMode="autoNoTable" iterate="1" iterateCount="5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20" l="1"/>
  <c r="L13" i="20" l="1"/>
  <c r="O44" i="35" l="1"/>
  <c r="N56" i="35"/>
  <c r="N55" i="35"/>
  <c r="N53" i="35"/>
  <c r="N52" i="35"/>
  <c r="O52" i="35" s="1"/>
  <c r="N50" i="35"/>
  <c r="O50" i="35" s="1"/>
  <c r="N49" i="35"/>
  <c r="L52" i="35"/>
  <c r="N46" i="35"/>
  <c r="O46" i="35" s="1"/>
  <c r="L46" i="35"/>
  <c r="N45" i="35"/>
  <c r="O45" i="35" s="1"/>
  <c r="L45" i="35"/>
  <c r="L50" i="35"/>
  <c r="N44" i="35"/>
  <c r="L44" i="35"/>
  <c r="L49" i="35"/>
  <c r="N43" i="35"/>
  <c r="L43" i="35"/>
  <c r="D64" i="35"/>
  <c r="D63" i="35"/>
  <c r="B64" i="35"/>
  <c r="B63" i="35"/>
  <c r="J61" i="35"/>
  <c r="J60" i="35"/>
  <c r="J59" i="35"/>
  <c r="J58" i="35"/>
  <c r="J57" i="35"/>
  <c r="J56" i="35"/>
  <c r="J55" i="35"/>
  <c r="J54" i="35"/>
  <c r="J53" i="35"/>
  <c r="J51" i="35"/>
  <c r="J50" i="35"/>
  <c r="J49" i="35"/>
  <c r="J48" i="35"/>
  <c r="J47" i="35"/>
  <c r="J46" i="35"/>
  <c r="J45" i="35"/>
  <c r="I61" i="35"/>
  <c r="H61" i="35"/>
  <c r="G61" i="35"/>
  <c r="F61" i="35"/>
  <c r="E61" i="35"/>
  <c r="I60" i="35"/>
  <c r="H60" i="35"/>
  <c r="G60" i="35"/>
  <c r="F60" i="35"/>
  <c r="E60" i="35"/>
  <c r="I59" i="35"/>
  <c r="H59" i="35"/>
  <c r="G59" i="35"/>
  <c r="F59" i="35"/>
  <c r="E59" i="35"/>
  <c r="I58" i="35"/>
  <c r="H58" i="35"/>
  <c r="G58" i="35"/>
  <c r="F58" i="35"/>
  <c r="E58" i="35"/>
  <c r="I57" i="35"/>
  <c r="H57" i="35"/>
  <c r="G57" i="35"/>
  <c r="F57" i="35"/>
  <c r="E57" i="35"/>
  <c r="I56" i="35"/>
  <c r="H56" i="35"/>
  <c r="G56" i="35"/>
  <c r="F56" i="35"/>
  <c r="E56" i="35"/>
  <c r="I55" i="35"/>
  <c r="H55" i="35"/>
  <c r="G55" i="35"/>
  <c r="F55" i="35"/>
  <c r="E55" i="35"/>
  <c r="I54" i="35"/>
  <c r="H54" i="35"/>
  <c r="G54" i="35"/>
  <c r="F54" i="35"/>
  <c r="E54" i="35"/>
  <c r="I53" i="35"/>
  <c r="H53" i="35"/>
  <c r="G53" i="35"/>
  <c r="F53" i="35"/>
  <c r="E53" i="35"/>
  <c r="I51" i="35"/>
  <c r="H51" i="35"/>
  <c r="G51" i="35"/>
  <c r="F51" i="35"/>
  <c r="E51" i="35"/>
  <c r="I50" i="35"/>
  <c r="H50" i="35"/>
  <c r="G50" i="35"/>
  <c r="F50" i="35"/>
  <c r="E50" i="35"/>
  <c r="I49" i="35"/>
  <c r="H49" i="35"/>
  <c r="G49" i="35"/>
  <c r="F49" i="35"/>
  <c r="E49" i="35"/>
  <c r="I48" i="35"/>
  <c r="H48" i="35"/>
  <c r="G48" i="35"/>
  <c r="F48" i="35"/>
  <c r="E48" i="35"/>
  <c r="I47" i="35"/>
  <c r="H47" i="35"/>
  <c r="G47" i="35"/>
  <c r="F47" i="35"/>
  <c r="E47" i="35"/>
  <c r="I46" i="35"/>
  <c r="H46" i="35"/>
  <c r="G46" i="35"/>
  <c r="F46" i="35"/>
  <c r="E46" i="35"/>
  <c r="I45" i="35"/>
  <c r="H45" i="35"/>
  <c r="G45" i="35"/>
  <c r="F45" i="35"/>
  <c r="E45" i="35"/>
  <c r="D61" i="35"/>
  <c r="D60" i="35"/>
  <c r="D59" i="35"/>
  <c r="D58" i="35"/>
  <c r="D57" i="35"/>
  <c r="D56" i="35"/>
  <c r="D55" i="35"/>
  <c r="D54" i="35"/>
  <c r="D53" i="35"/>
  <c r="D51" i="35"/>
  <c r="D50" i="35"/>
  <c r="D49" i="35"/>
  <c r="D48" i="35"/>
  <c r="D47" i="35"/>
  <c r="D46" i="35"/>
  <c r="D45" i="35"/>
  <c r="B61" i="35"/>
  <c r="B60" i="35"/>
  <c r="B59" i="35"/>
  <c r="B58" i="35"/>
  <c r="B57" i="35"/>
  <c r="B56" i="35"/>
  <c r="B55" i="35"/>
  <c r="B54" i="35"/>
  <c r="B53" i="35"/>
  <c r="B51" i="35"/>
  <c r="B50" i="35"/>
  <c r="B49" i="35"/>
  <c r="B48" i="35"/>
  <c r="B47" i="35"/>
  <c r="B46" i="35"/>
  <c r="B45" i="35"/>
  <c r="L19" i="20"/>
  <c r="I41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3" i="35"/>
  <c r="I43" i="35" s="1"/>
  <c r="H3" i="35"/>
  <c r="H43" i="35" s="1"/>
  <c r="G3" i="35"/>
  <c r="G43" i="35" s="1"/>
  <c r="F3" i="35"/>
  <c r="F43" i="35" s="1"/>
  <c r="E3" i="35"/>
  <c r="E43" i="35" s="1"/>
  <c r="D3" i="35"/>
  <c r="D43" i="35" s="1"/>
  <c r="C3" i="35"/>
  <c r="H41" i="35"/>
  <c r="G41" i="35"/>
  <c r="F41" i="35"/>
  <c r="E41" i="35"/>
  <c r="D41" i="35"/>
  <c r="C41" i="35"/>
  <c r="H39" i="35"/>
  <c r="G39" i="35"/>
  <c r="F39" i="35"/>
  <c r="E39" i="35"/>
  <c r="D39" i="35"/>
  <c r="C39" i="35"/>
  <c r="H38" i="35"/>
  <c r="G38" i="35"/>
  <c r="F38" i="35"/>
  <c r="E38" i="35"/>
  <c r="D38" i="35"/>
  <c r="C38" i="35"/>
  <c r="H37" i="35"/>
  <c r="G37" i="35"/>
  <c r="F37" i="35"/>
  <c r="E37" i="35"/>
  <c r="D37" i="35"/>
  <c r="C37" i="35"/>
  <c r="H36" i="35"/>
  <c r="G36" i="35"/>
  <c r="F36" i="35"/>
  <c r="E36" i="35"/>
  <c r="D36" i="35"/>
  <c r="C36" i="35"/>
  <c r="H35" i="35"/>
  <c r="G35" i="35"/>
  <c r="F35" i="35"/>
  <c r="E35" i="35"/>
  <c r="D35" i="35"/>
  <c r="C35" i="35"/>
  <c r="H34" i="35"/>
  <c r="G34" i="35"/>
  <c r="F34" i="35"/>
  <c r="E34" i="35"/>
  <c r="D34" i="35"/>
  <c r="C34" i="35"/>
  <c r="H33" i="35"/>
  <c r="G33" i="35"/>
  <c r="F33" i="35"/>
  <c r="E33" i="35"/>
  <c r="D33" i="35"/>
  <c r="C33" i="35"/>
  <c r="H32" i="35"/>
  <c r="G32" i="35"/>
  <c r="F32" i="35"/>
  <c r="E32" i="35"/>
  <c r="D32" i="35"/>
  <c r="C32" i="35"/>
  <c r="H31" i="35"/>
  <c r="G31" i="35"/>
  <c r="F31" i="35"/>
  <c r="E31" i="35"/>
  <c r="D31" i="35"/>
  <c r="C31" i="35"/>
  <c r="H30" i="35"/>
  <c r="G30" i="35"/>
  <c r="F30" i="35"/>
  <c r="E30" i="35"/>
  <c r="D30" i="35"/>
  <c r="C30" i="35"/>
  <c r="H29" i="35"/>
  <c r="G29" i="35"/>
  <c r="F29" i="35"/>
  <c r="E29" i="35"/>
  <c r="D29" i="35"/>
  <c r="C29" i="35"/>
  <c r="H28" i="35"/>
  <c r="G28" i="35"/>
  <c r="F28" i="35"/>
  <c r="E28" i="35"/>
  <c r="D28" i="35"/>
  <c r="C28" i="35"/>
  <c r="H27" i="35"/>
  <c r="G27" i="35"/>
  <c r="F27" i="35"/>
  <c r="E27" i="35"/>
  <c r="D27" i="35"/>
  <c r="C27" i="35"/>
  <c r="H26" i="35"/>
  <c r="G26" i="35"/>
  <c r="F26" i="35"/>
  <c r="E26" i="35"/>
  <c r="D26" i="35"/>
  <c r="C26" i="35"/>
  <c r="H25" i="35"/>
  <c r="G25" i="35"/>
  <c r="F25" i="35"/>
  <c r="E25" i="35"/>
  <c r="D25" i="35"/>
  <c r="C25" i="35"/>
  <c r="H24" i="35"/>
  <c r="G24" i="35"/>
  <c r="F24" i="35"/>
  <c r="E24" i="35"/>
  <c r="D24" i="35"/>
  <c r="C24" i="35"/>
  <c r="H23" i="35"/>
  <c r="G23" i="35"/>
  <c r="F23" i="35"/>
  <c r="E23" i="35"/>
  <c r="D23" i="35"/>
  <c r="C23" i="35"/>
  <c r="H22" i="35"/>
  <c r="G22" i="35"/>
  <c r="F22" i="35"/>
  <c r="E22" i="35"/>
  <c r="D22" i="35"/>
  <c r="C22" i="35"/>
  <c r="H21" i="35"/>
  <c r="G21" i="35"/>
  <c r="F21" i="35"/>
  <c r="E21" i="35"/>
  <c r="D21" i="35"/>
  <c r="C21" i="35"/>
  <c r="H20" i="35"/>
  <c r="G20" i="35"/>
  <c r="F20" i="35"/>
  <c r="E20" i="35"/>
  <c r="D20" i="35"/>
  <c r="C20" i="35"/>
  <c r="H19" i="35"/>
  <c r="G19" i="35"/>
  <c r="F19" i="35"/>
  <c r="E19" i="35"/>
  <c r="D19" i="35"/>
  <c r="C19" i="35"/>
  <c r="H18" i="35"/>
  <c r="G18" i="35"/>
  <c r="F18" i="35"/>
  <c r="E18" i="35"/>
  <c r="D18" i="35"/>
  <c r="C18" i="35"/>
  <c r="H17" i="35"/>
  <c r="G17" i="35"/>
  <c r="F17" i="35"/>
  <c r="E17" i="35"/>
  <c r="D17" i="35"/>
  <c r="C17" i="35"/>
  <c r="H16" i="35"/>
  <c r="G16" i="35"/>
  <c r="F16" i="35"/>
  <c r="E16" i="35"/>
  <c r="D16" i="35"/>
  <c r="C16" i="35"/>
  <c r="H15" i="35"/>
  <c r="G15" i="35"/>
  <c r="F15" i="35"/>
  <c r="E15" i="35"/>
  <c r="D15" i="35"/>
  <c r="C15" i="35"/>
  <c r="H14" i="35"/>
  <c r="G14" i="35"/>
  <c r="F14" i="35"/>
  <c r="E14" i="35"/>
  <c r="D14" i="35"/>
  <c r="C14" i="35"/>
  <c r="H13" i="35"/>
  <c r="G13" i="35"/>
  <c r="F13" i="35"/>
  <c r="E13" i="35"/>
  <c r="D13" i="35"/>
  <c r="C13" i="35"/>
  <c r="H12" i="35"/>
  <c r="G12" i="35"/>
  <c r="F12" i="35"/>
  <c r="E12" i="35"/>
  <c r="D12" i="35"/>
  <c r="C12" i="35"/>
  <c r="H11" i="35"/>
  <c r="G11" i="35"/>
  <c r="F11" i="35"/>
  <c r="E11" i="35"/>
  <c r="D11" i="35"/>
  <c r="C11" i="35"/>
  <c r="B41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K59" i="20"/>
  <c r="J59" i="20"/>
  <c r="I59" i="20"/>
  <c r="H59" i="20"/>
  <c r="G59" i="20"/>
  <c r="F59" i="20"/>
  <c r="E59" i="20"/>
  <c r="K16" i="20"/>
  <c r="L16" i="20" s="1"/>
  <c r="K26" i="20"/>
  <c r="J26" i="20"/>
  <c r="I26" i="20"/>
  <c r="H26" i="20"/>
  <c r="G26" i="20"/>
  <c r="F26" i="20"/>
  <c r="K25" i="20"/>
  <c r="J25" i="20"/>
  <c r="I25" i="20"/>
  <c r="H25" i="20"/>
  <c r="G25" i="20"/>
  <c r="F25" i="20"/>
  <c r="F16" i="20" l="1"/>
  <c r="K11" i="20" s="1"/>
  <c r="L11" i="20" s="1"/>
  <c r="AH15" i="20"/>
  <c r="AI15" i="20" s="1"/>
  <c r="AJ15" i="20" s="1"/>
  <c r="K39" i="20"/>
  <c r="J39" i="20"/>
  <c r="I39" i="20"/>
  <c r="H39" i="20"/>
  <c r="G39" i="20"/>
  <c r="G23" i="20" l="1"/>
  <c r="H23" i="20" s="1"/>
  <c r="I23" i="20" s="1"/>
  <c r="J23" i="20" s="1"/>
  <c r="K23" i="20" s="1"/>
  <c r="L23" i="20" s="1"/>
  <c r="F57" i="20" l="1"/>
  <c r="L33" i="20"/>
  <c r="K55" i="20" l="1"/>
  <c r="K29" i="20" s="1"/>
  <c r="I55" i="20"/>
  <c r="I29" i="20" s="1"/>
  <c r="G55" i="20"/>
  <c r="G29" i="20" s="1"/>
  <c r="H55" i="20"/>
  <c r="H29" i="20" s="1"/>
  <c r="G54" i="20"/>
  <c r="J55" i="20"/>
  <c r="J29" i="20" s="1"/>
  <c r="G28" i="20" l="1"/>
  <c r="K19" i="20" l="1"/>
  <c r="F17" i="20" s="1"/>
  <c r="K12" i="20" s="1"/>
  <c r="K13" i="20" l="1"/>
  <c r="L12" i="20"/>
  <c r="F37" i="20"/>
  <c r="F40" i="20" s="1"/>
  <c r="F42" i="20" s="1"/>
  <c r="F19" i="20"/>
  <c r="H48" i="20" l="1"/>
  <c r="F58" i="20"/>
  <c r="F27" i="20" l="1"/>
  <c r="F50" i="20"/>
  <c r="F48" i="20"/>
  <c r="H27" i="20"/>
  <c r="H49" i="20" s="1"/>
  <c r="G27" i="20"/>
  <c r="G48" i="20" l="1"/>
  <c r="K27" i="20"/>
  <c r="L32" i="20"/>
  <c r="L34" i="20" s="1"/>
  <c r="K48" i="20"/>
  <c r="I48" i="20"/>
  <c r="I27" i="20"/>
  <c r="I49" i="20" s="1"/>
  <c r="G49" i="20"/>
  <c r="G56" i="20"/>
  <c r="K49" i="20" l="1"/>
  <c r="G30" i="20"/>
  <c r="G57" i="20"/>
  <c r="G58" i="20" s="1"/>
  <c r="G31" i="20" l="1"/>
  <c r="G38" i="20" s="1"/>
  <c r="G40" i="20" s="1"/>
  <c r="G42" i="20" s="1"/>
  <c r="J27" i="20"/>
  <c r="J49" i="20" s="1"/>
  <c r="J48" i="20"/>
  <c r="G50" i="20"/>
  <c r="H54" i="20"/>
  <c r="H60" i="20" l="1"/>
  <c r="H28" i="20" s="1"/>
  <c r="H56" i="20" l="1"/>
  <c r="H30" i="20" l="1"/>
  <c r="H57" i="20"/>
  <c r="H58" i="20" s="1"/>
  <c r="H31" i="20" l="1"/>
  <c r="H38" i="20" s="1"/>
  <c r="H40" i="20" s="1"/>
  <c r="H42" i="20" s="1"/>
  <c r="H50" i="20"/>
  <c r="I54" i="20"/>
  <c r="I60" i="20" l="1"/>
  <c r="I28" i="20" s="1"/>
  <c r="I56" i="20" l="1"/>
  <c r="I30" i="20" l="1"/>
  <c r="I57" i="20"/>
  <c r="I58" i="20" s="1"/>
  <c r="I31" i="20" l="1"/>
  <c r="I38" i="20" s="1"/>
  <c r="I40" i="20" s="1"/>
  <c r="I42" i="20" s="1"/>
  <c r="I50" i="20"/>
  <c r="J54" i="20"/>
  <c r="J60" i="20" l="1"/>
  <c r="J28" i="20" s="1"/>
  <c r="J56" i="20" l="1"/>
  <c r="J30" i="20" l="1"/>
  <c r="J57" i="20"/>
  <c r="J58" i="20" s="1"/>
  <c r="J31" i="20" l="1"/>
  <c r="J38" i="20" s="1"/>
  <c r="J40" i="20" s="1"/>
  <c r="J42" i="20" s="1"/>
  <c r="K54" i="20"/>
  <c r="J50" i="20"/>
  <c r="K60" i="20" l="1"/>
  <c r="K28" i="20" s="1"/>
  <c r="K56" i="20" l="1"/>
  <c r="K30" i="20" l="1"/>
  <c r="K57" i="20"/>
  <c r="K58" i="20" s="1"/>
  <c r="K31" i="20" l="1"/>
  <c r="K38" i="20" s="1"/>
  <c r="K40" i="20" s="1"/>
  <c r="K42" i="20" s="1"/>
  <c r="L35" i="20"/>
  <c r="K50" i="20"/>
  <c r="L36" i="20" l="1"/>
  <c r="L39" i="20" s="1"/>
  <c r="L40" i="20" s="1"/>
  <c r="L42" i="20" s="1"/>
  <c r="AY48" i="20" l="1"/>
  <c r="AY49" i="20" l="1"/>
  <c r="AY50" i="20" l="1"/>
  <c r="AY51" i="20" s="1"/>
  <c r="F45" i="20"/>
  <c r="F44" i="20"/>
</calcChain>
</file>

<file path=xl/sharedStrings.xml><?xml version="1.0" encoding="utf-8"?>
<sst xmlns="http://schemas.openxmlformats.org/spreadsheetml/2006/main" count="137" uniqueCount="118">
  <si>
    <t>Date</t>
  </si>
  <si>
    <t>$/kW</t>
  </si>
  <si>
    <t>Variable O&amp;M Expense</t>
  </si>
  <si>
    <t>Capacity Revenue</t>
  </si>
  <si>
    <t>Gross Margin</t>
  </si>
  <si>
    <t>Insurance</t>
  </si>
  <si>
    <t>Property Tax</t>
  </si>
  <si>
    <t>LTSA Capex</t>
  </si>
  <si>
    <t>Total</t>
  </si>
  <si>
    <t>(-) Mandatory Amort</t>
  </si>
  <si>
    <t>Hold Period</t>
  </si>
  <si>
    <t>PRO FORMA CAP STRUCTURE ASSUMPTIONS</t>
  </si>
  <si>
    <t>(-) TLB Interest</t>
  </si>
  <si>
    <t>(-) Excess FCF Sweep</t>
  </si>
  <si>
    <t>SOURCES</t>
  </si>
  <si>
    <t>USES</t>
  </si>
  <si>
    <t>BX Equity</t>
  </si>
  <si>
    <t>TEV Purchase Price</t>
  </si>
  <si>
    <t>Total Uses</t>
  </si>
  <si>
    <t>Total Sources</t>
  </si>
  <si>
    <t>TLB</t>
  </si>
  <si>
    <t>LBO MODEL</t>
  </si>
  <si>
    <t>TLB BoP Balance</t>
  </si>
  <si>
    <t>(-) TLB Mandatory Amort</t>
  </si>
  <si>
    <t>TLB EoP Balance</t>
  </si>
  <si>
    <t>Interest Expense</t>
  </si>
  <si>
    <t>Exit</t>
  </si>
  <si>
    <t>Exit EBITDA</t>
  </si>
  <si>
    <t>Exit TEV</t>
  </si>
  <si>
    <t>(-) Existing Debt</t>
  </si>
  <si>
    <t>Exit Equity</t>
  </si>
  <si>
    <t>(x) Exit Multiple</t>
  </si>
  <si>
    <t>(-) Investment</t>
  </si>
  <si>
    <t>(+) Hold Period FCF</t>
  </si>
  <si>
    <t>(+) Exit Value</t>
  </si>
  <si>
    <t>Total FCF to Equity</t>
  </si>
  <si>
    <t>LFCF</t>
  </si>
  <si>
    <t>LBO</t>
  </si>
  <si>
    <t>DEBT SUMMARY</t>
  </si>
  <si>
    <t>SUMMARY METRICS</t>
  </si>
  <si>
    <t>UFCF Yield on Purchase</t>
  </si>
  <si>
    <t>Debt / TEV</t>
  </si>
  <si>
    <t>EBITDA Multiple on Purchase</t>
  </si>
  <si>
    <t>Exit Multiple Sens</t>
  </si>
  <si>
    <t>EBITDA</t>
  </si>
  <si>
    <t>$MM</t>
  </si>
  <si>
    <t>Equity</t>
  </si>
  <si>
    <t>Capacity</t>
  </si>
  <si>
    <t>Pro-Forma Cap Structure</t>
  </si>
  <si>
    <t>BX New Equity</t>
  </si>
  <si>
    <t>Existing TLB</t>
  </si>
  <si>
    <t>Total BX Returns</t>
  </si>
  <si>
    <t>BX IRR</t>
  </si>
  <si>
    <t>BX MOIC</t>
  </si>
  <si>
    <t xml:space="preserve">TLB Debt </t>
  </si>
  <si>
    <t>Net Change</t>
  </si>
  <si>
    <t>Close</t>
  </si>
  <si>
    <t>Debt / EBITDA</t>
  </si>
  <si>
    <t>Financials $(mm)</t>
  </si>
  <si>
    <t>Energy Revenue</t>
  </si>
  <si>
    <t>Delivered Fuel Expense</t>
  </si>
  <si>
    <t>Net Emissions Expense</t>
  </si>
  <si>
    <t>Gross Energy Margin</t>
  </si>
  <si>
    <t>Hedge P&amp;L</t>
  </si>
  <si>
    <t>Net Energy Margin</t>
  </si>
  <si>
    <t>Fixed Fuel</t>
  </si>
  <si>
    <t>Ancillary Services Revenue</t>
  </si>
  <si>
    <t>Misc Income</t>
  </si>
  <si>
    <t>Total Other Income</t>
  </si>
  <si>
    <t>Labor Expenses</t>
  </si>
  <si>
    <t>Maintenance</t>
  </si>
  <si>
    <t>Operations</t>
  </si>
  <si>
    <t>Removal Costs</t>
  </si>
  <si>
    <t>Fuel Handling</t>
  </si>
  <si>
    <t>Fixed Non-Labor Expense</t>
  </si>
  <si>
    <t>General &amp; Administrative</t>
  </si>
  <si>
    <t>Total Fixed Costs</t>
  </si>
  <si>
    <t>Maintenance Capex</t>
  </si>
  <si>
    <t>Environmental Capex</t>
  </si>
  <si>
    <t>Growth Capex</t>
  </si>
  <si>
    <t>Total Capex</t>
  </si>
  <si>
    <t>EBITDA less Capex</t>
  </si>
  <si>
    <t>Beginning Cash Balance</t>
  </si>
  <si>
    <t>OpCo</t>
  </si>
  <si>
    <t>ebitda</t>
  </si>
  <si>
    <t>capex</t>
  </si>
  <si>
    <t>working capital</t>
  </si>
  <si>
    <t>other cash use</t>
  </si>
  <si>
    <t>Revolver</t>
  </si>
  <si>
    <t>interest expense</t>
  </si>
  <si>
    <t>draw</t>
  </si>
  <si>
    <t>repay</t>
  </si>
  <si>
    <t>prepayment</t>
  </si>
  <si>
    <t>upsize</t>
  </si>
  <si>
    <t>amortization</t>
  </si>
  <si>
    <t>dsra release</t>
  </si>
  <si>
    <t>TLC</t>
  </si>
  <si>
    <t>Swap</t>
  </si>
  <si>
    <t>TaxRegister</t>
  </si>
  <si>
    <t>ptd</t>
  </si>
  <si>
    <t>sweep</t>
  </si>
  <si>
    <t>Ending Cash Balance</t>
  </si>
  <si>
    <t>New Purchase price (for 20% IRR)</t>
  </si>
  <si>
    <t>Capacity MW</t>
  </si>
  <si>
    <t>Debt %</t>
  </si>
  <si>
    <t>(-) Capex</t>
  </si>
  <si>
    <t>Lightstone EBITDA</t>
  </si>
  <si>
    <t>All-In Rate</t>
  </si>
  <si>
    <t>Interest Rate</t>
  </si>
  <si>
    <t xml:space="preserve">LBO RETURNS </t>
  </si>
  <si>
    <t>Lightstone UFCF</t>
  </si>
  <si>
    <t>Capacity Factor</t>
  </si>
  <si>
    <t>ATC Power Price</t>
  </si>
  <si>
    <t>ATC Spark Spread</t>
  </si>
  <si>
    <t>Delievered Gas Cost</t>
  </si>
  <si>
    <t>Generation</t>
  </si>
  <si>
    <t>Exit Multiple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</si>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</sst>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43" formatCode="_(* #,##0.00_);_(* \(#,##0.00\);_(* &quot;-&quot;??_);_(@_)"/>
    <numFmt numFmtId="164" formatCode="#,##0.0%_);\(#,##0.0%\)"/>
    <numFmt numFmtId="165" formatCode="[$-409]mmm\-yy;@"/>
    <numFmt numFmtId="166" formatCode="#,##0%_);\(#,##0%\)"/>
    <numFmt numFmtId="167" formatCode="#,##0.00\x_);\(#,##0.00\x\)"/>
    <numFmt numFmtId="168" formatCode="#,##0.0\x_);\(#,##0.0\x\)"/>
    <numFmt numFmtId="169" formatCode="0.0%"/>
    <numFmt numFmtId="170" formatCode="0.00\x"/>
    <numFmt numFmtId="171" formatCode="&quot;$&quot;#,##0"/>
    <numFmt numFmtId="172" formatCode="#,##0_);\(#,##0\);\-"/>
    <numFmt numFmtId="173" formatCode="0.0\x"/>
    <numFmt numFmtId="174" formatCode="&quot;$&quot;#,##0;;\-"/>
    <numFmt numFmtId="175" formatCode="&quot;$&quot;#,##0_);\(&quot;$&quot;#,##0\);\-"/>
    <numFmt numFmtId="176" formatCode="&quot;$&quot;#,##0.0_);\(&quot;$&quot;#,##0.0\);\-"/>
  </numFmts>
  <fonts count="15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0" fontId="5" fillId="0" borderId="1" applyNumberFormat="0" applyFill="0" applyAlignment="0" applyProtection="0"/>
    <xf numFmtId="0" fontId="2" fillId="0" borderId="2" applyNumberFormat="0" applyFont="0" applyFill="0" applyAlignment="0" applyProtection="0"/>
    <xf numFmtId="0" fontId="1" fillId="0" borderId="0"/>
    <xf numFmtId="22" fontId="1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/>
  </cellStyleXfs>
  <cellXfs count="120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3" xfId="0" applyBorder="1"/>
    <xf numFmtId="0" fontId="9" fillId="0" borderId="3" xfId="0" applyFont="1" applyBorder="1"/>
    <xf numFmtId="168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/>
    <xf numFmtId="0" fontId="0" fillId="0" borderId="3" xfId="0" applyBorder="1" applyAlignment="1">
      <alignment horizontal="right"/>
    </xf>
    <xf numFmtId="165" fontId="7" fillId="0" borderId="0" xfId="0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37" fontId="5" fillId="0" borderId="2" xfId="2" applyNumberFormat="1" applyFont="1" applyAlignment="1">
      <alignment horizontal="right"/>
    </xf>
    <xf numFmtId="5" fontId="3" fillId="3" borderId="7" xfId="0" applyNumberFormat="1" applyFont="1" applyFill="1" applyBorder="1"/>
    <xf numFmtId="0" fontId="7" fillId="0" borderId="0" xfId="0" applyFont="1" applyAlignment="1">
      <alignment horizontal="left" indent="1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167" fontId="3" fillId="3" borderId="7" xfId="0" applyNumberFormat="1" applyFont="1" applyFill="1" applyBorder="1" applyAlignment="1"/>
    <xf numFmtId="0" fontId="4" fillId="0" borderId="0" xfId="0" applyFont="1" applyAlignment="1"/>
    <xf numFmtId="0" fontId="12" fillId="4" borderId="0" xfId="0" applyFont="1" applyFill="1"/>
    <xf numFmtId="0" fontId="5" fillId="0" borderId="9" xfId="0" applyFont="1" applyBorder="1" applyAlignment="1"/>
    <xf numFmtId="0" fontId="5" fillId="0" borderId="9" xfId="0" applyFont="1" applyBorder="1"/>
    <xf numFmtId="37" fontId="2" fillId="0" borderId="0" xfId="2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72" fontId="5" fillId="0" borderId="2" xfId="2" applyNumberFormat="1" applyFont="1" applyAlignment="1">
      <alignment horizontal="right"/>
    </xf>
    <xf numFmtId="0" fontId="5" fillId="0" borderId="2" xfId="2" applyFont="1" applyAlignment="1">
      <alignment horizontal="right"/>
    </xf>
    <xf numFmtId="172" fontId="0" fillId="0" borderId="0" xfId="0" applyNumberFormat="1" applyAlignment="1">
      <alignment horizontal="right"/>
    </xf>
    <xf numFmtId="37" fontId="5" fillId="0" borderId="0" xfId="2" applyNumberFormat="1" applyFont="1" applyBorder="1" applyAlignment="1">
      <alignment horizontal="right"/>
    </xf>
    <xf numFmtId="37" fontId="0" fillId="0" borderId="2" xfId="2" applyNumberFormat="1" applyFont="1" applyAlignment="1">
      <alignment horizontal="right"/>
    </xf>
    <xf numFmtId="0" fontId="0" fillId="0" borderId="2" xfId="2" applyFont="1" applyAlignment="1">
      <alignment horizontal="right"/>
    </xf>
    <xf numFmtId="171" fontId="0" fillId="0" borderId="0" xfId="0" applyNumberFormat="1"/>
    <xf numFmtId="0" fontId="7" fillId="0" borderId="0" xfId="0" applyFont="1" applyAlignment="1">
      <alignment horizontal="right"/>
    </xf>
    <xf numFmtId="0" fontId="14" fillId="4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12" fillId="4" borderId="0" xfId="0" applyFont="1" applyFill="1" applyAlignment="1">
      <alignment horizontal="center"/>
    </xf>
    <xf numFmtId="175" fontId="0" fillId="0" borderId="0" xfId="0" applyNumberFormat="1" applyAlignment="1">
      <alignment horizontal="center"/>
    </xf>
    <xf numFmtId="174" fontId="5" fillId="0" borderId="9" xfId="0" applyNumberFormat="1" applyFont="1" applyBorder="1" applyAlignment="1">
      <alignment horizontal="center"/>
    </xf>
    <xf numFmtId="0" fontId="5" fillId="0" borderId="2" xfId="2" applyFont="1" applyAlignment="1">
      <alignment horizontal="left" indent="1"/>
    </xf>
    <xf numFmtId="0" fontId="10" fillId="0" borderId="0" xfId="0" applyFont="1" applyBorder="1"/>
    <xf numFmtId="37" fontId="2" fillId="0" borderId="9" xfId="2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71" fontId="0" fillId="0" borderId="0" xfId="0" applyNumberFormat="1" applyAlignment="1">
      <alignment horizontal="right"/>
    </xf>
    <xf numFmtId="171" fontId="0" fillId="0" borderId="3" xfId="0" applyNumberFormat="1" applyBorder="1" applyAlignment="1">
      <alignment horizontal="right"/>
    </xf>
    <xf numFmtId="171" fontId="5" fillId="0" borderId="0" xfId="0" applyNumberFormat="1" applyFont="1" applyAlignment="1">
      <alignment horizontal="right"/>
    </xf>
    <xf numFmtId="171" fontId="5" fillId="0" borderId="9" xfId="0" applyNumberFormat="1" applyFont="1" applyBorder="1" applyAlignment="1">
      <alignment horizontal="right"/>
    </xf>
    <xf numFmtId="171" fontId="0" fillId="0" borderId="0" xfId="0" applyNumberFormat="1" applyFont="1" applyAlignment="1">
      <alignment horizontal="right"/>
    </xf>
    <xf numFmtId="171" fontId="0" fillId="0" borderId="2" xfId="2" applyNumberFormat="1" applyFont="1" applyAlignment="1">
      <alignment horizontal="right"/>
    </xf>
    <xf numFmtId="171" fontId="12" fillId="4" borderId="0" xfId="0" applyNumberFormat="1" applyFont="1" applyFill="1" applyAlignment="1">
      <alignment horizontal="right"/>
    </xf>
    <xf numFmtId="0" fontId="12" fillId="4" borderId="0" xfId="0" applyFont="1" applyFill="1" applyAlignment="1"/>
    <xf numFmtId="0" fontId="14" fillId="4" borderId="0" xfId="0" applyFont="1" applyFill="1" applyAlignment="1"/>
    <xf numFmtId="0" fontId="12" fillId="4" borderId="4" xfId="0" applyFont="1" applyFill="1" applyBorder="1" applyAlignment="1">
      <alignment horizontal="centerContinuous"/>
    </xf>
    <xf numFmtId="0" fontId="12" fillId="4" borderId="5" xfId="0" applyFont="1" applyFill="1" applyBorder="1" applyAlignment="1">
      <alignment horizontal="centerContinuous"/>
    </xf>
    <xf numFmtId="0" fontId="12" fillId="4" borderId="6" xfId="0" applyFont="1" applyFill="1" applyBorder="1" applyAlignment="1">
      <alignment horizontal="centerContinuous"/>
    </xf>
    <xf numFmtId="0" fontId="14" fillId="4" borderId="3" xfId="0" applyFont="1" applyFill="1" applyBorder="1" applyAlignment="1">
      <alignment horizontal="right"/>
    </xf>
    <xf numFmtId="170" fontId="8" fillId="2" borderId="12" xfId="0" applyNumberFormat="1" applyFont="1" applyFill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5" fillId="0" borderId="0" xfId="2" applyFont="1" applyBorder="1" applyAlignment="1">
      <alignment horizontal="right"/>
    </xf>
    <xf numFmtId="37" fontId="5" fillId="0" borderId="0" xfId="0" applyNumberFormat="1" applyFont="1" applyBorder="1" applyAlignment="1">
      <alignment horizontal="right"/>
    </xf>
    <xf numFmtId="0" fontId="2" fillId="0" borderId="9" xfId="2" applyFont="1" applyBorder="1" applyAlignment="1">
      <alignment horizontal="right"/>
    </xf>
    <xf numFmtId="0" fontId="5" fillId="0" borderId="9" xfId="2" applyFont="1" applyBorder="1" applyAlignment="1">
      <alignment horizontal="right"/>
    </xf>
    <xf numFmtId="37" fontId="5" fillId="0" borderId="9" xfId="2" applyNumberFormat="1" applyFont="1" applyBorder="1" applyAlignment="1">
      <alignment horizontal="right"/>
    </xf>
    <xf numFmtId="168" fontId="6" fillId="0" borderId="0" xfId="0" applyNumberFormat="1" applyFont="1" applyAlignment="1">
      <alignment horizontal="right"/>
    </xf>
    <xf numFmtId="0" fontId="5" fillId="0" borderId="2" xfId="2" applyFont="1" applyAlignment="1">
      <alignment horizontal="right" indent="1"/>
    </xf>
    <xf numFmtId="0" fontId="5" fillId="2" borderId="9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12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2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9" xfId="2" applyFont="1" applyBorder="1" applyAlignment="1">
      <alignment horizontal="left"/>
    </xf>
    <xf numFmtId="0" fontId="5" fillId="0" borderId="2" xfId="2" applyFont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0" fillId="0" borderId="2" xfId="2" applyFont="1" applyAlignment="1">
      <alignment horizontal="left"/>
    </xf>
    <xf numFmtId="169" fontId="5" fillId="2" borderId="10" xfId="5" applyNumberFormat="1" applyFont="1" applyFill="1" applyBorder="1" applyAlignment="1">
      <alignment horizontal="right"/>
    </xf>
    <xf numFmtId="173" fontId="7" fillId="0" borderId="0" xfId="0" applyNumberFormat="1" applyFont="1" applyAlignment="1">
      <alignment horizontal="right" indent="1"/>
    </xf>
    <xf numFmtId="37" fontId="0" fillId="0" borderId="0" xfId="0" applyNumberFormat="1" applyFont="1" applyBorder="1" applyAlignment="1">
      <alignment horizontal="right"/>
    </xf>
    <xf numFmtId="166" fontId="0" fillId="0" borderId="0" xfId="0" applyNumberFormat="1" applyFont="1" applyAlignment="1">
      <alignment horizontal="right"/>
    </xf>
    <xf numFmtId="0" fontId="13" fillId="0" borderId="14" xfId="0" applyFont="1" applyBorder="1" applyAlignment="1">
      <alignment horizontal="center"/>
    </xf>
    <xf numFmtId="43" fontId="0" fillId="0" borderId="0" xfId="6" applyFont="1"/>
    <xf numFmtId="0" fontId="13" fillId="0" borderId="13" xfId="0" applyFont="1" applyBorder="1"/>
    <xf numFmtId="43" fontId="13" fillId="0" borderId="13" xfId="6" applyFont="1" applyBorder="1"/>
    <xf numFmtId="43" fontId="0" fillId="0" borderId="0" xfId="0" applyNumberFormat="1"/>
    <xf numFmtId="9" fontId="3" fillId="3" borderId="7" xfId="0" applyNumberFormat="1" applyFont="1" applyFill="1" applyBorder="1"/>
    <xf numFmtId="169" fontId="0" fillId="0" borderId="0" xfId="5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76" fontId="0" fillId="0" borderId="0" xfId="0" applyNumberFormat="1"/>
    <xf numFmtId="176" fontId="5" fillId="0" borderId="0" xfId="0" applyNumberFormat="1" applyFont="1"/>
    <xf numFmtId="0" fontId="5" fillId="0" borderId="15" xfId="0" applyFont="1" applyBorder="1"/>
    <xf numFmtId="176" fontId="5" fillId="0" borderId="15" xfId="0" applyNumberFormat="1" applyFont="1" applyBorder="1"/>
    <xf numFmtId="0" fontId="5" fillId="0" borderId="16" xfId="0" applyFont="1" applyBorder="1"/>
    <xf numFmtId="176" fontId="5" fillId="0" borderId="16" xfId="0" applyNumberFormat="1" applyFont="1" applyBorder="1"/>
    <xf numFmtId="0" fontId="5" fillId="0" borderId="0" xfId="0" applyFont="1" applyBorder="1"/>
    <xf numFmtId="176" fontId="5" fillId="0" borderId="0" xfId="0" applyNumberFormat="1" applyFont="1" applyBorder="1"/>
    <xf numFmtId="176" fontId="0" fillId="0" borderId="0" xfId="0" applyNumberFormat="1" applyFont="1"/>
    <xf numFmtId="176" fontId="0" fillId="0" borderId="15" xfId="0" applyNumberFormat="1" applyFont="1" applyBorder="1"/>
    <xf numFmtId="9" fontId="5" fillId="0" borderId="0" xfId="5" applyFont="1"/>
    <xf numFmtId="1" fontId="7" fillId="0" borderId="0" xfId="0" applyNumberFormat="1" applyFont="1"/>
    <xf numFmtId="1" fontId="10" fillId="0" borderId="15" xfId="0" applyNumberFormat="1" applyFont="1" applyBorder="1"/>
    <xf numFmtId="170" fontId="0" fillId="0" borderId="0" xfId="0" applyNumberFormat="1" applyFont="1"/>
    <xf numFmtId="176" fontId="7" fillId="0" borderId="0" xfId="0" applyNumberFormat="1" applyFont="1"/>
    <xf numFmtId="0" fontId="0" fillId="0" borderId="17" xfId="0" applyBorder="1"/>
    <xf numFmtId="0" fontId="0" fillId="0" borderId="15" xfId="0" applyBorder="1"/>
    <xf numFmtId="9" fontId="0" fillId="0" borderId="18" xfId="5" applyFont="1" applyBorder="1"/>
    <xf numFmtId="0" fontId="0" fillId="0" borderId="19" xfId="0" applyBorder="1"/>
    <xf numFmtId="0" fontId="0" fillId="0" borderId="20" xfId="0" applyBorder="1"/>
    <xf numFmtId="170" fontId="0" fillId="0" borderId="21" xfId="0" applyNumberFormat="1" applyBorder="1"/>
  </cellXfs>
  <cellStyles count="8">
    <cellStyle name="blp_datetime" xfId="4" xr:uid="{4BE3CAFE-5B82-4645-A34F-00A5EA05B0DF}"/>
    <cellStyle name="Comma" xfId="6" builtinId="3"/>
    <cellStyle name="Normal" xfId="0" builtinId="0"/>
    <cellStyle name="Normal 2" xfId="3" xr:uid="{FFC3BC95-D1A7-4D90-8B99-EED264CC794E}"/>
    <cellStyle name="Normal 5 5" xfId="7" xr:uid="{9CED3114-D85B-4130-B1AC-3243B8B4C421}"/>
    <cellStyle name="Percent" xfId="5" builtinId="5"/>
    <cellStyle name="Style 1" xfId="2" xr:uid="{00000000-0005-0000-0000-000001000000}"/>
    <cellStyle name="Total" xfId="1" builtinId="25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ALue">
      <a:dk1>
        <a:sysClr val="windowText" lastClr="000000"/>
      </a:dk1>
      <a:lt1>
        <a:sysClr val="window" lastClr="FFFFFF"/>
      </a:lt1>
      <a:dk2>
        <a:srgbClr val="0098C3"/>
      </a:dk2>
      <a:lt2>
        <a:srgbClr val="646464"/>
      </a:lt2>
      <a:accent1>
        <a:srgbClr val="00365F"/>
      </a:accent1>
      <a:accent2>
        <a:srgbClr val="0000FF"/>
      </a:accent2>
      <a:accent3>
        <a:srgbClr val="008000"/>
      </a:accent3>
      <a:accent4>
        <a:srgbClr val="800080"/>
      </a:accent4>
      <a:accent5>
        <a:srgbClr val="FFFFCC"/>
      </a:accent5>
      <a:accent6>
        <a:srgbClr val="FF000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E9EA-BA71-4A95-A68D-BB2729EF830B}">
  <dimension ref="A1:H68"/>
  <sheetViews>
    <sheetView zoomScale="115" zoomScaleNormal="115" workbookViewId="0">
      <selection activeCell="C14" sqref="C14"/>
    </sheetView>
  </sheetViews>
  <sheetFormatPr defaultRowHeight="12.75" x14ac:dyDescent="0.2"/>
  <cols>
    <col min="1" max="1" width="26.5703125" bestFit="1" customWidth="1"/>
    <col min="2" max="8" width="12.7109375" bestFit="1" customWidth="1"/>
  </cols>
  <sheetData>
    <row r="1" spans="1:8" ht="15.75" thickBot="1" x14ac:dyDescent="0.3">
      <c r="A1" s="91" t="s">
        <v>58</v>
      </c>
      <c r="B1" s="91">
        <v>2019</v>
      </c>
      <c r="C1" s="91">
        <v>2020</v>
      </c>
      <c r="D1" s="91">
        <v>2021</v>
      </c>
      <c r="E1" s="91">
        <v>2022</v>
      </c>
      <c r="F1" s="91">
        <v>2023</v>
      </c>
      <c r="G1" s="91">
        <v>2024</v>
      </c>
      <c r="H1" s="91">
        <v>2025</v>
      </c>
    </row>
    <row r="2" spans="1:8" ht="13.5" thickTop="1" x14ac:dyDescent="0.2">
      <c r="A2" t="s">
        <v>59</v>
      </c>
      <c r="B2" s="92">
        <v>750.36560782000004</v>
      </c>
      <c r="C2" s="92">
        <v>615.391807703518</v>
      </c>
      <c r="D2" s="92">
        <v>833.46597730208396</v>
      </c>
      <c r="E2" s="92">
        <v>711.131812437608</v>
      </c>
      <c r="F2" s="92">
        <v>686.06293165730904</v>
      </c>
      <c r="G2" s="92">
        <v>706.91085711108497</v>
      </c>
      <c r="H2" s="92">
        <v>665.58641879370498</v>
      </c>
    </row>
    <row r="3" spans="1:8" x14ac:dyDescent="0.2">
      <c r="A3" s="6" t="s">
        <v>60</v>
      </c>
      <c r="B3" s="92">
        <v>-458.90464052999999</v>
      </c>
      <c r="C3" s="92">
        <v>-397.66045239344402</v>
      </c>
      <c r="D3" s="92">
        <v>-509.51688997499002</v>
      </c>
      <c r="E3" s="92">
        <v>-447.88977805673397</v>
      </c>
      <c r="F3" s="92">
        <v>-431.25642678772999</v>
      </c>
      <c r="G3" s="92">
        <v>-444.34571747640399</v>
      </c>
      <c r="H3" s="92">
        <v>-416.43083435842698</v>
      </c>
    </row>
    <row r="4" spans="1:8" x14ac:dyDescent="0.2">
      <c r="A4" s="6" t="s">
        <v>2</v>
      </c>
      <c r="B4" s="92">
        <v>-45.719698790000002</v>
      </c>
      <c r="C4" s="92">
        <v>-29.6208641216319</v>
      </c>
      <c r="D4" s="92">
        <v>-41.656957206641401</v>
      </c>
      <c r="E4" s="92">
        <v>-31.553574230625799</v>
      </c>
      <c r="F4" s="92">
        <v>-29.888808333661601</v>
      </c>
      <c r="G4" s="92">
        <v>-31.289054437518299</v>
      </c>
      <c r="H4" s="92">
        <v>-28.295326187301299</v>
      </c>
    </row>
    <row r="5" spans="1:8" x14ac:dyDescent="0.2">
      <c r="A5" s="6" t="s">
        <v>61</v>
      </c>
      <c r="B5" s="92">
        <v>-0.16139999999999999</v>
      </c>
      <c r="C5" s="92">
        <v>-0.5</v>
      </c>
      <c r="D5" s="92">
        <v>-0.5</v>
      </c>
      <c r="E5" s="92">
        <v>-0.5</v>
      </c>
      <c r="F5" s="92">
        <v>-0.5</v>
      </c>
      <c r="G5" s="92">
        <v>-0.5</v>
      </c>
      <c r="H5" s="92">
        <v>-0.5</v>
      </c>
    </row>
    <row r="6" spans="1:8" x14ac:dyDescent="0.2">
      <c r="A6" t="s">
        <v>62</v>
      </c>
      <c r="B6" s="92">
        <v>245.5798685</v>
      </c>
      <c r="C6" s="92">
        <v>187.61049118844201</v>
      </c>
      <c r="D6" s="92">
        <v>281.79213012045301</v>
      </c>
      <c r="E6" s="92">
        <v>231.188460150249</v>
      </c>
      <c r="F6" s="92">
        <v>224.417696535918</v>
      </c>
      <c r="G6" s="92">
        <v>230.77608519716301</v>
      </c>
      <c r="H6" s="92">
        <v>220.36025824797699</v>
      </c>
    </row>
    <row r="7" spans="1:8" x14ac:dyDescent="0.2">
      <c r="A7" s="6" t="s">
        <v>63</v>
      </c>
      <c r="B7" s="92">
        <v>74.391759059999998</v>
      </c>
      <c r="C7" s="92">
        <v>52.925764489999999</v>
      </c>
      <c r="D7" s="92">
        <v>6.0220262</v>
      </c>
      <c r="E7" s="92">
        <v>0</v>
      </c>
      <c r="F7" s="92">
        <v>0</v>
      </c>
      <c r="G7" s="92">
        <v>0</v>
      </c>
      <c r="H7" s="92">
        <v>0</v>
      </c>
    </row>
    <row r="8" spans="1:8" x14ac:dyDescent="0.2">
      <c r="A8" t="s">
        <v>64</v>
      </c>
      <c r="B8" s="92">
        <v>319.97162756</v>
      </c>
      <c r="C8" s="92">
        <v>240.53625567844301</v>
      </c>
      <c r="D8" s="92">
        <v>287.81415632045298</v>
      </c>
      <c r="E8" s="92">
        <v>231.188460150249</v>
      </c>
      <c r="F8" s="92">
        <v>224.417696535918</v>
      </c>
      <c r="G8" s="92">
        <v>230.77608519716301</v>
      </c>
      <c r="H8" s="92">
        <v>220.36025824797699</v>
      </c>
    </row>
    <row r="9" spans="1:8" x14ac:dyDescent="0.2">
      <c r="A9" s="6" t="s">
        <v>65</v>
      </c>
      <c r="B9" s="92">
        <v>-19.661953650000001</v>
      </c>
      <c r="C9" s="92">
        <v>-19.715701190000001</v>
      </c>
      <c r="D9" s="92">
        <v>-19.666119999999999</v>
      </c>
      <c r="E9" s="92">
        <v>-20.157772999999999</v>
      </c>
      <c r="F9" s="92">
        <v>-20.661717325000001</v>
      </c>
      <c r="G9" s="92">
        <v>-21.178260258125</v>
      </c>
      <c r="H9" s="92">
        <v>-21.707716764578102</v>
      </c>
    </row>
    <row r="10" spans="1:8" x14ac:dyDescent="0.2">
      <c r="A10" s="6" t="s">
        <v>3</v>
      </c>
      <c r="B10" s="92">
        <v>226.66488486</v>
      </c>
      <c r="C10" s="92">
        <v>154.39143390400901</v>
      </c>
      <c r="D10" s="92">
        <v>206.28059657942899</v>
      </c>
      <c r="E10" s="92">
        <v>214.088400001596</v>
      </c>
      <c r="F10" s="92">
        <v>185.09321800272301</v>
      </c>
      <c r="G10" s="92">
        <v>186.01474200273</v>
      </c>
      <c r="H10" s="92">
        <v>185.506505002723</v>
      </c>
    </row>
    <row r="11" spans="1:8" x14ac:dyDescent="0.2">
      <c r="A11" s="6" t="s">
        <v>66</v>
      </c>
      <c r="B11" s="92">
        <v>12.75076739</v>
      </c>
      <c r="C11" s="92">
        <v>12.854582234308699</v>
      </c>
      <c r="D11" s="92">
        <v>13.3305496945221</v>
      </c>
      <c r="E11" s="92">
        <v>13.1722876300956</v>
      </c>
      <c r="F11" s="92">
        <v>12.9653685894784</v>
      </c>
      <c r="G11" s="92">
        <v>12.768433475647599</v>
      </c>
      <c r="H11" s="92">
        <v>12.5868324421506</v>
      </c>
    </row>
    <row r="12" spans="1:8" x14ac:dyDescent="0.2">
      <c r="A12" s="6" t="s">
        <v>67</v>
      </c>
      <c r="B12" s="92">
        <v>0.58324574000000096</v>
      </c>
      <c r="C12" s="92">
        <v>-0.37985722</v>
      </c>
      <c r="D12" s="92">
        <v>9.2250000000000006E-3</v>
      </c>
      <c r="E12" s="92">
        <v>9.2250000000000006E-3</v>
      </c>
      <c r="F12" s="92">
        <v>9.2250000000000006E-3</v>
      </c>
      <c r="G12" s="92">
        <v>9.4556250000000005E-3</v>
      </c>
      <c r="H12" s="92">
        <v>9.6920156249999997E-3</v>
      </c>
    </row>
    <row r="13" spans="1:8" x14ac:dyDescent="0.2">
      <c r="A13" t="s">
        <v>68</v>
      </c>
      <c r="B13" s="92">
        <v>220.33694434</v>
      </c>
      <c r="C13" s="92">
        <v>147.150457728318</v>
      </c>
      <c r="D13" s="92">
        <v>199.954251273951</v>
      </c>
      <c r="E13" s="92">
        <v>207.112139631692</v>
      </c>
      <c r="F13" s="92">
        <v>177.40609426720101</v>
      </c>
      <c r="G13" s="92">
        <v>177.61437084525301</v>
      </c>
      <c r="H13" s="92">
        <v>176.39531269592001</v>
      </c>
    </row>
    <row r="14" spans="1:8" x14ac:dyDescent="0.2">
      <c r="A14" t="s">
        <v>4</v>
      </c>
      <c r="B14" s="92">
        <v>540.30857189999995</v>
      </c>
      <c r="C14" s="92">
        <v>387.68671340676002</v>
      </c>
      <c r="D14" s="92">
        <v>487.76840759440302</v>
      </c>
      <c r="E14" s="92">
        <v>438.300599781941</v>
      </c>
      <c r="F14" s="92">
        <v>401.82379080311898</v>
      </c>
      <c r="G14" s="92">
        <v>408.39045604241602</v>
      </c>
      <c r="H14" s="92">
        <v>396.75557094389802</v>
      </c>
    </row>
    <row r="15" spans="1:8" x14ac:dyDescent="0.2">
      <c r="A15" s="21" t="s">
        <v>69</v>
      </c>
      <c r="B15" s="92">
        <v>-43.749144600000001</v>
      </c>
      <c r="C15" s="92">
        <v>-44.558990838126398</v>
      </c>
      <c r="D15" s="92">
        <v>-45.7585443084308</v>
      </c>
      <c r="E15" s="92">
        <v>-46.902507916141502</v>
      </c>
      <c r="F15" s="92">
        <v>-48.075070614045003</v>
      </c>
      <c r="G15" s="92">
        <v>-49.276947379396198</v>
      </c>
      <c r="H15" s="92">
        <v>-50.508871063881102</v>
      </c>
    </row>
    <row r="16" spans="1:8" x14ac:dyDescent="0.2">
      <c r="A16" s="6" t="s">
        <v>70</v>
      </c>
      <c r="B16" s="92">
        <v>-51.169260479999998</v>
      </c>
      <c r="C16" s="92">
        <v>-43.219784419</v>
      </c>
      <c r="D16" s="92">
        <v>-47.010422857564301</v>
      </c>
      <c r="E16" s="92">
        <v>-49.5325487794126</v>
      </c>
      <c r="F16" s="92">
        <v>-52.299608532791602</v>
      </c>
      <c r="G16" s="92">
        <v>-41.2638023020764</v>
      </c>
      <c r="H16" s="92">
        <v>-51.251514550775802</v>
      </c>
    </row>
    <row r="17" spans="1:8" x14ac:dyDescent="0.2">
      <c r="A17" s="6" t="s">
        <v>71</v>
      </c>
      <c r="B17" s="92">
        <v>-20.81989183</v>
      </c>
      <c r="C17" s="92">
        <v>-23.084050094209399</v>
      </c>
      <c r="D17" s="92">
        <v>-18.454091755761901</v>
      </c>
      <c r="E17" s="92">
        <v>-18.689466631874701</v>
      </c>
      <c r="F17" s="92">
        <v>-19.2388783568754</v>
      </c>
      <c r="G17" s="92">
        <v>-19.519742422965798</v>
      </c>
      <c r="H17" s="92">
        <v>-20.266974749671402</v>
      </c>
    </row>
    <row r="18" spans="1:8" x14ac:dyDescent="0.2">
      <c r="A18" s="6" t="s">
        <v>72</v>
      </c>
      <c r="B18" s="92">
        <v>-7.6622555300000004</v>
      </c>
      <c r="C18" s="92">
        <v>-5.2939651999999997</v>
      </c>
      <c r="D18" s="92">
        <v>-4.6526433952000001</v>
      </c>
      <c r="E18" s="92">
        <v>-6.7864613046000004</v>
      </c>
      <c r="F18" s="92">
        <v>-9.7483142128000004</v>
      </c>
      <c r="G18" s="92">
        <v>-2.9071752536000002</v>
      </c>
      <c r="H18" s="92">
        <v>-5.1291422639000004</v>
      </c>
    </row>
    <row r="19" spans="1:8" x14ac:dyDescent="0.2">
      <c r="A19" s="6" t="s">
        <v>73</v>
      </c>
      <c r="B19" s="92">
        <v>-15.422840689999999</v>
      </c>
      <c r="C19" s="92">
        <v>-16.039935639999999</v>
      </c>
      <c r="D19" s="92">
        <v>-18.016218517199999</v>
      </c>
      <c r="E19" s="92">
        <v>-17.3259202417</v>
      </c>
      <c r="F19" s="92">
        <v>-17.614998097200001</v>
      </c>
      <c r="G19" s="92">
        <v>-17.892841492700001</v>
      </c>
      <c r="H19" s="92">
        <v>-18.196245008199998</v>
      </c>
    </row>
    <row r="20" spans="1:8" x14ac:dyDescent="0.2">
      <c r="A20" t="s">
        <v>74</v>
      </c>
      <c r="B20" s="92">
        <v>95.074248530000006</v>
      </c>
      <c r="C20" s="92">
        <v>87.637735353209393</v>
      </c>
      <c r="D20" s="92">
        <v>88.133376525726305</v>
      </c>
      <c r="E20" s="92">
        <v>92.334396957587202</v>
      </c>
      <c r="F20" s="92">
        <v>98.901799199666996</v>
      </c>
      <c r="G20" s="92">
        <v>81.583561471342193</v>
      </c>
      <c r="H20" s="92">
        <v>94.843876572547103</v>
      </c>
    </row>
    <row r="21" spans="1:8" x14ac:dyDescent="0.2">
      <c r="A21" s="6" t="s">
        <v>6</v>
      </c>
      <c r="B21" s="92">
        <v>-17.78525106</v>
      </c>
      <c r="C21" s="92">
        <v>-18.884241315231598</v>
      </c>
      <c r="D21" s="92">
        <v>-17.194165967554799</v>
      </c>
      <c r="E21" s="92">
        <v>-16.4952572883671</v>
      </c>
      <c r="F21" s="92">
        <v>-15.7506837665946</v>
      </c>
      <c r="G21" s="92">
        <v>-15.180254577257401</v>
      </c>
      <c r="H21" s="92">
        <v>-15.3452745073548</v>
      </c>
    </row>
    <row r="22" spans="1:8" x14ac:dyDescent="0.2">
      <c r="A22" s="6" t="s">
        <v>5</v>
      </c>
      <c r="B22" s="92">
        <v>-7.1536715099999997</v>
      </c>
      <c r="C22" s="92">
        <v>-8.1823331090343299</v>
      </c>
      <c r="D22" s="92">
        <v>-8.8641235747773592</v>
      </c>
      <c r="E22" s="92">
        <v>-9.0857266641467902</v>
      </c>
      <c r="F22" s="92">
        <v>-9.3128698307504596</v>
      </c>
      <c r="G22" s="92">
        <v>-9.5456915765192303</v>
      </c>
      <c r="H22" s="92">
        <v>-9.7843338659322097</v>
      </c>
    </row>
    <row r="23" spans="1:8" x14ac:dyDescent="0.2">
      <c r="A23" s="6" t="s">
        <v>75</v>
      </c>
      <c r="B23" s="92">
        <v>-14.05631844</v>
      </c>
      <c r="C23" s="92">
        <v>-14.3163545704715</v>
      </c>
      <c r="D23" s="92">
        <v>-14.679485686733299</v>
      </c>
      <c r="E23" s="92">
        <v>-15.046472828901701</v>
      </c>
      <c r="F23" s="92">
        <v>-15.4226346496242</v>
      </c>
      <c r="G23" s="92">
        <v>-15.808200515864799</v>
      </c>
      <c r="H23" s="92">
        <v>-16.203405528761401</v>
      </c>
    </row>
    <row r="24" spans="1:8" x14ac:dyDescent="0.2">
      <c r="A24" t="s">
        <v>76</v>
      </c>
      <c r="B24" s="92">
        <v>177.81863414</v>
      </c>
      <c r="C24" s="92">
        <v>173.57965518607301</v>
      </c>
      <c r="D24" s="92">
        <v>174.62969606322201</v>
      </c>
      <c r="E24" s="92">
        <v>179.86436165514399</v>
      </c>
      <c r="F24" s="92">
        <v>187.46305806068099</v>
      </c>
      <c r="G24" s="92">
        <v>171.39465552038001</v>
      </c>
      <c r="H24" s="92">
        <v>186.68576153847701</v>
      </c>
    </row>
    <row r="25" spans="1:8" x14ac:dyDescent="0.2">
      <c r="A25" t="s">
        <v>44</v>
      </c>
      <c r="B25" s="92">
        <v>362.48993775999998</v>
      </c>
      <c r="C25" s="92">
        <v>214.10705822068701</v>
      </c>
      <c r="D25" s="92">
        <v>313.138711531181</v>
      </c>
      <c r="E25" s="92">
        <v>258.43623812679698</v>
      </c>
      <c r="F25" s="92">
        <v>214.36073274243799</v>
      </c>
      <c r="G25" s="92">
        <v>236.99580052203601</v>
      </c>
      <c r="H25" s="92">
        <v>210.06980940542101</v>
      </c>
    </row>
    <row r="26" spans="1:8" x14ac:dyDescent="0.2">
      <c r="A26" s="6" t="s">
        <v>77</v>
      </c>
      <c r="B26" s="92">
        <v>-32.227335850000003</v>
      </c>
      <c r="C26" s="92">
        <v>-19.00304861</v>
      </c>
      <c r="D26" s="92">
        <v>-22.906616153400002</v>
      </c>
      <c r="E26" s="92">
        <v>-33.210168542200002</v>
      </c>
      <c r="F26" s="92">
        <v>-28.204150883299999</v>
      </c>
      <c r="G26" s="92">
        <v>-20.926666723250001</v>
      </c>
      <c r="H26" s="92">
        <v>-21.858650905899999</v>
      </c>
    </row>
    <row r="27" spans="1:8" x14ac:dyDescent="0.2">
      <c r="A27" s="6" t="s">
        <v>78</v>
      </c>
      <c r="B27" s="92">
        <v>-21.505213860000001</v>
      </c>
      <c r="C27" s="92">
        <v>-33.31286755</v>
      </c>
      <c r="D27" s="92">
        <v>-28.70122009</v>
      </c>
      <c r="E27" s="92">
        <v>-31.144664800000001</v>
      </c>
      <c r="F27" s="92">
        <v>-35.68033776</v>
      </c>
      <c r="G27" s="92">
        <v>-25.106513960000001</v>
      </c>
      <c r="H27" s="92">
        <v>-23.414861040000002</v>
      </c>
    </row>
    <row r="28" spans="1:8" x14ac:dyDescent="0.2">
      <c r="A28" s="6" t="s">
        <v>7</v>
      </c>
      <c r="B28" s="92">
        <v>-15.32293999</v>
      </c>
      <c r="C28" s="92">
        <v>-16.012756980799999</v>
      </c>
      <c r="D28" s="92">
        <v>-16.961290908752002</v>
      </c>
      <c r="E28" s="92">
        <v>-23.0605965109979</v>
      </c>
      <c r="F28" s="92">
        <v>-14.995730416627699</v>
      </c>
      <c r="G28" s="92">
        <v>-16.3777728995865</v>
      </c>
      <c r="H28" s="92">
        <v>-16.705864437450899</v>
      </c>
    </row>
    <row r="29" spans="1:8" x14ac:dyDescent="0.2">
      <c r="A29" s="6" t="s">
        <v>79</v>
      </c>
      <c r="B29" s="92">
        <v>-42.60204564</v>
      </c>
      <c r="C29" s="92">
        <v>-7.2691338400000003</v>
      </c>
      <c r="D29" s="92">
        <v>-5.7041666299999996</v>
      </c>
      <c r="E29" s="92">
        <v>-6.2649996300000002</v>
      </c>
      <c r="F29" s="92">
        <v>-3.9458329999999999</v>
      </c>
      <c r="G29" s="92">
        <v>-2.7699999599999998</v>
      </c>
      <c r="H29" s="92">
        <v>-4.2</v>
      </c>
    </row>
    <row r="30" spans="1:8" x14ac:dyDescent="0.2">
      <c r="A30" t="s">
        <v>80</v>
      </c>
      <c r="B30" s="92">
        <v>111.65753534</v>
      </c>
      <c r="C30" s="92">
        <v>75.597806980800001</v>
      </c>
      <c r="D30" s="92">
        <v>74.273293782151995</v>
      </c>
      <c r="E30" s="92">
        <v>93.680429483197997</v>
      </c>
      <c r="F30" s="92">
        <v>82.826052059927704</v>
      </c>
      <c r="G30" s="92">
        <v>65.180953542836505</v>
      </c>
      <c r="H30" s="92">
        <v>66.179376383350899</v>
      </c>
    </row>
    <row r="31" spans="1:8" x14ac:dyDescent="0.2">
      <c r="A31" t="s">
        <v>81</v>
      </c>
      <c r="B31" s="92">
        <v>250.83240241999999</v>
      </c>
      <c r="C31" s="92">
        <v>138.50925123988699</v>
      </c>
      <c r="D31" s="92">
        <v>238.86541774902901</v>
      </c>
      <c r="E31" s="92">
        <v>164.75580864359901</v>
      </c>
      <c r="F31" s="92">
        <v>131.53468068250999</v>
      </c>
      <c r="G31" s="92">
        <v>171.81484697920001</v>
      </c>
      <c r="H31" s="92">
        <v>143.89043302207</v>
      </c>
    </row>
    <row r="32" spans="1:8" x14ac:dyDescent="0.2">
      <c r="B32" s="92"/>
      <c r="C32" s="92"/>
      <c r="D32" s="92"/>
      <c r="E32" s="92"/>
      <c r="F32" s="92"/>
      <c r="G32" s="92"/>
      <c r="H32" s="92"/>
    </row>
    <row r="33" spans="1:8" x14ac:dyDescent="0.2">
      <c r="A33" t="s">
        <v>82</v>
      </c>
      <c r="B33" s="92">
        <v>0</v>
      </c>
      <c r="C33" s="92">
        <v>5.148873</v>
      </c>
      <c r="D33" s="92">
        <v>-10.416765</v>
      </c>
      <c r="E33" s="92">
        <v>15</v>
      </c>
      <c r="F33" s="92">
        <v>-18.493746999999999</v>
      </c>
      <c r="G33" s="92">
        <v>-19.397773999999998</v>
      </c>
      <c r="H33" s="92">
        <v>6.8340990000000001</v>
      </c>
    </row>
    <row r="34" spans="1:8" ht="15.75" thickBot="1" x14ac:dyDescent="0.3">
      <c r="A34" s="93" t="s">
        <v>83</v>
      </c>
      <c r="B34" s="94"/>
      <c r="C34" s="94"/>
      <c r="D34" s="94"/>
      <c r="E34" s="94"/>
      <c r="F34" s="94"/>
      <c r="G34" s="94"/>
      <c r="H34" s="94"/>
    </row>
    <row r="35" spans="1:8" x14ac:dyDescent="0.2">
      <c r="A35" t="s">
        <v>84</v>
      </c>
      <c r="B35" s="92">
        <v>362.48993775999998</v>
      </c>
      <c r="C35" s="92">
        <v>214.10705822068701</v>
      </c>
      <c r="D35" s="92">
        <v>313.138711531181</v>
      </c>
      <c r="E35" s="92">
        <v>258.43623812679698</v>
      </c>
      <c r="F35" s="92">
        <v>214.36073274243799</v>
      </c>
      <c r="G35" s="92">
        <v>236.99580052203601</v>
      </c>
      <c r="H35" s="92">
        <v>210.06980940542101</v>
      </c>
    </row>
    <row r="36" spans="1:8" x14ac:dyDescent="0.2">
      <c r="A36" t="s">
        <v>85</v>
      </c>
      <c r="B36" s="92">
        <v>-111.65753534</v>
      </c>
      <c r="C36" s="92">
        <v>-75.597806980800001</v>
      </c>
      <c r="D36" s="92">
        <v>-74.273293782151995</v>
      </c>
      <c r="E36" s="92">
        <v>-93.680429483197898</v>
      </c>
      <c r="F36" s="92">
        <v>-82.826052059927704</v>
      </c>
      <c r="G36" s="92">
        <v>-65.180953542836505</v>
      </c>
      <c r="H36" s="92">
        <v>-66.179376383350899</v>
      </c>
    </row>
    <row r="37" spans="1:8" x14ac:dyDescent="0.2">
      <c r="A37" t="s">
        <v>86</v>
      </c>
      <c r="B37" s="92">
        <v>0</v>
      </c>
      <c r="C37" s="92">
        <v>-71.5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">
      <c r="A38" t="s">
        <v>87</v>
      </c>
      <c r="B38" s="92">
        <v>0</v>
      </c>
      <c r="C38" s="92">
        <v>-5.5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">
      <c r="B39" s="92"/>
      <c r="C39" s="92"/>
      <c r="D39" s="92"/>
      <c r="E39" s="92"/>
      <c r="F39" s="92"/>
      <c r="G39" s="92"/>
      <c r="H39" s="92"/>
    </row>
    <row r="40" spans="1:8" ht="15.75" thickBot="1" x14ac:dyDescent="0.3">
      <c r="A40" s="93" t="s">
        <v>88</v>
      </c>
      <c r="B40" s="94"/>
      <c r="C40" s="94"/>
      <c r="D40" s="94"/>
      <c r="E40" s="94"/>
      <c r="F40" s="94"/>
      <c r="G40" s="94"/>
      <c r="H40" s="94"/>
    </row>
    <row r="41" spans="1:8" x14ac:dyDescent="0.2">
      <c r="A41" t="s">
        <v>89</v>
      </c>
      <c r="B41" s="92">
        <v>0</v>
      </c>
      <c r="C41" s="92">
        <v>-2.5092750341758299</v>
      </c>
      <c r="D41" s="92">
        <v>-3.9963088920228498</v>
      </c>
      <c r="E41" s="92">
        <v>-4.0560226548944698</v>
      </c>
      <c r="F41" s="92">
        <v>-4.1959265470423599</v>
      </c>
      <c r="G41" s="92">
        <v>-4.2955257393093502</v>
      </c>
      <c r="H41" s="92">
        <v>-4.38860412716455</v>
      </c>
    </row>
    <row r="42" spans="1:8" x14ac:dyDescent="0.2">
      <c r="A42" t="s">
        <v>90</v>
      </c>
      <c r="B42" s="92">
        <v>36</v>
      </c>
      <c r="C42" s="92">
        <v>85</v>
      </c>
      <c r="D42" s="92">
        <v>0</v>
      </c>
      <c r="E42" s="92">
        <v>0</v>
      </c>
      <c r="F42" s="92">
        <v>0</v>
      </c>
      <c r="G42" s="92">
        <v>0</v>
      </c>
      <c r="H42" s="92">
        <v>0</v>
      </c>
    </row>
    <row r="43" spans="1:8" x14ac:dyDescent="0.2">
      <c r="A43" t="s">
        <v>91</v>
      </c>
      <c r="B43" s="92">
        <v>-21</v>
      </c>
      <c r="C43" s="92">
        <v>0</v>
      </c>
      <c r="D43" s="92">
        <v>0</v>
      </c>
      <c r="E43" s="92">
        <v>0</v>
      </c>
      <c r="F43" s="92">
        <v>0</v>
      </c>
      <c r="G43" s="92">
        <v>0</v>
      </c>
      <c r="H43" s="92">
        <v>0</v>
      </c>
    </row>
    <row r="44" spans="1:8" x14ac:dyDescent="0.2">
      <c r="B44" s="92"/>
      <c r="C44" s="92"/>
      <c r="D44" s="92"/>
      <c r="E44" s="92"/>
      <c r="F44" s="92"/>
      <c r="G44" s="92"/>
      <c r="H44" s="92"/>
    </row>
    <row r="45" spans="1:8" ht="15.75" thickBot="1" x14ac:dyDescent="0.3">
      <c r="A45" s="93" t="s">
        <v>20</v>
      </c>
      <c r="B45" s="94"/>
      <c r="C45" s="94"/>
      <c r="D45" s="94"/>
      <c r="E45" s="94"/>
      <c r="F45" s="94"/>
      <c r="G45" s="94"/>
      <c r="H45" s="94"/>
    </row>
    <row r="46" spans="1:8" x14ac:dyDescent="0.2">
      <c r="A46" t="s">
        <v>89</v>
      </c>
      <c r="B46" s="92">
        <v>-108.76784158</v>
      </c>
      <c r="C46" s="92">
        <v>-92.326874000000004</v>
      </c>
      <c r="D46" s="92">
        <v>-83.573256804548805</v>
      </c>
      <c r="E46" s="92">
        <v>-79.875007351400697</v>
      </c>
      <c r="F46" s="92">
        <v>-78.714531664875494</v>
      </c>
      <c r="G46" s="92">
        <v>-78.240579143603298</v>
      </c>
      <c r="H46" s="92">
        <v>-76.710763422549903</v>
      </c>
    </row>
    <row r="47" spans="1:8" x14ac:dyDescent="0.2">
      <c r="A47" t="s">
        <v>92</v>
      </c>
      <c r="B47" s="92">
        <v>-40.875</v>
      </c>
      <c r="C47" s="92">
        <v>0</v>
      </c>
      <c r="D47" s="92">
        <v>-51.373971281077502</v>
      </c>
      <c r="E47" s="92">
        <v>-56.016622715339899</v>
      </c>
      <c r="F47" s="92">
        <v>-11.2818279380962</v>
      </c>
      <c r="G47" s="92">
        <v>-17.854439630434701</v>
      </c>
      <c r="H47" s="92">
        <v>-28.679597280422001</v>
      </c>
    </row>
    <row r="48" spans="1:8" x14ac:dyDescent="0.2">
      <c r="A48" t="s">
        <v>93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</row>
    <row r="49" spans="1:8" x14ac:dyDescent="0.2">
      <c r="A49" t="s">
        <v>94</v>
      </c>
      <c r="B49" s="92">
        <v>0</v>
      </c>
      <c r="C49" s="92">
        <v>0</v>
      </c>
      <c r="D49" s="92">
        <v>0</v>
      </c>
      <c r="E49" s="92">
        <v>0</v>
      </c>
      <c r="F49" s="92">
        <v>0</v>
      </c>
      <c r="G49" s="92">
        <v>0</v>
      </c>
      <c r="H49" s="92">
        <v>0</v>
      </c>
    </row>
    <row r="50" spans="1:8" x14ac:dyDescent="0.2">
      <c r="A50" t="s">
        <v>95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</row>
    <row r="51" spans="1:8" x14ac:dyDescent="0.2">
      <c r="B51" s="92"/>
      <c r="C51" s="92"/>
      <c r="D51" s="92"/>
      <c r="E51" s="92"/>
      <c r="F51" s="92"/>
      <c r="G51" s="92"/>
      <c r="H51" s="92"/>
    </row>
    <row r="52" spans="1:8" ht="15.75" thickBot="1" x14ac:dyDescent="0.3">
      <c r="A52" s="93" t="s">
        <v>96</v>
      </c>
      <c r="B52" s="94"/>
      <c r="C52" s="94"/>
      <c r="D52" s="94"/>
      <c r="E52" s="94"/>
      <c r="F52" s="94"/>
      <c r="G52" s="94"/>
      <c r="H52" s="94"/>
    </row>
    <row r="53" spans="1:8" x14ac:dyDescent="0.2">
      <c r="A53" t="s">
        <v>89</v>
      </c>
      <c r="B53" s="92">
        <v>-6.0994248787999998</v>
      </c>
      <c r="C53" s="92">
        <v>-3.6340841699999999</v>
      </c>
      <c r="D53" s="92">
        <v>-4.75</v>
      </c>
      <c r="E53" s="92">
        <v>-4.75</v>
      </c>
      <c r="F53" s="92">
        <v>-4.75</v>
      </c>
      <c r="G53" s="92">
        <v>-4.75</v>
      </c>
      <c r="H53" s="92">
        <v>-4.75</v>
      </c>
    </row>
    <row r="54" spans="1:8" x14ac:dyDescent="0.2">
      <c r="A54" t="s">
        <v>92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</row>
    <row r="55" spans="1:8" x14ac:dyDescent="0.2">
      <c r="A55" t="s">
        <v>93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</row>
    <row r="56" spans="1:8" x14ac:dyDescent="0.2">
      <c r="A56" t="s">
        <v>94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</row>
    <row r="57" spans="1:8" x14ac:dyDescent="0.2">
      <c r="A57" t="s">
        <v>95</v>
      </c>
      <c r="B57" s="92">
        <v>0</v>
      </c>
      <c r="C57" s="92">
        <v>0</v>
      </c>
      <c r="D57" s="92">
        <v>0</v>
      </c>
      <c r="E57" s="92">
        <v>0</v>
      </c>
      <c r="F57" s="92">
        <v>0</v>
      </c>
      <c r="G57" s="92">
        <v>0</v>
      </c>
      <c r="H57" s="92">
        <v>0</v>
      </c>
    </row>
    <row r="58" spans="1:8" x14ac:dyDescent="0.2">
      <c r="B58" s="92"/>
      <c r="C58" s="92"/>
      <c r="D58" s="92"/>
      <c r="E58" s="92"/>
      <c r="F58" s="92"/>
      <c r="G58" s="92"/>
      <c r="H58" s="92"/>
    </row>
    <row r="59" spans="1:8" ht="15.75" thickBot="1" x14ac:dyDescent="0.3">
      <c r="A59" s="93" t="s">
        <v>97</v>
      </c>
      <c r="B59" s="94"/>
      <c r="C59" s="94"/>
      <c r="D59" s="94"/>
      <c r="E59" s="94"/>
      <c r="F59" s="94"/>
      <c r="G59" s="94"/>
      <c r="H59" s="94"/>
    </row>
    <row r="60" spans="1:8" x14ac:dyDescent="0.2">
      <c r="A60" t="s">
        <v>89</v>
      </c>
      <c r="B60" s="92">
        <v>0</v>
      </c>
      <c r="C60" s="92">
        <v>-14.9872110871679</v>
      </c>
      <c r="D60" s="92">
        <v>-14.4103994926437</v>
      </c>
      <c r="E60" s="92">
        <v>-3.62884252951494</v>
      </c>
      <c r="F60" s="92">
        <v>0</v>
      </c>
      <c r="G60" s="92">
        <v>0</v>
      </c>
      <c r="H60" s="92">
        <v>0</v>
      </c>
    </row>
    <row r="61" spans="1:8" x14ac:dyDescent="0.2">
      <c r="B61" s="92"/>
      <c r="C61" s="92"/>
      <c r="D61" s="92"/>
      <c r="E61" s="92"/>
      <c r="F61" s="92"/>
      <c r="G61" s="92"/>
      <c r="H61" s="92"/>
    </row>
    <row r="62" spans="1:8" ht="15.75" thickBot="1" x14ac:dyDescent="0.3">
      <c r="A62" s="93" t="s">
        <v>98</v>
      </c>
      <c r="B62" s="94"/>
      <c r="C62" s="94"/>
      <c r="D62" s="94"/>
      <c r="E62" s="94"/>
      <c r="F62" s="94"/>
      <c r="G62" s="94"/>
      <c r="H62" s="94"/>
    </row>
    <row r="63" spans="1:8" x14ac:dyDescent="0.2">
      <c r="A63" t="s">
        <v>99</v>
      </c>
      <c r="B63" s="92">
        <v>-77.516629683395195</v>
      </c>
      <c r="C63" s="92">
        <v>-24.7525397596687</v>
      </c>
      <c r="D63" s="92">
        <v>-55.344711335847599</v>
      </c>
      <c r="E63" s="92">
        <v>-49.923057063023101</v>
      </c>
      <c r="F63" s="92">
        <v>-33.496418646833298</v>
      </c>
      <c r="G63" s="92">
        <v>-40.442426268213602</v>
      </c>
      <c r="H63" s="92">
        <v>-30.244799430370101</v>
      </c>
    </row>
    <row r="64" spans="1:8" x14ac:dyDescent="0.2">
      <c r="B64" s="92"/>
      <c r="C64" s="92"/>
      <c r="D64" s="92"/>
      <c r="E64" s="92"/>
      <c r="F64" s="92"/>
      <c r="G64" s="92"/>
      <c r="H64" s="92"/>
    </row>
    <row r="65" spans="1:8" ht="15.75" thickBot="1" x14ac:dyDescent="0.3">
      <c r="A65" s="93" t="s">
        <v>46</v>
      </c>
      <c r="B65" s="94"/>
      <c r="C65" s="94"/>
      <c r="D65" s="94"/>
      <c r="E65" s="94"/>
      <c r="F65" s="94"/>
      <c r="G65" s="94"/>
      <c r="H65" s="94"/>
    </row>
    <row r="66" spans="1:8" x14ac:dyDescent="0.2">
      <c r="A66" t="s">
        <v>100</v>
      </c>
      <c r="B66" s="92">
        <v>0</v>
      </c>
      <c r="C66" s="92">
        <v>0</v>
      </c>
      <c r="D66" s="92">
        <v>0</v>
      </c>
      <c r="E66" s="92">
        <v>0</v>
      </c>
      <c r="F66" s="92">
        <v>0</v>
      </c>
      <c r="G66" s="92">
        <v>0</v>
      </c>
      <c r="H66" s="92">
        <v>0</v>
      </c>
    </row>
    <row r="68" spans="1:8" x14ac:dyDescent="0.2">
      <c r="A68" t="s">
        <v>101</v>
      </c>
      <c r="B68">
        <v>5.15</v>
      </c>
      <c r="C68" s="95">
        <v>-10.416765</v>
      </c>
      <c r="D68" s="95">
        <v>15</v>
      </c>
      <c r="E68" s="95">
        <v>-18.493746999999999</v>
      </c>
      <c r="F68" s="95">
        <v>-19.397773999999998</v>
      </c>
      <c r="G68" s="95">
        <v>6.8340990000000001</v>
      </c>
      <c r="H68" s="95">
        <v>5.9507677615635757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5484-746C-4E5E-AFC7-4BC0F405A522}">
  <sheetPr codeName="Sheet5">
    <pageSetUpPr fitToPage="1"/>
  </sheetPr>
  <dimension ref="C2:AY62"/>
  <sheetViews>
    <sheetView showGridLines="0" tabSelected="1" topLeftCell="A16" zoomScale="115" zoomScaleNormal="115" workbookViewId="0">
      <selection activeCell="G55" sqref="G55"/>
    </sheetView>
  </sheetViews>
  <sheetFormatPr defaultRowHeight="12.75" outlineLevelCol="1" x14ac:dyDescent="0.2"/>
  <cols>
    <col min="1" max="1" width="2.7109375" customWidth="1"/>
    <col min="2" max="2" width="1.7109375" customWidth="1"/>
    <col min="4" max="4" width="9.140625" customWidth="1"/>
    <col min="6" max="6" width="7.7109375" style="54" customWidth="1"/>
    <col min="7" max="7" width="7.7109375" style="2" customWidth="1"/>
    <col min="8" max="11" width="7.7109375" style="22" customWidth="1"/>
    <col min="12" max="12" width="7.7109375" style="5" customWidth="1"/>
    <col min="13" max="13" width="7.7109375" customWidth="1"/>
    <col min="24" max="24" width="9.140625" customWidth="1" outlineLevel="1"/>
    <col min="25" max="25" width="13.7109375" customWidth="1" outlineLevel="1"/>
    <col min="26" max="26" width="8.28515625" style="5" customWidth="1" outlineLevel="1"/>
    <col min="27" max="28" width="16.140625" style="5" customWidth="1" outlineLevel="1"/>
    <col min="29" max="29" width="4.28515625" customWidth="1" outlineLevel="1"/>
    <col min="30" max="31" width="16.140625" style="5" customWidth="1" outlineLevel="1"/>
    <col min="32" max="32" width="8.28515625" customWidth="1"/>
    <col min="33" max="33" width="35.28515625" bestFit="1" customWidth="1"/>
    <col min="41" max="41" width="12.42578125" bestFit="1" customWidth="1"/>
    <col min="42" max="42" width="9.140625" style="2"/>
    <col min="43" max="43" width="9.140625" style="40"/>
    <col min="44" max="45" width="9.140625" style="2"/>
    <col min="46" max="46" width="9.140625" style="40"/>
    <col min="47" max="48" width="9.140625" style="2"/>
    <col min="49" max="49" width="9.140625" style="40"/>
    <col min="50" max="50" width="5.7109375" customWidth="1"/>
    <col min="51" max="51" width="11.5703125" style="5" customWidth="1"/>
  </cols>
  <sheetData>
    <row r="2" spans="3:49" x14ac:dyDescent="0.2">
      <c r="C2" t="s">
        <v>103</v>
      </c>
      <c r="F2" s="98">
        <v>5220</v>
      </c>
      <c r="H2" s="22" t="s">
        <v>43</v>
      </c>
      <c r="L2" s="25">
        <v>7.5</v>
      </c>
    </row>
    <row r="3" spans="3:49" x14ac:dyDescent="0.2">
      <c r="F3"/>
      <c r="H3" t="s">
        <v>102</v>
      </c>
      <c r="I3"/>
      <c r="J3"/>
      <c r="K3"/>
      <c r="L3" s="18">
        <v>1566.446313903379</v>
      </c>
    </row>
    <row r="4" spans="3:49" x14ac:dyDescent="0.2">
      <c r="H4" t="s">
        <v>104</v>
      </c>
      <c r="I4"/>
      <c r="J4"/>
      <c r="K4"/>
      <c r="L4" s="96">
        <v>0.75</v>
      </c>
    </row>
    <row r="5" spans="3:49" x14ac:dyDescent="0.2">
      <c r="F5"/>
      <c r="G5"/>
      <c r="H5" s="22" t="s">
        <v>108</v>
      </c>
      <c r="L5" s="96">
        <v>0.06</v>
      </c>
    </row>
    <row r="6" spans="3:49" ht="26.25" x14ac:dyDescent="0.4">
      <c r="C6" s="8" t="s">
        <v>109</v>
      </c>
      <c r="D6" s="7"/>
      <c r="E6" s="7"/>
      <c r="F6" s="55"/>
      <c r="G6" s="14"/>
      <c r="H6" s="23"/>
      <c r="I6" s="23"/>
      <c r="J6" s="23"/>
      <c r="K6" s="23"/>
      <c r="L6" s="24"/>
    </row>
    <row r="8" spans="3:49" x14ac:dyDescent="0.2">
      <c r="C8" s="3" t="s">
        <v>11</v>
      </c>
    </row>
    <row r="9" spans="3:49" x14ac:dyDescent="0.2">
      <c r="C9" s="3"/>
    </row>
    <row r="10" spans="3:49" x14ac:dyDescent="0.2">
      <c r="F10"/>
      <c r="G10"/>
      <c r="H10" s="61" t="s">
        <v>48</v>
      </c>
      <c r="I10" s="62"/>
      <c r="J10" s="62"/>
      <c r="K10" s="41" t="s">
        <v>45</v>
      </c>
      <c r="L10" s="43" t="s">
        <v>1</v>
      </c>
    </row>
    <row r="11" spans="3:49" x14ac:dyDescent="0.2">
      <c r="F11"/>
      <c r="G11"/>
      <c r="H11" s="22" t="s">
        <v>20</v>
      </c>
      <c r="K11" s="54">
        <f>+F16</f>
        <v>1174.8347354275343</v>
      </c>
      <c r="L11" s="51">
        <f>K11/MW_Capacity*1000</f>
        <v>225.06412556083032</v>
      </c>
    </row>
    <row r="12" spans="3:49" x14ac:dyDescent="0.2">
      <c r="F12"/>
      <c r="G12"/>
      <c r="H12" s="22" t="s">
        <v>16</v>
      </c>
      <c r="K12" s="54">
        <f>+F17</f>
        <v>391.61157847584468</v>
      </c>
      <c r="L12" s="51">
        <f>K12/MW_Capacity*1000</f>
        <v>75.021375186943416</v>
      </c>
    </row>
    <row r="13" spans="3:49" x14ac:dyDescent="0.2">
      <c r="F13"/>
      <c r="G13"/>
      <c r="H13" s="29" t="s">
        <v>8</v>
      </c>
      <c r="I13" s="28"/>
      <c r="J13" s="28"/>
      <c r="K13" s="57">
        <f>SUM(K11:K12)</f>
        <v>1566.446313903379</v>
      </c>
      <c r="L13" s="52">
        <f>K13/MW_Capacity*1000</f>
        <v>300.08550074777372</v>
      </c>
    </row>
    <row r="14" spans="3:49" x14ac:dyDescent="0.2">
      <c r="F14"/>
      <c r="G14"/>
      <c r="K14" s="54"/>
    </row>
    <row r="15" spans="3:49" x14ac:dyDescent="0.2">
      <c r="C15" s="3" t="s">
        <v>14</v>
      </c>
      <c r="F15" s="56" t="s">
        <v>45</v>
      </c>
      <c r="G15"/>
      <c r="H15" s="26" t="s">
        <v>15</v>
      </c>
      <c r="K15" s="56" t="s">
        <v>45</v>
      </c>
      <c r="L15" s="11" t="s">
        <v>1</v>
      </c>
      <c r="AG15" t="s">
        <v>50</v>
      </c>
      <c r="AH15" s="39">
        <f>+F11</f>
        <v>0</v>
      </c>
      <c r="AI15" s="39">
        <f>+AH15-AI16</f>
        <v>0</v>
      </c>
      <c r="AJ15" s="39">
        <f>+AI15-AJ16</f>
        <v>0</v>
      </c>
      <c r="AK15" s="39"/>
      <c r="AL15" s="39"/>
    </row>
    <row r="16" spans="3:49" x14ac:dyDescent="0.2">
      <c r="C16" t="s">
        <v>54</v>
      </c>
      <c r="F16" s="58">
        <f>+K16*$L$4</f>
        <v>1174.8347354275343</v>
      </c>
      <c r="G16"/>
      <c r="H16" s="22" t="s">
        <v>17</v>
      </c>
      <c r="K16" s="58">
        <f>+$L$3</f>
        <v>1566.446313903379</v>
      </c>
      <c r="L16" s="53">
        <f>+K16/MW_Capacity*1000</f>
        <v>300.08550074777372</v>
      </c>
      <c r="Z16"/>
      <c r="AA16"/>
      <c r="AB16"/>
      <c r="AD16"/>
      <c r="AE16"/>
      <c r="AP16"/>
      <c r="AQ16"/>
      <c r="AR16"/>
      <c r="AS16"/>
      <c r="AT16"/>
      <c r="AU16"/>
      <c r="AV16"/>
      <c r="AW16"/>
    </row>
    <row r="17" spans="3:51" s="13" customFormat="1" x14ac:dyDescent="0.2">
      <c r="C17" s="1" t="s">
        <v>49</v>
      </c>
      <c r="F17" s="58">
        <f>+K19-F16</f>
        <v>391.61157847584468</v>
      </c>
      <c r="G17"/>
      <c r="H17"/>
      <c r="I17"/>
      <c r="J17"/>
      <c r="K17"/>
      <c r="L17"/>
      <c r="M17"/>
      <c r="N17"/>
      <c r="O17"/>
      <c r="P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Y17" s="11"/>
    </row>
    <row r="18" spans="3:51" x14ac:dyDescent="0.2">
      <c r="G18"/>
      <c r="K18" s="54"/>
      <c r="L18" s="53"/>
      <c r="Z18"/>
      <c r="AA18"/>
      <c r="AB18"/>
      <c r="AD18"/>
      <c r="AE18"/>
      <c r="AP18"/>
      <c r="AQ18"/>
      <c r="AR18"/>
      <c r="AS18"/>
      <c r="AT18"/>
      <c r="AU18"/>
      <c r="AV18"/>
      <c r="AW18"/>
    </row>
    <row r="19" spans="3:51" x14ac:dyDescent="0.2">
      <c r="C19" s="29" t="s">
        <v>19</v>
      </c>
      <c r="D19" s="29"/>
      <c r="E19" s="29"/>
      <c r="F19" s="57">
        <f>K19</f>
        <v>1566.446313903379</v>
      </c>
      <c r="G19"/>
      <c r="H19" s="29" t="s">
        <v>18</v>
      </c>
      <c r="I19" s="28"/>
      <c r="J19" s="28"/>
      <c r="K19" s="57">
        <f>SUM(K16:K17)</f>
        <v>1566.446313903379</v>
      </c>
      <c r="L19" s="52">
        <f>+K19/MW_Capacity*1000</f>
        <v>300.08550074777372</v>
      </c>
      <c r="Z19"/>
      <c r="AA19"/>
      <c r="AB19"/>
      <c r="AD19"/>
      <c r="AE19"/>
      <c r="AP19"/>
      <c r="AQ19"/>
      <c r="AR19"/>
      <c r="AS19"/>
      <c r="AT19"/>
      <c r="AU19"/>
      <c r="AV19"/>
      <c r="AW19"/>
    </row>
    <row r="20" spans="3:51" x14ac:dyDescent="0.2">
      <c r="Z20"/>
      <c r="AA20"/>
      <c r="AB20"/>
      <c r="AD20"/>
      <c r="AE20"/>
      <c r="AP20"/>
      <c r="AQ20"/>
      <c r="AR20"/>
      <c r="AS20"/>
      <c r="AT20"/>
      <c r="AU20"/>
      <c r="AV20"/>
      <c r="AW20"/>
    </row>
    <row r="21" spans="3:51" x14ac:dyDescent="0.2">
      <c r="C21" s="3" t="s">
        <v>21</v>
      </c>
      <c r="Z21"/>
      <c r="AA21"/>
      <c r="AB21"/>
      <c r="AD21"/>
      <c r="AE21"/>
      <c r="AP21"/>
      <c r="AQ21"/>
      <c r="AR21"/>
      <c r="AS21"/>
      <c r="AT21"/>
      <c r="AU21"/>
      <c r="AV21"/>
      <c r="AW21"/>
    </row>
    <row r="22" spans="3:51" s="13" customFormat="1" x14ac:dyDescent="0.2">
      <c r="C22" s="78" t="s">
        <v>45</v>
      </c>
      <c r="D22" s="42"/>
      <c r="E22" s="42"/>
      <c r="F22" s="60" t="s">
        <v>56</v>
      </c>
      <c r="G22" s="63" t="s">
        <v>10</v>
      </c>
      <c r="H22" s="64"/>
      <c r="I22" s="64"/>
      <c r="J22" s="64"/>
      <c r="K22" s="65"/>
      <c r="L22" s="66" t="s">
        <v>26</v>
      </c>
      <c r="M22" s="20"/>
      <c r="N22"/>
      <c r="O22"/>
      <c r="P22"/>
      <c r="Q22"/>
      <c r="R22"/>
      <c r="S22"/>
      <c r="T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Y22" s="11"/>
    </row>
    <row r="23" spans="3:51" x14ac:dyDescent="0.2">
      <c r="C23" s="12" t="s">
        <v>0</v>
      </c>
      <c r="D23" s="40"/>
      <c r="E23" s="40"/>
      <c r="F23" s="15">
        <v>44196</v>
      </c>
      <c r="G23" s="15">
        <f>EOMONTH(F23,12)</f>
        <v>44561</v>
      </c>
      <c r="H23" s="15">
        <f t="shared" ref="H23:K23" si="0">EOMONTH(G23,12)</f>
        <v>44926</v>
      </c>
      <c r="I23" s="15">
        <f t="shared" si="0"/>
        <v>45291</v>
      </c>
      <c r="J23" s="15">
        <f t="shared" si="0"/>
        <v>45657</v>
      </c>
      <c r="K23" s="15">
        <f t="shared" si="0"/>
        <v>46022</v>
      </c>
      <c r="L23" s="15">
        <f>+K23</f>
        <v>46022</v>
      </c>
      <c r="M23" s="2"/>
      <c r="Z23"/>
      <c r="AA23"/>
      <c r="AB23"/>
      <c r="AD23"/>
      <c r="AE23"/>
      <c r="AP23"/>
      <c r="AQ23"/>
      <c r="AR23"/>
      <c r="AS23"/>
      <c r="AT23"/>
      <c r="AU23"/>
      <c r="AV23"/>
      <c r="AW23"/>
    </row>
    <row r="24" spans="3:51" x14ac:dyDescent="0.2">
      <c r="C24" s="79"/>
      <c r="D24" s="2"/>
      <c r="E24" s="2"/>
      <c r="H24" s="2"/>
      <c r="I24" s="2"/>
      <c r="J24" s="2"/>
      <c r="K24" s="2"/>
      <c r="L24" s="2"/>
      <c r="M24" s="2"/>
      <c r="Z24"/>
      <c r="AA24"/>
      <c r="AB24"/>
      <c r="AD24"/>
      <c r="AE24"/>
      <c r="AP24"/>
      <c r="AQ24"/>
      <c r="AR24"/>
      <c r="AS24"/>
      <c r="AT24"/>
      <c r="AU24"/>
      <c r="AV24"/>
      <c r="AW24"/>
    </row>
    <row r="25" spans="3:51" x14ac:dyDescent="0.2">
      <c r="C25" s="80" t="s">
        <v>106</v>
      </c>
      <c r="D25" s="68"/>
      <c r="E25" s="69"/>
      <c r="F25" s="30">
        <f>+'Cash Flows'!C25</f>
        <v>214.10705822068701</v>
      </c>
      <c r="G25" s="30">
        <f>+'Cash Flows'!D25</f>
        <v>313.138711531181</v>
      </c>
      <c r="H25" s="30">
        <f>+'Cash Flows'!E25</f>
        <v>258.43623812679698</v>
      </c>
      <c r="I25" s="30">
        <f>+'Cash Flows'!F25</f>
        <v>214.36073274243799</v>
      </c>
      <c r="J25" s="30">
        <f>+'Cash Flows'!G25</f>
        <v>236.99580052203601</v>
      </c>
      <c r="K25" s="30">
        <f>+'Cash Flows'!H25</f>
        <v>210.06980940542101</v>
      </c>
      <c r="L25" s="36"/>
      <c r="M25" s="2"/>
      <c r="Z25"/>
      <c r="AA25"/>
      <c r="AB25"/>
      <c r="AD25"/>
      <c r="AE25"/>
      <c r="AP25"/>
      <c r="AQ25"/>
      <c r="AR25"/>
      <c r="AS25"/>
      <c r="AT25"/>
      <c r="AU25"/>
      <c r="AV25"/>
      <c r="AW25"/>
    </row>
    <row r="26" spans="3:51" x14ac:dyDescent="0.2">
      <c r="C26" s="81" t="s">
        <v>105</v>
      </c>
      <c r="D26" s="31"/>
      <c r="E26" s="32"/>
      <c r="F26" s="89">
        <f>-'Cash Flows'!C30</f>
        <v>-75.597806980800001</v>
      </c>
      <c r="G26" s="89">
        <f>-'Cash Flows'!D30</f>
        <v>-74.273293782151995</v>
      </c>
      <c r="H26" s="89">
        <f>-'Cash Flows'!E30</f>
        <v>-93.680429483197997</v>
      </c>
      <c r="I26" s="89">
        <f>-'Cash Flows'!F30</f>
        <v>-82.826052059927704</v>
      </c>
      <c r="J26" s="89">
        <f>-'Cash Flows'!G30</f>
        <v>-65.180953542836505</v>
      </c>
      <c r="K26" s="89">
        <f>-'Cash Flows'!H30</f>
        <v>-66.179376383350899</v>
      </c>
      <c r="L26" s="70"/>
      <c r="M26" s="2"/>
      <c r="Z26"/>
      <c r="AA26"/>
      <c r="AB26"/>
      <c r="AD26"/>
      <c r="AE26"/>
      <c r="AP26"/>
      <c r="AQ26"/>
      <c r="AR26"/>
      <c r="AS26"/>
      <c r="AT26"/>
      <c r="AU26"/>
      <c r="AV26"/>
      <c r="AW26"/>
    </row>
    <row r="27" spans="3:51" x14ac:dyDescent="0.2">
      <c r="C27" s="82" t="s">
        <v>110</v>
      </c>
      <c r="D27" s="71"/>
      <c r="E27" s="72"/>
      <c r="F27" s="48">
        <f t="shared" ref="F27:K27" si="1">SUM(F26:F26,F25)</f>
        <v>138.50925123988702</v>
      </c>
      <c r="G27" s="48">
        <f t="shared" si="1"/>
        <v>238.86541774902901</v>
      </c>
      <c r="H27" s="48">
        <f t="shared" si="1"/>
        <v>164.75580864359898</v>
      </c>
      <c r="I27" s="48">
        <f t="shared" si="1"/>
        <v>131.53468068251027</v>
      </c>
      <c r="J27" s="48">
        <f t="shared" si="1"/>
        <v>171.8148469791995</v>
      </c>
      <c r="K27" s="48">
        <f t="shared" si="1"/>
        <v>143.89043302207011</v>
      </c>
      <c r="L27" s="73"/>
      <c r="M27" s="2"/>
      <c r="Z27"/>
      <c r="AA27"/>
      <c r="AB27"/>
      <c r="AD27"/>
      <c r="AE27"/>
      <c r="AP27"/>
      <c r="AQ27"/>
      <c r="AR27"/>
      <c r="AS27"/>
      <c r="AT27"/>
      <c r="AU27"/>
      <c r="AV27"/>
      <c r="AW27"/>
    </row>
    <row r="28" spans="3:51" x14ac:dyDescent="0.2">
      <c r="C28" s="21" t="s">
        <v>12</v>
      </c>
      <c r="D28" s="2"/>
      <c r="E28" s="2"/>
      <c r="F28" s="16"/>
      <c r="G28" s="16">
        <f>G60</f>
        <v>-70.490084125652047</v>
      </c>
      <c r="H28" s="16">
        <f>H60</f>
        <v>-60.387564108249428</v>
      </c>
      <c r="I28" s="16">
        <f>I60</f>
        <v>-54.125469436128462</v>
      </c>
      <c r="J28" s="16">
        <f>J60</f>
        <v>-49.480916761345554</v>
      </c>
      <c r="K28" s="16">
        <f>K60</f>
        <v>-42.140880948274322</v>
      </c>
      <c r="L28" s="16"/>
      <c r="M28" s="2"/>
      <c r="Z28"/>
      <c r="AA28"/>
      <c r="AB28"/>
      <c r="AD28"/>
      <c r="AE28"/>
      <c r="AP28"/>
      <c r="AQ28"/>
      <c r="AR28"/>
      <c r="AS28"/>
      <c r="AT28"/>
      <c r="AU28"/>
      <c r="AV28"/>
      <c r="AW28"/>
    </row>
    <row r="29" spans="3:51" x14ac:dyDescent="0.2">
      <c r="C29" s="21" t="s">
        <v>23</v>
      </c>
      <c r="D29" s="2"/>
      <c r="E29" s="2"/>
      <c r="F29" s="16"/>
      <c r="G29" s="16">
        <f t="shared" ref="G29:K30" si="2">G55</f>
        <v>-11.748347354275342</v>
      </c>
      <c r="H29" s="16">
        <f t="shared" si="2"/>
        <v>-11.748347354275342</v>
      </c>
      <c r="I29" s="16">
        <f t="shared" si="2"/>
        <v>-11.748347354275342</v>
      </c>
      <c r="J29" s="16">
        <f t="shared" si="2"/>
        <v>-11.748347354275342</v>
      </c>
      <c r="K29" s="16">
        <f t="shared" si="2"/>
        <v>-11.748347354275342</v>
      </c>
      <c r="L29" s="16"/>
      <c r="M29" s="2"/>
      <c r="Z29"/>
      <c r="AA29"/>
      <c r="AB29"/>
      <c r="AD29"/>
      <c r="AE29"/>
      <c r="AP29"/>
      <c r="AQ29"/>
      <c r="AR29"/>
      <c r="AS29"/>
      <c r="AT29"/>
      <c r="AU29"/>
      <c r="AV29"/>
      <c r="AW29"/>
    </row>
    <row r="30" spans="3:51" x14ac:dyDescent="0.2">
      <c r="C30" s="21" t="s">
        <v>13</v>
      </c>
      <c r="D30" s="2"/>
      <c r="E30" s="2"/>
      <c r="F30" s="16"/>
      <c r="G30" s="16">
        <f t="shared" si="2"/>
        <v>-156.62698626910162</v>
      </c>
      <c r="H30" s="16">
        <f t="shared" si="2"/>
        <v>-92.619897181074208</v>
      </c>
      <c r="I30" s="16">
        <f t="shared" si="2"/>
        <v>-65.660863892106462</v>
      </c>
      <c r="J30" s="16">
        <f t="shared" si="2"/>
        <v>-110.58558286357861</v>
      </c>
      <c r="K30" s="16">
        <f t="shared" si="2"/>
        <v>-90.001204719520445</v>
      </c>
      <c r="L30" s="16"/>
      <c r="M30" s="2"/>
      <c r="Z30"/>
      <c r="AA30"/>
      <c r="AB30"/>
      <c r="AD30"/>
      <c r="AE30"/>
      <c r="AP30"/>
      <c r="AQ30"/>
      <c r="AR30"/>
      <c r="AS30"/>
      <c r="AT30"/>
      <c r="AU30"/>
      <c r="AV30"/>
      <c r="AW30"/>
    </row>
    <row r="31" spans="3:51" x14ac:dyDescent="0.2">
      <c r="C31" s="83" t="s">
        <v>36</v>
      </c>
      <c r="D31" s="34"/>
      <c r="E31" s="34"/>
      <c r="F31" s="33"/>
      <c r="G31" s="33">
        <f>SUM(G28:G30,G27)</f>
        <v>0</v>
      </c>
      <c r="H31" s="33">
        <f>SUM(H28:H30,H27)</f>
        <v>0</v>
      </c>
      <c r="I31" s="33">
        <f>SUM(I28:I30,I27)</f>
        <v>0</v>
      </c>
      <c r="J31" s="33">
        <f>SUM(J28:J30,J27)</f>
        <v>0</v>
      </c>
      <c r="K31" s="33">
        <f>SUM(K28:K30,K27)</f>
        <v>0</v>
      </c>
      <c r="L31" s="17"/>
      <c r="M31" s="2"/>
      <c r="Z31"/>
      <c r="AA31"/>
      <c r="AB31"/>
      <c r="AD31"/>
      <c r="AE31"/>
      <c r="AP31"/>
      <c r="AQ31"/>
      <c r="AR31"/>
      <c r="AS31"/>
      <c r="AT31"/>
      <c r="AU31"/>
      <c r="AV31"/>
      <c r="AW31"/>
    </row>
    <row r="32" spans="3:51" x14ac:dyDescent="0.2">
      <c r="C32" s="21" t="s">
        <v>27</v>
      </c>
      <c r="D32" s="2"/>
      <c r="E32" s="2"/>
      <c r="F32" s="2"/>
      <c r="H32" s="2"/>
      <c r="I32" s="2"/>
      <c r="J32" s="2"/>
      <c r="K32" s="2"/>
      <c r="L32" s="16">
        <f>K25</f>
        <v>210.06980940542101</v>
      </c>
      <c r="M32" s="2"/>
      <c r="Z32"/>
      <c r="AA32"/>
      <c r="AB32"/>
      <c r="AD32"/>
      <c r="AE32"/>
      <c r="AP32"/>
      <c r="AQ32"/>
      <c r="AR32"/>
      <c r="AS32"/>
      <c r="AT32"/>
      <c r="AU32"/>
      <c r="AV32"/>
      <c r="AW32"/>
    </row>
    <row r="33" spans="3:51" x14ac:dyDescent="0.2">
      <c r="C33" s="21" t="s">
        <v>31</v>
      </c>
      <c r="D33" s="2"/>
      <c r="E33" s="2"/>
      <c r="F33" s="2"/>
      <c r="H33" s="2"/>
      <c r="I33" s="2"/>
      <c r="J33" s="2"/>
      <c r="K33" s="2"/>
      <c r="L33" s="74">
        <f>$L$2</f>
        <v>7.5</v>
      </c>
      <c r="M33" s="2"/>
      <c r="Z33"/>
      <c r="AA33"/>
      <c r="AB33"/>
      <c r="AD33"/>
      <c r="AE33"/>
      <c r="AP33"/>
      <c r="AQ33"/>
      <c r="AR33"/>
      <c r="AS33"/>
      <c r="AT33"/>
      <c r="AU33"/>
      <c r="AV33"/>
      <c r="AW33"/>
    </row>
    <row r="34" spans="3:51" x14ac:dyDescent="0.2">
      <c r="C34" s="83" t="s">
        <v>28</v>
      </c>
      <c r="D34" s="34"/>
      <c r="E34" s="34"/>
      <c r="F34" s="34"/>
      <c r="G34" s="34"/>
      <c r="H34" s="34"/>
      <c r="I34" s="34"/>
      <c r="J34" s="34"/>
      <c r="K34" s="34"/>
      <c r="L34" s="17">
        <f>L33*L32</f>
        <v>1575.5235705406576</v>
      </c>
      <c r="M34" s="2"/>
      <c r="Z34"/>
      <c r="AA34"/>
      <c r="AB34"/>
      <c r="AD34"/>
      <c r="AE34"/>
      <c r="AP34"/>
      <c r="AQ34"/>
      <c r="AR34"/>
      <c r="AS34"/>
      <c r="AT34"/>
      <c r="AU34"/>
      <c r="AV34"/>
      <c r="AW34"/>
    </row>
    <row r="35" spans="3:51" x14ac:dyDescent="0.2">
      <c r="C35" s="21" t="s">
        <v>29</v>
      </c>
      <c r="D35" s="2"/>
      <c r="E35" s="2"/>
      <c r="F35" s="2"/>
      <c r="H35" s="2"/>
      <c r="I35" s="2"/>
      <c r="J35" s="2"/>
      <c r="K35" s="2"/>
      <c r="L35" s="16">
        <f>-K57</f>
        <v>-600.5984637307763</v>
      </c>
      <c r="M35" s="2"/>
      <c r="Z35"/>
      <c r="AA35"/>
      <c r="AB35"/>
      <c r="AD35"/>
      <c r="AE35"/>
      <c r="AP35"/>
      <c r="AQ35"/>
      <c r="AR35"/>
      <c r="AS35"/>
      <c r="AT35"/>
      <c r="AU35"/>
      <c r="AV35"/>
      <c r="AW35"/>
    </row>
    <row r="36" spans="3:51" x14ac:dyDescent="0.2">
      <c r="C36" s="83" t="s">
        <v>30</v>
      </c>
      <c r="D36" s="34"/>
      <c r="E36" s="34"/>
      <c r="F36" s="34"/>
      <c r="G36" s="34"/>
      <c r="H36" s="34"/>
      <c r="I36" s="34"/>
      <c r="J36" s="34"/>
      <c r="K36" s="34"/>
      <c r="L36" s="17">
        <f>SUM(L34,L35)</f>
        <v>974.9251068098813</v>
      </c>
      <c r="M36" s="2"/>
      <c r="Z36"/>
      <c r="AA36"/>
      <c r="AB36"/>
      <c r="AD36"/>
      <c r="AE36"/>
      <c r="AP36"/>
      <c r="AQ36"/>
      <c r="AR36"/>
      <c r="AS36"/>
      <c r="AT36"/>
      <c r="AU36"/>
      <c r="AV36"/>
      <c r="AW36"/>
    </row>
    <row r="37" spans="3:51" x14ac:dyDescent="0.2">
      <c r="C37" s="21" t="s">
        <v>32</v>
      </c>
      <c r="D37" s="2"/>
      <c r="E37" s="2"/>
      <c r="F37" s="35">
        <f>-F17</f>
        <v>-391.61157847584468</v>
      </c>
      <c r="H37" s="2"/>
      <c r="I37" s="2"/>
      <c r="J37" s="2"/>
      <c r="K37" s="2"/>
      <c r="L37" s="2"/>
      <c r="M37" s="2"/>
      <c r="Z37"/>
      <c r="AA37"/>
      <c r="AB37"/>
      <c r="AD37"/>
      <c r="AE37"/>
      <c r="AP37"/>
      <c r="AQ37"/>
      <c r="AR37"/>
      <c r="AS37"/>
      <c r="AT37"/>
      <c r="AU37"/>
      <c r="AV37"/>
      <c r="AW37"/>
    </row>
    <row r="38" spans="3:51" x14ac:dyDescent="0.2">
      <c r="C38" s="21" t="s">
        <v>33</v>
      </c>
      <c r="D38" s="2"/>
      <c r="E38" s="2"/>
      <c r="F38" s="35"/>
      <c r="G38" s="35">
        <f>G31</f>
        <v>0</v>
      </c>
      <c r="H38" s="35">
        <f>H31</f>
        <v>0</v>
      </c>
      <c r="I38" s="35">
        <f>I31</f>
        <v>0</v>
      </c>
      <c r="J38" s="35">
        <f>J31</f>
        <v>0</v>
      </c>
      <c r="K38" s="35">
        <f>K31</f>
        <v>0</v>
      </c>
      <c r="L38" s="2"/>
      <c r="M38" s="2"/>
      <c r="Z38"/>
      <c r="AA38"/>
      <c r="AB38"/>
      <c r="AD38"/>
      <c r="AE38"/>
      <c r="AP38"/>
      <c r="AQ38"/>
      <c r="AR38"/>
      <c r="AS38"/>
      <c r="AT38"/>
      <c r="AU38"/>
      <c r="AV38"/>
      <c r="AW38"/>
    </row>
    <row r="39" spans="3:51" x14ac:dyDescent="0.2">
      <c r="C39" s="21" t="s">
        <v>34</v>
      </c>
      <c r="D39" s="2"/>
      <c r="E39" s="2"/>
      <c r="F39" s="35"/>
      <c r="G39" s="35">
        <f t="shared" ref="G39:K39" si="3">+G36</f>
        <v>0</v>
      </c>
      <c r="H39" s="35">
        <f t="shared" si="3"/>
        <v>0</v>
      </c>
      <c r="I39" s="35">
        <f t="shared" si="3"/>
        <v>0</v>
      </c>
      <c r="J39" s="35">
        <f t="shared" si="3"/>
        <v>0</v>
      </c>
      <c r="K39" s="35">
        <f t="shared" si="3"/>
        <v>0</v>
      </c>
      <c r="L39" s="16">
        <f>+L36</f>
        <v>974.9251068098813</v>
      </c>
      <c r="M39" s="2"/>
      <c r="Z39"/>
      <c r="AA39"/>
      <c r="AB39"/>
      <c r="AD39"/>
      <c r="AE39"/>
      <c r="AP39"/>
      <c r="AQ39"/>
      <c r="AR39"/>
      <c r="AS39"/>
      <c r="AT39"/>
      <c r="AU39"/>
      <c r="AV39"/>
      <c r="AW39"/>
    </row>
    <row r="40" spans="3:51" x14ac:dyDescent="0.2">
      <c r="C40" s="83" t="s">
        <v>35</v>
      </c>
      <c r="D40" s="34"/>
      <c r="E40" s="34"/>
      <c r="F40" s="33">
        <f>SUM(F37:F39)</f>
        <v>-391.61157847584468</v>
      </c>
      <c r="G40" s="33">
        <f t="shared" ref="G40:L40" si="4">SUM(G37:G39)</f>
        <v>0</v>
      </c>
      <c r="H40" s="33">
        <f t="shared" si="4"/>
        <v>0</v>
      </c>
      <c r="I40" s="33">
        <f t="shared" si="4"/>
        <v>0</v>
      </c>
      <c r="J40" s="33">
        <f t="shared" si="4"/>
        <v>0</v>
      </c>
      <c r="K40" s="33">
        <f t="shared" si="4"/>
        <v>0</v>
      </c>
      <c r="L40" s="17">
        <f t="shared" si="4"/>
        <v>974.9251068098813</v>
      </c>
      <c r="M40" s="2"/>
      <c r="Z40"/>
      <c r="AA40"/>
      <c r="AB40"/>
      <c r="AD40"/>
      <c r="AE40"/>
      <c r="AP40"/>
      <c r="AQ40"/>
      <c r="AR40"/>
      <c r="AS40"/>
      <c r="AT40"/>
      <c r="AU40"/>
      <c r="AV40"/>
      <c r="AW40"/>
    </row>
    <row r="41" spans="3:51" x14ac:dyDescent="0.2">
      <c r="C41" s="83"/>
      <c r="D41" s="34"/>
      <c r="E41" s="34"/>
      <c r="F41" s="33"/>
      <c r="G41" s="33"/>
      <c r="H41" s="33"/>
      <c r="I41" s="33"/>
      <c r="J41" s="33"/>
      <c r="K41" s="33"/>
      <c r="L41" s="17"/>
      <c r="M41" s="2"/>
      <c r="Z41"/>
      <c r="AA41"/>
      <c r="AB41"/>
      <c r="AD41"/>
      <c r="AE41"/>
      <c r="AP41"/>
      <c r="AQ41"/>
      <c r="AR41"/>
      <c r="AS41"/>
      <c r="AT41"/>
      <c r="AU41"/>
      <c r="AV41"/>
      <c r="AW41"/>
    </row>
    <row r="42" spans="3:51" s="1" customFormat="1" x14ac:dyDescent="0.2">
      <c r="C42" s="46" t="s">
        <v>51</v>
      </c>
      <c r="D42" s="75"/>
      <c r="E42" s="34"/>
      <c r="F42" s="33">
        <f>+F40</f>
        <v>-391.61157847584468</v>
      </c>
      <c r="G42" s="33">
        <f t="shared" ref="G42:L42" si="5">+G40</f>
        <v>0</v>
      </c>
      <c r="H42" s="33">
        <f t="shared" si="5"/>
        <v>0</v>
      </c>
      <c r="I42" s="33">
        <f t="shared" si="5"/>
        <v>0</v>
      </c>
      <c r="J42" s="33">
        <f t="shared" si="5"/>
        <v>0</v>
      </c>
      <c r="K42" s="33">
        <f t="shared" si="5"/>
        <v>0</v>
      </c>
      <c r="L42" s="33">
        <f t="shared" si="5"/>
        <v>974.9251068098813</v>
      </c>
      <c r="M42" s="50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Y42" s="49"/>
    </row>
    <row r="43" spans="3:51" x14ac:dyDescent="0.2">
      <c r="C43" s="21"/>
      <c r="D43" s="2"/>
      <c r="E43" s="2"/>
      <c r="H43" s="2"/>
      <c r="I43" s="2"/>
      <c r="J43" s="2"/>
      <c r="K43" s="2"/>
      <c r="L43" s="2"/>
      <c r="M43" s="2"/>
      <c r="Z43"/>
      <c r="AA43"/>
      <c r="AB43"/>
      <c r="AD43"/>
      <c r="AE43"/>
      <c r="AP43"/>
      <c r="AQ43"/>
      <c r="AR43"/>
      <c r="AS43"/>
      <c r="AT43"/>
      <c r="AU43"/>
      <c r="AV43"/>
      <c r="AW43"/>
    </row>
    <row r="44" spans="3:51" x14ac:dyDescent="0.2">
      <c r="C44" s="84" t="s">
        <v>52</v>
      </c>
      <c r="D44" s="76"/>
      <c r="E44" s="76"/>
      <c r="F44" s="87">
        <f>XIRR(F42:L42,$F$23:$L$23,)</f>
        <v>0.19999589323997499</v>
      </c>
      <c r="H44" s="2"/>
      <c r="I44" s="2"/>
      <c r="J44" s="2"/>
      <c r="K44" s="2"/>
      <c r="L44" s="2"/>
      <c r="M44" s="2"/>
      <c r="Z44"/>
      <c r="AA44"/>
      <c r="AB44"/>
      <c r="AD44"/>
      <c r="AE44"/>
      <c r="AP44"/>
      <c r="AQ44"/>
      <c r="AR44"/>
      <c r="AS44"/>
      <c r="AT44"/>
      <c r="AU44"/>
      <c r="AV44"/>
      <c r="AW44"/>
    </row>
    <row r="45" spans="3:51" x14ac:dyDescent="0.2">
      <c r="C45" s="85" t="s">
        <v>53</v>
      </c>
      <c r="D45" s="77"/>
      <c r="E45" s="77"/>
      <c r="F45" s="67">
        <f>-SUM(G42:L42)/F42</f>
        <v>2.4895206382924053</v>
      </c>
      <c r="H45" s="2"/>
      <c r="I45" s="2"/>
      <c r="J45" s="2"/>
      <c r="K45" s="2"/>
      <c r="L45" s="2"/>
      <c r="M45" s="2"/>
      <c r="Z45"/>
      <c r="AA45"/>
      <c r="AB45"/>
      <c r="AD45"/>
      <c r="AE45"/>
      <c r="AP45"/>
      <c r="AQ45"/>
      <c r="AR45"/>
      <c r="AS45"/>
      <c r="AT45"/>
      <c r="AU45"/>
      <c r="AV45"/>
      <c r="AW45"/>
    </row>
    <row r="46" spans="3:51" x14ac:dyDescent="0.2">
      <c r="C46" s="21"/>
      <c r="D46" s="2"/>
      <c r="E46" s="2"/>
      <c r="H46" s="2"/>
      <c r="I46" s="2"/>
      <c r="J46" s="2"/>
      <c r="K46" s="2"/>
      <c r="L46" s="2"/>
      <c r="M46" s="2"/>
      <c r="Z46"/>
      <c r="AA46"/>
      <c r="AB46"/>
      <c r="AD46"/>
      <c r="AE46"/>
      <c r="AP46"/>
      <c r="AQ46"/>
      <c r="AR46"/>
      <c r="AS46"/>
      <c r="AT46"/>
      <c r="AU46"/>
      <c r="AV46"/>
      <c r="AW46"/>
    </row>
    <row r="47" spans="3:51" x14ac:dyDescent="0.2">
      <c r="C47" s="79" t="s">
        <v>39</v>
      </c>
      <c r="D47" s="2"/>
      <c r="E47" s="2"/>
      <c r="H47" s="2"/>
      <c r="I47" s="2"/>
      <c r="J47" s="2"/>
      <c r="K47" s="2"/>
      <c r="L47" s="2"/>
      <c r="M47" s="2"/>
      <c r="Z47"/>
      <c r="AA47"/>
      <c r="AB47"/>
      <c r="AD47"/>
      <c r="AE47"/>
      <c r="AP47"/>
      <c r="AQ47"/>
      <c r="AR47"/>
      <c r="AS47"/>
      <c r="AT47"/>
      <c r="AU47"/>
      <c r="AV47"/>
      <c r="AW47"/>
      <c r="AY47" s="43" t="s">
        <v>55</v>
      </c>
    </row>
    <row r="48" spans="3:51" x14ac:dyDescent="0.2">
      <c r="C48" s="21" t="s">
        <v>42</v>
      </c>
      <c r="D48" s="2"/>
      <c r="E48" s="2"/>
      <c r="F48" s="9">
        <f>IFERROR($K$16/F25,"- ")</f>
        <v>7.316182506644842</v>
      </c>
      <c r="G48" s="9">
        <f>$K$16/G25</f>
        <v>5.0024039067025381</v>
      </c>
      <c r="H48" s="9">
        <f>$K$16/H25</f>
        <v>6.0612487058987092</v>
      </c>
      <c r="I48" s="9">
        <f>$K$16/I25</f>
        <v>7.3075245352212885</v>
      </c>
      <c r="J48" s="9">
        <f>$K$16/J25</f>
        <v>6.609595235244389</v>
      </c>
      <c r="K48" s="9">
        <f>$K$16/K25</f>
        <v>7.4567893327319581</v>
      </c>
      <c r="L48" s="2"/>
      <c r="M48" s="2"/>
      <c r="Z48"/>
      <c r="AA48"/>
      <c r="AB48"/>
      <c r="AD48"/>
      <c r="AE48"/>
      <c r="AP48"/>
      <c r="AQ48"/>
      <c r="AR48"/>
      <c r="AS48"/>
      <c r="AT48"/>
      <c r="AU48"/>
      <c r="AV48"/>
      <c r="AW48"/>
      <c r="AY48" s="44">
        <f>+AV48-AP48+L4</f>
        <v>0.75</v>
      </c>
    </row>
    <row r="49" spans="3:51" x14ac:dyDescent="0.2">
      <c r="C49" s="21" t="s">
        <v>40</v>
      </c>
      <c r="D49" s="2"/>
      <c r="E49" s="2"/>
      <c r="F49" s="58"/>
      <c r="G49" s="10">
        <f>IFERROR(G27/$K$16,"- ")</f>
        <v>0.15248873557230805</v>
      </c>
      <c r="H49" s="10">
        <f>IFERROR(H27/$K$16,"- ")</f>
        <v>0.10517807548287378</v>
      </c>
      <c r="I49" s="10">
        <f>IFERROR(I27/$K$16,"- ")</f>
        <v>8.3970117274394851E-2</v>
      </c>
      <c r="J49" s="10">
        <f>IFERROR(J27/$K$16,"- ")</f>
        <v>0.10968447846199045</v>
      </c>
      <c r="K49" s="10">
        <f>IFERROR(K27/$K$16,"- ")</f>
        <v>9.185787712284503E-2</v>
      </c>
      <c r="L49" s="2"/>
      <c r="M49" s="2"/>
      <c r="Z49"/>
      <c r="AA49"/>
      <c r="AB49"/>
      <c r="AD49"/>
      <c r="AE49"/>
      <c r="AP49"/>
      <c r="AQ49"/>
      <c r="AR49"/>
      <c r="AS49"/>
      <c r="AT49"/>
      <c r="AU49"/>
      <c r="AV49"/>
      <c r="AW49"/>
      <c r="AY49" s="44">
        <f t="shared" ref="AY49" si="6">+AV49-AP49</f>
        <v>0</v>
      </c>
    </row>
    <row r="50" spans="3:51" x14ac:dyDescent="0.2">
      <c r="C50" s="21" t="s">
        <v>41</v>
      </c>
      <c r="D50" s="2"/>
      <c r="E50" s="2"/>
      <c r="F50" s="9">
        <f t="shared" ref="F50:K50" si="7">IFERROR(F57/F25,"- ")</f>
        <v>5.4871368799836313</v>
      </c>
      <c r="G50" s="9">
        <f t="shared" si="7"/>
        <v>3.2141008592734734</v>
      </c>
      <c r="H50" s="9">
        <f t="shared" si="7"/>
        <v>3.4905753303304676</v>
      </c>
      <c r="I50" s="9">
        <f t="shared" si="7"/>
        <v>3.8471689076250288</v>
      </c>
      <c r="J50" s="9">
        <f t="shared" si="7"/>
        <v>2.963546249585411</v>
      </c>
      <c r="K50" s="9">
        <f t="shared" si="7"/>
        <v>2.8590422651912846</v>
      </c>
      <c r="L50" s="2"/>
      <c r="M50" s="2"/>
      <c r="Z50"/>
      <c r="AA50"/>
      <c r="AB50"/>
      <c r="AD50"/>
      <c r="AE50"/>
      <c r="AP50"/>
      <c r="AQ50"/>
      <c r="AR50"/>
      <c r="AS50"/>
      <c r="AT50"/>
      <c r="AU50"/>
      <c r="AV50"/>
      <c r="AW50"/>
      <c r="AY50" s="44">
        <f>+AV50-AS50</f>
        <v>0</v>
      </c>
    </row>
    <row r="51" spans="3:51" x14ac:dyDescent="0.2">
      <c r="C51" s="21"/>
      <c r="D51" s="2"/>
      <c r="E51" s="2"/>
      <c r="H51" s="2"/>
      <c r="I51" s="2"/>
      <c r="J51" s="2"/>
      <c r="K51" s="2"/>
      <c r="L51" s="2"/>
      <c r="M51" s="2"/>
      <c r="Z51"/>
      <c r="AA51"/>
      <c r="AB51"/>
      <c r="AD51"/>
      <c r="AE51"/>
      <c r="AP51"/>
      <c r="AQ51"/>
      <c r="AR51"/>
      <c r="AS51"/>
      <c r="AT51"/>
      <c r="AU51"/>
      <c r="AV51"/>
      <c r="AW51"/>
      <c r="AY51" s="45">
        <f>SUM(AY48:AY50)</f>
        <v>0.75</v>
      </c>
    </row>
    <row r="52" spans="3:51" x14ac:dyDescent="0.2">
      <c r="C52" s="79" t="s">
        <v>38</v>
      </c>
      <c r="D52" s="2"/>
      <c r="E52" s="2"/>
      <c r="H52" s="2"/>
      <c r="I52" s="2"/>
      <c r="J52" s="2"/>
      <c r="K52" s="2"/>
      <c r="L52" s="2"/>
      <c r="M52" s="2"/>
      <c r="Z52"/>
      <c r="AA52"/>
      <c r="AB52"/>
      <c r="AD52"/>
      <c r="AE52"/>
      <c r="AP52"/>
      <c r="AQ52"/>
      <c r="AR52"/>
      <c r="AS52"/>
      <c r="AT52"/>
      <c r="AU52"/>
      <c r="AV52"/>
      <c r="AW52"/>
    </row>
    <row r="53" spans="3:51" x14ac:dyDescent="0.2">
      <c r="C53" s="79" t="s">
        <v>20</v>
      </c>
      <c r="D53" s="2"/>
      <c r="E53" s="2"/>
      <c r="H53" s="2"/>
      <c r="I53" s="2"/>
      <c r="J53" s="2"/>
      <c r="K53" s="2"/>
      <c r="L53" s="2"/>
      <c r="M53" s="2"/>
      <c r="Z53"/>
      <c r="AA53"/>
      <c r="AB53"/>
      <c r="AD53"/>
      <c r="AE53"/>
      <c r="AP53"/>
      <c r="AQ53"/>
      <c r="AR53"/>
      <c r="AS53"/>
      <c r="AT53"/>
      <c r="AU53"/>
      <c r="AV53"/>
      <c r="AW53"/>
    </row>
    <row r="54" spans="3:51" x14ac:dyDescent="0.2">
      <c r="C54" s="21" t="s">
        <v>22</v>
      </c>
      <c r="D54" s="2"/>
      <c r="E54" s="2"/>
      <c r="G54" s="16">
        <f>F57</f>
        <v>1174.8347354275343</v>
      </c>
      <c r="H54" s="16">
        <f>G57</f>
        <v>1006.4594018041572</v>
      </c>
      <c r="I54" s="16">
        <f t="shared" ref="I54:K54" si="8">H57</f>
        <v>902.09115726880771</v>
      </c>
      <c r="J54" s="16">
        <f t="shared" si="8"/>
        <v>824.6819460224259</v>
      </c>
      <c r="K54" s="16">
        <f t="shared" si="8"/>
        <v>702.34801580457201</v>
      </c>
      <c r="L54" s="2"/>
      <c r="M54" s="2"/>
      <c r="Z54"/>
      <c r="AA54"/>
      <c r="AB54"/>
      <c r="AD54"/>
      <c r="AE54"/>
      <c r="AP54"/>
      <c r="AQ54"/>
      <c r="AR54"/>
      <c r="AS54"/>
      <c r="AT54"/>
      <c r="AU54"/>
      <c r="AV54"/>
      <c r="AW54"/>
    </row>
    <row r="55" spans="3:51" x14ac:dyDescent="0.2">
      <c r="C55" s="21" t="s">
        <v>9</v>
      </c>
      <c r="D55" s="2"/>
      <c r="E55" s="2"/>
      <c r="G55" s="16">
        <f>-0.01*$F57</f>
        <v>-11.748347354275342</v>
      </c>
      <c r="H55" s="16">
        <f>-0.01*$F57</f>
        <v>-11.748347354275342</v>
      </c>
      <c r="I55" s="16">
        <f>-0.01*$F57</f>
        <v>-11.748347354275342</v>
      </c>
      <c r="J55" s="16">
        <f>-0.01*$F57</f>
        <v>-11.748347354275342</v>
      </c>
      <c r="K55" s="16">
        <f>-0.01*$F57</f>
        <v>-11.748347354275342</v>
      </c>
      <c r="L55" s="2"/>
      <c r="M55" s="2"/>
      <c r="Z55"/>
      <c r="AA55"/>
      <c r="AB55"/>
      <c r="AD55"/>
      <c r="AE55"/>
      <c r="AP55"/>
      <c r="AQ55"/>
      <c r="AR55"/>
      <c r="AS55"/>
      <c r="AT55"/>
      <c r="AU55"/>
      <c r="AV55"/>
      <c r="AW55"/>
    </row>
    <row r="56" spans="3:51" x14ac:dyDescent="0.2">
      <c r="C56" s="21" t="s">
        <v>13</v>
      </c>
      <c r="D56" s="2"/>
      <c r="E56" s="90">
        <v>1</v>
      </c>
      <c r="G56" s="16">
        <f>-MIN(SUM(G54:G55),MAX(0,SUM(G28:G29,G27)))*$E56</f>
        <v>-156.62698626910162</v>
      </c>
      <c r="H56" s="16">
        <f>-MIN(SUM(H54:H55),MAX(0,SUM(H28:H29,H27)))*$E56</f>
        <v>-92.619897181074208</v>
      </c>
      <c r="I56" s="16">
        <f>-MIN(SUM(I54:I55),MAX(0,SUM(I28:I29,I27)))*$E56</f>
        <v>-65.660863892106462</v>
      </c>
      <c r="J56" s="16">
        <f>-MIN(SUM(J54:J55),MAX(0,SUM(J28:J29,J27)))*$E56</f>
        <v>-110.58558286357861</v>
      </c>
      <c r="K56" s="16">
        <f>-MIN(SUM(K54:K55),MAX(0,SUM(K28:K29,K27)))*$E56</f>
        <v>-90.001204719520445</v>
      </c>
      <c r="L56" s="2"/>
      <c r="M56" s="2"/>
      <c r="Z56"/>
      <c r="AA56"/>
      <c r="AB56"/>
      <c r="AD56"/>
      <c r="AE56"/>
      <c r="AP56"/>
      <c r="AQ56"/>
      <c r="AR56"/>
      <c r="AS56"/>
      <c r="AT56"/>
      <c r="AU56"/>
      <c r="AV56"/>
      <c r="AW56"/>
    </row>
    <row r="57" spans="3:51" x14ac:dyDescent="0.2">
      <c r="C57" s="86" t="s">
        <v>24</v>
      </c>
      <c r="D57" s="38"/>
      <c r="E57" s="38"/>
      <c r="F57" s="59">
        <f>F16</f>
        <v>1174.8347354275343</v>
      </c>
      <c r="G57" s="37">
        <f>SUM(G54:G56)</f>
        <v>1006.4594018041572</v>
      </c>
      <c r="H57" s="37">
        <f t="shared" ref="H57:K57" si="9">SUM(H54:H56)</f>
        <v>902.09115726880771</v>
      </c>
      <c r="I57" s="37">
        <f t="shared" si="9"/>
        <v>824.6819460224259</v>
      </c>
      <c r="J57" s="37">
        <f t="shared" si="9"/>
        <v>702.34801580457201</v>
      </c>
      <c r="K57" s="37">
        <f t="shared" si="9"/>
        <v>600.5984637307763</v>
      </c>
      <c r="L57" s="2"/>
      <c r="M57" s="2"/>
      <c r="Z57"/>
      <c r="AA57"/>
      <c r="AB57"/>
      <c r="AD57"/>
      <c r="AE57"/>
      <c r="AP57"/>
      <c r="AQ57"/>
      <c r="AR57"/>
      <c r="AS57"/>
      <c r="AT57"/>
      <c r="AU57"/>
      <c r="AV57"/>
      <c r="AW57"/>
    </row>
    <row r="58" spans="3:51" x14ac:dyDescent="0.2">
      <c r="C58" s="19" t="s">
        <v>57</v>
      </c>
      <c r="D58" s="19"/>
      <c r="E58" s="19"/>
      <c r="F58" s="88">
        <f t="shared" ref="F58:K58" si="10">+F57/F25</f>
        <v>5.4871368799836313</v>
      </c>
      <c r="G58" s="88">
        <f t="shared" si="10"/>
        <v>3.2141008592734734</v>
      </c>
      <c r="H58" s="88">
        <f t="shared" si="10"/>
        <v>3.4905753303304676</v>
      </c>
      <c r="I58" s="88">
        <f t="shared" si="10"/>
        <v>3.8471689076250288</v>
      </c>
      <c r="J58" s="88">
        <f t="shared" si="10"/>
        <v>2.963546249585411</v>
      </c>
      <c r="K58" s="88">
        <f t="shared" si="10"/>
        <v>2.8590422651912846</v>
      </c>
      <c r="L58" s="2"/>
      <c r="M58" s="2"/>
      <c r="Z58"/>
      <c r="AA58"/>
      <c r="AB58"/>
      <c r="AD58"/>
      <c r="AE58"/>
      <c r="AP58"/>
      <c r="AQ58"/>
      <c r="AR58"/>
      <c r="AS58"/>
      <c r="AT58"/>
      <c r="AU58"/>
      <c r="AV58"/>
      <c r="AW58"/>
    </row>
    <row r="59" spans="3:51" x14ac:dyDescent="0.2">
      <c r="C59" s="21" t="s">
        <v>107</v>
      </c>
      <c r="D59" s="2"/>
      <c r="E59" s="97">
        <f>+$L$5</f>
        <v>0.06</v>
      </c>
      <c r="F59" s="97">
        <f t="shared" ref="F59:K59" si="11">+$L$5</f>
        <v>0.06</v>
      </c>
      <c r="G59" s="97">
        <f t="shared" si="11"/>
        <v>0.06</v>
      </c>
      <c r="H59" s="97">
        <f t="shared" si="11"/>
        <v>0.06</v>
      </c>
      <c r="I59" s="97">
        <f t="shared" si="11"/>
        <v>0.06</v>
      </c>
      <c r="J59" s="97">
        <f t="shared" si="11"/>
        <v>0.06</v>
      </c>
      <c r="K59" s="97">
        <f t="shared" si="11"/>
        <v>0.06</v>
      </c>
      <c r="L59" s="2"/>
      <c r="M59" s="2"/>
      <c r="Z59"/>
      <c r="AA59"/>
      <c r="AB59"/>
      <c r="AD59"/>
      <c r="AE59"/>
      <c r="AP59"/>
      <c r="AQ59"/>
      <c r="AR59"/>
      <c r="AS59"/>
      <c r="AT59"/>
      <c r="AU59"/>
      <c r="AV59"/>
      <c r="AW59"/>
    </row>
    <row r="60" spans="3:51" x14ac:dyDescent="0.2">
      <c r="C60" s="21" t="s">
        <v>25</v>
      </c>
      <c r="D60" s="2"/>
      <c r="E60" s="2"/>
      <c r="G60" s="16">
        <f>-G59*G54</f>
        <v>-70.490084125652047</v>
      </c>
      <c r="H60" s="16">
        <f t="shared" ref="H60:K60" si="12">-H59*H54</f>
        <v>-60.387564108249428</v>
      </c>
      <c r="I60" s="16">
        <f t="shared" si="12"/>
        <v>-54.125469436128462</v>
      </c>
      <c r="J60" s="16">
        <f t="shared" si="12"/>
        <v>-49.480916761345554</v>
      </c>
      <c r="K60" s="16">
        <f t="shared" si="12"/>
        <v>-42.140880948274322</v>
      </c>
      <c r="L60" s="2"/>
      <c r="M60" s="2"/>
      <c r="Z60"/>
      <c r="AA60"/>
      <c r="AB60"/>
      <c r="AD60"/>
      <c r="AE60"/>
      <c r="AP60"/>
      <c r="AQ60"/>
      <c r="AR60"/>
      <c r="AS60"/>
      <c r="AT60"/>
      <c r="AU60"/>
      <c r="AV60"/>
      <c r="AW60"/>
    </row>
    <row r="61" spans="3:51" x14ac:dyDescent="0.2">
      <c r="Z61"/>
      <c r="AA61"/>
      <c r="AB61"/>
      <c r="AD61"/>
      <c r="AE61"/>
      <c r="AP61"/>
      <c r="AQ61"/>
      <c r="AR61"/>
      <c r="AS61"/>
      <c r="AT61"/>
      <c r="AU61"/>
      <c r="AV61"/>
      <c r="AW61"/>
    </row>
    <row r="62" spans="3:51" x14ac:dyDescent="0.2">
      <c r="Z62"/>
      <c r="AA62"/>
      <c r="AB62"/>
      <c r="AD62"/>
      <c r="AE62"/>
    </row>
  </sheetData>
  <pageMargins left="0.25" right="0.25" top="0.25" bottom="0.25" header="0" footer="0"/>
  <pageSetup scale="6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27BC-6CE2-41AF-9BA1-EDFDC029C85C}">
  <dimension ref="B3:T64"/>
  <sheetViews>
    <sheetView showGridLines="0" zoomScale="85" zoomScaleNormal="85" workbookViewId="0">
      <selection activeCell="D11" sqref="D11"/>
    </sheetView>
  </sheetViews>
  <sheetFormatPr defaultRowHeight="12.75" x14ac:dyDescent="0.2"/>
  <cols>
    <col min="1" max="1" width="2.7109375" customWidth="1"/>
    <col min="2" max="2" width="22.28515625" bestFit="1" customWidth="1"/>
    <col min="3" max="9" width="10.42578125" customWidth="1"/>
    <col min="15" max="15" width="9.140625" style="4"/>
  </cols>
  <sheetData>
    <row r="3" spans="2:15" s="13" customFormat="1" x14ac:dyDescent="0.2">
      <c r="B3" s="27" t="s">
        <v>117</v>
      </c>
      <c r="C3" s="27">
        <f>+'Cash Flows'!B1</f>
        <v>2019</v>
      </c>
      <c r="D3" s="27">
        <f>+'Cash Flows'!C1</f>
        <v>2020</v>
      </c>
      <c r="E3" s="27">
        <f>+'Cash Flows'!D1</f>
        <v>2021</v>
      </c>
      <c r="F3" s="27">
        <f>+'Cash Flows'!E1</f>
        <v>2022</v>
      </c>
      <c r="G3" s="27">
        <f>+'Cash Flows'!F1</f>
        <v>2023</v>
      </c>
      <c r="H3" s="27">
        <f>+'Cash Flows'!G1</f>
        <v>2024</v>
      </c>
      <c r="I3" s="27">
        <f>+'Cash Flows'!H1</f>
        <v>2025</v>
      </c>
      <c r="O3" s="4"/>
    </row>
    <row r="4" spans="2:15" x14ac:dyDescent="0.2">
      <c r="B4" t="s">
        <v>47</v>
      </c>
    </row>
    <row r="5" spans="2:15" x14ac:dyDescent="0.2">
      <c r="B5" t="s">
        <v>111</v>
      </c>
    </row>
    <row r="6" spans="2:15" x14ac:dyDescent="0.2">
      <c r="B6" t="s">
        <v>115</v>
      </c>
    </row>
    <row r="7" spans="2:15" x14ac:dyDescent="0.2">
      <c r="B7" t="s">
        <v>112</v>
      </c>
    </row>
    <row r="8" spans="2:15" x14ac:dyDescent="0.2">
      <c r="B8" t="s">
        <v>114</v>
      </c>
    </row>
    <row r="9" spans="2:15" x14ac:dyDescent="0.2">
      <c r="B9" t="s">
        <v>113</v>
      </c>
    </row>
    <row r="11" spans="2:15" s="13" customFormat="1" x14ac:dyDescent="0.2">
      <c r="B11" s="13" t="str">
        <f>+'Cash Flows'!A2</f>
        <v>Energy Revenue</v>
      </c>
      <c r="C11" s="100">
        <f>+'Cash Flows'!B2</f>
        <v>750.36560782000004</v>
      </c>
      <c r="D11" s="100">
        <f>+'Cash Flows'!C2</f>
        <v>615.391807703518</v>
      </c>
      <c r="E11" s="100">
        <f>+'Cash Flows'!D2</f>
        <v>833.46597730208396</v>
      </c>
      <c r="F11" s="100">
        <f>+'Cash Flows'!E2</f>
        <v>711.131812437608</v>
      </c>
      <c r="G11" s="100">
        <f>+'Cash Flows'!F2</f>
        <v>686.06293165730904</v>
      </c>
      <c r="H11" s="100">
        <f>+'Cash Flows'!G2</f>
        <v>706.91085711108497</v>
      </c>
      <c r="I11" s="100">
        <f>+'Cash Flows'!H2</f>
        <v>665.58641879370498</v>
      </c>
      <c r="O11" s="4"/>
    </row>
    <row r="12" spans="2:15" x14ac:dyDescent="0.2">
      <c r="B12" t="str">
        <f>+'Cash Flows'!A3</f>
        <v>Delivered Fuel Expense</v>
      </c>
      <c r="C12" s="99">
        <f>+'Cash Flows'!B3</f>
        <v>-458.90464052999999</v>
      </c>
      <c r="D12" s="99">
        <f>+'Cash Flows'!C3</f>
        <v>-397.66045239344402</v>
      </c>
      <c r="E12" s="99">
        <f>+'Cash Flows'!D3</f>
        <v>-509.51688997499002</v>
      </c>
      <c r="F12" s="99">
        <f>+'Cash Flows'!E3</f>
        <v>-447.88977805673397</v>
      </c>
      <c r="G12" s="99">
        <f>+'Cash Flows'!F3</f>
        <v>-431.25642678772999</v>
      </c>
      <c r="H12" s="99">
        <f>+'Cash Flows'!G3</f>
        <v>-444.34571747640399</v>
      </c>
      <c r="I12" s="99">
        <f>+'Cash Flows'!H3</f>
        <v>-416.43083435842698</v>
      </c>
    </row>
    <row r="13" spans="2:15" x14ac:dyDescent="0.2">
      <c r="B13" t="str">
        <f>+'Cash Flows'!A4</f>
        <v>Variable O&amp;M Expense</v>
      </c>
      <c r="C13" s="99">
        <f>+'Cash Flows'!B4</f>
        <v>-45.719698790000002</v>
      </c>
      <c r="D13" s="99">
        <f>+'Cash Flows'!C4</f>
        <v>-29.6208641216319</v>
      </c>
      <c r="E13" s="99">
        <f>+'Cash Flows'!D4</f>
        <v>-41.656957206641401</v>
      </c>
      <c r="F13" s="99">
        <f>+'Cash Flows'!E4</f>
        <v>-31.553574230625799</v>
      </c>
      <c r="G13" s="99">
        <f>+'Cash Flows'!F4</f>
        <v>-29.888808333661601</v>
      </c>
      <c r="H13" s="99">
        <f>+'Cash Flows'!G4</f>
        <v>-31.289054437518299</v>
      </c>
      <c r="I13" s="99">
        <f>+'Cash Flows'!H4</f>
        <v>-28.295326187301299</v>
      </c>
    </row>
    <row r="14" spans="2:15" x14ac:dyDescent="0.2">
      <c r="B14" t="str">
        <f>+'Cash Flows'!A5</f>
        <v>Net Emissions Expense</v>
      </c>
      <c r="C14" s="99">
        <f>+'Cash Flows'!B5</f>
        <v>-0.16139999999999999</v>
      </c>
      <c r="D14" s="99">
        <f>+'Cash Flows'!C5</f>
        <v>-0.5</v>
      </c>
      <c r="E14" s="99">
        <f>+'Cash Flows'!D5</f>
        <v>-0.5</v>
      </c>
      <c r="F14" s="99">
        <f>+'Cash Flows'!E5</f>
        <v>-0.5</v>
      </c>
      <c r="G14" s="99">
        <f>+'Cash Flows'!F5</f>
        <v>-0.5</v>
      </c>
      <c r="H14" s="99">
        <f>+'Cash Flows'!G5</f>
        <v>-0.5</v>
      </c>
      <c r="I14" s="99">
        <f>+'Cash Flows'!H5</f>
        <v>-0.5</v>
      </c>
    </row>
    <row r="15" spans="2:15" s="13" customFormat="1" x14ac:dyDescent="0.2">
      <c r="B15" s="101" t="str">
        <f>+'Cash Flows'!A6</f>
        <v>Gross Energy Margin</v>
      </c>
      <c r="C15" s="102">
        <f>+'Cash Flows'!B6</f>
        <v>245.5798685</v>
      </c>
      <c r="D15" s="102">
        <f>+'Cash Flows'!C6</f>
        <v>187.61049118844201</v>
      </c>
      <c r="E15" s="102">
        <f>+'Cash Flows'!D6</f>
        <v>281.79213012045301</v>
      </c>
      <c r="F15" s="102">
        <f>+'Cash Flows'!E6</f>
        <v>231.188460150249</v>
      </c>
      <c r="G15" s="102">
        <f>+'Cash Flows'!F6</f>
        <v>224.417696535918</v>
      </c>
      <c r="H15" s="102">
        <f>+'Cash Flows'!G6</f>
        <v>230.77608519716301</v>
      </c>
      <c r="I15" s="102">
        <f>+'Cash Flows'!H6</f>
        <v>220.36025824797699</v>
      </c>
      <c r="O15" s="4"/>
    </row>
    <row r="16" spans="2:15" x14ac:dyDescent="0.2">
      <c r="B16" t="str">
        <f>+'Cash Flows'!A7</f>
        <v>Hedge P&amp;L</v>
      </c>
      <c r="C16" s="99">
        <f>+'Cash Flows'!B7</f>
        <v>74.391759059999998</v>
      </c>
      <c r="D16" s="99">
        <f>+'Cash Flows'!C7</f>
        <v>52.925764489999999</v>
      </c>
      <c r="E16" s="99">
        <f>+'Cash Flows'!D7</f>
        <v>6.0220262</v>
      </c>
      <c r="F16" s="99">
        <f>+'Cash Flows'!E7</f>
        <v>0</v>
      </c>
      <c r="G16" s="99">
        <f>+'Cash Flows'!F7</f>
        <v>0</v>
      </c>
      <c r="H16" s="99">
        <f>+'Cash Flows'!G7</f>
        <v>0</v>
      </c>
      <c r="I16" s="99">
        <f>+'Cash Flows'!H7</f>
        <v>0</v>
      </c>
    </row>
    <row r="17" spans="2:15" s="13" customFormat="1" x14ac:dyDescent="0.2">
      <c r="B17" s="101" t="str">
        <f>+'Cash Flows'!A8</f>
        <v>Net Energy Margin</v>
      </c>
      <c r="C17" s="102">
        <f>+'Cash Flows'!B8</f>
        <v>319.97162756</v>
      </c>
      <c r="D17" s="102">
        <f>+'Cash Flows'!C8</f>
        <v>240.53625567844301</v>
      </c>
      <c r="E17" s="102">
        <f>+'Cash Flows'!D8</f>
        <v>287.81415632045298</v>
      </c>
      <c r="F17" s="102">
        <f>+'Cash Flows'!E8</f>
        <v>231.188460150249</v>
      </c>
      <c r="G17" s="102">
        <f>+'Cash Flows'!F8</f>
        <v>224.417696535918</v>
      </c>
      <c r="H17" s="102">
        <f>+'Cash Flows'!G8</f>
        <v>230.77608519716301</v>
      </c>
      <c r="I17" s="102">
        <f>+'Cash Flows'!H8</f>
        <v>220.36025824797699</v>
      </c>
      <c r="O17" s="4"/>
    </row>
    <row r="18" spans="2:15" x14ac:dyDescent="0.2">
      <c r="B18" t="str">
        <f>+'Cash Flows'!A9</f>
        <v>Fixed Fuel</v>
      </c>
      <c r="C18" s="99">
        <f>+'Cash Flows'!B9</f>
        <v>-19.661953650000001</v>
      </c>
      <c r="D18" s="99">
        <f>+'Cash Flows'!C9</f>
        <v>-19.715701190000001</v>
      </c>
      <c r="E18" s="99">
        <f>+'Cash Flows'!D9</f>
        <v>-19.666119999999999</v>
      </c>
      <c r="F18" s="99">
        <f>+'Cash Flows'!E9</f>
        <v>-20.157772999999999</v>
      </c>
      <c r="G18" s="99">
        <f>+'Cash Flows'!F9</f>
        <v>-20.661717325000001</v>
      </c>
      <c r="H18" s="99">
        <f>+'Cash Flows'!G9</f>
        <v>-21.178260258125</v>
      </c>
      <c r="I18" s="99">
        <f>+'Cash Flows'!H9</f>
        <v>-21.707716764578102</v>
      </c>
    </row>
    <row r="19" spans="2:15" x14ac:dyDescent="0.2">
      <c r="B19" t="str">
        <f>+'Cash Flows'!A10</f>
        <v>Capacity Revenue</v>
      </c>
      <c r="C19" s="99">
        <f>+'Cash Flows'!B10</f>
        <v>226.66488486</v>
      </c>
      <c r="D19" s="99">
        <f>+'Cash Flows'!C10</f>
        <v>154.39143390400901</v>
      </c>
      <c r="E19" s="99">
        <f>+'Cash Flows'!D10</f>
        <v>206.28059657942899</v>
      </c>
      <c r="F19" s="99">
        <f>+'Cash Flows'!E10</f>
        <v>214.088400001596</v>
      </c>
      <c r="G19" s="99">
        <f>+'Cash Flows'!F10</f>
        <v>185.09321800272301</v>
      </c>
      <c r="H19" s="99">
        <f>+'Cash Flows'!G10</f>
        <v>186.01474200273</v>
      </c>
      <c r="I19" s="99">
        <f>+'Cash Flows'!H10</f>
        <v>185.506505002723</v>
      </c>
    </row>
    <row r="20" spans="2:15" x14ac:dyDescent="0.2">
      <c r="B20" t="str">
        <f>+'Cash Flows'!A11</f>
        <v>Ancillary Services Revenue</v>
      </c>
      <c r="C20" s="99">
        <f>+'Cash Flows'!B11</f>
        <v>12.75076739</v>
      </c>
      <c r="D20" s="99">
        <f>+'Cash Flows'!C11</f>
        <v>12.854582234308699</v>
      </c>
      <c r="E20" s="99">
        <f>+'Cash Flows'!D11</f>
        <v>13.3305496945221</v>
      </c>
      <c r="F20" s="99">
        <f>+'Cash Flows'!E11</f>
        <v>13.1722876300956</v>
      </c>
      <c r="G20" s="99">
        <f>+'Cash Flows'!F11</f>
        <v>12.9653685894784</v>
      </c>
      <c r="H20" s="99">
        <f>+'Cash Flows'!G11</f>
        <v>12.768433475647599</v>
      </c>
      <c r="I20" s="99">
        <f>+'Cash Flows'!H11</f>
        <v>12.5868324421506</v>
      </c>
    </row>
    <row r="21" spans="2:15" x14ac:dyDescent="0.2">
      <c r="B21" t="str">
        <f>+'Cash Flows'!A12</f>
        <v>Misc Income</v>
      </c>
      <c r="C21" s="99">
        <f>+'Cash Flows'!B12</f>
        <v>0.58324574000000096</v>
      </c>
      <c r="D21" s="99">
        <f>+'Cash Flows'!C12</f>
        <v>-0.37985722</v>
      </c>
      <c r="E21" s="99">
        <f>+'Cash Flows'!D12</f>
        <v>9.2250000000000006E-3</v>
      </c>
      <c r="F21" s="99">
        <f>+'Cash Flows'!E12</f>
        <v>9.2250000000000006E-3</v>
      </c>
      <c r="G21" s="99">
        <f>+'Cash Flows'!F12</f>
        <v>9.2250000000000006E-3</v>
      </c>
      <c r="H21" s="99">
        <f>+'Cash Flows'!G12</f>
        <v>9.4556250000000005E-3</v>
      </c>
      <c r="I21" s="99">
        <f>+'Cash Flows'!H12</f>
        <v>9.6920156249999997E-3</v>
      </c>
    </row>
    <row r="22" spans="2:15" x14ac:dyDescent="0.2">
      <c r="B22" t="str">
        <f>+'Cash Flows'!A13</f>
        <v>Total Other Income</v>
      </c>
      <c r="C22" s="99">
        <f>+'Cash Flows'!B13</f>
        <v>220.33694434</v>
      </c>
      <c r="D22" s="99">
        <f>+'Cash Flows'!C13</f>
        <v>147.150457728318</v>
      </c>
      <c r="E22" s="99">
        <f>+'Cash Flows'!D13</f>
        <v>199.954251273951</v>
      </c>
      <c r="F22" s="99">
        <f>+'Cash Flows'!E13</f>
        <v>207.112139631692</v>
      </c>
      <c r="G22" s="99">
        <f>+'Cash Flows'!F13</f>
        <v>177.40609426720101</v>
      </c>
      <c r="H22" s="99">
        <f>+'Cash Flows'!G13</f>
        <v>177.61437084525301</v>
      </c>
      <c r="I22" s="99">
        <f>+'Cash Flows'!H13</f>
        <v>176.39531269592001</v>
      </c>
    </row>
    <row r="23" spans="2:15" s="13" customFormat="1" x14ac:dyDescent="0.2">
      <c r="B23" s="101" t="str">
        <f>+'Cash Flows'!A14</f>
        <v>Gross Margin</v>
      </c>
      <c r="C23" s="102">
        <f>+'Cash Flows'!B14</f>
        <v>540.30857189999995</v>
      </c>
      <c r="D23" s="102">
        <f>+'Cash Flows'!C14</f>
        <v>387.68671340676002</v>
      </c>
      <c r="E23" s="102">
        <f>+'Cash Flows'!D14</f>
        <v>487.76840759440302</v>
      </c>
      <c r="F23" s="102">
        <f>+'Cash Flows'!E14</f>
        <v>438.300599781941</v>
      </c>
      <c r="G23" s="102">
        <f>+'Cash Flows'!F14</f>
        <v>401.82379080311898</v>
      </c>
      <c r="H23" s="102">
        <f>+'Cash Flows'!G14</f>
        <v>408.39045604241602</v>
      </c>
      <c r="I23" s="102">
        <f>+'Cash Flows'!H14</f>
        <v>396.75557094389802</v>
      </c>
      <c r="O23" s="4"/>
    </row>
    <row r="24" spans="2:15" x14ac:dyDescent="0.2">
      <c r="B24" s="19" t="str">
        <f>+'Cash Flows'!A15</f>
        <v>Labor Expenses</v>
      </c>
      <c r="C24" s="99">
        <f>+'Cash Flows'!B15</f>
        <v>-43.749144600000001</v>
      </c>
      <c r="D24" s="99">
        <f>+'Cash Flows'!C15</f>
        <v>-44.558990838126398</v>
      </c>
      <c r="E24" s="99">
        <f>+'Cash Flows'!D15</f>
        <v>-45.7585443084308</v>
      </c>
      <c r="F24" s="99">
        <f>+'Cash Flows'!E15</f>
        <v>-46.902507916141502</v>
      </c>
      <c r="G24" s="99">
        <f>+'Cash Flows'!F15</f>
        <v>-48.075070614045003</v>
      </c>
      <c r="H24" s="99">
        <f>+'Cash Flows'!G15</f>
        <v>-49.276947379396198</v>
      </c>
      <c r="I24" s="99">
        <f>+'Cash Flows'!H15</f>
        <v>-50.508871063881102</v>
      </c>
    </row>
    <row r="25" spans="2:15" x14ac:dyDescent="0.2">
      <c r="B25" s="19" t="str">
        <f>+'Cash Flows'!A16</f>
        <v>Maintenance</v>
      </c>
      <c r="C25" s="99">
        <f>+'Cash Flows'!B16</f>
        <v>-51.169260479999998</v>
      </c>
      <c r="D25" s="99">
        <f>+'Cash Flows'!C16</f>
        <v>-43.219784419</v>
      </c>
      <c r="E25" s="99">
        <f>+'Cash Flows'!D16</f>
        <v>-47.010422857564301</v>
      </c>
      <c r="F25" s="99">
        <f>+'Cash Flows'!E16</f>
        <v>-49.5325487794126</v>
      </c>
      <c r="G25" s="99">
        <f>+'Cash Flows'!F16</f>
        <v>-52.299608532791602</v>
      </c>
      <c r="H25" s="99">
        <f>+'Cash Flows'!G16</f>
        <v>-41.2638023020764</v>
      </c>
      <c r="I25" s="99">
        <f>+'Cash Flows'!H16</f>
        <v>-51.251514550775802</v>
      </c>
    </row>
    <row r="26" spans="2:15" x14ac:dyDescent="0.2">
      <c r="B26" s="19" t="str">
        <f>+'Cash Flows'!A17</f>
        <v>Operations</v>
      </c>
      <c r="C26" s="99">
        <f>+'Cash Flows'!B17</f>
        <v>-20.81989183</v>
      </c>
      <c r="D26" s="99">
        <f>+'Cash Flows'!C17</f>
        <v>-23.084050094209399</v>
      </c>
      <c r="E26" s="99">
        <f>+'Cash Flows'!D17</f>
        <v>-18.454091755761901</v>
      </c>
      <c r="F26" s="99">
        <f>+'Cash Flows'!E17</f>
        <v>-18.689466631874701</v>
      </c>
      <c r="G26" s="99">
        <f>+'Cash Flows'!F17</f>
        <v>-19.2388783568754</v>
      </c>
      <c r="H26" s="99">
        <f>+'Cash Flows'!G17</f>
        <v>-19.519742422965798</v>
      </c>
      <c r="I26" s="99">
        <f>+'Cash Flows'!H17</f>
        <v>-20.266974749671402</v>
      </c>
    </row>
    <row r="27" spans="2:15" x14ac:dyDescent="0.2">
      <c r="B27" s="19" t="str">
        <f>+'Cash Flows'!A18</f>
        <v>Removal Costs</v>
      </c>
      <c r="C27" s="99">
        <f>+'Cash Flows'!B18</f>
        <v>-7.6622555300000004</v>
      </c>
      <c r="D27" s="99">
        <f>+'Cash Flows'!C18</f>
        <v>-5.2939651999999997</v>
      </c>
      <c r="E27" s="99">
        <f>+'Cash Flows'!D18</f>
        <v>-4.6526433952000001</v>
      </c>
      <c r="F27" s="99">
        <f>+'Cash Flows'!E18</f>
        <v>-6.7864613046000004</v>
      </c>
      <c r="G27" s="99">
        <f>+'Cash Flows'!F18</f>
        <v>-9.7483142128000004</v>
      </c>
      <c r="H27" s="99">
        <f>+'Cash Flows'!G18</f>
        <v>-2.9071752536000002</v>
      </c>
      <c r="I27" s="99">
        <f>+'Cash Flows'!H18</f>
        <v>-5.1291422639000004</v>
      </c>
    </row>
    <row r="28" spans="2:15" x14ac:dyDescent="0.2">
      <c r="B28" s="19" t="str">
        <f>+'Cash Flows'!A19</f>
        <v>Fuel Handling</v>
      </c>
      <c r="C28" s="99">
        <f>+'Cash Flows'!B19</f>
        <v>-15.422840689999999</v>
      </c>
      <c r="D28" s="99">
        <f>+'Cash Flows'!C19</f>
        <v>-16.039935639999999</v>
      </c>
      <c r="E28" s="99">
        <f>+'Cash Flows'!D19</f>
        <v>-18.016218517199999</v>
      </c>
      <c r="F28" s="99">
        <f>+'Cash Flows'!E19</f>
        <v>-17.3259202417</v>
      </c>
      <c r="G28" s="99">
        <f>+'Cash Flows'!F19</f>
        <v>-17.614998097200001</v>
      </c>
      <c r="H28" s="99">
        <f>+'Cash Flows'!G19</f>
        <v>-17.892841492700001</v>
      </c>
      <c r="I28" s="99">
        <f>+'Cash Flows'!H19</f>
        <v>-18.196245008199998</v>
      </c>
    </row>
    <row r="29" spans="2:15" s="13" customFormat="1" x14ac:dyDescent="0.2">
      <c r="B29" s="101" t="str">
        <f>+'Cash Flows'!A20</f>
        <v>Fixed Non-Labor Expense</v>
      </c>
      <c r="C29" s="102">
        <f>+'Cash Flows'!B20</f>
        <v>95.074248530000006</v>
      </c>
      <c r="D29" s="102">
        <f>+'Cash Flows'!C20</f>
        <v>87.637735353209393</v>
      </c>
      <c r="E29" s="102">
        <f>+'Cash Flows'!D20</f>
        <v>88.133376525726305</v>
      </c>
      <c r="F29" s="102">
        <f>+'Cash Flows'!E20</f>
        <v>92.334396957587202</v>
      </c>
      <c r="G29" s="102">
        <f>+'Cash Flows'!F20</f>
        <v>98.901799199666996</v>
      </c>
      <c r="H29" s="102">
        <f>+'Cash Flows'!G20</f>
        <v>81.583561471342193</v>
      </c>
      <c r="I29" s="102">
        <f>+'Cash Flows'!H20</f>
        <v>94.843876572547103</v>
      </c>
      <c r="O29" s="4"/>
    </row>
    <row r="30" spans="2:15" s="4" customFormat="1" x14ac:dyDescent="0.2">
      <c r="B30" s="19" t="str">
        <f>+'Cash Flows'!A21</f>
        <v>Property Tax</v>
      </c>
      <c r="C30" s="113">
        <f>+'Cash Flows'!B21</f>
        <v>-17.78525106</v>
      </c>
      <c r="D30" s="113">
        <f>+'Cash Flows'!C21</f>
        <v>-18.884241315231598</v>
      </c>
      <c r="E30" s="113">
        <f>+'Cash Flows'!D21</f>
        <v>-17.194165967554799</v>
      </c>
      <c r="F30" s="113">
        <f>+'Cash Flows'!E21</f>
        <v>-16.4952572883671</v>
      </c>
      <c r="G30" s="113">
        <f>+'Cash Flows'!F21</f>
        <v>-15.7506837665946</v>
      </c>
      <c r="H30" s="113">
        <f>+'Cash Flows'!G21</f>
        <v>-15.180254577257401</v>
      </c>
      <c r="I30" s="113">
        <f>+'Cash Flows'!H21</f>
        <v>-15.3452745073548</v>
      </c>
    </row>
    <row r="31" spans="2:15" s="4" customFormat="1" x14ac:dyDescent="0.2">
      <c r="B31" s="19" t="str">
        <f>+'Cash Flows'!A22</f>
        <v>Insurance</v>
      </c>
      <c r="C31" s="113">
        <f>+'Cash Flows'!B22</f>
        <v>-7.1536715099999997</v>
      </c>
      <c r="D31" s="113">
        <f>+'Cash Flows'!C22</f>
        <v>-8.1823331090343299</v>
      </c>
      <c r="E31" s="113">
        <f>+'Cash Flows'!D22</f>
        <v>-8.8641235747773592</v>
      </c>
      <c r="F31" s="113">
        <f>+'Cash Flows'!E22</f>
        <v>-9.0857266641467902</v>
      </c>
      <c r="G31" s="113">
        <f>+'Cash Flows'!F22</f>
        <v>-9.3128698307504596</v>
      </c>
      <c r="H31" s="113">
        <f>+'Cash Flows'!G22</f>
        <v>-9.5456915765192303</v>
      </c>
      <c r="I31" s="113">
        <f>+'Cash Flows'!H22</f>
        <v>-9.7843338659322097</v>
      </c>
    </row>
    <row r="32" spans="2:15" s="4" customFormat="1" x14ac:dyDescent="0.2">
      <c r="B32" s="19" t="str">
        <f>+'Cash Flows'!A23</f>
        <v>General &amp; Administrative</v>
      </c>
      <c r="C32" s="113">
        <f>+'Cash Flows'!B23</f>
        <v>-14.05631844</v>
      </c>
      <c r="D32" s="113">
        <f>+'Cash Flows'!C23</f>
        <v>-14.3163545704715</v>
      </c>
      <c r="E32" s="113">
        <f>+'Cash Flows'!D23</f>
        <v>-14.679485686733299</v>
      </c>
      <c r="F32" s="113">
        <f>+'Cash Flows'!E23</f>
        <v>-15.046472828901701</v>
      </c>
      <c r="G32" s="113">
        <f>+'Cash Flows'!F23</f>
        <v>-15.4226346496242</v>
      </c>
      <c r="H32" s="113">
        <f>+'Cash Flows'!G23</f>
        <v>-15.808200515864799</v>
      </c>
      <c r="I32" s="113">
        <f>+'Cash Flows'!H23</f>
        <v>-16.203405528761401</v>
      </c>
    </row>
    <row r="33" spans="2:18" x14ac:dyDescent="0.2">
      <c r="B33" t="str">
        <f>+'Cash Flows'!A24</f>
        <v>Total Fixed Costs</v>
      </c>
      <c r="C33" s="99">
        <f>+'Cash Flows'!B24</f>
        <v>177.81863414</v>
      </c>
      <c r="D33" s="99">
        <f>+'Cash Flows'!C24</f>
        <v>173.57965518607301</v>
      </c>
      <c r="E33" s="99">
        <f>+'Cash Flows'!D24</f>
        <v>174.62969606322201</v>
      </c>
      <c r="F33" s="99">
        <f>+'Cash Flows'!E24</f>
        <v>179.86436165514399</v>
      </c>
      <c r="G33" s="99">
        <f>+'Cash Flows'!F24</f>
        <v>187.46305806068099</v>
      </c>
      <c r="H33" s="99">
        <f>+'Cash Flows'!G24</f>
        <v>171.39465552038001</v>
      </c>
      <c r="I33" s="99">
        <f>+'Cash Flows'!H24</f>
        <v>186.68576153847701</v>
      </c>
    </row>
    <row r="34" spans="2:18" s="13" customFormat="1" x14ac:dyDescent="0.2">
      <c r="B34" s="101" t="str">
        <f>+'Cash Flows'!A25</f>
        <v>EBITDA</v>
      </c>
      <c r="C34" s="102">
        <f>+'Cash Flows'!B25</f>
        <v>362.48993775999998</v>
      </c>
      <c r="D34" s="102">
        <f>+'Cash Flows'!C25</f>
        <v>214.10705822068701</v>
      </c>
      <c r="E34" s="102">
        <f>+'Cash Flows'!D25</f>
        <v>313.138711531181</v>
      </c>
      <c r="F34" s="102">
        <f>+'Cash Flows'!E25</f>
        <v>258.43623812679698</v>
      </c>
      <c r="G34" s="102">
        <f>+'Cash Flows'!F25</f>
        <v>214.36073274243799</v>
      </c>
      <c r="H34" s="102">
        <f>+'Cash Flows'!G25</f>
        <v>236.99580052203601</v>
      </c>
      <c r="I34" s="102">
        <f>+'Cash Flows'!H25</f>
        <v>210.06980940542101</v>
      </c>
      <c r="O34" s="4"/>
    </row>
    <row r="35" spans="2:18" s="4" customFormat="1" x14ac:dyDescent="0.2">
      <c r="B35" s="19" t="str">
        <f>+'Cash Flows'!A26</f>
        <v>Maintenance Capex</v>
      </c>
      <c r="C35" s="113">
        <f>+'Cash Flows'!B26</f>
        <v>-32.227335850000003</v>
      </c>
      <c r="D35" s="113">
        <f>+'Cash Flows'!C26</f>
        <v>-19.00304861</v>
      </c>
      <c r="E35" s="113">
        <f>+'Cash Flows'!D26</f>
        <v>-22.906616153400002</v>
      </c>
      <c r="F35" s="113">
        <f>+'Cash Flows'!E26</f>
        <v>-33.210168542200002</v>
      </c>
      <c r="G35" s="113">
        <f>+'Cash Flows'!F26</f>
        <v>-28.204150883299999</v>
      </c>
      <c r="H35" s="113">
        <f>+'Cash Flows'!G26</f>
        <v>-20.926666723250001</v>
      </c>
      <c r="I35" s="113">
        <f>+'Cash Flows'!H26</f>
        <v>-21.858650905899999</v>
      </c>
    </row>
    <row r="36" spans="2:18" s="4" customFormat="1" x14ac:dyDescent="0.2">
      <c r="B36" s="19" t="str">
        <f>+'Cash Flows'!A27</f>
        <v>Environmental Capex</v>
      </c>
      <c r="C36" s="113">
        <f>+'Cash Flows'!B27</f>
        <v>-21.505213860000001</v>
      </c>
      <c r="D36" s="113">
        <f>+'Cash Flows'!C27</f>
        <v>-33.31286755</v>
      </c>
      <c r="E36" s="113">
        <f>+'Cash Flows'!D27</f>
        <v>-28.70122009</v>
      </c>
      <c r="F36" s="113">
        <f>+'Cash Flows'!E27</f>
        <v>-31.144664800000001</v>
      </c>
      <c r="G36" s="113">
        <f>+'Cash Flows'!F27</f>
        <v>-35.68033776</v>
      </c>
      <c r="H36" s="113">
        <f>+'Cash Flows'!G27</f>
        <v>-25.106513960000001</v>
      </c>
      <c r="I36" s="113">
        <f>+'Cash Flows'!H27</f>
        <v>-23.414861040000002</v>
      </c>
    </row>
    <row r="37" spans="2:18" s="4" customFormat="1" x14ac:dyDescent="0.2">
      <c r="B37" s="19" t="str">
        <f>+'Cash Flows'!A28</f>
        <v>LTSA Capex</v>
      </c>
      <c r="C37" s="113">
        <f>+'Cash Flows'!B28</f>
        <v>-15.32293999</v>
      </c>
      <c r="D37" s="113">
        <f>+'Cash Flows'!C28</f>
        <v>-16.012756980799999</v>
      </c>
      <c r="E37" s="113">
        <f>+'Cash Flows'!D28</f>
        <v>-16.961290908752002</v>
      </c>
      <c r="F37" s="113">
        <f>+'Cash Flows'!E28</f>
        <v>-23.0605965109979</v>
      </c>
      <c r="G37" s="113">
        <f>+'Cash Flows'!F28</f>
        <v>-14.995730416627699</v>
      </c>
      <c r="H37" s="113">
        <f>+'Cash Flows'!G28</f>
        <v>-16.3777728995865</v>
      </c>
      <c r="I37" s="113">
        <f>+'Cash Flows'!H28</f>
        <v>-16.705864437450899</v>
      </c>
    </row>
    <row r="38" spans="2:18" s="4" customFormat="1" x14ac:dyDescent="0.2">
      <c r="B38" s="19" t="str">
        <f>+'Cash Flows'!A29</f>
        <v>Growth Capex</v>
      </c>
      <c r="C38" s="113">
        <f>+'Cash Flows'!B29</f>
        <v>-42.60204564</v>
      </c>
      <c r="D38" s="113">
        <f>+'Cash Flows'!C29</f>
        <v>-7.2691338400000003</v>
      </c>
      <c r="E38" s="113">
        <f>+'Cash Flows'!D29</f>
        <v>-5.7041666299999996</v>
      </c>
      <c r="F38" s="113">
        <f>+'Cash Flows'!E29</f>
        <v>-6.2649996300000002</v>
      </c>
      <c r="G38" s="113">
        <f>+'Cash Flows'!F29</f>
        <v>-3.9458329999999999</v>
      </c>
      <c r="H38" s="113">
        <f>+'Cash Flows'!G29</f>
        <v>-2.7699999599999998</v>
      </c>
      <c r="I38" s="113">
        <f>+'Cash Flows'!H29</f>
        <v>-4.2</v>
      </c>
    </row>
    <row r="39" spans="2:18" s="105" customFormat="1" x14ac:dyDescent="0.2">
      <c r="B39" s="105" t="str">
        <f>+'Cash Flows'!A30</f>
        <v>Total Capex</v>
      </c>
      <c r="C39" s="106">
        <f>+'Cash Flows'!B30</f>
        <v>111.65753534</v>
      </c>
      <c r="D39" s="106">
        <f>+'Cash Flows'!C30</f>
        <v>75.597806980800001</v>
      </c>
      <c r="E39" s="106">
        <f>+'Cash Flows'!D30</f>
        <v>74.273293782151995</v>
      </c>
      <c r="F39" s="106">
        <f>+'Cash Flows'!E30</f>
        <v>93.680429483197997</v>
      </c>
      <c r="G39" s="106">
        <f>+'Cash Flows'!F30</f>
        <v>82.826052059927704</v>
      </c>
      <c r="H39" s="106">
        <f>+'Cash Flows'!G30</f>
        <v>65.180953542836505</v>
      </c>
      <c r="I39" s="106">
        <f>+'Cash Flows'!H30</f>
        <v>66.179376383350899</v>
      </c>
      <c r="O39" s="47"/>
    </row>
    <row r="40" spans="2:18" s="13" customFormat="1" x14ac:dyDescent="0.2">
      <c r="B40" s="105"/>
      <c r="C40" s="106"/>
      <c r="D40" s="106"/>
      <c r="E40" s="106"/>
      <c r="F40" s="106"/>
      <c r="G40" s="106"/>
      <c r="H40" s="106"/>
      <c r="I40" s="106"/>
      <c r="O40" s="4"/>
    </row>
    <row r="41" spans="2:18" s="13" customFormat="1" ht="13.5" thickBot="1" x14ac:dyDescent="0.25">
      <c r="B41" s="103" t="str">
        <f>+'Cash Flows'!A31</f>
        <v>EBITDA less Capex</v>
      </c>
      <c r="C41" s="104">
        <f>+'Cash Flows'!B31</f>
        <v>250.83240241999999</v>
      </c>
      <c r="D41" s="104">
        <f>+'Cash Flows'!C31</f>
        <v>138.50925123988699</v>
      </c>
      <c r="E41" s="104">
        <f>+'Cash Flows'!D31</f>
        <v>238.86541774902901</v>
      </c>
      <c r="F41" s="104">
        <f>+'Cash Flows'!E31</f>
        <v>164.75580864359901</v>
      </c>
      <c r="G41" s="104">
        <f>+'Cash Flows'!F31</f>
        <v>131.53468068250999</v>
      </c>
      <c r="H41" s="104">
        <f>+'Cash Flows'!G31</f>
        <v>171.81484697920001</v>
      </c>
      <c r="I41" s="104">
        <f>+'Cash Flows'!H31</f>
        <v>143.89043302207</v>
      </c>
      <c r="O41" s="4"/>
    </row>
    <row r="42" spans="2:18" ht="13.5" thickTop="1" x14ac:dyDescent="0.2"/>
    <row r="43" spans="2:18" s="13" customFormat="1" x14ac:dyDescent="0.2">
      <c r="B43" s="27" t="s">
        <v>37</v>
      </c>
      <c r="C43" s="27"/>
      <c r="D43" s="27">
        <f t="shared" ref="D43:I43" si="0">D3</f>
        <v>2020</v>
      </c>
      <c r="E43" s="27">
        <f t="shared" si="0"/>
        <v>2021</v>
      </c>
      <c r="F43" s="27">
        <f t="shared" si="0"/>
        <v>2022</v>
      </c>
      <c r="G43" s="27">
        <f t="shared" si="0"/>
        <v>2023</v>
      </c>
      <c r="H43" s="27">
        <f t="shared" si="0"/>
        <v>2024</v>
      </c>
      <c r="I43" s="27">
        <f t="shared" si="0"/>
        <v>2025</v>
      </c>
      <c r="J43" s="42" t="s">
        <v>26</v>
      </c>
      <c r="L43" s="42" t="str">
        <f>'Basic LBO'!C15</f>
        <v>SOURCES</v>
      </c>
      <c r="M43" s="42"/>
      <c r="N43" s="42" t="str">
        <f>'Basic LBO'!F15</f>
        <v>$MM</v>
      </c>
      <c r="O43" s="42" t="s">
        <v>1</v>
      </c>
    </row>
    <row r="44" spans="2:18" x14ac:dyDescent="0.2">
      <c r="L44" s="13" t="str">
        <f>'Basic LBO'!C16</f>
        <v xml:space="preserve">TLB Debt </v>
      </c>
      <c r="M44" s="107"/>
      <c r="N44" s="107">
        <f>'Basic LBO'!F16</f>
        <v>1174.8347354275343</v>
      </c>
      <c r="O44" s="110">
        <f>+N44/MW_Capacity*1000</f>
        <v>225.06412556083032</v>
      </c>
    </row>
    <row r="45" spans="2:18" x14ac:dyDescent="0.2">
      <c r="B45" t="str">
        <f>+'Basic LBO'!C25</f>
        <v>Lightstone EBITDA</v>
      </c>
      <c r="D45" s="99">
        <f>+'Basic LBO'!F25</f>
        <v>214.10705822068701</v>
      </c>
      <c r="E45" s="99">
        <f>+'Basic LBO'!G25</f>
        <v>313.138711531181</v>
      </c>
      <c r="F45" s="99">
        <f>+'Basic LBO'!H25</f>
        <v>258.43623812679698</v>
      </c>
      <c r="G45" s="99">
        <f>+'Basic LBO'!I25</f>
        <v>214.36073274243799</v>
      </c>
      <c r="H45" s="99">
        <f>+'Basic LBO'!J25</f>
        <v>236.99580052203601</v>
      </c>
      <c r="I45" s="99">
        <f>+'Basic LBO'!K25</f>
        <v>210.06980940542101</v>
      </c>
      <c r="J45" s="99">
        <f>+'Basic LBO'!L25</f>
        <v>0</v>
      </c>
      <c r="L45" s="13" t="str">
        <f>'Basic LBO'!C17</f>
        <v>BX New Equity</v>
      </c>
      <c r="M45" s="107"/>
      <c r="N45" s="107">
        <f>'Basic LBO'!F17</f>
        <v>391.61157847584468</v>
      </c>
      <c r="O45" s="110">
        <f>+N45/MW_Capacity*1000</f>
        <v>75.021375186943416</v>
      </c>
    </row>
    <row r="46" spans="2:18" x14ac:dyDescent="0.2">
      <c r="B46" t="str">
        <f>+'Basic LBO'!C26</f>
        <v>(-) Capex</v>
      </c>
      <c r="D46" s="99">
        <f>+'Basic LBO'!F26</f>
        <v>-75.597806980800001</v>
      </c>
      <c r="E46" s="99">
        <f>+'Basic LBO'!G26</f>
        <v>-74.273293782151995</v>
      </c>
      <c r="F46" s="99">
        <f>+'Basic LBO'!H26</f>
        <v>-93.680429483197997</v>
      </c>
      <c r="G46" s="99">
        <f>+'Basic LBO'!I26</f>
        <v>-82.826052059927704</v>
      </c>
      <c r="H46" s="99">
        <f>+'Basic LBO'!J26</f>
        <v>-65.180953542836505</v>
      </c>
      <c r="I46" s="99">
        <f>+'Basic LBO'!K26</f>
        <v>-66.179376383350899</v>
      </c>
      <c r="J46" s="99">
        <f>+'Basic LBO'!L26</f>
        <v>0</v>
      </c>
      <c r="L46" s="101" t="str">
        <f>'Basic LBO'!C19</f>
        <v>Total Sources</v>
      </c>
      <c r="M46" s="108"/>
      <c r="N46" s="102">
        <f>'Basic LBO'!F19</f>
        <v>1566.446313903379</v>
      </c>
      <c r="O46" s="111">
        <f>+N46/MW_Capacity*1000</f>
        <v>300.08550074777372</v>
      </c>
    </row>
    <row r="47" spans="2:18" s="13" customFormat="1" x14ac:dyDescent="0.2">
      <c r="B47" s="101" t="str">
        <f>+'Basic LBO'!C27</f>
        <v>Lightstone UFCF</v>
      </c>
      <c r="C47" s="102"/>
      <c r="D47" s="102">
        <f>+'Basic LBO'!F27</f>
        <v>138.50925123988702</v>
      </c>
      <c r="E47" s="102">
        <f>+'Basic LBO'!G27</f>
        <v>238.86541774902901</v>
      </c>
      <c r="F47" s="102">
        <f>+'Basic LBO'!H27</f>
        <v>164.75580864359898</v>
      </c>
      <c r="G47" s="102">
        <f>+'Basic LBO'!I27</f>
        <v>131.53468068251027</v>
      </c>
      <c r="H47" s="102">
        <f>+'Basic LBO'!J27</f>
        <v>171.8148469791995</v>
      </c>
      <c r="I47" s="102">
        <f>+'Basic LBO'!K27</f>
        <v>143.89043302207011</v>
      </c>
      <c r="J47" s="102">
        <f>+'Basic LBO'!L27</f>
        <v>0</v>
      </c>
      <c r="O47" s="110"/>
    </row>
    <row r="48" spans="2:18" x14ac:dyDescent="0.2">
      <c r="B48" t="str">
        <f>+'Basic LBO'!C28</f>
        <v>(-) TLB Interest</v>
      </c>
      <c r="D48" s="99">
        <f>+'Basic LBO'!F28</f>
        <v>0</v>
      </c>
      <c r="E48" s="99">
        <f>+'Basic LBO'!G28</f>
        <v>-70.490084125652047</v>
      </c>
      <c r="F48" s="99">
        <f>+'Basic LBO'!H28</f>
        <v>-60.387564108249428</v>
      </c>
      <c r="G48" s="99">
        <f>+'Basic LBO'!I28</f>
        <v>-54.125469436128462</v>
      </c>
      <c r="H48" s="99">
        <f>+'Basic LBO'!J28</f>
        <v>-49.480916761345554</v>
      </c>
      <c r="I48" s="99">
        <f>+'Basic LBO'!K28</f>
        <v>-42.140880948274322</v>
      </c>
      <c r="J48" s="99">
        <f>+'Basic LBO'!L28</f>
        <v>0</v>
      </c>
      <c r="O48" s="110"/>
      <c r="P48" s="107"/>
      <c r="Q48" s="107"/>
      <c r="R48" s="107"/>
    </row>
    <row r="49" spans="2:20" x14ac:dyDescent="0.2">
      <c r="B49" t="str">
        <f>+'Basic LBO'!C29</f>
        <v>(-) TLB Mandatory Amort</v>
      </c>
      <c r="D49" s="99">
        <f>+'Basic LBO'!F29</f>
        <v>0</v>
      </c>
      <c r="E49" s="99">
        <f>+'Basic LBO'!G29</f>
        <v>-11.748347354275342</v>
      </c>
      <c r="F49" s="99">
        <f>+'Basic LBO'!H29</f>
        <v>-11.748347354275342</v>
      </c>
      <c r="G49" s="99">
        <f>+'Basic LBO'!I29</f>
        <v>-11.748347354275342</v>
      </c>
      <c r="H49" s="99">
        <f>+'Basic LBO'!J29</f>
        <v>-11.748347354275342</v>
      </c>
      <c r="I49" s="99">
        <f>+'Basic LBO'!K29</f>
        <v>-11.748347354275342</v>
      </c>
      <c r="J49" s="99">
        <f>+'Basic LBO'!L29</f>
        <v>0</v>
      </c>
      <c r="L49" s="78" t="str">
        <f>'Basic LBO'!H15</f>
        <v>USES</v>
      </c>
      <c r="M49" s="42"/>
      <c r="N49" s="42" t="str">
        <f>'Basic LBO'!K15</f>
        <v>$MM</v>
      </c>
      <c r="O49" s="42" t="s">
        <v>1</v>
      </c>
    </row>
    <row r="50" spans="2:20" x14ac:dyDescent="0.2">
      <c r="B50" t="str">
        <f>+'Basic LBO'!C30</f>
        <v>(-) Excess FCF Sweep</v>
      </c>
      <c r="D50" s="99">
        <f>+'Basic LBO'!F30</f>
        <v>0</v>
      </c>
      <c r="E50" s="99">
        <f>+'Basic LBO'!G30</f>
        <v>-156.62698626910162</v>
      </c>
      <c r="F50" s="99">
        <f>+'Basic LBO'!H30</f>
        <v>-92.619897181074208</v>
      </c>
      <c r="G50" s="99">
        <f>+'Basic LBO'!I30</f>
        <v>-65.660863892106462</v>
      </c>
      <c r="H50" s="99">
        <f>+'Basic LBO'!J30</f>
        <v>-110.58558286357861</v>
      </c>
      <c r="I50" s="99">
        <f>+'Basic LBO'!K30</f>
        <v>-90.001204719520445</v>
      </c>
      <c r="J50" s="99">
        <f>+'Basic LBO'!L30</f>
        <v>0</v>
      </c>
      <c r="L50" s="100" t="str">
        <f>'Basic LBO'!H16</f>
        <v>TEV Purchase Price</v>
      </c>
      <c r="M50" s="107"/>
      <c r="N50" s="107">
        <f>'Basic LBO'!K16</f>
        <v>1566.446313903379</v>
      </c>
      <c r="O50" s="110">
        <f>+N50/MW_Capacity*1000</f>
        <v>300.08550074777372</v>
      </c>
    </row>
    <row r="51" spans="2:20" s="13" customFormat="1" x14ac:dyDescent="0.2">
      <c r="B51" s="101" t="str">
        <f>+'Basic LBO'!C31</f>
        <v>LFCF</v>
      </c>
      <c r="C51" s="102"/>
      <c r="D51" s="102">
        <f>+'Basic LBO'!F31</f>
        <v>0</v>
      </c>
      <c r="E51" s="102">
        <f>+'Basic LBO'!G31</f>
        <v>0</v>
      </c>
      <c r="F51" s="102">
        <f>+'Basic LBO'!H31</f>
        <v>0</v>
      </c>
      <c r="G51" s="102">
        <f>+'Basic LBO'!I31</f>
        <v>0</v>
      </c>
      <c r="H51" s="102">
        <f>+'Basic LBO'!J31</f>
        <v>0</v>
      </c>
      <c r="I51" s="102">
        <f>+'Basic LBO'!K31</f>
        <v>0</v>
      </c>
      <c r="J51" s="102">
        <f>+'Basic LBO'!L31</f>
        <v>0</v>
      </c>
      <c r="L51" s="107"/>
      <c r="M51" s="107"/>
      <c r="N51" s="107"/>
      <c r="O51" s="110"/>
      <c r="P51"/>
      <c r="Q51"/>
      <c r="R51"/>
      <c r="S51"/>
      <c r="T51"/>
    </row>
    <row r="52" spans="2:20" s="13" customFormat="1" x14ac:dyDescent="0.2">
      <c r="B52" s="105"/>
      <c r="C52" s="106"/>
      <c r="D52" s="106"/>
      <c r="E52" s="106"/>
      <c r="F52" s="106"/>
      <c r="G52" s="106"/>
      <c r="H52" s="106"/>
      <c r="I52" s="106"/>
      <c r="J52" s="106"/>
      <c r="L52" s="102" t="str">
        <f>'Basic LBO'!H19</f>
        <v>Total Uses</v>
      </c>
      <c r="M52" s="102"/>
      <c r="N52" s="102">
        <f>'Basic LBO'!K19</f>
        <v>1566.446313903379</v>
      </c>
      <c r="O52" s="111">
        <f>+N52/MW_Capacity*1000</f>
        <v>300.08550074777372</v>
      </c>
      <c r="P52"/>
      <c r="Q52"/>
      <c r="R52"/>
      <c r="S52"/>
      <c r="T52"/>
    </row>
    <row r="53" spans="2:20" x14ac:dyDescent="0.2">
      <c r="B53" t="str">
        <f>+'Basic LBO'!C32</f>
        <v>Exit EBITDA</v>
      </c>
      <c r="D53" s="99">
        <f>+'Basic LBO'!F32</f>
        <v>0</v>
      </c>
      <c r="E53" s="99">
        <f>+'Basic LBO'!G32</f>
        <v>0</v>
      </c>
      <c r="F53" s="99">
        <f>+'Basic LBO'!H32</f>
        <v>0</v>
      </c>
      <c r="G53" s="99">
        <f>+'Basic LBO'!I32</f>
        <v>0</v>
      </c>
      <c r="H53" s="99">
        <f>+'Basic LBO'!J32</f>
        <v>0</v>
      </c>
      <c r="I53" s="99">
        <f>+'Basic LBO'!K32</f>
        <v>0</v>
      </c>
      <c r="J53" s="99">
        <f>+'Basic LBO'!L32</f>
        <v>210.06980940542101</v>
      </c>
      <c r="L53" s="13" t="s">
        <v>116</v>
      </c>
      <c r="M53" s="107"/>
      <c r="N53" s="112">
        <f>+'Basic LBO'!$L2</f>
        <v>7.5</v>
      </c>
    </row>
    <row r="54" spans="2:20" x14ac:dyDescent="0.2">
      <c r="B54" t="str">
        <f>+'Basic LBO'!C33</f>
        <v>(x) Exit Multiple</v>
      </c>
      <c r="D54" s="99">
        <f>+'Basic LBO'!F33</f>
        <v>0</v>
      </c>
      <c r="E54" s="99">
        <f>+'Basic LBO'!G33</f>
        <v>0</v>
      </c>
      <c r="F54" s="99">
        <f>+'Basic LBO'!H33</f>
        <v>0</v>
      </c>
      <c r="G54" s="99">
        <f>+'Basic LBO'!I33</f>
        <v>0</v>
      </c>
      <c r="H54" s="99">
        <f>+'Basic LBO'!J33</f>
        <v>0</v>
      </c>
      <c r="I54" s="99">
        <f>+'Basic LBO'!K33</f>
        <v>0</v>
      </c>
      <c r="J54" s="99">
        <f>+'Basic LBO'!L33</f>
        <v>7.5</v>
      </c>
      <c r="N54" s="107"/>
    </row>
    <row r="55" spans="2:20" s="13" customFormat="1" x14ac:dyDescent="0.2">
      <c r="B55" s="101" t="str">
        <f>+'Basic LBO'!C34</f>
        <v>Exit TEV</v>
      </c>
      <c r="C55" s="102"/>
      <c r="D55" s="102">
        <f>+'Basic LBO'!F34</f>
        <v>0</v>
      </c>
      <c r="E55" s="102">
        <f>+'Basic LBO'!G34</f>
        <v>0</v>
      </c>
      <c r="F55" s="102">
        <f>+'Basic LBO'!H34</f>
        <v>0</v>
      </c>
      <c r="G55" s="102">
        <f>+'Basic LBO'!I34</f>
        <v>0</v>
      </c>
      <c r="H55" s="102">
        <f>+'Basic LBO'!J34</f>
        <v>0</v>
      </c>
      <c r="I55" s="102">
        <f>+'Basic LBO'!K34</f>
        <v>0</v>
      </c>
      <c r="J55" s="102">
        <f>+'Basic LBO'!L34</f>
        <v>1575.5235705406576</v>
      </c>
      <c r="L55" s="13" t="s">
        <v>104</v>
      </c>
      <c r="N55" s="109">
        <f>+'Basic LBO'!$L4</f>
        <v>0.75</v>
      </c>
      <c r="O55" s="4"/>
      <c r="P55"/>
      <c r="Q55"/>
      <c r="R55"/>
      <c r="S55"/>
      <c r="T55"/>
    </row>
    <row r="56" spans="2:20" x14ac:dyDescent="0.2">
      <c r="B56" t="str">
        <f>+'Basic LBO'!C35</f>
        <v>(-) Existing Debt</v>
      </c>
      <c r="D56" s="99">
        <f>+'Basic LBO'!F35</f>
        <v>0</v>
      </c>
      <c r="E56" s="99">
        <f>+'Basic LBO'!G35</f>
        <v>0</v>
      </c>
      <c r="F56" s="99">
        <f>+'Basic LBO'!H35</f>
        <v>0</v>
      </c>
      <c r="G56" s="99">
        <f>+'Basic LBO'!I35</f>
        <v>0</v>
      </c>
      <c r="H56" s="99">
        <f>+'Basic LBO'!J35</f>
        <v>0</v>
      </c>
      <c r="I56" s="99">
        <f>+'Basic LBO'!K35</f>
        <v>0</v>
      </c>
      <c r="J56" s="99">
        <f>+'Basic LBO'!L35</f>
        <v>-600.5984637307763</v>
      </c>
      <c r="L56" s="13" t="s">
        <v>108</v>
      </c>
      <c r="M56" s="13"/>
      <c r="N56" s="109">
        <f>+'Basic LBO'!$L5</f>
        <v>0.06</v>
      </c>
    </row>
    <row r="57" spans="2:20" s="13" customFormat="1" x14ac:dyDescent="0.2">
      <c r="B57" s="101" t="str">
        <f>+'Basic LBO'!C36</f>
        <v>Exit Equity</v>
      </c>
      <c r="C57" s="102"/>
      <c r="D57" s="102">
        <f>+'Basic LBO'!F36</f>
        <v>0</v>
      </c>
      <c r="E57" s="102">
        <f>+'Basic LBO'!G36</f>
        <v>0</v>
      </c>
      <c r="F57" s="102">
        <f>+'Basic LBO'!H36</f>
        <v>0</v>
      </c>
      <c r="G57" s="102">
        <f>+'Basic LBO'!I36</f>
        <v>0</v>
      </c>
      <c r="H57" s="102">
        <f>+'Basic LBO'!J36</f>
        <v>0</v>
      </c>
      <c r="I57" s="102">
        <f>+'Basic LBO'!K36</f>
        <v>0</v>
      </c>
      <c r="J57" s="102">
        <f>+'Basic LBO'!L36</f>
        <v>974.9251068098813</v>
      </c>
      <c r="L57"/>
      <c r="M57"/>
      <c r="N57"/>
      <c r="O57" s="4"/>
      <c r="P57"/>
      <c r="Q57"/>
      <c r="R57"/>
      <c r="S57"/>
      <c r="T57"/>
    </row>
    <row r="58" spans="2:20" x14ac:dyDescent="0.2">
      <c r="B58" t="str">
        <f>+'Basic LBO'!C37</f>
        <v>(-) Investment</v>
      </c>
      <c r="D58" s="99">
        <f>+'Basic LBO'!F37</f>
        <v>-391.61157847584468</v>
      </c>
      <c r="E58" s="99">
        <f>+'Basic LBO'!G37</f>
        <v>0</v>
      </c>
      <c r="F58" s="99">
        <f>+'Basic LBO'!H37</f>
        <v>0</v>
      </c>
      <c r="G58" s="99">
        <f>+'Basic LBO'!I37</f>
        <v>0</v>
      </c>
      <c r="H58" s="99">
        <f>+'Basic LBO'!J37</f>
        <v>0</v>
      </c>
      <c r="I58" s="99">
        <f>+'Basic LBO'!K37</f>
        <v>0</v>
      </c>
      <c r="J58" s="99">
        <f>+'Basic LBO'!L37</f>
        <v>0</v>
      </c>
    </row>
    <row r="59" spans="2:20" x14ac:dyDescent="0.2">
      <c r="B59" t="str">
        <f>+'Basic LBO'!C38</f>
        <v>(+) Hold Period FCF</v>
      </c>
      <c r="D59" s="99">
        <f>+'Basic LBO'!F38</f>
        <v>0</v>
      </c>
      <c r="E59" s="99">
        <f>+'Basic LBO'!G38</f>
        <v>0</v>
      </c>
      <c r="F59" s="99">
        <f>+'Basic LBO'!H38</f>
        <v>0</v>
      </c>
      <c r="G59" s="99">
        <f>+'Basic LBO'!I38</f>
        <v>0</v>
      </c>
      <c r="H59" s="99">
        <f>+'Basic LBO'!J38</f>
        <v>0</v>
      </c>
      <c r="I59" s="99">
        <f>+'Basic LBO'!K38</f>
        <v>0</v>
      </c>
      <c r="J59" s="99">
        <f>+'Basic LBO'!L38</f>
        <v>0</v>
      </c>
    </row>
    <row r="60" spans="2:20" x14ac:dyDescent="0.2">
      <c r="B60" t="str">
        <f>+'Basic LBO'!C39</f>
        <v>(+) Exit Value</v>
      </c>
      <c r="D60" s="99">
        <f>+'Basic LBO'!F39</f>
        <v>0</v>
      </c>
      <c r="E60" s="99">
        <f>+'Basic LBO'!G39</f>
        <v>0</v>
      </c>
      <c r="F60" s="99">
        <f>+'Basic LBO'!H39</f>
        <v>0</v>
      </c>
      <c r="G60" s="99">
        <f>+'Basic LBO'!I39</f>
        <v>0</v>
      </c>
      <c r="H60" s="99">
        <f>+'Basic LBO'!J39</f>
        <v>0</v>
      </c>
      <c r="I60" s="99">
        <f>+'Basic LBO'!K39</f>
        <v>0</v>
      </c>
      <c r="J60" s="99">
        <f>+'Basic LBO'!L39</f>
        <v>974.9251068098813</v>
      </c>
    </row>
    <row r="61" spans="2:20" s="13" customFormat="1" x14ac:dyDescent="0.2">
      <c r="B61" s="101" t="str">
        <f>+'Basic LBO'!C40</f>
        <v>Total FCF to Equity</v>
      </c>
      <c r="C61" s="102"/>
      <c r="D61" s="102">
        <f>+'Basic LBO'!F40</f>
        <v>-391.61157847584468</v>
      </c>
      <c r="E61" s="102">
        <f>+'Basic LBO'!G40</f>
        <v>0</v>
      </c>
      <c r="F61" s="102">
        <f>+'Basic LBO'!H40</f>
        <v>0</v>
      </c>
      <c r="G61" s="102">
        <f>+'Basic LBO'!I40</f>
        <v>0</v>
      </c>
      <c r="H61" s="102">
        <f>+'Basic LBO'!J40</f>
        <v>0</v>
      </c>
      <c r="I61" s="102">
        <f>+'Basic LBO'!K40</f>
        <v>0</v>
      </c>
      <c r="J61" s="102">
        <f>+'Basic LBO'!L40</f>
        <v>974.9251068098813</v>
      </c>
      <c r="O61" s="4"/>
    </row>
    <row r="63" spans="2:20" x14ac:dyDescent="0.2">
      <c r="B63" s="114" t="str">
        <f>'Basic LBO'!C44</f>
        <v>BX IRR</v>
      </c>
      <c r="C63" s="115"/>
      <c r="D63" s="116">
        <f>'Basic LBO'!F44</f>
        <v>0.19999589323997499</v>
      </c>
    </row>
    <row r="64" spans="2:20" x14ac:dyDescent="0.2">
      <c r="B64" s="117" t="str">
        <f>'Basic LBO'!C45</f>
        <v>BX MOIC</v>
      </c>
      <c r="C64" s="118"/>
      <c r="D64" s="119">
        <f>'Basic LBO'!F45</f>
        <v>2.4895206382924053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Cash Flows</vt:lpstr>
      <vt:lpstr>Basic LBO</vt:lpstr>
      <vt:lpstr>Output1 </vt:lpstr>
      <vt:lpstr>MW_Capacity</vt:lpstr>
      <vt:lpstr>'Basic LBO'!Print_Area</vt:lpstr>
    </vt:vector>
  </TitlesOfParts>
  <Company>The Blackstone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luea</dc:creator>
  <cp:lastModifiedBy>FlashChang</cp:lastModifiedBy>
  <cp:lastPrinted>2020-01-06T15:06:30Z</cp:lastPrinted>
  <dcterms:created xsi:type="dcterms:W3CDTF">2019-11-07T23:51:50Z</dcterms:created>
  <dcterms:modified xsi:type="dcterms:W3CDTF">2020-06-05T13:58:26Z</dcterms:modified>
</cp:coreProperties>
</file>