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案例3求解" sheetId="1" r:id="rId1"/>
    <sheet name="案例3 第二问 敏感性报告" sheetId="6" r:id="rId2"/>
  </sheets>
  <definedNames>
    <definedName name="solver_adj" localSheetId="0" hidden="1">案例3求解!$H$43:$J$45,案例3求解!$K$38:$K$40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案例3求解!$H$43:$J$45</definedName>
    <definedName name="solver_lhs2" localSheetId="0" hidden="1">案例3求解!$K$38:$K$40</definedName>
    <definedName name="solver_lhs3" localSheetId="0" hidden="1">案例3求解!$K$43:$K$45</definedName>
    <definedName name="solver_lhs4" localSheetId="0" hidden="1">案例3求解!$L$38:$L$40</definedName>
    <definedName name="solver_lhs5" localSheetId="0" hidden="1">案例3求解!$H$46:$J$46</definedName>
    <definedName name="solver_lhs6" localSheetId="0" hidden="1">案例3求解!$J$23:$J$25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案例3求解!$N$47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2</definedName>
    <definedName name="solver_rel5" localSheetId="0" hidden="1">1</definedName>
    <definedName name="solver_rel6" localSheetId="0" hidden="1">3</definedName>
    <definedName name="solver_rhs1" localSheetId="0" hidden="1">0</definedName>
    <definedName name="solver_rhs2" localSheetId="0" hidden="1">0</definedName>
    <definedName name="solver_rhs3" localSheetId="0" hidden="1">案例3求解!$L$43:$L$45</definedName>
    <definedName name="solver_rhs4" localSheetId="0" hidden="1">案例3求解!$M$43:$M$45</definedName>
    <definedName name="solver_rhs5" localSheetId="0" hidden="1">案例3求解!$H$48:$J$48</definedName>
    <definedName name="solver_rhs6" localSheetId="0" hidden="1">案例3求解!$G$23:$G$25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<sst xmlns="http://schemas.openxmlformats.org/spreadsheetml/2006/main" count="179" uniqueCount="115">
  <si>
    <t>第一问求解</t>
  </si>
  <si>
    <t>销量预测</t>
  </si>
  <si>
    <t>产品</t>
  </si>
  <si>
    <t>销售价格（美元）</t>
  </si>
  <si>
    <t>需求预期</t>
  </si>
  <si>
    <t>番茄使用量（磅）</t>
  </si>
  <si>
    <t>净利润(美元)</t>
  </si>
  <si>
    <t>生产数量</t>
  </si>
  <si>
    <t>消耗番茄数量</t>
  </si>
  <si>
    <t>销售利润</t>
  </si>
  <si>
    <t>整番茄罐头</t>
  </si>
  <si>
    <t>精选的桃块</t>
  </si>
  <si>
    <t>桃子饮料</t>
  </si>
  <si>
    <t>番茄汁</t>
  </si>
  <si>
    <t>烹饪苹果</t>
  </si>
  <si>
    <t>番茄酱</t>
  </si>
  <si>
    <t>总销售利润=</t>
  </si>
  <si>
    <t>番茄总消耗量</t>
  </si>
  <si>
    <t>&lt;=</t>
  </si>
  <si>
    <t>拥有的番茄总量</t>
  </si>
  <si>
    <t>第二问求解</t>
  </si>
  <si>
    <t>当前拥有</t>
  </si>
  <si>
    <t>生产计划</t>
  </si>
  <si>
    <t>番茄类型</t>
  </si>
  <si>
    <t>等级（0-10）</t>
  </si>
  <si>
    <t>重量（磅）</t>
  </si>
  <si>
    <t>收购价格（美元/磅）</t>
  </si>
  <si>
    <t>其他成本（不计水果）</t>
  </si>
  <si>
    <t>产量（件）</t>
  </si>
  <si>
    <t>番茄总使用量(磅)</t>
  </si>
  <si>
    <t>A</t>
  </si>
  <si>
    <t>B</t>
  </si>
  <si>
    <t>混合方案：</t>
  </si>
  <si>
    <t>番茄成本总计=</t>
  </si>
  <si>
    <t>来自等级A（磅）</t>
  </si>
  <si>
    <t>来自等级B（磅）</t>
  </si>
  <si>
    <t>等级重量</t>
  </si>
  <si>
    <t>期望等级重量</t>
  </si>
  <si>
    <t>番茄总使用量（磅）</t>
  </si>
  <si>
    <t>总销售收入=</t>
  </si>
  <si>
    <t>总成本=</t>
  </si>
  <si>
    <t>最大利润=</t>
  </si>
  <si>
    <t>第三问求解</t>
  </si>
  <si>
    <t>收购价格(美元/磅）</t>
  </si>
  <si>
    <t>A（外购）</t>
  </si>
  <si>
    <t>水果成本总计=</t>
  </si>
  <si>
    <t>来自等级A外购（磅）</t>
  </si>
  <si>
    <t>最小等级重量</t>
  </si>
  <si>
    <t>总计水果消耗=</t>
  </si>
  <si>
    <t>水果量限制</t>
  </si>
  <si>
    <t>销售收入=</t>
  </si>
  <si>
    <t>总利润=</t>
  </si>
  <si>
    <t>销售价格</t>
  </si>
  <si>
    <t>可变成本中的直接人工成本</t>
  </si>
  <si>
    <t>可变日常费用</t>
  </si>
  <si>
    <t>可变销售费用</t>
  </si>
  <si>
    <t>包装材料</t>
  </si>
  <si>
    <t>水果</t>
  </si>
  <si>
    <t>可变成本总计(美元)</t>
  </si>
  <si>
    <t>毛利</t>
  </si>
  <si>
    <t>减去分担成本</t>
  </si>
  <si>
    <t>其他成本</t>
  </si>
  <si>
    <t>水果成本</t>
  </si>
  <si>
    <t>利润=</t>
  </si>
  <si>
    <t>Microsoft Excel 16.0 敏感性报告</t>
  </si>
  <si>
    <t>工作表: [《运筹学》简单案例求解(1).xlsx]案例2求解</t>
  </si>
  <si>
    <t>报告的建立: 2024/3/26 14:25:04</t>
  </si>
  <si>
    <t>可变单元格</t>
  </si>
  <si>
    <t>终</t>
  </si>
  <si>
    <t>递减</t>
  </si>
  <si>
    <t>目标式</t>
  </si>
  <si>
    <t>允许的</t>
  </si>
  <si>
    <t>单元格</t>
  </si>
  <si>
    <t>名称</t>
  </si>
  <si>
    <t>值</t>
  </si>
  <si>
    <t>成本</t>
  </si>
  <si>
    <t>系数</t>
  </si>
  <si>
    <t>增量</t>
  </si>
  <si>
    <t>减量</t>
  </si>
  <si>
    <t>$H$23</t>
  </si>
  <si>
    <t>整番茄罐头 来自等级A（磅）</t>
  </si>
  <si>
    <t>$I$23</t>
  </si>
  <si>
    <t>整番茄罐头 来自等级B（磅）</t>
  </si>
  <si>
    <t>$H$24</t>
  </si>
  <si>
    <t>番茄汁 来自等级A（磅）</t>
  </si>
  <si>
    <t>$I$24</t>
  </si>
  <si>
    <t>番茄汁 来自等级B（磅）</t>
  </si>
  <si>
    <t>$H$25</t>
  </si>
  <si>
    <t>番茄酱 来自等级A（磅）</t>
  </si>
  <si>
    <t>$I$25</t>
  </si>
  <si>
    <t>番茄酱 来自等级B（磅）</t>
  </si>
  <si>
    <t>$K$18</t>
  </si>
  <si>
    <t>整番茄罐头 产量（件）</t>
  </si>
  <si>
    <t>$K$19</t>
  </si>
  <si>
    <t>番茄汁 产量（件）</t>
  </si>
  <si>
    <t>$K$20</t>
  </si>
  <si>
    <t>番茄酱 产量（件）</t>
  </si>
  <si>
    <t>约束</t>
  </si>
  <si>
    <t>阴影</t>
  </si>
  <si>
    <t>价格</t>
  </si>
  <si>
    <t>限制值</t>
  </si>
  <si>
    <t>$H$26</t>
  </si>
  <si>
    <t>$I$26</t>
  </si>
  <si>
    <t>$J$23</t>
  </si>
  <si>
    <t>整番茄罐头 等级重量</t>
  </si>
  <si>
    <t>$J$24</t>
  </si>
  <si>
    <t>番茄汁 等级重量</t>
  </si>
  <si>
    <t>$J$25</t>
  </si>
  <si>
    <t>番茄酱 等级重量</t>
  </si>
  <si>
    <t>$L$18</t>
  </si>
  <si>
    <t>整番茄罐头 番茄总使用量(磅)</t>
  </si>
  <si>
    <t>$L$19</t>
  </si>
  <si>
    <t>番茄汁 番茄总使用量(磅)</t>
  </si>
  <si>
    <t>$L$20</t>
  </si>
  <si>
    <t>番茄酱 番茄总使用量(磅)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</si>
</sst>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indexed="18"/>
      <name val="等线"/>
      <charset val="134"/>
      <scheme val="minor"/>
    </font>
    <font>
      <b/>
      <sz val="11"/>
      <color indexed="18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1" fillId="7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4" xfId="0" applyFill="1" applyBorder="1" applyAlignment="1"/>
    <xf numFmtId="0" fontId="4" fillId="2" borderId="3" xfId="0" applyFont="1" applyFill="1" applyBorder="1" applyAlignment="1"/>
    <xf numFmtId="0" fontId="5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tabSelected="1" topLeftCell="A36" workbookViewId="0">
      <selection activeCell="K60" sqref="K60"/>
    </sheetView>
  </sheetViews>
  <sheetFormatPr defaultColWidth="9" defaultRowHeight="14.25"/>
  <cols>
    <col min="1" max="15" width="12.625" style="8" customWidth="1"/>
    <col min="16" max="16384" width="9" style="8"/>
  </cols>
  <sheetData>
    <row r="1" ht="13.5" customHeight="1" spans="1:9">
      <c r="A1" s="9" t="s">
        <v>0</v>
      </c>
      <c r="I1" s="10"/>
    </row>
    <row r="2" customHeight="1" spans="1:8">
      <c r="A2" s="10" t="s">
        <v>1</v>
      </c>
      <c r="B2" s="10"/>
      <c r="C2" s="10"/>
      <c r="D2" s="10"/>
      <c r="E2" s="10"/>
      <c r="F2" s="10"/>
      <c r="G2" s="10"/>
      <c r="H2" s="10"/>
    </row>
    <row r="3" customHeight="1" spans="1:10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0" t="s">
        <v>7</v>
      </c>
      <c r="G3" s="10" t="s">
        <v>8</v>
      </c>
      <c r="H3" s="10" t="s">
        <v>9</v>
      </c>
      <c r="J3" s="8">
        <f>MAX($I$10)</f>
        <v>24550</v>
      </c>
    </row>
    <row r="4" customHeight="1" spans="1:10">
      <c r="A4" s="11" t="s">
        <v>10</v>
      </c>
      <c r="B4" s="11">
        <v>4</v>
      </c>
      <c r="C4" s="11">
        <v>800000</v>
      </c>
      <c r="D4" s="11">
        <v>18</v>
      </c>
      <c r="E4" s="11">
        <v>0.12</v>
      </c>
      <c r="F4" s="12">
        <v>134166.666666667</v>
      </c>
      <c r="G4" s="10">
        <f t="shared" ref="G4:G9" si="0">D4*F4</f>
        <v>2415000</v>
      </c>
      <c r="H4" s="10">
        <f>F4*E4</f>
        <v>16100</v>
      </c>
      <c r="J4" s="8">
        <f>COUNT($F$4:$F$9)</f>
        <v>6</v>
      </c>
    </row>
    <row r="5" customHeight="1" spans="1:10">
      <c r="A5" s="11" t="s">
        <v>11</v>
      </c>
      <c r="B5" s="11">
        <v>5.4</v>
      </c>
      <c r="C5" s="11">
        <v>10000</v>
      </c>
      <c r="D5" s="11">
        <v>18</v>
      </c>
      <c r="E5" s="11">
        <v>0.32</v>
      </c>
      <c r="F5" s="12">
        <v>10000</v>
      </c>
      <c r="G5" s="10">
        <f t="shared" si="0"/>
        <v>180000</v>
      </c>
      <c r="H5" s="10">
        <f t="shared" ref="H5:H9" si="1">F5*E5</f>
        <v>3200</v>
      </c>
      <c r="J5" s="8" t="b">
        <f t="array" ref="J5">$F$4:$F$9&lt;=$C$4:$C$9</f>
        <v>1</v>
      </c>
    </row>
    <row r="6" customHeight="1" spans="1:10">
      <c r="A6" s="11" t="s">
        <v>12</v>
      </c>
      <c r="B6" s="11">
        <v>4.6</v>
      </c>
      <c r="C6" s="11">
        <v>5000</v>
      </c>
      <c r="D6" s="11">
        <v>17</v>
      </c>
      <c r="E6" s="11">
        <v>-0.12</v>
      </c>
      <c r="F6" s="12">
        <v>0</v>
      </c>
      <c r="G6" s="10">
        <f t="shared" si="0"/>
        <v>0</v>
      </c>
      <c r="H6" s="10">
        <f t="shared" si="1"/>
        <v>0</v>
      </c>
      <c r="J6" s="8" t="b">
        <f t="array" ref="J6">$F$4:$F$9&gt;=0</f>
        <v>1</v>
      </c>
    </row>
    <row r="7" customHeight="1" spans="1:10">
      <c r="A7" s="11" t="s">
        <v>13</v>
      </c>
      <c r="B7" s="11">
        <v>4.5</v>
      </c>
      <c r="C7" s="11">
        <v>50000</v>
      </c>
      <c r="D7" s="11">
        <v>20</v>
      </c>
      <c r="E7" s="11">
        <v>-0.09</v>
      </c>
      <c r="F7" s="12">
        <v>0</v>
      </c>
      <c r="G7" s="10">
        <f t="shared" si="0"/>
        <v>0</v>
      </c>
      <c r="H7" s="10">
        <f t="shared" si="1"/>
        <v>0</v>
      </c>
      <c r="J7" s="8" t="b">
        <f>$G$11&lt;=$G$13</f>
        <v>1</v>
      </c>
    </row>
    <row r="8" customHeight="1" spans="1:10">
      <c r="A8" s="11" t="s">
        <v>14</v>
      </c>
      <c r="B8" s="11">
        <v>4.9</v>
      </c>
      <c r="C8" s="11">
        <v>15000</v>
      </c>
      <c r="D8" s="11">
        <v>27</v>
      </c>
      <c r="E8" s="11">
        <v>0.35</v>
      </c>
      <c r="F8" s="12">
        <v>15000</v>
      </c>
      <c r="G8" s="10">
        <f t="shared" si="0"/>
        <v>405000</v>
      </c>
      <c r="H8" s="10">
        <f t="shared" si="1"/>
        <v>5250</v>
      </c>
      <c r="J8" s="8">
        <f>{32767,32767,0.000001,0.01,TRUE,FALSE,TRUE,1,1,1,0.0001,FALSE}</f>
        <v>32767</v>
      </c>
    </row>
    <row r="9" customHeight="1" spans="1:10">
      <c r="A9" s="11" t="s">
        <v>15</v>
      </c>
      <c r="B9" s="11">
        <v>3.8</v>
      </c>
      <c r="C9" s="11">
        <v>80000</v>
      </c>
      <c r="D9" s="11">
        <v>25</v>
      </c>
      <c r="E9" s="11">
        <v>0.12</v>
      </c>
      <c r="F9" s="12">
        <v>0</v>
      </c>
      <c r="G9" s="10">
        <f t="shared" si="0"/>
        <v>0</v>
      </c>
      <c r="H9" s="10">
        <f t="shared" si="1"/>
        <v>0</v>
      </c>
      <c r="J9" s="8">
        <f>{0,0,2,100,0,FALSE,TRUE,0.075,0,0,FALSE,30}</f>
        <v>0</v>
      </c>
    </row>
    <row r="10" customHeight="1" spans="1:9">
      <c r="A10" s="10"/>
      <c r="B10" s="10"/>
      <c r="C10" s="10"/>
      <c r="D10" s="10"/>
      <c r="H10" s="13" t="s">
        <v>16</v>
      </c>
      <c r="I10" s="13">
        <f>SUM(H4:H9)</f>
        <v>24550</v>
      </c>
    </row>
    <row r="11" customHeight="1" spans="6:7">
      <c r="F11" s="10" t="s">
        <v>17</v>
      </c>
      <c r="G11" s="10">
        <f>SUM(G4:G9)</f>
        <v>3000000</v>
      </c>
    </row>
    <row r="12" customHeight="1" spans="7:7">
      <c r="G12" s="8" t="s">
        <v>18</v>
      </c>
    </row>
    <row r="13" customHeight="1" spans="6:7">
      <c r="F13" s="8" t="s">
        <v>19</v>
      </c>
      <c r="G13" s="8">
        <v>3000000</v>
      </c>
    </row>
    <row r="14" customHeight="1" spans="9:11">
      <c r="I14" s="11"/>
      <c r="J14" s="11"/>
      <c r="K14" s="11"/>
    </row>
    <row r="15" customHeight="1" spans="1:11">
      <c r="A15" s="9" t="s">
        <v>20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customHeight="1" spans="1:11">
      <c r="A16" s="11" t="s">
        <v>21</v>
      </c>
      <c r="B16" s="11"/>
      <c r="C16" s="11"/>
      <c r="D16" s="11"/>
      <c r="E16" s="11"/>
      <c r="F16" s="11" t="s">
        <v>22</v>
      </c>
      <c r="G16" s="11"/>
      <c r="H16" s="11"/>
      <c r="I16" s="11"/>
      <c r="J16" s="11"/>
      <c r="K16" s="11"/>
    </row>
    <row r="17" customHeight="1" spans="1:14">
      <c r="A17" s="11" t="s">
        <v>23</v>
      </c>
      <c r="B17" s="8" t="s">
        <v>24</v>
      </c>
      <c r="C17" s="11" t="s">
        <v>25</v>
      </c>
      <c r="D17" s="11" t="s">
        <v>26</v>
      </c>
      <c r="E17" s="11"/>
      <c r="F17" s="14" t="s">
        <v>2</v>
      </c>
      <c r="G17" s="14" t="s">
        <v>4</v>
      </c>
      <c r="H17" s="14" t="s">
        <v>5</v>
      </c>
      <c r="I17" s="14" t="s">
        <v>3</v>
      </c>
      <c r="J17" s="8" t="s">
        <v>27</v>
      </c>
      <c r="K17" s="8" t="s">
        <v>28</v>
      </c>
      <c r="L17" s="8" t="s">
        <v>29</v>
      </c>
      <c r="N17" s="8">
        <f>MAX($D$29)</f>
        <v>15893.3333333333</v>
      </c>
    </row>
    <row r="18" customHeight="1" spans="1:14">
      <c r="A18" s="11" t="s">
        <v>30</v>
      </c>
      <c r="B18" s="8">
        <v>9</v>
      </c>
      <c r="C18" s="11">
        <v>600000</v>
      </c>
      <c r="D18" s="11">
        <v>0.06</v>
      </c>
      <c r="E18" s="11"/>
      <c r="F18" s="14" t="s">
        <v>10</v>
      </c>
      <c r="G18" s="14">
        <v>800000</v>
      </c>
      <c r="H18" s="14">
        <v>18</v>
      </c>
      <c r="I18" s="14">
        <v>4</v>
      </c>
      <c r="J18" s="8">
        <v>2.8</v>
      </c>
      <c r="K18" s="8">
        <v>44444.4444444444</v>
      </c>
      <c r="L18" s="8">
        <f>K18*H18</f>
        <v>799999.999999999</v>
      </c>
      <c r="N18" s="8">
        <f>COUNT($H$23:$I$25,$K$18:$K$20)</f>
        <v>9</v>
      </c>
    </row>
    <row r="19" customHeight="1" spans="1:14">
      <c r="A19" s="8" t="s">
        <v>31</v>
      </c>
      <c r="B19" s="8">
        <v>5</v>
      </c>
      <c r="C19" s="8">
        <v>2400000</v>
      </c>
      <c r="D19" s="8">
        <v>0.06</v>
      </c>
      <c r="F19" s="14" t="s">
        <v>13</v>
      </c>
      <c r="G19" s="14">
        <v>50000</v>
      </c>
      <c r="H19" s="14">
        <v>20</v>
      </c>
      <c r="I19" s="14">
        <v>4.5</v>
      </c>
      <c r="J19" s="8">
        <v>3.39</v>
      </c>
      <c r="K19" s="8">
        <v>0</v>
      </c>
      <c r="L19" s="8">
        <f>K19*H19</f>
        <v>0</v>
      </c>
      <c r="N19" s="8" t="b">
        <f t="array" ref="N19">$H$23:$I$25&gt;=0</f>
        <v>1</v>
      </c>
    </row>
    <row r="20" customHeight="1" spans="6:14">
      <c r="F20" s="14" t="s">
        <v>15</v>
      </c>
      <c r="G20" s="14">
        <v>80000</v>
      </c>
      <c r="H20" s="14">
        <v>25</v>
      </c>
      <c r="I20" s="14">
        <v>3.8</v>
      </c>
      <c r="J20" s="8">
        <v>2.18</v>
      </c>
      <c r="K20" s="8">
        <v>88000</v>
      </c>
      <c r="L20" s="8">
        <f>K20*H20</f>
        <v>2200000</v>
      </c>
      <c r="N20" s="8" t="b">
        <f t="array" ref="N20">$H$26:$I$26&lt;=$H$28:$I$28</f>
        <v>1</v>
      </c>
    </row>
    <row r="21" customHeight="1" spans="6:14">
      <c r="F21" s="15" t="s">
        <v>32</v>
      </c>
      <c r="G21" s="15"/>
      <c r="H21" s="15"/>
      <c r="I21" s="15"/>
      <c r="N21" s="8" t="b">
        <f t="array" ref="N21">$J$23:$J$25&gt;=$K$23:$K$25</f>
        <v>1</v>
      </c>
    </row>
    <row r="22" customHeight="1" spans="3:14">
      <c r="C22" s="8" t="s">
        <v>33</v>
      </c>
      <c r="D22" s="8">
        <f>SUMPRODUCT(C18:C19,D18:D19)</f>
        <v>180000</v>
      </c>
      <c r="F22" s="14" t="s">
        <v>2</v>
      </c>
      <c r="G22" s="14" t="s">
        <v>24</v>
      </c>
      <c r="H22" s="15" t="s">
        <v>34</v>
      </c>
      <c r="I22" s="15" t="s">
        <v>35</v>
      </c>
      <c r="J22" s="8" t="s">
        <v>36</v>
      </c>
      <c r="K22" s="8" t="s">
        <v>37</v>
      </c>
      <c r="L22" s="8" t="s">
        <v>38</v>
      </c>
      <c r="N22" s="8" t="b">
        <f t="array" ref="N22">$K$18:$K$20&gt;=0</f>
        <v>1</v>
      </c>
    </row>
    <row r="23" customHeight="1" spans="6:14">
      <c r="F23" s="14" t="s">
        <v>10</v>
      </c>
      <c r="G23" s="14">
        <v>8</v>
      </c>
      <c r="H23" s="15">
        <v>600000</v>
      </c>
      <c r="I23" s="15">
        <v>200000</v>
      </c>
      <c r="J23" s="8">
        <f>H23*9+I23*5</f>
        <v>6400000</v>
      </c>
      <c r="K23" s="8">
        <f>SUM(H23:I23)*G23</f>
        <v>6400000</v>
      </c>
      <c r="L23" s="8">
        <f>H23+I23</f>
        <v>800000</v>
      </c>
      <c r="N23" s="8" t="b">
        <f t="array" ref="N23">$L$18:$L$20=$L$23:$L$25</f>
        <v>0</v>
      </c>
    </row>
    <row r="24" customHeight="1" spans="6:14">
      <c r="F24" s="14" t="s">
        <v>13</v>
      </c>
      <c r="G24" s="15">
        <v>6</v>
      </c>
      <c r="H24" s="15">
        <v>0</v>
      </c>
      <c r="I24" s="15">
        <v>0</v>
      </c>
      <c r="J24" s="8">
        <f t="shared" ref="J24:J25" si="2">H24*9+I24*5</f>
        <v>0</v>
      </c>
      <c r="K24" s="8">
        <f t="shared" ref="K24:K25" si="3">SUM(H24:I24)*G24</f>
        <v>0</v>
      </c>
      <c r="L24" s="8">
        <f>H24+I24</f>
        <v>0</v>
      </c>
      <c r="N24" s="8">
        <f>{32767,32767,0.000001,0.01,TRUE,FALSE,TRUE,1,1,1,0.0001,FALSE}</f>
        <v>32767</v>
      </c>
    </row>
    <row r="25" customHeight="1" spans="6:14">
      <c r="F25" s="14" t="s">
        <v>15</v>
      </c>
      <c r="G25" s="15">
        <v>5</v>
      </c>
      <c r="H25" s="15">
        <v>0</v>
      </c>
      <c r="I25" s="15">
        <v>2200000</v>
      </c>
      <c r="J25" s="8">
        <f t="shared" si="2"/>
        <v>11000000</v>
      </c>
      <c r="K25" s="8">
        <f t="shared" si="3"/>
        <v>11000000</v>
      </c>
      <c r="L25" s="8">
        <f>H25+I25</f>
        <v>2200000</v>
      </c>
      <c r="N25" s="8">
        <f>{0,0,2,100,0,FALSE,TRUE,0.075,0,0,FALSE,30}</f>
        <v>0</v>
      </c>
    </row>
    <row r="26" customHeight="1" spans="6:9">
      <c r="F26" s="16"/>
      <c r="H26" s="8">
        <f>SUM(H23:H25)</f>
        <v>600000</v>
      </c>
      <c r="I26" s="8">
        <f>SUM(I23:I25)</f>
        <v>2400000</v>
      </c>
    </row>
    <row r="27" customHeight="1" spans="3:9">
      <c r="C27" s="8" t="s">
        <v>39</v>
      </c>
      <c r="D27" s="8">
        <f>SUMPRODUCT(K18:K20,I18:I20)</f>
        <v>512177.777777778</v>
      </c>
      <c r="H27" s="8" t="s">
        <v>18</v>
      </c>
      <c r="I27" s="8" t="s">
        <v>18</v>
      </c>
    </row>
    <row r="28" customHeight="1" spans="3:9">
      <c r="C28" s="8" t="s">
        <v>40</v>
      </c>
      <c r="D28" s="8">
        <f>D22+SUMPRODUCT(K18:K20,J18:J20)</f>
        <v>496284.444444444</v>
      </c>
      <c r="H28" s="8">
        <v>600000</v>
      </c>
      <c r="I28" s="8">
        <v>2400000</v>
      </c>
    </row>
    <row r="29" customHeight="1" spans="3:4">
      <c r="C29" s="9" t="s">
        <v>41</v>
      </c>
      <c r="D29" s="9">
        <f>D27-D28</f>
        <v>15893.3333333333</v>
      </c>
    </row>
    <row r="30" customHeight="1"/>
    <row r="31" customHeight="1"/>
    <row r="32" customHeight="1"/>
    <row r="33" customHeight="1"/>
    <row r="34" customHeight="1"/>
    <row r="35" customHeight="1" spans="1:1">
      <c r="A35" s="9" t="s">
        <v>42</v>
      </c>
    </row>
    <row r="36" customHeight="1" spans="1:11">
      <c r="A36" s="11" t="s">
        <v>21</v>
      </c>
      <c r="B36" s="11"/>
      <c r="C36" s="11"/>
      <c r="D36" s="11"/>
      <c r="E36" s="11"/>
      <c r="F36" s="11" t="s">
        <v>22</v>
      </c>
      <c r="G36" s="11"/>
      <c r="H36" s="11"/>
      <c r="I36" s="11"/>
      <c r="J36" s="11"/>
      <c r="K36" s="11"/>
    </row>
    <row r="37" customHeight="1" spans="1:15">
      <c r="A37" s="11" t="s">
        <v>23</v>
      </c>
      <c r="B37" s="8" t="s">
        <v>24</v>
      </c>
      <c r="C37" s="11" t="s">
        <v>25</v>
      </c>
      <c r="D37" s="11" t="s">
        <v>43</v>
      </c>
      <c r="E37" s="11"/>
      <c r="F37" s="14" t="s">
        <v>2</v>
      </c>
      <c r="G37" s="14" t="s">
        <v>4</v>
      </c>
      <c r="H37" s="14" t="s">
        <v>5</v>
      </c>
      <c r="I37" s="14" t="s">
        <v>3</v>
      </c>
      <c r="J37" s="8" t="s">
        <v>27</v>
      </c>
      <c r="K37" s="8" t="s">
        <v>28</v>
      </c>
      <c r="L37" s="8" t="s">
        <v>29</v>
      </c>
      <c r="O37" s="8">
        <f>MAX($G$52)</f>
        <v>14476.4444444445</v>
      </c>
    </row>
    <row r="38" customHeight="1" spans="1:15">
      <c r="A38" s="11" t="s">
        <v>30</v>
      </c>
      <c r="B38" s="8">
        <v>9</v>
      </c>
      <c r="C38" s="11">
        <f>600000</f>
        <v>600000</v>
      </c>
      <c r="D38" s="11">
        <v>0.06</v>
      </c>
      <c r="E38" s="11"/>
      <c r="F38" s="14" t="s">
        <v>10</v>
      </c>
      <c r="G38" s="14">
        <v>800000</v>
      </c>
      <c r="H38" s="14">
        <v>18</v>
      </c>
      <c r="I38" s="14">
        <v>4</v>
      </c>
      <c r="J38" s="8">
        <v>2.8</v>
      </c>
      <c r="K38" s="8">
        <v>50370.3703703704</v>
      </c>
      <c r="L38" s="8">
        <f>K38*H38</f>
        <v>906666.666666667</v>
      </c>
      <c r="O38" s="8">
        <f>COUNT($H$43:$J$45,$K$38:$K$40)</f>
        <v>12</v>
      </c>
    </row>
    <row r="39" customHeight="1" spans="1:15">
      <c r="A39" s="8" t="s">
        <v>31</v>
      </c>
      <c r="B39" s="8">
        <v>5</v>
      </c>
      <c r="C39" s="8">
        <v>2400000</v>
      </c>
      <c r="D39" s="8">
        <v>0.06</v>
      </c>
      <c r="F39" s="14" t="s">
        <v>13</v>
      </c>
      <c r="G39" s="14">
        <v>50000</v>
      </c>
      <c r="H39" s="14">
        <v>20</v>
      </c>
      <c r="I39" s="14">
        <v>4.5</v>
      </c>
      <c r="J39" s="8">
        <v>3.39</v>
      </c>
      <c r="K39" s="8">
        <v>0</v>
      </c>
      <c r="L39" s="8">
        <f t="shared" ref="L39:L40" si="4">K39*H39</f>
        <v>0</v>
      </c>
      <c r="O39" s="8" t="b">
        <f t="array" ref="O39">$H$43:$J$45&gt;=0</f>
        <v>1</v>
      </c>
    </row>
    <row r="40" customHeight="1" spans="1:15">
      <c r="A40" s="8" t="s">
        <v>44</v>
      </c>
      <c r="B40" s="8">
        <v>9</v>
      </c>
      <c r="C40" s="8">
        <v>80000</v>
      </c>
      <c r="D40" s="8">
        <v>0.085</v>
      </c>
      <c r="F40" s="14" t="s">
        <v>15</v>
      </c>
      <c r="G40" s="14">
        <v>80000</v>
      </c>
      <c r="H40" s="14">
        <v>25</v>
      </c>
      <c r="I40" s="14">
        <v>3.8</v>
      </c>
      <c r="J40" s="8">
        <v>2.18</v>
      </c>
      <c r="K40" s="8">
        <v>86933.3333333333</v>
      </c>
      <c r="L40" s="8">
        <f t="shared" si="4"/>
        <v>2173333.33333333</v>
      </c>
      <c r="O40" s="8" t="b">
        <f t="array" ref="O40">$H$46:$J$46&lt;=$H$48:$J$48</f>
        <v>1</v>
      </c>
    </row>
    <row r="41" customHeight="1" spans="6:15">
      <c r="F41" s="8" t="s">
        <v>32</v>
      </c>
      <c r="O41" s="8" t="b">
        <f t="array" ref="O41">$K$38:$K$40&gt;=0</f>
        <v>1</v>
      </c>
    </row>
    <row r="42" customHeight="1" spans="3:15">
      <c r="C42" s="8" t="s">
        <v>45</v>
      </c>
      <c r="D42" s="8">
        <f>SUMPRODUCT(D38:D40,C38:C40)</f>
        <v>186800</v>
      </c>
      <c r="F42" s="14" t="s">
        <v>2</v>
      </c>
      <c r="G42" s="14" t="s">
        <v>24</v>
      </c>
      <c r="H42" s="8" t="s">
        <v>34</v>
      </c>
      <c r="I42" s="8" t="s">
        <v>35</v>
      </c>
      <c r="J42" s="8" t="s">
        <v>46</v>
      </c>
      <c r="K42" s="8" t="s">
        <v>36</v>
      </c>
      <c r="L42" s="8" t="s">
        <v>47</v>
      </c>
      <c r="M42" s="8" t="s">
        <v>29</v>
      </c>
      <c r="O42" s="8" t="b">
        <f t="array" ref="O42">$K$43:$K$45&gt;=$L$43:$L$45</f>
        <v>1</v>
      </c>
    </row>
    <row r="43" customHeight="1" spans="6:15">
      <c r="F43" s="14" t="s">
        <v>10</v>
      </c>
      <c r="G43" s="14">
        <v>8</v>
      </c>
      <c r="H43" s="8">
        <v>600000</v>
      </c>
      <c r="I43" s="8">
        <v>226666.666666667</v>
      </c>
      <c r="J43" s="8">
        <v>80000</v>
      </c>
      <c r="K43" s="8">
        <f>H43*9+I43*5+J43*9</f>
        <v>7253333.33333333</v>
      </c>
      <c r="L43" s="8">
        <f>SUM(H43:J43)*G43</f>
        <v>7253333.33333333</v>
      </c>
      <c r="M43" s="8">
        <f>SUM(H43:J43)</f>
        <v>906666.666666667</v>
      </c>
      <c r="O43" s="8" t="b">
        <f t="array" ref="O43">$L$38:$L$40=$M$43:$M$45</f>
        <v>1</v>
      </c>
    </row>
    <row r="44" customHeight="1" spans="6:15">
      <c r="F44" s="14" t="s">
        <v>13</v>
      </c>
      <c r="G44" s="15">
        <v>6</v>
      </c>
      <c r="H44" s="8">
        <v>0</v>
      </c>
      <c r="I44" s="8">
        <v>0</v>
      </c>
      <c r="J44" s="8">
        <v>0</v>
      </c>
      <c r="K44" s="8">
        <f t="shared" ref="K44:K45" si="5">H44*9+I44*5+J44*9</f>
        <v>0</v>
      </c>
      <c r="L44" s="8">
        <f t="shared" ref="L44:L45" si="6">SUM(H44:J44)*G44</f>
        <v>0</v>
      </c>
      <c r="M44" s="8">
        <f t="shared" ref="M44:M45" si="7">SUM(H44:J44)</f>
        <v>0</v>
      </c>
      <c r="O44" s="8">
        <f>{32767,32767,0.000001,0.01,TRUE,FALSE,TRUE,1,1,1,0.0001,FALSE}</f>
        <v>32767</v>
      </c>
    </row>
    <row r="45" customHeight="1" spans="6:15">
      <c r="F45" s="14" t="s">
        <v>15</v>
      </c>
      <c r="G45" s="15">
        <v>5</v>
      </c>
      <c r="H45" s="8">
        <v>0</v>
      </c>
      <c r="I45" s="8">
        <v>2173333.33333333</v>
      </c>
      <c r="J45" s="8">
        <v>0</v>
      </c>
      <c r="K45" s="8">
        <f t="shared" si="5"/>
        <v>10866666.6666667</v>
      </c>
      <c r="L45" s="8">
        <f t="shared" si="6"/>
        <v>10866666.6666667</v>
      </c>
      <c r="M45" s="8">
        <f t="shared" si="7"/>
        <v>2173333.33333333</v>
      </c>
      <c r="O45" s="8">
        <f>{0,0,2,100,0,FALSE,TRUE,0.075,0,0,FALSE,30}</f>
        <v>0</v>
      </c>
    </row>
    <row r="46" customHeight="1" spans="6:10">
      <c r="F46" s="16"/>
      <c r="G46" s="8" t="s">
        <v>48</v>
      </c>
      <c r="H46" s="8">
        <f>SUM(H43:H45)</f>
        <v>600000</v>
      </c>
      <c r="I46" s="8">
        <f t="shared" ref="I46:J46" si="8">SUM(I43:I45)</f>
        <v>2400000</v>
      </c>
      <c r="J46" s="8">
        <f t="shared" si="8"/>
        <v>80000</v>
      </c>
    </row>
    <row r="47" customHeight="1" spans="8:10">
      <c r="H47" s="8" t="s">
        <v>18</v>
      </c>
      <c r="I47" s="8" t="s">
        <v>18</v>
      </c>
      <c r="J47" s="8" t="s">
        <v>18</v>
      </c>
    </row>
    <row r="48" customHeight="1" spans="7:10">
      <c r="G48" s="8" t="s">
        <v>49</v>
      </c>
      <c r="H48" s="11">
        <f>600000</f>
        <v>600000</v>
      </c>
      <c r="I48" s="8">
        <v>2400000</v>
      </c>
      <c r="J48" s="8">
        <v>80000</v>
      </c>
    </row>
    <row r="49" customHeight="1" spans="6:7">
      <c r="F49" s="17"/>
      <c r="G49" s="17"/>
    </row>
    <row r="50" customHeight="1" spans="6:7">
      <c r="F50" s="8" t="s">
        <v>40</v>
      </c>
      <c r="G50" s="8">
        <f>D42+SUMPRODUCT(J38:J40,K38:K40)</f>
        <v>517351.703703704</v>
      </c>
    </row>
    <row r="51" customHeight="1" spans="6:7">
      <c r="F51" s="8" t="s">
        <v>50</v>
      </c>
      <c r="G51" s="8">
        <f>SUMPRODUCT(K38:K40,I38:I40)</f>
        <v>531828.148148148</v>
      </c>
    </row>
    <row r="52" customHeight="1" spans="6:7">
      <c r="F52" s="9" t="s">
        <v>51</v>
      </c>
      <c r="G52" s="9">
        <f>G51-G50</f>
        <v>14476.4444444445</v>
      </c>
    </row>
    <row r="56" ht="15"/>
    <row r="57" ht="15" spans="1:7">
      <c r="A57" s="18" t="s">
        <v>2</v>
      </c>
      <c r="B57" s="19" t="s">
        <v>10</v>
      </c>
      <c r="C57" s="19" t="s">
        <v>11</v>
      </c>
      <c r="D57" s="19" t="s">
        <v>12</v>
      </c>
      <c r="E57" s="19" t="s">
        <v>13</v>
      </c>
      <c r="F57" s="19" t="s">
        <v>14</v>
      </c>
      <c r="G57" s="19" t="s">
        <v>15</v>
      </c>
    </row>
    <row r="58" ht="15" spans="1:7">
      <c r="A58" s="20" t="s">
        <v>52</v>
      </c>
      <c r="B58" s="21">
        <v>4</v>
      </c>
      <c r="C58" s="21">
        <v>5.4</v>
      </c>
      <c r="D58" s="21">
        <v>4.6</v>
      </c>
      <c r="E58" s="21">
        <v>4.5</v>
      </c>
      <c r="F58" s="21">
        <v>4.9</v>
      </c>
      <c r="G58" s="21">
        <v>3.8</v>
      </c>
    </row>
    <row r="59" ht="15" spans="1:7">
      <c r="A59" s="20" t="s">
        <v>53</v>
      </c>
      <c r="B59" s="21">
        <v>1.18</v>
      </c>
      <c r="C59" s="21">
        <v>1.4</v>
      </c>
      <c r="D59" s="21">
        <v>1.27</v>
      </c>
      <c r="E59" s="21">
        <v>1.32</v>
      </c>
      <c r="F59" s="21">
        <v>0.7</v>
      </c>
      <c r="G59" s="21">
        <v>0.54</v>
      </c>
    </row>
    <row r="60" ht="15" spans="1:7">
      <c r="A60" s="20" t="s">
        <v>54</v>
      </c>
      <c r="B60" s="21">
        <v>0.24</v>
      </c>
      <c r="C60" s="21">
        <v>0.32</v>
      </c>
      <c r="D60" s="21">
        <v>0.23</v>
      </c>
      <c r="E60" s="21">
        <v>0.36</v>
      </c>
      <c r="F60" s="21">
        <v>0.22</v>
      </c>
      <c r="G60" s="21">
        <v>0.26</v>
      </c>
    </row>
    <row r="61" ht="15" spans="1:7">
      <c r="A61" s="20" t="s">
        <v>55</v>
      </c>
      <c r="B61" s="21">
        <v>0.4</v>
      </c>
      <c r="C61" s="21">
        <v>0.3</v>
      </c>
      <c r="D61" s="21">
        <v>0.4</v>
      </c>
      <c r="E61" s="21">
        <v>0.85</v>
      </c>
      <c r="F61" s="21">
        <v>0.28</v>
      </c>
      <c r="G61" s="21">
        <v>0.38</v>
      </c>
    </row>
    <row r="62" ht="15" spans="1:7">
      <c r="A62" s="20" t="s">
        <v>56</v>
      </c>
      <c r="B62" s="21">
        <v>0.7</v>
      </c>
      <c r="C62" s="21">
        <v>0.56</v>
      </c>
      <c r="D62" s="21">
        <v>0.6</v>
      </c>
      <c r="E62" s="21">
        <v>0.65</v>
      </c>
      <c r="F62" s="21">
        <v>0.7</v>
      </c>
      <c r="G62" s="21">
        <v>0.77</v>
      </c>
    </row>
    <row r="63" ht="15" spans="1:7">
      <c r="A63" s="20" t="s">
        <v>57</v>
      </c>
      <c r="B63" s="22">
        <v>1.08</v>
      </c>
      <c r="C63" s="22">
        <v>1.8</v>
      </c>
      <c r="D63" s="22">
        <v>1.7</v>
      </c>
      <c r="E63" s="22">
        <v>1.2</v>
      </c>
      <c r="F63" s="22">
        <v>0.9</v>
      </c>
      <c r="G63" s="22">
        <v>1.5</v>
      </c>
    </row>
    <row r="64" ht="15" spans="1:7">
      <c r="A64" s="23" t="s">
        <v>58</v>
      </c>
      <c r="B64" s="24">
        <v>3.6</v>
      </c>
      <c r="C64" s="24">
        <v>4.38</v>
      </c>
      <c r="D64" s="24">
        <v>4.2</v>
      </c>
      <c r="E64" s="24">
        <v>4.38</v>
      </c>
      <c r="F64" s="24">
        <v>2.8</v>
      </c>
      <c r="G64" s="24">
        <v>3.45</v>
      </c>
    </row>
    <row r="65" ht="15" spans="1:7">
      <c r="A65" s="20" t="s">
        <v>59</v>
      </c>
      <c r="B65" s="21">
        <v>0.4</v>
      </c>
      <c r="C65" s="21">
        <v>1.02</v>
      </c>
      <c r="D65" s="21">
        <v>0.4</v>
      </c>
      <c r="E65" s="21">
        <v>0.12</v>
      </c>
      <c r="F65" s="21">
        <v>1.1</v>
      </c>
      <c r="G65" s="21">
        <v>0.35</v>
      </c>
    </row>
    <row r="66" ht="15" spans="1:7">
      <c r="A66" s="20" t="s">
        <v>60</v>
      </c>
      <c r="B66" s="22">
        <v>0.28</v>
      </c>
      <c r="C66" s="22">
        <v>0.7</v>
      </c>
      <c r="D66" s="22">
        <v>0.52</v>
      </c>
      <c r="E66" s="22">
        <v>0.21</v>
      </c>
      <c r="F66" s="22">
        <v>0.75</v>
      </c>
      <c r="G66" s="22">
        <v>0.23</v>
      </c>
    </row>
    <row r="68" spans="1:7">
      <c r="A68" s="8" t="s">
        <v>61</v>
      </c>
      <c r="B68" s="8">
        <f>B59+B60+B61+B62+B66</f>
        <v>2.8</v>
      </c>
      <c r="C68" s="8">
        <f t="shared" ref="C68:G68" si="9">C59+C60+C61+C62+C66</f>
        <v>3.28</v>
      </c>
      <c r="D68" s="8">
        <f t="shared" si="9"/>
        <v>3.02</v>
      </c>
      <c r="E68" s="8">
        <f t="shared" si="9"/>
        <v>3.39</v>
      </c>
      <c r="F68" s="8">
        <f t="shared" si="9"/>
        <v>2.65</v>
      </c>
      <c r="G68" s="8">
        <f t="shared" si="9"/>
        <v>2.18</v>
      </c>
    </row>
    <row r="69" spans="1:7">
      <c r="A69" s="8" t="s">
        <v>62</v>
      </c>
      <c r="B69" s="8">
        <f>B63</f>
        <v>1.08</v>
      </c>
      <c r="C69" s="8">
        <f t="shared" ref="C69:G69" si="10">C63</f>
        <v>1.8</v>
      </c>
      <c r="D69" s="8">
        <f t="shared" si="10"/>
        <v>1.7</v>
      </c>
      <c r="E69" s="8">
        <f t="shared" si="10"/>
        <v>1.2</v>
      </c>
      <c r="F69" s="8">
        <f t="shared" si="10"/>
        <v>0.9</v>
      </c>
      <c r="G69" s="8">
        <f t="shared" si="10"/>
        <v>1.5</v>
      </c>
    </row>
    <row r="70" spans="1:7">
      <c r="A70" s="8" t="s">
        <v>63</v>
      </c>
      <c r="B70" s="8">
        <f>B58-B68-B69</f>
        <v>0.12</v>
      </c>
      <c r="C70" s="8">
        <f t="shared" ref="C70:G70" si="11">C58-C68-C69</f>
        <v>0.32</v>
      </c>
      <c r="D70" s="8">
        <f t="shared" si="11"/>
        <v>-0.12</v>
      </c>
      <c r="E70" s="8">
        <f t="shared" si="11"/>
        <v>-0.0900000000000001</v>
      </c>
      <c r="F70" s="8">
        <f t="shared" si="11"/>
        <v>1.35</v>
      </c>
      <c r="G70" s="8">
        <f t="shared" si="11"/>
        <v>0.12</v>
      </c>
    </row>
  </sheetData>
  <pageMargins left="0.7" right="0.7" top="0.75" bottom="0.75" header="0.3" footer="0.3"/>
  <pageSetup paperSize="9" orientation="portrait"/>
  <headerFooter/>
  <ignoredErrors>
    <ignoredError sqref="M43:M4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showGridLines="0" topLeftCell="A4" workbookViewId="0">
      <selection activeCell="K19" sqref="K19"/>
    </sheetView>
  </sheetViews>
  <sheetFormatPr defaultColWidth="9" defaultRowHeight="14.25" outlineLevelCol="7"/>
  <cols>
    <col min="1" max="1" width="2.125" customWidth="1"/>
    <col min="2" max="2" width="7.125" customWidth="1"/>
    <col min="3" max="3" width="27.5" customWidth="1"/>
    <col min="4" max="4" width="12.75" customWidth="1"/>
    <col min="5" max="5" width="13.875" customWidth="1"/>
    <col min="6" max="6" width="8.5" customWidth="1"/>
    <col min="7" max="8" width="12.75" customWidth="1"/>
  </cols>
  <sheetData>
    <row r="1" spans="1:1">
      <c r="A1" s="1" t="s">
        <v>64</v>
      </c>
    </row>
    <row r="2" spans="1:1">
      <c r="A2" s="1" t="s">
        <v>65</v>
      </c>
    </row>
    <row r="3" spans="1:1">
      <c r="A3" s="1" t="s">
        <v>66</v>
      </c>
    </row>
    <row r="6" ht="15" spans="1:1">
      <c r="A6" t="s">
        <v>67</v>
      </c>
    </row>
    <row r="7" spans="2:8">
      <c r="B7" s="2"/>
      <c r="C7" s="2"/>
      <c r="D7" s="2" t="s">
        <v>68</v>
      </c>
      <c r="E7" s="2" t="s">
        <v>69</v>
      </c>
      <c r="F7" s="2" t="s">
        <v>70</v>
      </c>
      <c r="G7" s="2" t="s">
        <v>71</v>
      </c>
      <c r="H7" s="2" t="s">
        <v>71</v>
      </c>
    </row>
    <row r="8" ht="15" spans="2:8">
      <c r="B8" s="3" t="s">
        <v>72</v>
      </c>
      <c r="C8" s="3" t="s">
        <v>73</v>
      </c>
      <c r="D8" s="4" t="s">
        <v>74</v>
      </c>
      <c r="E8" s="4" t="s">
        <v>75</v>
      </c>
      <c r="F8" s="4" t="s">
        <v>76</v>
      </c>
      <c r="G8" s="4" t="s">
        <v>77</v>
      </c>
      <c r="H8" s="4" t="s">
        <v>78</v>
      </c>
    </row>
    <row r="9" spans="2:8">
      <c r="B9" s="5" t="s">
        <v>79</v>
      </c>
      <c r="C9" s="5" t="s">
        <v>80</v>
      </c>
      <c r="D9" s="5">
        <v>600000</v>
      </c>
      <c r="E9" s="5">
        <v>0</v>
      </c>
      <c r="F9" s="5">
        <v>0</v>
      </c>
      <c r="G9" s="5">
        <v>1e+30</v>
      </c>
      <c r="H9" s="5">
        <v>0.00248888888999956</v>
      </c>
    </row>
    <row r="10" spans="2:8">
      <c r="B10" s="5" t="s">
        <v>81</v>
      </c>
      <c r="C10" s="5" t="s">
        <v>82</v>
      </c>
      <c r="D10" s="5">
        <v>200000</v>
      </c>
      <c r="E10" s="5">
        <v>0</v>
      </c>
      <c r="F10" s="5">
        <v>0</v>
      </c>
      <c r="G10" s="5">
        <v>1e+30</v>
      </c>
      <c r="H10" s="5">
        <v>0.00186666666749968</v>
      </c>
    </row>
    <row r="11" spans="2:8">
      <c r="B11" s="5" t="s">
        <v>83</v>
      </c>
      <c r="C11" s="5" t="s">
        <v>84</v>
      </c>
      <c r="D11" s="5">
        <v>0</v>
      </c>
      <c r="E11" s="5">
        <v>0</v>
      </c>
      <c r="F11" s="5">
        <v>0</v>
      </c>
      <c r="G11" s="5">
        <v>0.0117888888905118</v>
      </c>
      <c r="H11" s="5">
        <v>1e+30</v>
      </c>
    </row>
    <row r="12" spans="2:8">
      <c r="B12" s="5" t="s">
        <v>85</v>
      </c>
      <c r="C12" s="5" t="s">
        <v>86</v>
      </c>
      <c r="D12" s="5">
        <v>0</v>
      </c>
      <c r="E12" s="5">
        <v>-0.0132296296306828</v>
      </c>
      <c r="F12" s="5">
        <v>0</v>
      </c>
      <c r="G12" s="5">
        <v>0.0132296296306828</v>
      </c>
      <c r="H12" s="5">
        <v>1e+30</v>
      </c>
    </row>
    <row r="13" spans="2:8">
      <c r="B13" s="5" t="s">
        <v>87</v>
      </c>
      <c r="C13" s="5" t="s">
        <v>88</v>
      </c>
      <c r="D13" s="5">
        <v>0</v>
      </c>
      <c r="E13" s="5">
        <v>0</v>
      </c>
      <c r="F13" s="5">
        <v>0</v>
      </c>
      <c r="G13" s="5">
        <v>0.00248888888999956</v>
      </c>
      <c r="H13" s="5">
        <v>1e+30</v>
      </c>
    </row>
    <row r="14" spans="2:8">
      <c r="B14" s="5" t="s">
        <v>89</v>
      </c>
      <c r="C14" s="5" t="s">
        <v>90</v>
      </c>
      <c r="D14" s="5">
        <v>2200000</v>
      </c>
      <c r="E14" s="5">
        <v>0</v>
      </c>
      <c r="F14" s="5">
        <v>0</v>
      </c>
      <c r="G14" s="5">
        <v>0.00186666666749968</v>
      </c>
      <c r="H14" s="5">
        <v>0.0148833333345182</v>
      </c>
    </row>
    <row r="15" spans="2:8">
      <c r="B15" s="5" t="s">
        <v>91</v>
      </c>
      <c r="C15" s="5" t="s">
        <v>92</v>
      </c>
      <c r="D15" s="5">
        <v>44444.4444444444</v>
      </c>
      <c r="E15" s="5">
        <v>0</v>
      </c>
      <c r="F15" s="5">
        <v>1.20000000001164</v>
      </c>
      <c r="G15" s="5">
        <v>1e+30</v>
      </c>
      <c r="H15" s="5">
        <v>0.0336000000149941</v>
      </c>
    </row>
    <row r="16" spans="2:8">
      <c r="B16" s="5" t="s">
        <v>93</v>
      </c>
      <c r="C16" s="5" t="s">
        <v>94</v>
      </c>
      <c r="D16" s="5">
        <v>0</v>
      </c>
      <c r="E16" s="5">
        <v>0</v>
      </c>
      <c r="F16" s="5">
        <v>1.10999999998603</v>
      </c>
      <c r="G16" s="5">
        <v>0.198444444460242</v>
      </c>
      <c r="H16" s="5">
        <v>1e+30</v>
      </c>
    </row>
    <row r="17" ht="15" spans="2:8">
      <c r="B17" s="6" t="s">
        <v>95</v>
      </c>
      <c r="C17" s="6" t="s">
        <v>96</v>
      </c>
      <c r="D17" s="6">
        <v>88000</v>
      </c>
      <c r="E17" s="6">
        <v>0</v>
      </c>
      <c r="F17" s="6">
        <v>1.61999999999534</v>
      </c>
      <c r="G17" s="6">
        <v>0.0466666666874918</v>
      </c>
      <c r="H17" s="6">
        <v>0.372083333362955</v>
      </c>
    </row>
    <row r="19" ht="15" spans="1:1">
      <c r="A19" t="s">
        <v>97</v>
      </c>
    </row>
    <row r="20" spans="2:8">
      <c r="B20" s="2"/>
      <c r="C20" s="2"/>
      <c r="D20" s="2" t="s">
        <v>68</v>
      </c>
      <c r="E20" s="2" t="s">
        <v>98</v>
      </c>
      <c r="F20" s="2" t="s">
        <v>97</v>
      </c>
      <c r="G20" s="2" t="s">
        <v>71</v>
      </c>
      <c r="H20" s="2" t="s">
        <v>71</v>
      </c>
    </row>
    <row r="21" ht="15" spans="2:8">
      <c r="B21" s="3" t="s">
        <v>72</v>
      </c>
      <c r="C21" s="3" t="s">
        <v>73</v>
      </c>
      <c r="D21" s="4" t="s">
        <v>74</v>
      </c>
      <c r="E21" s="4" t="s">
        <v>99</v>
      </c>
      <c r="F21" s="4" t="s">
        <v>100</v>
      </c>
      <c r="G21" s="4" t="s">
        <v>77</v>
      </c>
      <c r="H21" s="4" t="s">
        <v>78</v>
      </c>
    </row>
    <row r="22" spans="2:8">
      <c r="B22" s="5" t="s">
        <v>101</v>
      </c>
      <c r="C22" s="5" t="s">
        <v>34</v>
      </c>
      <c r="D22" s="5">
        <v>600000</v>
      </c>
      <c r="E22" s="7">
        <v>0.0672888888898133</v>
      </c>
      <c r="F22" s="5">
        <v>600000</v>
      </c>
      <c r="G22" s="5">
        <v>6600000</v>
      </c>
      <c r="H22" s="5">
        <v>600000</v>
      </c>
    </row>
    <row r="23" spans="2:8">
      <c r="B23" s="5" t="s">
        <v>102</v>
      </c>
      <c r="C23" s="5" t="s">
        <v>35</v>
      </c>
      <c r="D23" s="5">
        <v>2400000</v>
      </c>
      <c r="E23" s="5">
        <v>0.0647999999998137</v>
      </c>
      <c r="F23" s="5">
        <v>2400000</v>
      </c>
      <c r="G23" s="5">
        <v>1e+30</v>
      </c>
      <c r="H23" s="5">
        <v>2200000</v>
      </c>
    </row>
    <row r="24" spans="2:8">
      <c r="B24" s="5" t="s">
        <v>103</v>
      </c>
      <c r="C24" s="5" t="s">
        <v>104</v>
      </c>
      <c r="D24" s="5">
        <v>6400000</v>
      </c>
      <c r="E24" s="5">
        <v>-0.000622222222499892</v>
      </c>
      <c r="F24" s="5">
        <v>0</v>
      </c>
      <c r="G24" s="5">
        <v>600000</v>
      </c>
      <c r="H24" s="5">
        <v>6600000</v>
      </c>
    </row>
    <row r="25" spans="2:8">
      <c r="B25" s="5" t="s">
        <v>105</v>
      </c>
      <c r="C25" s="5" t="s">
        <v>106</v>
      </c>
      <c r="D25" s="5">
        <v>0</v>
      </c>
      <c r="E25" s="5">
        <v>-0.0039296296301706</v>
      </c>
      <c r="F25" s="5">
        <v>0</v>
      </c>
      <c r="G25" s="5">
        <v>1800000</v>
      </c>
      <c r="H25" s="5">
        <v>0</v>
      </c>
    </row>
    <row r="26" spans="2:8">
      <c r="B26" s="5" t="s">
        <v>107</v>
      </c>
      <c r="C26" s="5" t="s">
        <v>108</v>
      </c>
      <c r="D26" s="5">
        <v>11000000</v>
      </c>
      <c r="E26" s="5">
        <v>-0.00062222222249989</v>
      </c>
      <c r="F26" s="5">
        <v>0</v>
      </c>
      <c r="G26" s="5">
        <v>2400000</v>
      </c>
      <c r="H26" s="5">
        <v>0</v>
      </c>
    </row>
    <row r="27" spans="2:8">
      <c r="B27" s="5" t="s">
        <v>109</v>
      </c>
      <c r="C27" s="5" t="s">
        <v>110</v>
      </c>
      <c r="D27" s="5">
        <v>800000</v>
      </c>
      <c r="E27" s="5">
        <v>0.0666666666673134</v>
      </c>
      <c r="F27" s="5">
        <v>0</v>
      </c>
      <c r="G27" s="5">
        <v>1e+30</v>
      </c>
      <c r="H27" s="5">
        <v>800000</v>
      </c>
    </row>
    <row r="28" spans="2:8">
      <c r="B28" s="5" t="s">
        <v>111</v>
      </c>
      <c r="C28" s="5" t="s">
        <v>112</v>
      </c>
      <c r="D28" s="5">
        <v>0</v>
      </c>
      <c r="E28" s="5">
        <v>0.0554999999993015</v>
      </c>
      <c r="F28" s="5">
        <v>0</v>
      </c>
      <c r="G28" s="5">
        <v>1e+30</v>
      </c>
      <c r="H28" s="5">
        <v>0</v>
      </c>
    </row>
    <row r="29" ht="15" spans="2:8">
      <c r="B29" s="6" t="s">
        <v>113</v>
      </c>
      <c r="C29" s="6" t="s">
        <v>114</v>
      </c>
      <c r="D29" s="6">
        <v>2200000</v>
      </c>
      <c r="E29" s="6">
        <v>0.0647999999998137</v>
      </c>
      <c r="F29" s="6">
        <v>0</v>
      </c>
      <c r="G29" s="6">
        <v>1e+30</v>
      </c>
      <c r="H29" s="6">
        <v>2200000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案例3求解</vt:lpstr>
      <vt:lpstr>案例3 第二问 敏感性报告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dreamer</cp:lastModifiedBy>
  <dcterms:created xsi:type="dcterms:W3CDTF">2015-06-05T18:19:00Z</dcterms:created>
  <dcterms:modified xsi:type="dcterms:W3CDTF">2024-07-18T01:03:08Z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C2AFD62BC1AB436DB543535FD7E61D67_12</vt:lpwstr>
  </property>
  <property fmtid="{D5CDD505-2E9C-101B-9397-08002B2CF9AE}" pid="3" name="KSOProductBuildVer">
    <vt:lpwstr>2052-12.1.0.16417</vt:lpwstr>
  </property>
</Properties>
</file>