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UONG VIET CUONG\Google Drive\1. WOKRS\1. THUY DIEN A LƯƠI\2- NHA MAY A LUOI\000000.NĂM 2018\04. PHAN MEM THU THAP DU LIEU DU TOAN\"/>
    </mc:Choice>
  </mc:AlternateContent>
  <bookViews>
    <workbookView xWindow="0" yWindow="0" windowWidth="19200" windowHeight="8210"/>
  </bookViews>
  <sheets>
    <sheet name="1TH" sheetId="7" r:id="rId1"/>
    <sheet name="cũ" sheetId="10" state="hidden" r:id="rId2"/>
    <sheet name="2CT" sheetId="2" r:id="rId3"/>
    <sheet name="3NC" sheetId="4" r:id="rId4"/>
    <sheet name="4GVL" sheetId="12" r:id="rId5"/>
    <sheet name="5CM" sheetId="6" r:id="rId6"/>
    <sheet name="6VC TB" sheetId="11" r:id="rId7"/>
    <sheet name="KL" sheetId="1" r:id="rId8"/>
    <sheet name="Trang_tính3" sheetId="3" state="hidden" r:id="rId9"/>
    <sheet name="GIA TT-Hue" sheetId="8" r:id="rId10"/>
    <sheet name="Trang_tính1" sheetId="13" r:id="rId11"/>
    <sheet name="Trang_tính4" sheetId="15" r:id="rId12"/>
  </sheets>
  <externalReferences>
    <externalReference r:id="rId13"/>
    <externalReference r:id="rId14"/>
    <externalReference r:id="rId15"/>
  </externalReferences>
  <definedNames>
    <definedName name="_xlnm.Print_Titles" localSheetId="0">'1TH'!$4:$4</definedName>
    <definedName name="_xlnm.Print_Titles" localSheetId="2">'2CT'!$3:$3</definedName>
    <definedName name="_xlnm.Print_Area" localSheetId="0">'1TH'!$A$1:$L$75</definedName>
    <definedName name="_xlnm.Print_Area" localSheetId="2">'2CT'!$A$1:$K$317</definedName>
    <definedName name="_xlnm.Print_Area" localSheetId="4">'4GVL'!$A$1:$G$174</definedName>
    <definedName name="_xlnm.Print_Area" localSheetId="5">'5CM'!$A$1:$F$61</definedName>
    <definedName name="_xlnm.Print_Area" localSheetId="6">'6VC TB'!$A$1:$H$27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1" i="7" l="1"/>
  <c r="F292" i="2"/>
  <c r="F283" i="2"/>
  <c r="F241" i="2"/>
  <c r="F221" i="2"/>
  <c r="F208" i="2"/>
  <c r="F186" i="2"/>
  <c r="F166" i="2"/>
  <c r="F140" i="2"/>
  <c r="F74" i="2"/>
  <c r="F20" i="2"/>
  <c r="F40" i="2"/>
  <c r="F59" i="2"/>
  <c r="E8" i="15" l="1"/>
  <c r="E12" i="15"/>
  <c r="E5" i="15"/>
  <c r="F12" i="15"/>
  <c r="G12" i="15" s="1"/>
  <c r="G11" i="15" s="1"/>
  <c r="G10" i="15" s="1"/>
  <c r="F306" i="2" s="1"/>
  <c r="G306" i="2" s="1"/>
  <c r="F8" i="15"/>
  <c r="F5" i="15"/>
  <c r="F302" i="2"/>
  <c r="F300" i="2"/>
  <c r="G300" i="2" s="1"/>
  <c r="G8" i="15" l="1"/>
  <c r="G7" i="15" s="1"/>
  <c r="G6" i="15" s="1"/>
  <c r="F305" i="2" s="1"/>
  <c r="G305" i="2" s="1"/>
  <c r="G5" i="15"/>
  <c r="G4" i="15" l="1"/>
  <c r="G3" i="15"/>
  <c r="F304" i="2" s="1"/>
  <c r="G304" i="2" s="1"/>
  <c r="G303" i="2" s="1"/>
  <c r="G308" i="2" s="1"/>
  <c r="F309" i="2" l="1"/>
  <c r="G302" i="2"/>
  <c r="F117" i="2"/>
  <c r="F104" i="2"/>
  <c r="F102" i="2"/>
  <c r="F94" i="2"/>
  <c r="G309" i="2" l="1"/>
  <c r="G310" i="2" s="1"/>
  <c r="G311" i="2" l="1"/>
  <c r="G313" i="2" l="1"/>
  <c r="G312" i="2"/>
  <c r="G314" i="2" l="1"/>
  <c r="G298" i="2" s="1"/>
  <c r="J69" i="7" s="1"/>
  <c r="K69" i="7" s="1"/>
  <c r="K68" i="7" s="1"/>
  <c r="I44" i="7" l="1"/>
  <c r="I45" i="7" s="1"/>
  <c r="O44" i="7"/>
  <c r="F44" i="7"/>
  <c r="H44" i="7" s="1"/>
  <c r="I39" i="7"/>
  <c r="I40" i="7" s="1"/>
  <c r="H39" i="7"/>
  <c r="I36" i="7"/>
  <c r="I35" i="7"/>
  <c r="H33" i="7"/>
  <c r="I13" i="7"/>
  <c r="I7" i="7"/>
  <c r="I10" i="7" s="1"/>
  <c r="I9" i="7" l="1"/>
  <c r="G17" i="13"/>
  <c r="G18" i="13" s="1"/>
  <c r="G16" i="13" s="1"/>
  <c r="F17" i="13"/>
  <c r="F15" i="13"/>
  <c r="G15" i="13" s="1"/>
  <c r="G14" i="13" s="1"/>
  <c r="G12" i="13"/>
  <c r="G11" i="13"/>
  <c r="G10" i="13"/>
  <c r="G9" i="13"/>
  <c r="G8" i="13"/>
  <c r="G7" i="13" l="1"/>
  <c r="G19" i="13"/>
  <c r="G13" i="13"/>
  <c r="G20" i="13" l="1"/>
  <c r="G21" i="13" s="1"/>
  <c r="G22" i="13" s="1"/>
  <c r="G25" i="13" l="1"/>
  <c r="G23" i="13"/>
  <c r="G24" i="13" s="1"/>
  <c r="G26" i="13" l="1"/>
  <c r="K35" i="4"/>
  <c r="L35" i="4"/>
  <c r="F71" i="2" l="1"/>
  <c r="G71" i="2" s="1"/>
  <c r="G67" i="2"/>
  <c r="G66" i="2" s="1"/>
  <c r="E195" i="2"/>
  <c r="G195" i="2" s="1"/>
  <c r="G198" i="2" s="1"/>
  <c r="G196" i="2"/>
  <c r="G197" i="2"/>
  <c r="F150" i="2"/>
  <c r="G150" i="2" s="1"/>
  <c r="G151" i="2"/>
  <c r="G152" i="2"/>
  <c r="E148" i="2"/>
  <c r="G148" i="2" s="1"/>
  <c r="G149" i="2"/>
  <c r="G155" i="2"/>
  <c r="G156" i="2"/>
  <c r="G157" i="2"/>
  <c r="G158" i="2"/>
  <c r="G159" i="2"/>
  <c r="F164" i="2"/>
  <c r="G164" i="2" s="1"/>
  <c r="G162" i="2"/>
  <c r="G163" i="2"/>
  <c r="G51" i="2"/>
  <c r="G52" i="2"/>
  <c r="G53" i="2"/>
  <c r="K49" i="2"/>
  <c r="E48" i="2"/>
  <c r="F48" i="2"/>
  <c r="E102" i="2"/>
  <c r="G102" i="2"/>
  <c r="G103" i="2"/>
  <c r="G104" i="2"/>
  <c r="G107" i="2"/>
  <c r="G108" i="2"/>
  <c r="G109" i="2"/>
  <c r="G110" i="2"/>
  <c r="F112" i="2"/>
  <c r="G112" i="2"/>
  <c r="G114" i="2"/>
  <c r="G134" i="2"/>
  <c r="G133" i="2"/>
  <c r="F138" i="2"/>
  <c r="G138" i="2" s="1"/>
  <c r="G136" i="2"/>
  <c r="G137" i="2"/>
  <c r="F128" i="2"/>
  <c r="G128" i="2" s="1"/>
  <c r="G129" i="2"/>
  <c r="G87" i="2"/>
  <c r="G88" i="2"/>
  <c r="G83" i="2"/>
  <c r="G84" i="2" s="1"/>
  <c r="G13" i="2"/>
  <c r="G14" i="2"/>
  <c r="F18" i="2"/>
  <c r="G18" i="2" s="1"/>
  <c r="G16" i="2"/>
  <c r="G17" i="2"/>
  <c r="F8" i="2"/>
  <c r="G8" i="2" s="1"/>
  <c r="G9" i="2"/>
  <c r="G33" i="2"/>
  <c r="G34" i="2"/>
  <c r="F38" i="2"/>
  <c r="G38" i="2" s="1"/>
  <c r="G36" i="2"/>
  <c r="G37" i="2"/>
  <c r="F28" i="2"/>
  <c r="G28" i="2" s="1"/>
  <c r="G29" i="2"/>
  <c r="G217" i="2"/>
  <c r="G216" i="2" s="1"/>
  <c r="G204" i="2"/>
  <c r="G206" i="2" s="1"/>
  <c r="G205" i="2"/>
  <c r="G234" i="2"/>
  <c r="G235" i="2"/>
  <c r="G229" i="2"/>
  <c r="G230" i="2"/>
  <c r="G238" i="2"/>
  <c r="G239" i="2" s="1"/>
  <c r="G236" i="2" s="1"/>
  <c r="F184" i="2"/>
  <c r="G184" i="2" s="1"/>
  <c r="G182" i="2"/>
  <c r="G183" i="2"/>
  <c r="G179" i="2"/>
  <c r="G180" i="2"/>
  <c r="F174" i="2"/>
  <c r="G174" i="2" s="1"/>
  <c r="G175" i="2"/>
  <c r="G176" i="2"/>
  <c r="E262" i="2"/>
  <c r="E264" i="2"/>
  <c r="E266" i="2"/>
  <c r="E268" i="2"/>
  <c r="E270" i="2"/>
  <c r="E272" i="2"/>
  <c r="E274" i="2"/>
  <c r="E276" i="2"/>
  <c r="E278" i="2"/>
  <c r="N250" i="2"/>
  <c r="M250" i="2" s="1"/>
  <c r="F250" i="2" s="1"/>
  <c r="G250" i="2" s="1"/>
  <c r="N251" i="2"/>
  <c r="M251" i="2" s="1"/>
  <c r="F251" i="2" s="1"/>
  <c r="G251" i="2" s="1"/>
  <c r="N252" i="2"/>
  <c r="M252" i="2" s="1"/>
  <c r="F252" i="2" s="1"/>
  <c r="G252" i="2" s="1"/>
  <c r="N253" i="2"/>
  <c r="M253" i="2" s="1"/>
  <c r="F253" i="2" s="1"/>
  <c r="G253" i="2" s="1"/>
  <c r="N256" i="2"/>
  <c r="M256" i="2" s="1"/>
  <c r="F256" i="2" s="1"/>
  <c r="G256" i="2" s="1"/>
  <c r="N258" i="2"/>
  <c r="M258" i="2" s="1"/>
  <c r="F258" i="2" s="1"/>
  <c r="G258" i="2" s="1"/>
  <c r="M249" i="2"/>
  <c r="F249" i="2"/>
  <c r="G249" i="2" s="1"/>
  <c r="M254" i="2"/>
  <c r="F254" i="2" s="1"/>
  <c r="G254" i="2" s="1"/>
  <c r="M255" i="2"/>
  <c r="F255" i="2" s="1"/>
  <c r="G255" i="2" s="1"/>
  <c r="J255" i="2"/>
  <c r="N257" i="2" s="1"/>
  <c r="M257" i="2" s="1"/>
  <c r="F257" i="2" s="1"/>
  <c r="G257" i="2" s="1"/>
  <c r="J259" i="2"/>
  <c r="K259" i="2" s="1"/>
  <c r="G124" i="2"/>
  <c r="G90" i="2"/>
  <c r="G91" i="2"/>
  <c r="N15" i="12"/>
  <c r="M15" i="12"/>
  <c r="D15" i="12" s="1"/>
  <c r="N16" i="12"/>
  <c r="M16" i="12"/>
  <c r="D16" i="12" s="1"/>
  <c r="N17" i="12"/>
  <c r="M17" i="12"/>
  <c r="D17" i="12"/>
  <c r="N18" i="12"/>
  <c r="M18" i="12" s="1"/>
  <c r="D18" i="12"/>
  <c r="D20" i="12"/>
  <c r="N21" i="12"/>
  <c r="M21" i="12"/>
  <c r="D21" i="12"/>
  <c r="N23" i="12"/>
  <c r="M23" i="12"/>
  <c r="D23" i="12"/>
  <c r="N24" i="12"/>
  <c r="M24" i="12"/>
  <c r="N22" i="12"/>
  <c r="M22" i="12"/>
  <c r="D22" i="12" s="1"/>
  <c r="M20" i="12"/>
  <c r="M19" i="12"/>
  <c r="D19" i="12" s="1"/>
  <c r="M14" i="12"/>
  <c r="D14" i="12" s="1"/>
  <c r="D13" i="12"/>
  <c r="F174" i="12" s="1"/>
  <c r="I67" i="7"/>
  <c r="J67" i="7"/>
  <c r="Q67" i="7"/>
  <c r="C214" i="2"/>
  <c r="C22" i="7"/>
  <c r="P32" i="4"/>
  <c r="P35" i="4"/>
  <c r="P33" i="4"/>
  <c r="P34" i="4"/>
  <c r="F34" i="4" s="1"/>
  <c r="G34" i="4" s="1"/>
  <c r="G23" i="4"/>
  <c r="H27" i="4"/>
  <c r="I27" i="4"/>
  <c r="J27" i="4"/>
  <c r="L7" i="4"/>
  <c r="L27" i="4"/>
  <c r="L29" i="4"/>
  <c r="L30" i="4" s="1"/>
  <c r="L32" i="4" s="1"/>
  <c r="L33" i="4" s="1"/>
  <c r="C100" i="2"/>
  <c r="J46" i="2"/>
  <c r="K46" i="2" s="1"/>
  <c r="C26" i="2"/>
  <c r="J201" i="2"/>
  <c r="K62" i="7"/>
  <c r="O27" i="7"/>
  <c r="J66" i="7"/>
  <c r="K66" i="7" s="1"/>
  <c r="G35" i="4"/>
  <c r="I35" i="4" s="1"/>
  <c r="J35" i="4"/>
  <c r="F33" i="4"/>
  <c r="G33" i="4" s="1"/>
  <c r="K33" i="4" s="1"/>
  <c r="K218" i="2"/>
  <c r="G42" i="4"/>
  <c r="I42" i="4" s="1"/>
  <c r="H42" i="4"/>
  <c r="J42" i="4"/>
  <c r="K42" i="4"/>
  <c r="C123" i="2"/>
  <c r="Q73" i="7"/>
  <c r="N74" i="7"/>
  <c r="H19" i="11"/>
  <c r="G21" i="11"/>
  <c r="H21" i="11" s="1"/>
  <c r="G23" i="11"/>
  <c r="H23" i="11"/>
  <c r="H24" i="11"/>
  <c r="G25" i="11"/>
  <c r="H25" i="11"/>
  <c r="K32" i="11"/>
  <c r="P26" i="11"/>
  <c r="K21" i="11"/>
  <c r="K20" i="11"/>
  <c r="F16" i="11"/>
  <c r="F14" i="11"/>
  <c r="J51" i="7"/>
  <c r="K51" i="7" s="1"/>
  <c r="I91" i="10"/>
  <c r="F88" i="10"/>
  <c r="F89" i="10" s="1"/>
  <c r="F90" i="10"/>
  <c r="E88" i="10"/>
  <c r="E89" i="10"/>
  <c r="I89" i="10" s="1"/>
  <c r="E90" i="10"/>
  <c r="I88" i="10"/>
  <c r="E87" i="10"/>
  <c r="F87" i="10"/>
  <c r="I86" i="10"/>
  <c r="I84" i="10"/>
  <c r="I83" i="10"/>
  <c r="E82" i="10"/>
  <c r="I82" i="10"/>
  <c r="H80" i="10"/>
  <c r="I80" i="10"/>
  <c r="I79" i="10"/>
  <c r="K62" i="10"/>
  <c r="K61" i="10"/>
  <c r="K60" i="10"/>
  <c r="K59" i="10"/>
  <c r="K58" i="10"/>
  <c r="I57" i="10"/>
  <c r="K57" i="10"/>
  <c r="K56" i="10"/>
  <c r="K55" i="10"/>
  <c r="K54" i="10"/>
  <c r="K52" i="10"/>
  <c r="J51" i="10"/>
  <c r="K51" i="10"/>
  <c r="K50" i="10"/>
  <c r="K49" i="10"/>
  <c r="K48" i="10"/>
  <c r="I46" i="10"/>
  <c r="K46" i="10" s="1"/>
  <c r="K45" i="10"/>
  <c r="K44" i="10"/>
  <c r="K43" i="10"/>
  <c r="J42" i="10"/>
  <c r="N42" i="10"/>
  <c r="K42" i="10"/>
  <c r="J41" i="10"/>
  <c r="N41" i="10" s="1"/>
  <c r="K41" i="10"/>
  <c r="N40" i="10"/>
  <c r="J40" i="10"/>
  <c r="K40" i="10" s="1"/>
  <c r="J37" i="10"/>
  <c r="J39" i="10"/>
  <c r="K39" i="10" s="1"/>
  <c r="N38" i="10"/>
  <c r="J38" i="10"/>
  <c r="K38" i="10" s="1"/>
  <c r="J36" i="10"/>
  <c r="K36" i="10" s="1"/>
  <c r="N35" i="10"/>
  <c r="J35" i="10"/>
  <c r="K35" i="10"/>
  <c r="N34" i="10"/>
  <c r="J34" i="10"/>
  <c r="K34" i="10" s="1"/>
  <c r="N33" i="10"/>
  <c r="J33" i="10"/>
  <c r="K33" i="10"/>
  <c r="N32" i="10"/>
  <c r="J32" i="10"/>
  <c r="K32" i="10" s="1"/>
  <c r="J31" i="10"/>
  <c r="K31" i="10" s="1"/>
  <c r="K28" i="10"/>
  <c r="K27" i="10"/>
  <c r="K26" i="10"/>
  <c r="H26" i="10"/>
  <c r="M25" i="10"/>
  <c r="H25" i="10"/>
  <c r="H24" i="10"/>
  <c r="I24" i="10"/>
  <c r="K24" i="10" s="1"/>
  <c r="M23" i="10"/>
  <c r="H23" i="10"/>
  <c r="K21" i="10"/>
  <c r="F18" i="10"/>
  <c r="H18" i="10"/>
  <c r="M17" i="10"/>
  <c r="N17" i="10"/>
  <c r="F17" i="10"/>
  <c r="H17" i="10"/>
  <c r="K15" i="10"/>
  <c r="I13" i="10"/>
  <c r="H12" i="10"/>
  <c r="C8" i="10"/>
  <c r="H6" i="10"/>
  <c r="G13" i="4"/>
  <c r="K13" i="4"/>
  <c r="L9" i="4"/>
  <c r="L11" i="4"/>
  <c r="L13" i="4" s="1"/>
  <c r="J258" i="2"/>
  <c r="K258" i="2" s="1"/>
  <c r="J257" i="2"/>
  <c r="K257" i="2" s="1"/>
  <c r="J256" i="2"/>
  <c r="K256" i="2" s="1"/>
  <c r="K255" i="2"/>
  <c r="J254" i="2"/>
  <c r="K254" i="2" s="1"/>
  <c r="J253" i="2"/>
  <c r="K253" i="2" s="1"/>
  <c r="J252" i="2"/>
  <c r="K252" i="2" s="1"/>
  <c r="J251" i="2"/>
  <c r="K251" i="2"/>
  <c r="J250" i="2"/>
  <c r="K250" i="2" s="1"/>
  <c r="J249" i="2"/>
  <c r="K249" i="2" s="1"/>
  <c r="C247" i="2"/>
  <c r="K65" i="7"/>
  <c r="D60" i="1"/>
  <c r="D53" i="1"/>
  <c r="I33" i="1"/>
  <c r="J33" i="1"/>
  <c r="I27" i="1"/>
  <c r="J27" i="1" s="1"/>
  <c r="C9" i="7"/>
  <c r="H23" i="7"/>
  <c r="K17" i="7"/>
  <c r="M19" i="7"/>
  <c r="M22" i="7"/>
  <c r="K30" i="7"/>
  <c r="K60" i="7"/>
  <c r="J59" i="7"/>
  <c r="K59" i="7" s="1"/>
  <c r="K58" i="7"/>
  <c r="K57" i="7"/>
  <c r="K56" i="7"/>
  <c r="I61" i="7"/>
  <c r="K61" i="7" s="1"/>
  <c r="K54" i="7"/>
  <c r="K53" i="7"/>
  <c r="K52" i="7"/>
  <c r="P38" i="4"/>
  <c r="P37" i="4" s="1"/>
  <c r="P36" i="4" s="1"/>
  <c r="F36" i="4" s="1"/>
  <c r="F37" i="4"/>
  <c r="G37" i="4" s="1"/>
  <c r="J37" i="4" s="1"/>
  <c r="E14" i="6"/>
  <c r="C5" i="2"/>
  <c r="C80" i="2"/>
  <c r="I14" i="7"/>
  <c r="K68" i="2"/>
  <c r="E56" i="2"/>
  <c r="H22" i="7"/>
  <c r="H21" i="7"/>
  <c r="H19" i="7"/>
  <c r="F27" i="7"/>
  <c r="H27" i="7" s="1"/>
  <c r="H13" i="7"/>
  <c r="H7" i="7"/>
  <c r="E50" i="6"/>
  <c r="J48" i="6"/>
  <c r="E48" i="6"/>
  <c r="J47" i="6"/>
  <c r="E47" i="6"/>
  <c r="J46" i="6"/>
  <c r="E46" i="6"/>
  <c r="E45" i="6"/>
  <c r="E44" i="6"/>
  <c r="E43" i="6"/>
  <c r="J42" i="6"/>
  <c r="E42" i="6"/>
  <c r="J41" i="6"/>
  <c r="E41" i="6"/>
  <c r="J40" i="6"/>
  <c r="E40" i="6"/>
  <c r="J39" i="6"/>
  <c r="E39" i="6"/>
  <c r="J38" i="6"/>
  <c r="E38" i="6"/>
  <c r="J37" i="6"/>
  <c r="E37" i="6"/>
  <c r="J36" i="6"/>
  <c r="E36" i="6"/>
  <c r="J35" i="6"/>
  <c r="G35" i="6"/>
  <c r="E35" i="6"/>
  <c r="J34" i="6"/>
  <c r="G34" i="6"/>
  <c r="E34" i="6"/>
  <c r="J33" i="6"/>
  <c r="E33" i="6"/>
  <c r="J32" i="6"/>
  <c r="E32" i="6"/>
  <c r="J31" i="6"/>
  <c r="E31" i="6"/>
  <c r="E30" i="6"/>
  <c r="J29" i="6"/>
  <c r="E29" i="6"/>
  <c r="J28" i="6"/>
  <c r="E28" i="6"/>
  <c r="J27" i="6"/>
  <c r="E27" i="6"/>
  <c r="J26" i="6"/>
  <c r="E26" i="6"/>
  <c r="J25" i="6"/>
  <c r="E25" i="6"/>
  <c r="J24" i="6"/>
  <c r="E24" i="6"/>
  <c r="J23" i="6"/>
  <c r="E23" i="6"/>
  <c r="J22" i="6"/>
  <c r="E22" i="6"/>
  <c r="J21" i="6"/>
  <c r="E21" i="6"/>
  <c r="J20" i="6"/>
  <c r="E20" i="6"/>
  <c r="J19" i="6"/>
  <c r="E19" i="6"/>
  <c r="J18" i="6"/>
  <c r="E18" i="6"/>
  <c r="J17" i="6"/>
  <c r="E17" i="6"/>
  <c r="J16" i="6"/>
  <c r="E16" i="6"/>
  <c r="J15" i="6"/>
  <c r="E15" i="6"/>
  <c r="J14" i="6"/>
  <c r="J13" i="6"/>
  <c r="E13" i="6"/>
  <c r="J12" i="6"/>
  <c r="J11" i="6"/>
  <c r="E11" i="6"/>
  <c r="J10" i="6"/>
  <c r="E10" i="6"/>
  <c r="J9" i="6"/>
  <c r="E9" i="6"/>
  <c r="A6" i="6"/>
  <c r="A7" i="6" s="1"/>
  <c r="A8" i="6" s="1"/>
  <c r="A16" i="6"/>
  <c r="A17" i="6" s="1"/>
  <c r="A18" i="6" s="1"/>
  <c r="A19" i="6"/>
  <c r="A20" i="6" s="1"/>
  <c r="A21" i="6" s="1"/>
  <c r="A22" i="6" s="1"/>
  <c r="A23" i="6" s="1"/>
  <c r="A24" i="6" s="1"/>
  <c r="A25" i="6" s="1"/>
  <c r="A26" i="6" s="1"/>
  <c r="A27" i="6" s="1"/>
  <c r="A28" i="6" s="1"/>
  <c r="A29" i="6" s="1"/>
  <c r="A31" i="6" s="1"/>
  <c r="A32" i="6" s="1"/>
  <c r="A33" i="6" s="1"/>
  <c r="A34" i="6" s="1"/>
  <c r="A35" i="6" s="1"/>
  <c r="A36" i="6" s="1"/>
  <c r="A37" i="6" s="1"/>
  <c r="A38" i="6" s="1"/>
  <c r="A39" i="6" s="1"/>
  <c r="A40" i="6" s="1"/>
  <c r="A41" i="6" s="1"/>
  <c r="A42" i="6" s="1"/>
  <c r="J8" i="6"/>
  <c r="E8" i="6"/>
  <c r="J7" i="6"/>
  <c r="E7" i="6"/>
  <c r="J6" i="6"/>
  <c r="E6" i="6"/>
  <c r="J5" i="6"/>
  <c r="E5" i="6"/>
  <c r="G16" i="4"/>
  <c r="K16" i="4" s="1"/>
  <c r="L10" i="4"/>
  <c r="L12" i="4" s="1"/>
  <c r="L14" i="4" s="1"/>
  <c r="L16" i="4" s="1"/>
  <c r="L18" i="4" s="1"/>
  <c r="P42" i="4"/>
  <c r="P40" i="4"/>
  <c r="B30" i="4"/>
  <c r="B31" i="4" s="1"/>
  <c r="B32" i="4" s="1"/>
  <c r="B33" i="4" s="1"/>
  <c r="P29" i="4"/>
  <c r="P30" i="4" s="1"/>
  <c r="P31" i="4" s="1"/>
  <c r="F31" i="4" s="1"/>
  <c r="G31" i="4"/>
  <c r="K31" i="4" s="1"/>
  <c r="G29" i="4"/>
  <c r="K27" i="4"/>
  <c r="K49" i="4" s="1"/>
  <c r="K72" i="4" s="1"/>
  <c r="M72" i="4" s="1"/>
  <c r="N72" i="4" s="1"/>
  <c r="J49" i="4"/>
  <c r="I49" i="4"/>
  <c r="H49" i="4"/>
  <c r="P21" i="4"/>
  <c r="G21" i="4"/>
  <c r="J21" i="4" s="1"/>
  <c r="G20" i="4"/>
  <c r="K20" i="4" s="1"/>
  <c r="H20" i="4"/>
  <c r="P19" i="4"/>
  <c r="P20" i="4" s="1"/>
  <c r="G19" i="4"/>
  <c r="J19" i="4" s="1"/>
  <c r="G18" i="4"/>
  <c r="K18" i="4" s="1"/>
  <c r="H18" i="4"/>
  <c r="P17" i="4"/>
  <c r="P18" i="4" s="1"/>
  <c r="G17" i="4"/>
  <c r="J17" i="4" s="1"/>
  <c r="P15" i="4"/>
  <c r="P12" i="4"/>
  <c r="P13" i="4"/>
  <c r="P14" i="4" s="1"/>
  <c r="F14" i="4" s="1"/>
  <c r="G14" i="4" s="1"/>
  <c r="G15" i="4"/>
  <c r="J15" i="4" s="1"/>
  <c r="G12" i="4"/>
  <c r="H12" i="4" s="1"/>
  <c r="I12" i="4"/>
  <c r="P9" i="4"/>
  <c r="P10" i="4" s="1"/>
  <c r="P11" i="4" s="1"/>
  <c r="F11" i="4" s="1"/>
  <c r="G11" i="4" s="1"/>
  <c r="G10" i="4"/>
  <c r="J10" i="4"/>
  <c r="B10" i="4"/>
  <c r="B11" i="4"/>
  <c r="B12" i="4" s="1"/>
  <c r="B13" i="4" s="1"/>
  <c r="B14" i="4" s="1"/>
  <c r="B15" i="4" s="1"/>
  <c r="B16" i="4" s="1"/>
  <c r="B17" i="4" s="1"/>
  <c r="B18" i="4" s="1"/>
  <c r="B19" i="4" s="1"/>
  <c r="B20" i="4" s="1"/>
  <c r="B21" i="4" s="1"/>
  <c r="G9" i="4"/>
  <c r="J9" i="4"/>
  <c r="I9" i="4"/>
  <c r="I31" i="4"/>
  <c r="J31" i="4"/>
  <c r="B34" i="4"/>
  <c r="B35" i="4"/>
  <c r="B37" i="4"/>
  <c r="B38" i="4" s="1"/>
  <c r="B39" i="4" s="1"/>
  <c r="B40" i="4" s="1"/>
  <c r="B41" i="4" s="1"/>
  <c r="B42" i="4" s="1"/>
  <c r="B36" i="4"/>
  <c r="L49" i="4"/>
  <c r="L52" i="4"/>
  <c r="L53" i="4" s="1"/>
  <c r="L54" i="4" s="1"/>
  <c r="L55" i="4" s="1"/>
  <c r="L57" i="4" s="1"/>
  <c r="L58" i="4" s="1"/>
  <c r="L59" i="4" s="1"/>
  <c r="L60" i="4" s="1"/>
  <c r="L62" i="4" s="1"/>
  <c r="L63" i="4" s="1"/>
  <c r="L64" i="4" s="1"/>
  <c r="L65" i="4" s="1"/>
  <c r="L67" i="4" s="1"/>
  <c r="L68" i="4" s="1"/>
  <c r="L69" i="4" s="1"/>
  <c r="L70" i="4" s="1"/>
  <c r="L72" i="4" s="1"/>
  <c r="L73" i="4" s="1"/>
  <c r="L74" i="4" s="1"/>
  <c r="L75" i="4" s="1"/>
  <c r="L77" i="4" s="1"/>
  <c r="L78" i="4" s="1"/>
  <c r="L79" i="4" s="1"/>
  <c r="L80" i="4" s="1"/>
  <c r="I29" i="4"/>
  <c r="J29" i="4"/>
  <c r="K15" i="4"/>
  <c r="K9" i="4"/>
  <c r="H10" i="4"/>
  <c r="K12" i="4"/>
  <c r="H17" i="4"/>
  <c r="J18" i="4"/>
  <c r="H19" i="4"/>
  <c r="J20" i="4"/>
  <c r="H21" i="4"/>
  <c r="G38" i="4"/>
  <c r="G32" i="4"/>
  <c r="H32" i="4" s="1"/>
  <c r="G45" i="4"/>
  <c r="F30" i="4"/>
  <c r="G30" i="4" s="1"/>
  <c r="G40" i="4"/>
  <c r="K40" i="4" s="1"/>
  <c r="H9" i="4"/>
  <c r="M9" i="4" s="1"/>
  <c r="N9" i="4" s="1"/>
  <c r="I10" i="4"/>
  <c r="I15" i="4"/>
  <c r="P16" i="4"/>
  <c r="I17" i="4"/>
  <c r="I21" i="4"/>
  <c r="G36" i="4"/>
  <c r="K10" i="4"/>
  <c r="K21" i="4"/>
  <c r="P41" i="4"/>
  <c r="F41" i="4" s="1"/>
  <c r="G41" i="4" s="1"/>
  <c r="P39" i="4"/>
  <c r="F39" i="4"/>
  <c r="G39" i="4" s="1"/>
  <c r="H40" i="4"/>
  <c r="M10" i="4"/>
  <c r="N10" i="4" s="1"/>
  <c r="K32" i="4"/>
  <c r="I32" i="4"/>
  <c r="G76" i="4"/>
  <c r="H76" i="4" s="1"/>
  <c r="G74" i="4"/>
  <c r="G72" i="4"/>
  <c r="G65" i="4"/>
  <c r="G63" i="4"/>
  <c r="I63" i="4" s="1"/>
  <c r="G56" i="4"/>
  <c r="G54" i="4"/>
  <c r="G52" i="4"/>
  <c r="G80" i="4"/>
  <c r="G78" i="4"/>
  <c r="G71" i="4"/>
  <c r="G69" i="4"/>
  <c r="G67" i="4"/>
  <c r="J67" i="4" s="1"/>
  <c r="G60" i="4"/>
  <c r="G58" i="4"/>
  <c r="G79" i="4"/>
  <c r="G68" i="4"/>
  <c r="G59" i="4"/>
  <c r="G75" i="4"/>
  <c r="G73" i="4"/>
  <c r="G66" i="4"/>
  <c r="I66" i="4" s="1"/>
  <c r="G64" i="4"/>
  <c r="G62" i="4"/>
  <c r="G55" i="4"/>
  <c r="G53" i="4"/>
  <c r="H53" i="4" s="1"/>
  <c r="G77" i="4"/>
  <c r="G70" i="4"/>
  <c r="G61" i="4"/>
  <c r="G57" i="4"/>
  <c r="I57" i="4" s="1"/>
  <c r="H36" i="4"/>
  <c r="K36" i="4"/>
  <c r="J36" i="4"/>
  <c r="I36" i="4"/>
  <c r="Q9" i="4"/>
  <c r="L31" i="4"/>
  <c r="K38" i="4"/>
  <c r="J38" i="4"/>
  <c r="I38" i="4"/>
  <c r="H38" i="4"/>
  <c r="J57" i="4"/>
  <c r="H57" i="4"/>
  <c r="J68" i="4"/>
  <c r="H68" i="4"/>
  <c r="J63" i="4"/>
  <c r="H63" i="4"/>
  <c r="J61" i="4"/>
  <c r="I61" i="4"/>
  <c r="H61" i="4"/>
  <c r="J55" i="4"/>
  <c r="I55" i="4"/>
  <c r="H55" i="4"/>
  <c r="J73" i="4"/>
  <c r="I73" i="4"/>
  <c r="H73" i="4"/>
  <c r="J79" i="4"/>
  <c r="I79" i="4"/>
  <c r="H79" i="4"/>
  <c r="J69" i="4"/>
  <c r="I69" i="4"/>
  <c r="H69" i="4"/>
  <c r="J52" i="4"/>
  <c r="I52" i="4"/>
  <c r="H52" i="4"/>
  <c r="J65" i="4"/>
  <c r="I65" i="4"/>
  <c r="H65" i="4"/>
  <c r="I53" i="4"/>
  <c r="I67" i="4"/>
  <c r="I76" i="4"/>
  <c r="J70" i="4"/>
  <c r="H70" i="4"/>
  <c r="J62" i="4"/>
  <c r="H62" i="4"/>
  <c r="J75" i="4"/>
  <c r="H75" i="4"/>
  <c r="J58" i="4"/>
  <c r="H58" i="4"/>
  <c r="J71" i="4"/>
  <c r="I71" i="4"/>
  <c r="H71" i="4"/>
  <c r="J54" i="4"/>
  <c r="I54" i="4"/>
  <c r="H54" i="4"/>
  <c r="K54" i="4"/>
  <c r="M54" i="4" s="1"/>
  <c r="N54" i="4" s="1"/>
  <c r="J72" i="4"/>
  <c r="I72" i="4"/>
  <c r="H72" i="4"/>
  <c r="J66" i="4"/>
  <c r="H66" i="4"/>
  <c r="J80" i="4"/>
  <c r="I80" i="4"/>
  <c r="H80" i="4"/>
  <c r="L36" i="4"/>
  <c r="M36" i="4"/>
  <c r="N36" i="4" s="1"/>
  <c r="J77" i="4"/>
  <c r="I77" i="4"/>
  <c r="H77" i="4"/>
  <c r="J64" i="4"/>
  <c r="I64" i="4"/>
  <c r="H64" i="4"/>
  <c r="J59" i="4"/>
  <c r="I59" i="4"/>
  <c r="H59" i="4"/>
  <c r="J60" i="4"/>
  <c r="I60" i="4"/>
  <c r="H60" i="4"/>
  <c r="J78" i="4"/>
  <c r="I78" i="4"/>
  <c r="H78" i="4"/>
  <c r="J56" i="4"/>
  <c r="I56" i="4"/>
  <c r="H56" i="4"/>
  <c r="J74" i="4"/>
  <c r="I74" i="4"/>
  <c r="H74" i="4"/>
  <c r="L15" i="4"/>
  <c r="J18" i="10"/>
  <c r="J25" i="10" s="1"/>
  <c r="K25" i="10" s="1"/>
  <c r="L17" i="4"/>
  <c r="L20" i="4"/>
  <c r="L19" i="4"/>
  <c r="L21" i="4" s="1"/>
  <c r="M21" i="4" s="1"/>
  <c r="N21" i="4" s="1"/>
  <c r="E101" i="3"/>
  <c r="E117" i="3" s="1"/>
  <c r="E109" i="3"/>
  <c r="E108" i="3"/>
  <c r="E107" i="3"/>
  <c r="E110" i="3" s="1"/>
  <c r="E106" i="3" s="1"/>
  <c r="E104" i="3"/>
  <c r="E105" i="3"/>
  <c r="E103" i="3" s="1"/>
  <c r="E102" i="3"/>
  <c r="E100" i="3"/>
  <c r="E99" i="3"/>
  <c r="E98" i="3" s="1"/>
  <c r="E111" i="3" s="1"/>
  <c r="E66" i="3"/>
  <c r="E65" i="3"/>
  <c r="E64" i="3"/>
  <c r="E67" i="3" s="1"/>
  <c r="E63" i="3" s="1"/>
  <c r="E59" i="3"/>
  <c r="E56" i="3" s="1"/>
  <c r="E58" i="3"/>
  <c r="E57" i="3"/>
  <c r="E39" i="3"/>
  <c r="E38" i="3"/>
  <c r="E40" i="3" s="1"/>
  <c r="E37" i="3"/>
  <c r="E34" i="3"/>
  <c r="E47" i="3" s="1"/>
  <c r="E32" i="3"/>
  <c r="E30" i="3" s="1"/>
  <c r="E31" i="3"/>
  <c r="E13" i="3"/>
  <c r="E12" i="3"/>
  <c r="E14" i="3" s="1"/>
  <c r="E10" i="3" s="1"/>
  <c r="E11" i="3"/>
  <c r="E8" i="3"/>
  <c r="E9" i="3"/>
  <c r="E7" i="3" s="1"/>
  <c r="E6" i="3"/>
  <c r="E21" i="3" s="1"/>
  <c r="E5" i="3"/>
  <c r="E3" i="3" s="1"/>
  <c r="E4" i="3"/>
  <c r="J93" i="1"/>
  <c r="F90" i="1"/>
  <c r="J90" i="1" s="1"/>
  <c r="G90" i="1"/>
  <c r="G91" i="1"/>
  <c r="G92" i="1"/>
  <c r="G89" i="1"/>
  <c r="F89" i="1"/>
  <c r="J89" i="1"/>
  <c r="J88" i="1"/>
  <c r="J86" i="1"/>
  <c r="J85" i="1"/>
  <c r="F84" i="1"/>
  <c r="J84" i="1" s="1"/>
  <c r="I82" i="1"/>
  <c r="J82" i="1" s="1"/>
  <c r="J81" i="1"/>
  <c r="I35" i="1"/>
  <c r="J35" i="1"/>
  <c r="I30" i="1"/>
  <c r="J30" i="1"/>
  <c r="G24" i="1"/>
  <c r="I24" i="1"/>
  <c r="J24" i="1" s="1"/>
  <c r="J16" i="1"/>
  <c r="I18" i="1"/>
  <c r="J18" i="1"/>
  <c r="I15" i="1"/>
  <c r="J15" i="1"/>
  <c r="J8" i="1"/>
  <c r="I11" i="1"/>
  <c r="J11" i="1" s="1"/>
  <c r="I7" i="1"/>
  <c r="J7" i="1" s="1"/>
  <c r="C193" i="2"/>
  <c r="C23" i="7" s="1"/>
  <c r="K67" i="7" l="1"/>
  <c r="G153" i="2"/>
  <c r="N259" i="2"/>
  <c r="M259" i="2" s="1"/>
  <c r="F259" i="2" s="1"/>
  <c r="G259" i="2" s="1"/>
  <c r="G178" i="2"/>
  <c r="G15" i="2"/>
  <c r="G135" i="2"/>
  <c r="G35" i="2"/>
  <c r="G161" i="2"/>
  <c r="G181" i="2"/>
  <c r="G203" i="2"/>
  <c r="G48" i="2"/>
  <c r="G47" i="2" s="1"/>
  <c r="G194" i="2"/>
  <c r="G10" i="2"/>
  <c r="G7" i="2" s="1"/>
  <c r="G130" i="2"/>
  <c r="G127" i="2" s="1"/>
  <c r="G260" i="2"/>
  <c r="G101" i="2"/>
  <c r="E113" i="3"/>
  <c r="E115" i="3" s="1"/>
  <c r="E119" i="3" s="1"/>
  <c r="E15" i="3"/>
  <c r="E36" i="3"/>
  <c r="F91" i="1"/>
  <c r="M18" i="10"/>
  <c r="K18" i="10"/>
  <c r="K74" i="4"/>
  <c r="M74" i="4" s="1"/>
  <c r="N74" i="4" s="1"/>
  <c r="K80" i="4"/>
  <c r="M80" i="4" s="1"/>
  <c r="N80" i="4" s="1"/>
  <c r="K68" i="4"/>
  <c r="J39" i="4"/>
  <c r="I39" i="4"/>
  <c r="H39" i="4"/>
  <c r="K39" i="4"/>
  <c r="I11" i="4"/>
  <c r="H11" i="4"/>
  <c r="K11" i="4"/>
  <c r="J11" i="4"/>
  <c r="K14" i="4"/>
  <c r="J14" i="4"/>
  <c r="H14" i="4"/>
  <c r="I14" i="4"/>
  <c r="K55" i="4"/>
  <c r="M55" i="4" s="1"/>
  <c r="N55" i="4" s="1"/>
  <c r="K73" i="4"/>
  <c r="M73" i="4" s="1"/>
  <c r="N73" i="4" s="1"/>
  <c r="K79" i="4"/>
  <c r="M79" i="4" s="1"/>
  <c r="N79" i="4" s="1"/>
  <c r="K69" i="4"/>
  <c r="M69" i="4" s="1"/>
  <c r="N69" i="4" s="1"/>
  <c r="K52" i="4"/>
  <c r="M52" i="4" s="1"/>
  <c r="N52" i="4" s="1"/>
  <c r="K65" i="4"/>
  <c r="M65" i="4" s="1"/>
  <c r="N65" i="4" s="1"/>
  <c r="K67" i="4"/>
  <c r="K77" i="4"/>
  <c r="M77" i="4" s="1"/>
  <c r="N77" i="4" s="1"/>
  <c r="K64" i="4"/>
  <c r="M64" i="4" s="1"/>
  <c r="N64" i="4" s="1"/>
  <c r="K59" i="4"/>
  <c r="M59" i="4" s="1"/>
  <c r="N59" i="4" s="1"/>
  <c r="K60" i="4"/>
  <c r="M60" i="4" s="1"/>
  <c r="N60" i="4" s="1"/>
  <c r="K78" i="4"/>
  <c r="M78" i="4" s="1"/>
  <c r="N78" i="4" s="1"/>
  <c r="K53" i="4"/>
  <c r="E35" i="3"/>
  <c r="E33" i="3" s="1"/>
  <c r="E41" i="3" s="1"/>
  <c r="K70" i="4"/>
  <c r="K62" i="4"/>
  <c r="K75" i="4"/>
  <c r="M75" i="4" s="1"/>
  <c r="N75" i="4" s="1"/>
  <c r="K58" i="4"/>
  <c r="H30" i="4"/>
  <c r="K30" i="4"/>
  <c r="I30" i="4"/>
  <c r="J30" i="4"/>
  <c r="A43" i="6"/>
  <c r="A44" i="6" s="1"/>
  <c r="A46" i="6"/>
  <c r="A47" i="6" s="1"/>
  <c r="A48" i="6" s="1"/>
  <c r="H41" i="4"/>
  <c r="K41" i="4"/>
  <c r="J41" i="4"/>
  <c r="I41" i="4"/>
  <c r="M31" i="4"/>
  <c r="N31" i="4" s="1"/>
  <c r="I58" i="4"/>
  <c r="I75" i="4"/>
  <c r="I62" i="4"/>
  <c r="I70" i="4"/>
  <c r="J76" i="4"/>
  <c r="H67" i="4"/>
  <c r="J53" i="4"/>
  <c r="K63" i="4"/>
  <c r="M63" i="4" s="1"/>
  <c r="N63" i="4" s="1"/>
  <c r="I68" i="4"/>
  <c r="K57" i="4"/>
  <c r="M57" i="4" s="1"/>
  <c r="N57" i="4" s="1"/>
  <c r="J32" i="4"/>
  <c r="M32" i="4" s="1"/>
  <c r="N32" i="4" s="1"/>
  <c r="I40" i="4"/>
  <c r="I19" i="4"/>
  <c r="H31" i="4"/>
  <c r="J12" i="4"/>
  <c r="M12" i="4" s="1"/>
  <c r="N12" i="4" s="1"/>
  <c r="I18" i="4"/>
  <c r="M18" i="4" s="1"/>
  <c r="N18" i="4" s="1"/>
  <c r="I20" i="4"/>
  <c r="M20" i="4" s="1"/>
  <c r="N20" i="4" s="1"/>
  <c r="A9" i="6"/>
  <c r="A10" i="6" s="1"/>
  <c r="A11" i="6" s="1"/>
  <c r="A12" i="6" s="1"/>
  <c r="A13" i="6" s="1"/>
  <c r="H13" i="4"/>
  <c r="M13" i="4" s="1"/>
  <c r="N13" i="4" s="1"/>
  <c r="F261" i="2" s="1"/>
  <c r="I13" i="4"/>
  <c r="J13" i="4"/>
  <c r="I87" i="10"/>
  <c r="K34" i="4"/>
  <c r="M34" i="4" s="1"/>
  <c r="N34" i="4" s="1"/>
  <c r="F233" i="2" s="1"/>
  <c r="G233" i="2" s="1"/>
  <c r="G232" i="2" s="1"/>
  <c r="I34" i="4"/>
  <c r="H34" i="4"/>
  <c r="J34" i="4"/>
  <c r="J40" i="4"/>
  <c r="K37" i="4"/>
  <c r="H37" i="4"/>
  <c r="I37" i="4"/>
  <c r="L34" i="4"/>
  <c r="L37" i="4"/>
  <c r="L38" i="4" s="1"/>
  <c r="G248" i="2"/>
  <c r="K19" i="4"/>
  <c r="M19" i="4" s="1"/>
  <c r="N19" i="4" s="1"/>
  <c r="H15" i="4"/>
  <c r="M15" i="4" s="1"/>
  <c r="N15" i="4" s="1"/>
  <c r="K17" i="4"/>
  <c r="M17" i="4" s="1"/>
  <c r="N17" i="4" s="1"/>
  <c r="H29" i="4"/>
  <c r="K29" i="4"/>
  <c r="M29" i="4" s="1"/>
  <c r="N29" i="4" s="1"/>
  <c r="I90" i="10"/>
  <c r="H26" i="11"/>
  <c r="J64" i="7" s="1"/>
  <c r="K64" i="7" s="1"/>
  <c r="H16" i="4"/>
  <c r="M16" i="4" s="1"/>
  <c r="N16" i="4" s="1"/>
  <c r="D61" i="3" s="1"/>
  <c r="E61" i="3" s="1"/>
  <c r="I16" i="4"/>
  <c r="J16" i="4"/>
  <c r="F55" i="2"/>
  <c r="G55" i="2" s="1"/>
  <c r="F113" i="2"/>
  <c r="G113" i="2" s="1"/>
  <c r="G115" i="2" s="1"/>
  <c r="N39" i="10"/>
  <c r="K37" i="10"/>
  <c r="K29" i="10" s="1"/>
  <c r="H33" i="4"/>
  <c r="M33" i="4" s="1"/>
  <c r="N33" i="4" s="1"/>
  <c r="I33" i="4"/>
  <c r="J33" i="4"/>
  <c r="G30" i="2"/>
  <c r="G27" i="2" s="1"/>
  <c r="H35" i="4"/>
  <c r="E261" i="2"/>
  <c r="E290" i="2" s="1"/>
  <c r="G177" i="2"/>
  <c r="G173" i="2" s="1"/>
  <c r="G185" i="2" s="1"/>
  <c r="G147" i="2"/>
  <c r="G82" i="2"/>
  <c r="G72" i="2"/>
  <c r="G70" i="2" s="1"/>
  <c r="G231" i="2"/>
  <c r="G228" i="2" s="1"/>
  <c r="G240" i="2" l="1"/>
  <c r="G241" i="2"/>
  <c r="G242" i="2" s="1"/>
  <c r="G243" i="2" s="1"/>
  <c r="N261" i="2"/>
  <c r="G261" i="2"/>
  <c r="G282" i="2" s="1"/>
  <c r="E121" i="3"/>
  <c r="E123" i="3"/>
  <c r="E62" i="3"/>
  <c r="E60" i="3"/>
  <c r="E68" i="3" s="1"/>
  <c r="E74" i="3"/>
  <c r="E43" i="3"/>
  <c r="E45" i="3" s="1"/>
  <c r="E49" i="3" s="1"/>
  <c r="G186" i="2"/>
  <c r="G187" i="2" s="1"/>
  <c r="G188" i="2" s="1"/>
  <c r="F132" i="2"/>
  <c r="G132" i="2" s="1"/>
  <c r="G131" i="2" s="1"/>
  <c r="G139" i="2" s="1"/>
  <c r="F69" i="2"/>
  <c r="G69" i="2" s="1"/>
  <c r="G68" i="2" s="1"/>
  <c r="G73" i="2" s="1"/>
  <c r="F160" i="2"/>
  <c r="G160" i="2" s="1"/>
  <c r="G154" i="2" s="1"/>
  <c r="G165" i="2" s="1"/>
  <c r="F290" i="2"/>
  <c r="G290" i="2" s="1"/>
  <c r="G291" i="2" s="1"/>
  <c r="F32" i="2"/>
  <c r="G32" i="2" s="1"/>
  <c r="G31" i="2" s="1"/>
  <c r="G39" i="2" s="1"/>
  <c r="F219" i="2"/>
  <c r="G219" i="2" s="1"/>
  <c r="G218" i="2" s="1"/>
  <c r="G220" i="2" s="1"/>
  <c r="F12" i="2"/>
  <c r="G12" i="2" s="1"/>
  <c r="G11" i="2" s="1"/>
  <c r="G19" i="2" s="1"/>
  <c r="M35" i="4"/>
  <c r="N35" i="4" s="1"/>
  <c r="M30" i="4"/>
  <c r="N30" i="4" s="1"/>
  <c r="M62" i="4"/>
  <c r="N62" i="4" s="1"/>
  <c r="M53" i="4"/>
  <c r="N53" i="4" s="1"/>
  <c r="M14" i="4"/>
  <c r="N14" i="4" s="1"/>
  <c r="F92" i="1"/>
  <c r="J92" i="1" s="1"/>
  <c r="J91" i="1"/>
  <c r="E17" i="3"/>
  <c r="E19" i="3" s="1"/>
  <c r="E23" i="3" s="1"/>
  <c r="M70" i="4"/>
  <c r="N70" i="4" s="1"/>
  <c r="G111" i="2"/>
  <c r="G57" i="2"/>
  <c r="G54" i="2" s="1"/>
  <c r="M58" i="4"/>
  <c r="N58" i="4" s="1"/>
  <c r="M67" i="4"/>
  <c r="N67" i="4" s="1"/>
  <c r="M11" i="4"/>
  <c r="N11" i="4" s="1"/>
  <c r="L39" i="4"/>
  <c r="L40" i="4" s="1"/>
  <c r="M38" i="4"/>
  <c r="N38" i="4" s="1"/>
  <c r="M37" i="4"/>
  <c r="N37" i="4" s="1"/>
  <c r="M68" i="4"/>
  <c r="N68" i="4" s="1"/>
  <c r="M39" i="4" l="1"/>
  <c r="N39" i="4" s="1"/>
  <c r="F200" i="2"/>
  <c r="G200" i="2" s="1"/>
  <c r="E25" i="3"/>
  <c r="E27" i="3" s="1"/>
  <c r="G74" i="2"/>
  <c r="G75" i="2" s="1"/>
  <c r="G76" i="2" s="1"/>
  <c r="E51" i="3"/>
  <c r="E53" i="3"/>
  <c r="G245" i="2"/>
  <c r="G244" i="2"/>
  <c r="G246" i="2" s="1"/>
  <c r="G227" i="2" s="1"/>
  <c r="G140" i="2"/>
  <c r="G166" i="2"/>
  <c r="G167" i="2" s="1"/>
  <c r="G168" i="2" s="1"/>
  <c r="G283" i="2"/>
  <c r="G284" i="2"/>
  <c r="L41" i="4"/>
  <c r="M40" i="4"/>
  <c r="N40" i="4" s="1"/>
  <c r="G292" i="2"/>
  <c r="G293" i="2"/>
  <c r="G294" i="2" s="1"/>
  <c r="G190" i="2"/>
  <c r="G189" i="2"/>
  <c r="G191" i="2" s="1"/>
  <c r="G172" i="2" s="1"/>
  <c r="F50" i="2"/>
  <c r="G50" i="2" s="1"/>
  <c r="G49" i="2" s="1"/>
  <c r="G58" i="2" s="1"/>
  <c r="F86" i="2"/>
  <c r="G86" i="2" s="1"/>
  <c r="G85" i="2" s="1"/>
  <c r="G93" i="2" s="1"/>
  <c r="F106" i="2"/>
  <c r="G106" i="2" s="1"/>
  <c r="G105" i="2" s="1"/>
  <c r="G116" i="2" s="1"/>
  <c r="F201" i="2"/>
  <c r="G201" i="2" s="1"/>
  <c r="G20" i="2"/>
  <c r="G21" i="2" s="1"/>
  <c r="G22" i="2" s="1"/>
  <c r="G40" i="2"/>
  <c r="G41" i="2" s="1"/>
  <c r="G42" i="2" s="1"/>
  <c r="G221" i="2"/>
  <c r="E70" i="3"/>
  <c r="E72" i="3" s="1"/>
  <c r="E76" i="3" s="1"/>
  <c r="G285" i="2" l="1"/>
  <c r="J19" i="7"/>
  <c r="K19" i="7" s="1"/>
  <c r="J22" i="7"/>
  <c r="K22" i="7" s="1"/>
  <c r="G23" i="2"/>
  <c r="G24" i="2"/>
  <c r="G117" i="2"/>
  <c r="G118" i="2" s="1"/>
  <c r="G170" i="2"/>
  <c r="G169" i="2"/>
  <c r="G77" i="2"/>
  <c r="G78" i="2"/>
  <c r="G79" i="2"/>
  <c r="G65" i="2" s="1"/>
  <c r="E78" i="3"/>
  <c r="E80" i="3"/>
  <c r="G295" i="2"/>
  <c r="G296" i="2"/>
  <c r="G59" i="2"/>
  <c r="G60" i="2" s="1"/>
  <c r="G222" i="2"/>
  <c r="G223" i="2" s="1"/>
  <c r="L42" i="4"/>
  <c r="M42" i="4" s="1"/>
  <c r="N42" i="4" s="1"/>
  <c r="F202" i="2" s="1"/>
  <c r="G202" i="2" s="1"/>
  <c r="G199" i="2" s="1"/>
  <c r="G207" i="2" s="1"/>
  <c r="M41" i="4"/>
  <c r="N41" i="4" s="1"/>
  <c r="G141" i="2"/>
  <c r="G142" i="2" s="1"/>
  <c r="G94" i="2"/>
  <c r="G43" i="2"/>
  <c r="G44" i="2"/>
  <c r="G286" i="2"/>
  <c r="G288" i="2" s="1"/>
  <c r="G247" i="2" s="1"/>
  <c r="J48" i="7" s="1"/>
  <c r="K48" i="7" s="1"/>
  <c r="G287" i="2"/>
  <c r="J36" i="7" l="1"/>
  <c r="K36" i="7" s="1"/>
  <c r="J10" i="7"/>
  <c r="K10" i="7" s="1"/>
  <c r="G297" i="2"/>
  <c r="G289" i="2" s="1"/>
  <c r="J49" i="7" s="1"/>
  <c r="K49" i="7" s="1"/>
  <c r="K46" i="7" s="1"/>
  <c r="G171" i="2"/>
  <c r="G146" i="2" s="1"/>
  <c r="G45" i="2"/>
  <c r="G26" i="2" s="1"/>
  <c r="G25" i="2"/>
  <c r="G6" i="2" s="1"/>
  <c r="J7" i="7" s="1"/>
  <c r="G95" i="2"/>
  <c r="G96" i="2" s="1"/>
  <c r="G61" i="2"/>
  <c r="G63" i="2" s="1"/>
  <c r="G119" i="2"/>
  <c r="G120" i="2" s="1"/>
  <c r="G224" i="2"/>
  <c r="G225" i="2"/>
  <c r="G143" i="2"/>
  <c r="G144" i="2"/>
  <c r="G208" i="2"/>
  <c r="F214" i="2"/>
  <c r="G214" i="2" s="1"/>
  <c r="G123" i="2"/>
  <c r="J9" i="10"/>
  <c r="G226" i="2" l="1"/>
  <c r="G215" i="2" s="1"/>
  <c r="J21" i="7"/>
  <c r="K21" i="7" s="1"/>
  <c r="J41" i="7"/>
  <c r="K41" i="7" s="1"/>
  <c r="J15" i="7"/>
  <c r="K15" i="7" s="1"/>
  <c r="J28" i="7"/>
  <c r="J45" i="7"/>
  <c r="K45" i="7" s="1"/>
  <c r="J24" i="7"/>
  <c r="K24" i="7" s="1"/>
  <c r="G145" i="2"/>
  <c r="G126" i="2" s="1"/>
  <c r="G62" i="2"/>
  <c r="J8" i="7"/>
  <c r="K8" i="7" s="1"/>
  <c r="J34" i="7"/>
  <c r="K34" i="7" s="1"/>
  <c r="J39" i="7"/>
  <c r="K39" i="7" s="1"/>
  <c r="J33" i="7"/>
  <c r="K33" i="7" s="1"/>
  <c r="J13" i="7"/>
  <c r="K13" i="7" s="1"/>
  <c r="K7" i="7"/>
  <c r="J6" i="10"/>
  <c r="J12" i="10" s="1"/>
  <c r="K12" i="10" s="1"/>
  <c r="G97" i="2"/>
  <c r="G98" i="2"/>
  <c r="G121" i="2"/>
  <c r="G122" i="2" s="1"/>
  <c r="G100" i="2" s="1"/>
  <c r="G209" i="2"/>
  <c r="G210" i="2" s="1"/>
  <c r="G64" i="2"/>
  <c r="G46" i="2" s="1"/>
  <c r="K9" i="10"/>
  <c r="J14" i="10"/>
  <c r="K14" i="10" s="1"/>
  <c r="J17" i="10"/>
  <c r="K17" i="10" s="1"/>
  <c r="J16" i="7"/>
  <c r="K16" i="7" s="1"/>
  <c r="J29" i="7"/>
  <c r="K29" i="7" s="1"/>
  <c r="J43" i="7" l="1"/>
  <c r="K43" i="7" s="1"/>
  <c r="J26" i="7"/>
  <c r="K26" i="7" s="1"/>
  <c r="J20" i="7"/>
  <c r="K20" i="7" s="1"/>
  <c r="J13" i="10"/>
  <c r="K13" i="10" s="1"/>
  <c r="J14" i="7"/>
  <c r="K14" i="7" s="1"/>
  <c r="J40" i="7"/>
  <c r="J8" i="10"/>
  <c r="K8" i="10" s="1"/>
  <c r="J35" i="7"/>
  <c r="K35" i="7" s="1"/>
  <c r="J9" i="7"/>
  <c r="K9" i="7" s="1"/>
  <c r="K6" i="10"/>
  <c r="J23" i="10"/>
  <c r="K23" i="10" s="1"/>
  <c r="G99" i="2"/>
  <c r="G81" i="2" s="1"/>
  <c r="G212" i="2"/>
  <c r="G211" i="2"/>
  <c r="K28" i="7"/>
  <c r="M14" i="7" l="1"/>
  <c r="M40" i="7"/>
  <c r="K40" i="7"/>
  <c r="J38" i="7"/>
  <c r="K38" i="7" s="1"/>
  <c r="J12" i="7"/>
  <c r="K12" i="7" s="1"/>
  <c r="J11" i="10"/>
  <c r="K11" i="10" s="1"/>
  <c r="K4" i="10" s="1"/>
  <c r="K64" i="10" s="1"/>
  <c r="K94" i="10" s="1"/>
  <c r="K95" i="10" s="1"/>
  <c r="G213" i="2"/>
  <c r="G193" i="2" s="1"/>
  <c r="J23" i="7" l="1"/>
  <c r="K23" i="7" s="1"/>
  <c r="J27" i="7"/>
  <c r="M27" i="7" s="1"/>
  <c r="J44" i="7"/>
  <c r="K27" i="7" l="1"/>
  <c r="K5" i="7" s="1"/>
  <c r="K70" i="7" s="1"/>
  <c r="M44" i="7"/>
  <c r="K44" i="7"/>
  <c r="K71" i="7" l="1"/>
  <c r="N76" i="7" s="1"/>
  <c r="K72" i="7" l="1"/>
  <c r="O76" i="7" s="1"/>
  <c r="M76" i="7"/>
  <c r="O64" i="7" l="1"/>
</calcChain>
</file>

<file path=xl/sharedStrings.xml><?xml version="1.0" encoding="utf-8"?>
<sst xmlns="http://schemas.openxmlformats.org/spreadsheetml/2006/main" count="6090" uniqueCount="2473">
  <si>
    <t>BẢNG TÍNH KHỐI LƯỢNG</t>
  </si>
  <si>
    <t>STT</t>
  </si>
  <si>
    <t>Đối tượng</t>
  </si>
  <si>
    <t>Đơn vị</t>
  </si>
  <si>
    <t>Kích thước (m)</t>
  </si>
  <si>
    <t>Khối lượng</t>
  </si>
  <si>
    <t>Ghi chú</t>
  </si>
  <si>
    <t>x</t>
  </si>
  <si>
    <t>y</t>
  </si>
  <si>
    <t>h</t>
  </si>
  <si>
    <t>01 vị trí</t>
  </si>
  <si>
    <t>Tổng</t>
  </si>
  <si>
    <t>I</t>
  </si>
  <si>
    <t>100 vị trí</t>
  </si>
  <si>
    <t>30 vị trí cần mài phẳng</t>
  </si>
  <si>
    <t>Mài phẳng nút khoan phụt bê tông bằng máy mài</t>
  </si>
  <si>
    <t>m2</t>
  </si>
  <si>
    <t>Phun rộng ra mỗi bên 5cm</t>
  </si>
  <si>
    <t>m</t>
  </si>
  <si>
    <t xml:space="preserve"> </t>
  </si>
  <si>
    <t>II</t>
  </si>
  <si>
    <t>10 vị trí</t>
  </si>
  <si>
    <t>tấm</t>
  </si>
  <si>
    <t>III</t>
  </si>
  <si>
    <t>Mối hàn nối đoạn ống HP4</t>
  </si>
  <si>
    <t>04 vị trí</t>
  </si>
  <si>
    <t>Mài phẳng đường hàn chu vi bằng máy mài</t>
  </si>
  <si>
    <t>IV</t>
  </si>
  <si>
    <t>Vị trí nứt đường hàn chu vi Km11+470</t>
  </si>
  <si>
    <t>Tấm thép chống thấm</t>
  </si>
  <si>
    <t>kg</t>
  </si>
  <si>
    <t>Phụ trợ thi công</t>
  </si>
  <si>
    <t>Đà giáo</t>
  </si>
  <si>
    <t>Kg</t>
  </si>
  <si>
    <t>05 Bộ đà giáo, thi công luân chuyển</t>
  </si>
  <si>
    <t>Ván gỗ</t>
  </si>
  <si>
    <t>Dày 3cm</t>
  </si>
  <si>
    <t>Đường ống dẫn khí</t>
  </si>
  <si>
    <t>Ống thép D90</t>
  </si>
  <si>
    <t>Ống cao su bố thép D60</t>
  </si>
  <si>
    <t>Ống cao su bố thép D34</t>
  </si>
  <si>
    <t>Đường điện</t>
  </si>
  <si>
    <t>Lắp đặt dây điện chính</t>
  </si>
  <si>
    <t>Lắp đặt dây điện nhánh</t>
  </si>
  <si>
    <t>Ổ cắm</t>
  </si>
  <si>
    <t>cái</t>
  </si>
  <si>
    <t>Phích cắm</t>
  </si>
  <si>
    <t>Bóng đèn</t>
  </si>
  <si>
    <t>Bộ đèn pha Halogen 1000W</t>
  </si>
  <si>
    <t>bộ</t>
  </si>
  <si>
    <t>Tấm thép chắn nước, chắn bụi</t>
  </si>
  <si>
    <t>Đơn giá</t>
  </si>
  <si>
    <t>Thành tiền</t>
  </si>
  <si>
    <t>ĐM</t>
  </si>
  <si>
    <t>MS.02201(VD)</t>
  </si>
  <si>
    <t>Định mức</t>
  </si>
  <si>
    <t>a.) Vật liệu</t>
  </si>
  <si>
    <t>Dung môi</t>
  </si>
  <si>
    <t>Vật liệu khác</t>
  </si>
  <si>
    <t>%</t>
  </si>
  <si>
    <t>b.) Nhân công</t>
  </si>
  <si>
    <t>Nhân công 3,5/7</t>
  </si>
  <si>
    <t>công</t>
  </si>
  <si>
    <t>c.) Máy thi công</t>
  </si>
  <si>
    <t>ca</t>
  </si>
  <si>
    <t>Xử lý bu lông có mức độ phun nước mạnh trong đường hầm(mức độ khó loại 1)</t>
  </si>
  <si>
    <t>Thµnh phÇn hao phÝ</t>
  </si>
  <si>
    <t>Đơn vị tính</t>
  </si>
  <si>
    <t>§¬n gi¸ (®ång)</t>
  </si>
  <si>
    <t>Thµnh tiÒn (®ång)</t>
  </si>
  <si>
    <t>Vật liệu</t>
  </si>
  <si>
    <t>Bích thép Sus304 220x220x20</t>
  </si>
  <si>
    <t>Gioăng cao su chịu nhiệt</t>
  </si>
  <si>
    <t>Que hàn E309</t>
  </si>
  <si>
    <t>Nhân công</t>
  </si>
  <si>
    <t>Nhân công 4,50/7</t>
  </si>
  <si>
    <t>Làm việc trong hầm công việc đặc biệt khó khăn nên tính hệ số 2</t>
  </si>
  <si>
    <t>Máy thi công</t>
  </si>
  <si>
    <t>Máy nén khí 240m3/h</t>
  </si>
  <si>
    <t>Máy hàn 23KW</t>
  </si>
  <si>
    <t xml:space="preserve">Máy mài </t>
  </si>
  <si>
    <t>Máy khác</t>
  </si>
  <si>
    <t>Cộng:</t>
  </si>
  <si>
    <t>Chi phí trực tiếp khác</t>
  </si>
  <si>
    <t>TT=1.5%(VL+NC+M)</t>
  </si>
  <si>
    <t>Cộng chi phí trực tiếp</t>
  </si>
  <si>
    <t>T=VL+NC+M+TT</t>
  </si>
  <si>
    <t>Chi phí chung</t>
  </si>
  <si>
    <t>C=NC*65%*1.05</t>
  </si>
  <si>
    <t>Giá thành dự toán chế tạo</t>
  </si>
  <si>
    <t>Z=T+C</t>
  </si>
  <si>
    <t>Thu nhập chịu thuế tính trước</t>
  </si>
  <si>
    <t>TL=Z*6%</t>
  </si>
  <si>
    <t>Giá trị lắp đặt trước thuế</t>
  </si>
  <si>
    <t>G=Z+TL</t>
  </si>
  <si>
    <t>Xử lý vết nứt theo chu vi tại hầm ngang vào nhà máy</t>
  </si>
  <si>
    <t>Đá mài</t>
  </si>
  <si>
    <t>viên</t>
  </si>
  <si>
    <t>Que hàn E7018</t>
  </si>
  <si>
    <t>Xử lý vết nứt theo chu vi đường ống tại hầm ngang HP4 chiều tấm vá 300 mm</t>
  </si>
  <si>
    <t>Bích thép Sus304 400x100x10</t>
  </si>
  <si>
    <t>Xử lý vết nứt theo đường sinh tại hầm ngang vào nhà máy (bên cạnh vết nứt theo chu vi )</t>
  </si>
  <si>
    <t>TT</t>
  </si>
  <si>
    <t>Nhà máy thuỷ điện A Lưới</t>
  </si>
  <si>
    <t>Lương tối thiểu (LTT):</t>
  </si>
  <si>
    <t>đồng</t>
  </si>
  <si>
    <t>Nhóm lương:</t>
  </si>
  <si>
    <t>Nhóm I</t>
  </si>
  <si>
    <t>ĐVT: đồng Việt Nam</t>
  </si>
  <si>
    <t>MHĐG</t>
  </si>
  <si>
    <t>Cấp bậc</t>
  </si>
  <si>
    <t xml:space="preserve">Bậc </t>
  </si>
  <si>
    <t>Lương CB</t>
  </si>
  <si>
    <t>Phụ cấp theo lương CB</t>
  </si>
  <si>
    <t>Phụ cấp theo LCB</t>
  </si>
  <si>
    <t>Tiền ăn ca</t>
  </si>
  <si>
    <t xml:space="preserve">Lương </t>
  </si>
  <si>
    <t xml:space="preserve"> nhân công</t>
  </si>
  <si>
    <t>lương</t>
  </si>
  <si>
    <t>Không ÔĐ</t>
  </si>
  <si>
    <t>Lương phụ</t>
  </si>
  <si>
    <t>Khoán</t>
  </si>
  <si>
    <t>Hệ số</t>
  </si>
  <si>
    <t>Gía trị</t>
  </si>
  <si>
    <t>tháng (LT)</t>
  </si>
  <si>
    <t>nhân công</t>
  </si>
  <si>
    <t>26 ngày</t>
  </si>
  <si>
    <t>(1)</t>
  </si>
  <si>
    <t>(2)</t>
  </si>
  <si>
    <t>(3)</t>
  </si>
  <si>
    <t>(4)</t>
  </si>
  <si>
    <t>(5)</t>
  </si>
  <si>
    <t>(6)</t>
  </si>
  <si>
    <t>(7)</t>
  </si>
  <si>
    <t>(8)</t>
  </si>
  <si>
    <t>(9)</t>
  </si>
  <si>
    <t>(10)</t>
  </si>
  <si>
    <t>(11)</t>
  </si>
  <si>
    <t>(12)</t>
  </si>
  <si>
    <t>(13)</t>
  </si>
  <si>
    <t>N24.207-I</t>
  </si>
  <si>
    <t>Nhân công 2,0/7I</t>
  </si>
  <si>
    <t>N24.257-I</t>
  </si>
  <si>
    <t>Nhân công 2,5/7I</t>
  </si>
  <si>
    <t>N24.277-I</t>
  </si>
  <si>
    <t>Nhân công 2,7/7I</t>
  </si>
  <si>
    <t>N24.307-I</t>
  </si>
  <si>
    <t>Nhân công 3,0/7I</t>
  </si>
  <si>
    <t>N24.357-I</t>
  </si>
  <si>
    <t>Nhân công 3,5/7I</t>
  </si>
  <si>
    <t>Nhân công 3,7/7I</t>
  </si>
  <si>
    <t>N24.407-I</t>
  </si>
  <si>
    <t>Nhân công 4,0/7I</t>
  </si>
  <si>
    <t>N24.457-I</t>
  </si>
  <si>
    <t>Nhân công 4,5/7I</t>
  </si>
  <si>
    <t>N24.507-I</t>
  </si>
  <si>
    <t>Nhân công 5,0/7I</t>
  </si>
  <si>
    <t>N24.557-I</t>
  </si>
  <si>
    <t>Nhân công 5,5/7I</t>
  </si>
  <si>
    <t>N24.607-I</t>
  </si>
  <si>
    <t>Nhân công 6,0/7I</t>
  </si>
  <si>
    <t>N24.657-I</t>
  </si>
  <si>
    <t>Nhân công 6,5/7I</t>
  </si>
  <si>
    <t>N24.707-I</t>
  </si>
  <si>
    <t>Nhân công 7,0/7I</t>
  </si>
  <si>
    <t>Nhóm II</t>
  </si>
  <si>
    <t>tháng</t>
  </si>
  <si>
    <t>N24.207-II</t>
  </si>
  <si>
    <t>Nhân công 2,0/7II</t>
  </si>
  <si>
    <t>N24.257-II</t>
  </si>
  <si>
    <t>Nhân công 2,5/7II</t>
  </si>
  <si>
    <t>N24.277-II</t>
  </si>
  <si>
    <t>Nhân công 2,7/7II</t>
  </si>
  <si>
    <t>N24.307-II</t>
  </si>
  <si>
    <t>Nhân công 3,0/7II</t>
  </si>
  <si>
    <t>N24.357-II</t>
  </si>
  <si>
    <t>Nhân công 3,5/7II</t>
  </si>
  <si>
    <t>N24.377-II</t>
  </si>
  <si>
    <t>Nhân công 3,7/7II</t>
  </si>
  <si>
    <t>N24.407-II</t>
  </si>
  <si>
    <t>Nhân công 4,0/7II</t>
  </si>
  <si>
    <t>N24.437-II</t>
  </si>
  <si>
    <t>Nhân công 4,3/7II</t>
  </si>
  <si>
    <t>N24.457-II</t>
  </si>
  <si>
    <t>Nhân công 4,5/7II</t>
  </si>
  <si>
    <t>N24.507-II</t>
  </si>
  <si>
    <t>Nhân công 5,0/7II</t>
  </si>
  <si>
    <t>N24.557-II</t>
  </si>
  <si>
    <t>Nhân công 5,5/7II</t>
  </si>
  <si>
    <t>N24.607-II</t>
  </si>
  <si>
    <t>Nhân công 6,0/7II</t>
  </si>
  <si>
    <t>N24.657-II</t>
  </si>
  <si>
    <t>Nhân công 6,5/7II</t>
  </si>
  <si>
    <t>N24.707-II</t>
  </si>
  <si>
    <t>Nhân công 7,0/7II</t>
  </si>
  <si>
    <t>4. B¶ng l­¬ng ngµy c«ng B12 c«ng tr×nh</t>
  </si>
  <si>
    <t>(đồng)</t>
  </si>
  <si>
    <t>(16)</t>
  </si>
  <si>
    <t>Lo¹i xe t¶I, xe cÈu &lt;=3.5T</t>
  </si>
  <si>
    <t>Lo¹i xe t¶I, xe cÈu 3.5T-7.5T</t>
  </si>
  <si>
    <t>Lo¹i xe t¶I, xe cÈu 7.5T-16.5T</t>
  </si>
  <si>
    <t>Lo¹i xe t¶I, xe cÈu tõ 16.5T-25T</t>
  </si>
  <si>
    <t>Lo¹i xe t¶I, xe cÈu tõ 25T-40T</t>
  </si>
  <si>
    <t>Lo¹i xe t¶I, xe cÈu &gt;40T</t>
  </si>
  <si>
    <t>Ghi chú:</t>
  </si>
  <si>
    <t>Máy mài nén khí</t>
  </si>
  <si>
    <t xml:space="preserve">Đĩa mài </t>
  </si>
  <si>
    <t>dĩa</t>
  </si>
  <si>
    <t>Que hàn Broco Underwater</t>
  </si>
  <si>
    <t>Công trình thuỷ điện A Lưới</t>
  </si>
  <si>
    <t>Đơn vị tính: đồng</t>
  </si>
  <si>
    <t>MHCM</t>
  </si>
  <si>
    <t>Loại máy thi công</t>
  </si>
  <si>
    <t>Đơn giá tháng 12/2017</t>
  </si>
  <si>
    <t>LẬP MỚI THÁNG 8/2012</t>
  </si>
  <si>
    <t>Gía mới tháng 12/2017</t>
  </si>
  <si>
    <t>M107.0104</t>
  </si>
  <si>
    <t>Búa căn khí nén</t>
  </si>
  <si>
    <t>M108.0304</t>
  </si>
  <si>
    <t>Máy nén khí diezen 360m3/h</t>
  </si>
  <si>
    <t>M108.0307</t>
  </si>
  <si>
    <t>Máy nén khí diezen 660m3/h</t>
  </si>
  <si>
    <t>M108.0309</t>
  </si>
  <si>
    <t>Máy nén khí diezen 1200m3/h</t>
  </si>
  <si>
    <t>M112.0901</t>
  </si>
  <si>
    <t>M¸y b¬m bª t«ng 50m3/h</t>
  </si>
  <si>
    <t>M112.1101</t>
  </si>
  <si>
    <t>Đầm bàn 1kw</t>
  </si>
  <si>
    <t>M112.1302</t>
  </si>
  <si>
    <t>§Çm dïi 1.5KW</t>
  </si>
  <si>
    <t>M110.0401</t>
  </si>
  <si>
    <t>máy mài</t>
  </si>
  <si>
    <t>M101.0503</t>
  </si>
  <si>
    <t>M¸y ñi 140CV</t>
  </si>
  <si>
    <t>M112.4003</t>
  </si>
  <si>
    <t>M¸y hµn 23KW</t>
  </si>
  <si>
    <t>M112.4004</t>
  </si>
  <si>
    <r>
      <t>M¸y hµn 27,5CV</t>
    </r>
    <r>
      <rPr>
        <sz val="12"/>
        <color indexed="12"/>
        <rFont val="Times New Roman"/>
        <family val="1"/>
      </rPr>
      <t xml:space="preserve"> chạy điezen</t>
    </r>
  </si>
  <si>
    <t>M112.2801</t>
  </si>
  <si>
    <t>M¸y c¾t thÐp</t>
  </si>
  <si>
    <t>M112.1001</t>
  </si>
  <si>
    <t>M¸y phun vÈy 9m3/h</t>
  </si>
  <si>
    <t>M106.0201</t>
  </si>
  <si>
    <t>Ô tô tự đổ 5 tấn</t>
  </si>
  <si>
    <t>M102.0303</t>
  </si>
  <si>
    <t>Cần trục bánh xích 16T</t>
  </si>
  <si>
    <t>M112.1502</t>
  </si>
  <si>
    <t>Máy khoan đứng 4,5KW</t>
  </si>
  <si>
    <t>M102.0304</t>
  </si>
  <si>
    <t>Cần cẩu 25T</t>
  </si>
  <si>
    <t>M102.1106</t>
  </si>
  <si>
    <t>Tời điện 5T</t>
  </si>
  <si>
    <t>M102.1104</t>
  </si>
  <si>
    <t>Tời điện 3T</t>
  </si>
  <si>
    <t>M102.1301</t>
  </si>
  <si>
    <t>Bộ kích 10T</t>
  </si>
  <si>
    <t>M102.1103</t>
  </si>
  <si>
    <t>Têi ®iÖn 1.5T</t>
  </si>
  <si>
    <t>M112.2501</t>
  </si>
  <si>
    <t>M¸y c¾t ®ét liªn hîp 2.8KW</t>
  </si>
  <si>
    <t>M102.0201</t>
  </si>
  <si>
    <t>CÇn trôc b¸nh h¬i 16T</t>
  </si>
  <si>
    <t>M112.3001</t>
  </si>
  <si>
    <t>M¸y uèn n¾n dÇm</t>
  </si>
  <si>
    <t>M107.0102</t>
  </si>
  <si>
    <r>
      <t xml:space="preserve">M¸y khoan ®¸ cÇm tay </t>
    </r>
    <r>
      <rPr>
        <sz val="12"/>
        <rFont val="Symbol"/>
        <family val="1"/>
        <charset val="2"/>
      </rPr>
      <t>f42</t>
    </r>
    <r>
      <rPr>
        <sz val="12"/>
        <rFont val=".VnTime"/>
        <family val="2"/>
      </rPr>
      <t>mm</t>
    </r>
  </si>
  <si>
    <t>M107.0201</t>
  </si>
  <si>
    <t>Máy khoan khoan xoay đập tự hành fi76mm</t>
  </si>
  <si>
    <t>M104.0203</t>
  </si>
  <si>
    <r>
      <t>M¸y trén 250</t>
    </r>
    <r>
      <rPr>
        <i/>
        <sz val="12"/>
        <rFont val=".VnTime"/>
        <family val="2"/>
      </rPr>
      <t>l</t>
    </r>
  </si>
  <si>
    <t>M102.0302</t>
  </si>
  <si>
    <t>CÇn cÈu 10T bx</t>
  </si>
  <si>
    <t>M108.0401</t>
  </si>
  <si>
    <r>
      <t>M¸y nÐn khÝ 6m</t>
    </r>
    <r>
      <rPr>
        <vertAlign val="superscript"/>
        <sz val="12"/>
        <rFont val=".VnTime"/>
        <family val="2"/>
      </rPr>
      <t>3</t>
    </r>
    <r>
      <rPr>
        <sz val="12"/>
        <rFont val=".VnTime"/>
        <family val="2"/>
      </rPr>
      <t>/ph</t>
    </r>
  </si>
  <si>
    <t>M102.0107</t>
  </si>
  <si>
    <t>Cần cẩu 20T</t>
  </si>
  <si>
    <t>M106.0103</t>
  </si>
  <si>
    <t>Ô tô 2,5T</t>
  </si>
  <si>
    <t>M104.0201</t>
  </si>
  <si>
    <t>M¸y trén v÷a 80lÝt</t>
  </si>
  <si>
    <t>M112.0603</t>
  </si>
  <si>
    <t>M¸y b¬m v÷a 40KW</t>
  </si>
  <si>
    <t>M103.1501</t>
  </si>
  <si>
    <t>Thïng trén 750 lÝt</t>
  </si>
  <si>
    <t>M112.1701</t>
  </si>
  <si>
    <t xml:space="preserve">Máy khoan cầm tay 0,5 kW </t>
  </si>
  <si>
    <t>M102.0305</t>
  </si>
  <si>
    <t>CÇn cÈu 30T</t>
  </si>
  <si>
    <t>M112.2601</t>
  </si>
  <si>
    <t>Máy cắt uốn 5kw</t>
  </si>
  <si>
    <t>Máy bơm nước 150CV chạy diezen</t>
  </si>
  <si>
    <t>M112.0206</t>
  </si>
  <si>
    <t>Máy bơm nước động cơ diezen công suất 30CV</t>
  </si>
  <si>
    <t>M112.0501</t>
  </si>
  <si>
    <t>Máy bơm áp lực xói nước đầu cọc (300 cv)</t>
  </si>
  <si>
    <t>M112.0702</t>
  </si>
  <si>
    <t>Máy bơm cát động cơ diezen công suất 350CV</t>
  </si>
  <si>
    <t>M106.0109</t>
  </si>
  <si>
    <t>Ô tô 20T</t>
  </si>
  <si>
    <t>M106.0106</t>
  </si>
  <si>
    <t>Ô tô 10T</t>
  </si>
  <si>
    <t>M106.0104</t>
  </si>
  <si>
    <t>Ô tô 5T</t>
  </si>
  <si>
    <t>M108.0104</t>
  </si>
  <si>
    <t>Máy phát hàn phục vụ thi công trong hầm 50KVA (tương đương 42,5 kw)</t>
  </si>
  <si>
    <t>*Bảng đơn giá ca máy được lập mới trên cơ sở:</t>
  </si>
  <si>
    <t>+ QĐ 1134/QĐ-BXD ngày 08/10/2015 của Bộ Xây dựng và Thông tư 06/2010/TT-BXD ngày 20/05/2010 về hướng dẫn lập bảng đơn giá ca máy</t>
  </si>
  <si>
    <t>+ Nhân công: tính theo Nghị định số 141/2017/NĐ-CP ngày 07/12/2017 của Chính phủ quy định mức lương tối thiểu vùng năm 2018. Trong đó có tính hệ số làm thêm ca 3 là 0,09 và tiền ăn ca 30.000đ/người/ngày</t>
  </si>
  <si>
    <t>+ Gía điện theo quyết định số 4495/QĐ-BCT ngày 30/11/2017 của Bộ Công Thương</t>
  </si>
  <si>
    <t>Quạt thông gió</t>
  </si>
  <si>
    <t>M637</t>
  </si>
  <si>
    <t>Ca</t>
  </si>
  <si>
    <t>Quạt thông gió 2.5 Kw</t>
  </si>
  <si>
    <t>1 vị trí</t>
  </si>
  <si>
    <t>Đã tính mua máy</t>
  </si>
  <si>
    <t>Mài lại sau khi hàn</t>
  </si>
  <si>
    <t>Xử lý lỗ khoan bị thấm nước (dùng que hàn dưới nước để xử lý).</t>
  </si>
  <si>
    <t>Mài sạch ba bia sau khi hàn</t>
  </si>
  <si>
    <t>vị trí</t>
  </si>
  <si>
    <t>Đóng nêm giảm bớt nước các lỗ xuất lộ nước có đk lớn hơn 1mm</t>
  </si>
  <si>
    <t>Nêm đồng</t>
  </si>
  <si>
    <t>Đã tính mua</t>
  </si>
  <si>
    <t>Máy nén khí</t>
  </si>
  <si>
    <t>Nhân công 4,5/7</t>
  </si>
  <si>
    <t>BS</t>
  </si>
  <si>
    <t xml:space="preserve">Lỗ khoan bị xịt nước(dùng bích ốp vào để hàn xử lý. </t>
  </si>
  <si>
    <t>trung bình dùng 3 que hàn cho 1 vị trí</t>
  </si>
  <si>
    <t>Đơn giá mục I.1 x 6 lần. vì là đơn giá trên cho 1 nút 0,01 m2. 0,06/0,01=6</t>
  </si>
  <si>
    <t>Đơn giá mục 3,2 là đơn giá cho toàn chu vi 10,048m, ở đây tính 1,4m. Cách tính: Lấy đơn giá III.2/ 10,048 *1,4</t>
  </si>
  <si>
    <t>Dây cáp nhôm 4x35</t>
  </si>
  <si>
    <t>Dây cáp nhôm 4x50</t>
  </si>
  <si>
    <t>Dây điện 2x2,5mm</t>
  </si>
  <si>
    <t>Dây điện 2x 1mm</t>
  </si>
  <si>
    <t>Dây điện đơn Cu 6mm</t>
  </si>
  <si>
    <t>Cầu dao 3 pha 100A</t>
  </si>
  <si>
    <t>Cái</t>
  </si>
  <si>
    <t>Ổ + phích chống giật</t>
  </si>
  <si>
    <t>Bộ</t>
  </si>
  <si>
    <t>Atomat 100A 3 pha</t>
  </si>
  <si>
    <t>Bóng điện 100w/220v</t>
  </si>
  <si>
    <t>Tủ hộp lắp atomat 300 x 400</t>
  </si>
  <si>
    <t>Đầu cốt A35</t>
  </si>
  <si>
    <t>Máy nén khí 24m3/h</t>
  </si>
  <si>
    <t>Máy mài khí nén</t>
  </si>
  <si>
    <r>
      <t xml:space="preserve">Đường ống khí nén </t>
    </r>
    <r>
      <rPr>
        <sz val="13"/>
        <color theme="1"/>
        <rFont val="Arial"/>
        <family val="2"/>
      </rPr>
      <t>Ø</t>
    </r>
    <r>
      <rPr>
        <sz val="13"/>
        <color theme="1"/>
        <rFont val="Times New Roman"/>
        <family val="1"/>
      </rPr>
      <t>8</t>
    </r>
  </si>
  <si>
    <t>Bộ khớp nối nhanh</t>
  </si>
  <si>
    <t>Giá đỡ kích(3bộ)</t>
  </si>
  <si>
    <t>Ống ren M50x300</t>
  </si>
  <si>
    <t>Tấm thép để kích theo biên dạng của ống(3 cái)</t>
  </si>
  <si>
    <t>Sàn thao tác(2cái)</t>
  </si>
  <si>
    <t>Kích ren 5 tấn</t>
  </si>
  <si>
    <t>Thuê xe bán tải chở người đi làm tại hầm ngang hầm phụ số 4</t>
  </si>
  <si>
    <t xml:space="preserve">Dầu diezen phục vụ máy phát điện 75KVA và xe ô tô </t>
  </si>
  <si>
    <t>lit</t>
  </si>
  <si>
    <t>Bình oxy chống ngạt</t>
  </si>
  <si>
    <t>bình</t>
  </si>
  <si>
    <t xml:space="preserve">Quần áo bảo hộ, áo đi mưa, ủng cao su, gang tay </t>
  </si>
  <si>
    <t>người</t>
  </si>
  <si>
    <t>Dụng cụ sinh hoạt và các chi phí khác</t>
  </si>
  <si>
    <t>VND</t>
  </si>
  <si>
    <t>Tiền vận chuyển thiết bị</t>
  </si>
  <si>
    <t>chuyến</t>
  </si>
  <si>
    <t>Chi phí đi lại của cán bộ công nhân</t>
  </si>
  <si>
    <t>Lắp đặt điện, thiết bị dụng cụ(kể cả phần tháo dỡ)</t>
  </si>
  <si>
    <t>Trọn gói</t>
  </si>
  <si>
    <t>Giá để máy hàn (2 cái)</t>
  </si>
  <si>
    <t>Xử lý đường ông thép áp lực</t>
  </si>
  <si>
    <t>A</t>
  </si>
  <si>
    <t>B</t>
  </si>
  <si>
    <t>C</t>
  </si>
  <si>
    <t>Máy phát điện 75 KVA 1 ca dùng 40 lít theo định mức 1134/2015/BXDx 20 ngày x 3ca. Định mức ô tô bán tải là 18 lit 1 ca</t>
  </si>
  <si>
    <t xml:space="preserve">Sơn kim hoại bằng hệ sơn PS-01 công trình thủy điện A Lưới đã được phê duyệt </t>
  </si>
  <si>
    <r>
      <t>Tạm tính theo Quyết định phê duyệt số 364/QĐ-EVNCHP ngày 40/03/2016 (</t>
    </r>
    <r>
      <rPr>
        <i/>
        <sz val="8"/>
        <color indexed="8"/>
        <rFont val="Times New Roman"/>
        <family val="1"/>
        <charset val="163"/>
      </rPr>
      <t>bao gồm Sơn lót BARRIER 77 Grey ( Jotun) độ dày lớp sơn khi khô  0,5mm + Sởn phủ bảo vệ MARATHON XHB ( Jotun) mầu Grey 38, độ dày sơn khi khô 1.5 mm)</t>
    </r>
  </si>
  <si>
    <t>Tạm tính</t>
  </si>
  <si>
    <t>Chiết tính</t>
  </si>
  <si>
    <t>Đường hàn kín nước(lỗ khoan bị thấm nước)bằng que hàn dưới nước Broco Underwater</t>
  </si>
  <si>
    <t>Máy nén khí (nhân công vận hành)</t>
  </si>
  <si>
    <t>Đường hàn kín nước (dùng tấm SUS 304 hàn đắp lên. Dùng Que hàn chịu lực E309)</t>
  </si>
  <si>
    <t>Tổng cộng trước thuế</t>
  </si>
  <si>
    <t>VAT (10%)</t>
  </si>
  <si>
    <t>Thành tiền sau thuế</t>
  </si>
  <si>
    <t>Hiệu chỉnh đơn vị</t>
  </si>
  <si>
    <t>nút</t>
  </si>
  <si>
    <t>Đường hàn kín nước (hàn lỗ khoan bị thấm nước) bằng que hàn dưới nước Broco Underwater</t>
  </si>
  <si>
    <t>Kiểm tra vết nứt sau khi hàn xử lý bằng phương pháp thẩm thấu</t>
  </si>
  <si>
    <r>
      <rPr>
        <sz val="11"/>
        <color rgb="FFFF0000"/>
        <rFont val="Times New Roman"/>
        <family val="1"/>
        <charset val="163"/>
      </rPr>
      <t>Làm sạch bề mặt sau khi hàn (bằng phương pháp</t>
    </r>
    <r>
      <rPr>
        <sz val="11"/>
        <color indexed="8"/>
        <rFont val="Times New Roman"/>
        <family val="1"/>
        <charset val="163"/>
      </rPr>
      <t xml:space="preserve"> phun bi)</t>
    </r>
  </si>
  <si>
    <t>kích thước nút (0,1x0,1)</t>
  </si>
  <si>
    <t>Mài các ba via sau khi hàn</t>
  </si>
  <si>
    <t>Đơn vị xử lý</t>
  </si>
  <si>
    <t>Coma</t>
  </si>
  <si>
    <t>SBTech</t>
  </si>
  <si>
    <r>
      <t xml:space="preserve">kích thước sơn 1 nút (0,3x0,3. </t>
    </r>
    <r>
      <rPr>
        <i/>
        <sz val="11"/>
        <color rgb="FFFF0000"/>
        <rFont val="Times New Roman"/>
        <family val="1"/>
        <charset val="163"/>
      </rPr>
      <t>Nếu dùng dán sợi cacbon thì không cần sơn.</t>
    </r>
  </si>
  <si>
    <t>X</t>
  </si>
  <si>
    <r>
      <t>Xử lý lỗ khoan bị thấm nước (</t>
    </r>
    <r>
      <rPr>
        <b/>
        <i/>
        <sz val="11"/>
        <color rgb="FFFF0000"/>
        <rFont val="Times New Roman"/>
        <family val="1"/>
        <charset val="163"/>
      </rPr>
      <t>dùng que hàn dưới nước để xử lý).</t>
    </r>
  </si>
  <si>
    <t>Dùng nêm đồng để đóng vào</t>
  </si>
  <si>
    <r>
      <t>Lỗ khoan bị xịt nước (</t>
    </r>
    <r>
      <rPr>
        <b/>
        <i/>
        <sz val="11"/>
        <color rgb="FFFF0000"/>
        <rFont val="Times New Roman"/>
        <family val="1"/>
        <charset val="163"/>
      </rPr>
      <t xml:space="preserve">dùng bích vật liệu SUS 304) ốp vào để hàn xử lý. </t>
    </r>
  </si>
  <si>
    <t>Mài phẳng các nêm đã đóng bằng máy mài hơi</t>
  </si>
  <si>
    <t>Bỏ ra vì sẽ được tính trong phần đường hàn.</t>
  </si>
  <si>
    <r>
      <t xml:space="preserve">Que hàn </t>
    </r>
    <r>
      <rPr>
        <sz val="11"/>
        <color rgb="FFFF0000"/>
        <rFont val="Times New Roman"/>
        <family val="1"/>
        <charset val="163"/>
      </rPr>
      <t>(bỏ)</t>
    </r>
  </si>
  <si>
    <r>
      <t xml:space="preserve">Thép tấm SU304 D200 </t>
    </r>
    <r>
      <rPr>
        <sz val="11"/>
        <color rgb="FFFF0000"/>
        <rFont val="Times New Roman"/>
        <family val="1"/>
        <charset val="163"/>
      </rPr>
      <t>(bỏ)</t>
    </r>
  </si>
  <si>
    <r>
      <t xml:space="preserve">Phun rộng ra mỗi bên 5cm. </t>
    </r>
    <r>
      <rPr>
        <i/>
        <sz val="11"/>
        <color rgb="FFFF0000"/>
        <rFont val="Times New Roman"/>
        <family val="1"/>
        <charset val="163"/>
      </rPr>
      <t>Kích thước làm sạch cho 1 nút (0,3x0,3)</t>
    </r>
  </si>
  <si>
    <r>
      <t xml:space="preserve">Mài rãnh mối hàn </t>
    </r>
    <r>
      <rPr>
        <sz val="11"/>
        <color rgb="FFFF0000"/>
        <rFont val="Times New Roman"/>
        <family val="1"/>
        <charset val="163"/>
      </rPr>
      <t>cũ bằng máy mài để phục vụ hàn xử lý kín nước</t>
    </r>
  </si>
  <si>
    <t>4 (BS)</t>
  </si>
  <si>
    <t>5 (BS)</t>
  </si>
  <si>
    <t>Xử lý vết nứt chu vi đoạn trên hầm phụ 4</t>
  </si>
  <si>
    <r>
      <t xml:space="preserve">Đường hàn kín nước </t>
    </r>
    <r>
      <rPr>
        <sz val="11"/>
        <color rgb="FFFF0000"/>
        <rFont val="Times New Roman"/>
        <family val="1"/>
        <charset val="163"/>
      </rPr>
      <t>(dùng tấm SUS 304 hàn đắp lên. Dùng que inox E309)</t>
    </r>
  </si>
  <si>
    <t>Mài đường hàn vết nứt theo chu vi</t>
  </si>
  <si>
    <t>Mỗi vị trí dự kiến vết nứt 300m. Mài dài thêm mỗi bên 100mm</t>
  </si>
  <si>
    <r>
      <t xml:space="preserve">Phun rộng ra mỗi bên 5cm. </t>
    </r>
    <r>
      <rPr>
        <i/>
        <sz val="11"/>
        <color rgb="FFFF0000"/>
        <rFont val="Times New Roman"/>
        <family val="1"/>
        <charset val="163"/>
      </rPr>
      <t>Kích thước làm sạch cho 1 vị trí vá là 0,6x0,2m</t>
    </r>
  </si>
  <si>
    <t>Mài ba via sau khi hàn</t>
  </si>
  <si>
    <t>Hàn vết nứt chu vi bằng phương pháp hàn vá theo chu vi đường ống</t>
  </si>
  <si>
    <t>Chiều dài ba via bằng chu vi tấm vá 0,5x0,2m</t>
  </si>
  <si>
    <t>Đường kính tấm SUS 304 là 220mmx</t>
  </si>
  <si>
    <t>mối nối giữa hai đoạn ống hiện giờ đang lệch nhau khoảng 2-3cm</t>
  </si>
  <si>
    <t>Xử lý kích đường ống cho bằng nhau tại mối hàn nối giữa 02 ống</t>
  </si>
  <si>
    <t>chiều dài đường mài khoảng 0,6m</t>
  </si>
  <si>
    <t>Đường hàn loại 1: Chiều dài vá dự kiến là 500mm và rộng là 200. Sử dụng que hàn E7018</t>
  </si>
  <si>
    <t>Đường hàn loại 2: Chiều dài vá dự kiến là 700mm và rộng là 200. Sử dụng que hàn E7018</t>
  </si>
  <si>
    <t>Chiều dài ba via bằng chu vi tấm vá 0,7x0,2m</t>
  </si>
  <si>
    <r>
      <t xml:space="preserve">kích thước sơn 1 nút (0,7x0,3). </t>
    </r>
    <r>
      <rPr>
        <i/>
        <sz val="11"/>
        <color rgb="FFFF0000"/>
        <rFont val="Times New Roman"/>
        <family val="1"/>
        <charset val="163"/>
      </rPr>
      <t>Nếu dùng dán sợi cacbon thì không cần sơn.</t>
    </r>
  </si>
  <si>
    <r>
      <t xml:space="preserve">Đường ống khí nén </t>
    </r>
    <r>
      <rPr>
        <sz val="11"/>
        <color theme="1"/>
        <rFont val="Arial"/>
        <family val="2"/>
      </rPr>
      <t>Ø</t>
    </r>
    <r>
      <rPr>
        <sz val="11"/>
        <color theme="1"/>
        <rFont val="Times New Roman"/>
        <family val="1"/>
      </rPr>
      <t>8</t>
    </r>
  </si>
  <si>
    <t>Sàn thao tác (2cái)</t>
  </si>
  <si>
    <t>Cung cấp các thiết bị vật tư phục vụ thi công trong hầm</t>
  </si>
  <si>
    <t>Phần xử lý đường ống áp lực</t>
  </si>
  <si>
    <t>Phần phụ trợ em kiến nghị lấy khối lượng của Coma lập. Các vật tư này sau khi sử dụng sẽ bàn giao lại CDDT theo tinh thần cuộc họp ngày 13/01/2018.</t>
  </si>
  <si>
    <t>Lắp đặt hệ thống điện thi công trong hầm</t>
  </si>
  <si>
    <t>trọn bộ</t>
  </si>
  <si>
    <t>MHĐM</t>
  </si>
  <si>
    <t>Mài rãnh mối hàn cũ bằng máy mài để phục vụ hàn xử lý kín nước</t>
  </si>
  <si>
    <t>Kiểm tra vết nứt sau khi hàn xử lý bằng phương pháp siêu âm</t>
  </si>
  <si>
    <t>PHỤ LỤC GIÁ VẬT LIỆU XÂY DỰNG THÁNG 11 NĂM 2017</t>
  </si>
  <si>
    <t xml:space="preserve">   (Ban hành kèm theo Công bố số: 2744/LSXD-TC ngày 08 tháng 12 năm 2017</t>
  </si>
  <si>
    <t xml:space="preserve">của Liên Sở Xây dựng - Tài chính  ) </t>
  </si>
  <si>
    <t>( Ban hành tháng 11 năm 2017 )</t>
  </si>
  <si>
    <t>Tên VLXD</t>
  </si>
  <si>
    <t>Tiêu chuẩn/Qui cách</t>
  </si>
  <si>
    <t xml:space="preserve">XI MĂNG </t>
  </si>
  <si>
    <t>Xi măng Long Thọ</t>
  </si>
  <si>
    <t>PCB30</t>
  </si>
  <si>
    <t>đ/kg</t>
  </si>
  <si>
    <t>423 Bùi Thị Xuân, Huế</t>
  </si>
  <si>
    <t>Xi măng Đồng Lâm</t>
  </si>
  <si>
    <t>Đơn giá đến chân công trình trên địa bàn toàn tỉnh Thừa Thiên Huế</t>
  </si>
  <si>
    <t>PCB40</t>
  </si>
  <si>
    <t>Xi măng Đồng Lâm (M cao hơn XM bao)</t>
  </si>
  <si>
    <t>PCB40 rời</t>
  </si>
  <si>
    <t>PC40 rời</t>
  </si>
  <si>
    <t>Xi măng Vicem Hải Vân</t>
  </si>
  <si>
    <t>TP Huế</t>
  </si>
  <si>
    <t>Xi măng Sông Gianh</t>
  </si>
  <si>
    <t>Thị trường Huế</t>
  </si>
  <si>
    <t>PC40</t>
  </si>
  <si>
    <t>Xi măng trắng</t>
  </si>
  <si>
    <t>Tính bình quân</t>
  </si>
  <si>
    <t>NHỰA ĐƯỜNG</t>
  </si>
  <si>
    <t xml:space="preserve">Nhựa đường đóng thùng IRAN 60/70 </t>
  </si>
  <si>
    <t>180,7 kg/thùng</t>
  </si>
  <si>
    <t>Cty CP Hương Thuỷ và các chi nhánh huyện</t>
  </si>
  <si>
    <t>Nhựa đường đóng phuy Shell-Singapore 60/70</t>
  </si>
  <si>
    <t>TCVN 7493:2005</t>
  </si>
  <si>
    <t>Công ty Tín Thịnh; 028.62678195; giá giao tại TP Huế</t>
  </si>
  <si>
    <t>Carboncor Asphalt</t>
  </si>
  <si>
    <t>bao 25kg</t>
  </si>
  <si>
    <t xml:space="preserve">đ/kg </t>
  </si>
  <si>
    <t xml:space="preserve">Giao chân CTrình trong phạm vi bán kính 10 km từ trung tâm TP Huế </t>
  </si>
  <si>
    <t xml:space="preserve">ĐẤT, CÁT, SẠN, ĐÁ, GẠCH NGÓI </t>
  </si>
  <si>
    <t xml:space="preserve">ĐẤT-CÁT- SẠN- ĐÁ </t>
  </si>
  <si>
    <t>Cát nền</t>
  </si>
  <si>
    <t>đ/m3</t>
  </si>
  <si>
    <t>Giá bình quân tại các bãi trên địa bàn TP Huế; giá trên phương tiện bên mua</t>
  </si>
  <si>
    <t>Cát xây</t>
  </si>
  <si>
    <t>Cát đúc</t>
  </si>
  <si>
    <t>Sạn lựa</t>
  </si>
  <si>
    <t>1x2 cm</t>
  </si>
  <si>
    <t>2x4 cm</t>
  </si>
  <si>
    <t>Sạn ngang</t>
  </si>
  <si>
    <t>4x6 cm</t>
  </si>
  <si>
    <t>Đá 1x1,9 (Thảm lớp 2)</t>
  </si>
  <si>
    <t xml:space="preserve">Công ty TNHH COXANO Hương Thọ, Mỏ đá Khe Phèn, đá loại 1, giá giao trên phương tiện vận chuyển tại Thôn Hải Cát 2, xã Hương Thọ, TX Hương Trà, TT-Huế </t>
  </si>
  <si>
    <t>Đá 1 x 2</t>
  </si>
  <si>
    <t>Đá 2 x 4</t>
  </si>
  <si>
    <t>Đá 4 x 6</t>
  </si>
  <si>
    <t>Đá cấp phối Dmax=2,5</t>
  </si>
  <si>
    <t>Đá cấp phối Dmax=3,75</t>
  </si>
  <si>
    <t>Đá 0,5 x 1</t>
  </si>
  <si>
    <t>Bột đá</t>
  </si>
  <si>
    <t>Đá hộc</t>
  </si>
  <si>
    <t>Đá 1 x 4</t>
  </si>
  <si>
    <t>Tại các bãi khai thác: bãi Hương Thọ, Hương Vân, thị xã Hương Trà; giá gồm chi phí bốc lên phương tiện bên mua.</t>
  </si>
  <si>
    <t>Đá 0 x 0,5</t>
  </si>
  <si>
    <t>Đá 0,5 x 2</t>
  </si>
  <si>
    <t>Đá 2,5 x 5</t>
  </si>
  <si>
    <t>Đá 1x1,6</t>
  </si>
  <si>
    <t>Đá 1x2 Dmax 12,5</t>
  </si>
  <si>
    <t>Đá hộc xay</t>
  </si>
  <si>
    <t>Đá 8-15 (đá ba)</t>
  </si>
  <si>
    <t>Mỏ đá bắc Khe Ly; giá trên phương tiện</t>
  </si>
  <si>
    <r>
      <t xml:space="preserve">Đất cấp phối </t>
    </r>
    <r>
      <rPr>
        <i/>
        <sz val="10"/>
        <rFont val="Times New Roman"/>
        <family val="1"/>
      </rPr>
      <t xml:space="preserve">(bao gồm thuế tài nguyên, chi phí khai thác) tại các Mỏ: Phường Hóp, Cồn Lê, đồi Kiền Kiền, huyện </t>
    </r>
    <r>
      <rPr>
        <i/>
        <u/>
        <sz val="10"/>
        <rFont val="Times New Roman"/>
        <family val="1"/>
      </rPr>
      <t>Phong Điền</t>
    </r>
    <r>
      <rPr>
        <i/>
        <sz val="10"/>
        <rFont val="Times New Roman"/>
        <family val="1"/>
      </rPr>
      <t xml:space="preserve">; Khe Băng, </t>
    </r>
    <r>
      <rPr>
        <i/>
        <u/>
        <sz val="10"/>
        <rFont val="Times New Roman"/>
        <family val="1"/>
      </rPr>
      <t>Hương Trà</t>
    </r>
    <r>
      <rPr>
        <i/>
        <sz val="10"/>
        <rFont val="Times New Roman"/>
        <family val="1"/>
      </rPr>
      <t xml:space="preserve">; Trốc Voi, núi Gích Dương, </t>
    </r>
    <r>
      <rPr>
        <i/>
        <u/>
        <sz val="10"/>
        <rFont val="Times New Roman"/>
        <family val="1"/>
      </rPr>
      <t>Hương Thủy</t>
    </r>
    <r>
      <rPr>
        <i/>
        <sz val="10"/>
        <rFont val="Times New Roman"/>
        <family val="1"/>
      </rPr>
      <t xml:space="preserve">; đồi xã Lộc Bình, đồi Động Tranh, xã Lộc Điền, núi Mỏ Điều, xã Lộc Thủy, </t>
    </r>
    <r>
      <rPr>
        <i/>
        <u/>
        <sz val="10"/>
        <rFont val="Times New Roman"/>
        <family val="1"/>
      </rPr>
      <t>Phú Lộc</t>
    </r>
  </si>
  <si>
    <t>Tại nơi khai thác; trên phương tiện</t>
  </si>
  <si>
    <t xml:space="preserve">GẠCH, NGÓI </t>
  </si>
  <si>
    <t>Gạch Tuynen</t>
  </si>
  <si>
    <t>Gạch Tuynen đặc lớn</t>
  </si>
  <si>
    <t>6x10,5x22 cm</t>
  </si>
  <si>
    <t>đ/viên</t>
  </si>
  <si>
    <t>Thị trường Huế (bán trên phương tiện bên mua)</t>
  </si>
  <si>
    <t>Gạch Tuynen đặc nhỏ</t>
  </si>
  <si>
    <t>6x9,5x20 cm</t>
  </si>
  <si>
    <t>Gạch Tuynen 2 lỗ lớn</t>
  </si>
  <si>
    <t>Gạch Tuynen 4 lỗ nhỏ</t>
  </si>
  <si>
    <t>9,5x9,5x20 cm</t>
  </si>
  <si>
    <t>Gạch Tuynen 6 lỗ nhỏ</t>
  </si>
  <si>
    <t>9,5x13,5x20 cm</t>
  </si>
  <si>
    <t>Gạch Tuynen 6 lỗ nhỏ 1/2</t>
  </si>
  <si>
    <t>9,5x13,5x10 cm</t>
  </si>
  <si>
    <t>Gạch Tuynen 6 lỗ lớn</t>
  </si>
  <si>
    <t>10,5x15x22 cm</t>
  </si>
  <si>
    <t>Gạch Tuynen 6 lỗ lớn 1/2</t>
  </si>
  <si>
    <t>10,5x15x11 cm</t>
  </si>
  <si>
    <t>Gạch xây không nung</t>
  </si>
  <si>
    <t>a</t>
  </si>
  <si>
    <t>Gạch Block Long Thọ</t>
  </si>
  <si>
    <t>Gạch Block M75 LT9-19</t>
  </si>
  <si>
    <t>9x19x39 cm</t>
  </si>
  <si>
    <t>Bán trên phương tiện tại xí nghiệp gạch Terrazzo-ngói màu Thủy Phương của công ty CP Long Thọ</t>
  </si>
  <si>
    <t>Gạch Block M75 LT10-20</t>
  </si>
  <si>
    <t>10x20x40 cm</t>
  </si>
  <si>
    <t>Gạch Block M75 LT15-19</t>
  </si>
  <si>
    <t>15x19x39 cm</t>
  </si>
  <si>
    <t>Gạch Block M75  LT-DA</t>
  </si>
  <si>
    <t>9x20x29 cm</t>
  </si>
  <si>
    <t>Gạch Block M75  LT20-20</t>
  </si>
  <si>
    <t>20x20x40 cm</t>
  </si>
  <si>
    <t>Gạch Block M75 LT6-L</t>
  </si>
  <si>
    <t>10x15x20 cm</t>
  </si>
  <si>
    <t>Gạch bê tông đặc M75 LT-TH</t>
  </si>
  <si>
    <t>Gạch Block M75 LT6-L (6 lỗ)</t>
  </si>
  <si>
    <t>b</t>
  </si>
  <si>
    <t>Gạch Bê tông Việt Nhật</t>
  </si>
  <si>
    <t>Trên phương tiện tại kho cty CP Gạch Tuynel Hương Thủy, ĐT: 0234.3951234 Fax:0234.3861600</t>
  </si>
  <si>
    <t>Gạch bê tông 6 lỗ VN-20R6, M75</t>
  </si>
  <si>
    <t>Gạch bê tông đặc VN-Đ20, M100</t>
  </si>
  <si>
    <t>Gạch bê tông đặc VN-Đ20, M75</t>
  </si>
  <si>
    <t>Gạch block bê tông M75,VN-R90-390</t>
  </si>
  <si>
    <t>Gạch block bê tông M75, VN-R140-390</t>
  </si>
  <si>
    <t>14x19x39 cm</t>
  </si>
  <si>
    <t>Gạch block bê tông M75, VN-R190-390</t>
  </si>
  <si>
    <t>19x19x39 cm</t>
  </si>
  <si>
    <t>Gạch block bê tông M75, VN-R120-400</t>
  </si>
  <si>
    <t>12x20x40 cm</t>
  </si>
  <si>
    <t>Gạch block bê tông M75, VN-R200-400</t>
  </si>
  <si>
    <t>c</t>
  </si>
  <si>
    <t>Gạch nhẹ Trường An</t>
  </si>
  <si>
    <t>Công ty TNHH Trường An, giá tại nhà máy gạch Phú Đa trên phương tiện vận chuyển</t>
  </si>
  <si>
    <t>Gạch nhẹ D900</t>
  </si>
  <si>
    <t>10x30x60 (cm)</t>
  </si>
  <si>
    <t>10x20x60</t>
  </si>
  <si>
    <t>10,5x22x40</t>
  </si>
  <si>
    <t>15x20x40</t>
  </si>
  <si>
    <t>10x20x40</t>
  </si>
  <si>
    <t>d</t>
  </si>
  <si>
    <t>Gạch không nung 83</t>
  </si>
  <si>
    <t>Công ty TNHH XDTM 83; NMSX:61 Nguyễn Viết Xuân, phường Thủy Phương, TX Hương Thủy, giá trên phương tiện tại NM, SĐT:0903.503.354</t>
  </si>
  <si>
    <t>Gạch bê tông đặc M75</t>
  </si>
  <si>
    <t>Gạch block M75</t>
  </si>
  <si>
    <t>20x20x40</t>
  </si>
  <si>
    <t>Gạch block (6 lổ) M50</t>
  </si>
  <si>
    <t>10x15x20</t>
  </si>
  <si>
    <t>e</t>
  </si>
  <si>
    <t>Gạch Block Hương Trà</t>
  </si>
  <si>
    <t xml:space="preserve">Công ty Nghiên cứu khoa học và chuyển giao công nghệ Huế; 21 Hai Bà Trưng, Huế; Giá đã bao gồm chi phí bốc xếp tại chân công trình (không tính đường Kiệt) tại thành phố Huế </t>
  </si>
  <si>
    <t>Gạch bê tông 2 lỗ, M75</t>
  </si>
  <si>
    <t>Gạch bê tông 2 lỗ, M100</t>
  </si>
  <si>
    <t>19x19x39</t>
  </si>
  <si>
    <t>9x19x39</t>
  </si>
  <si>
    <t>Gạch bê tông 6 lỗ, M75</t>
  </si>
  <si>
    <t>9,5x14x19,5</t>
  </si>
  <si>
    <t>Gạch bê tông 6 lỗ, M100</t>
  </si>
  <si>
    <t>Gạch đặc, M75</t>
  </si>
  <si>
    <t>6,5x9,5x19,5</t>
  </si>
  <si>
    <t>Gạch đặc, M100</t>
  </si>
  <si>
    <t>Gạch - Ngói, tấm lợp</t>
  </si>
  <si>
    <t>Gạch lát vỉa hè</t>
  </si>
  <si>
    <t>Tại Công ty CP VLXD số 1 Thừa Thiên Huế Thị trấn Tứ Hạ, thị xã Hương Trà (bao gồm bốc lên phương tiện )</t>
  </si>
  <si>
    <t>Gạch con sâu, hoa thị, UD: không màu</t>
  </si>
  <si>
    <t>M#150</t>
  </si>
  <si>
    <t>đ/m2</t>
  </si>
  <si>
    <t>Gạch con sâu, hoa thị, UD: màu đỏ</t>
  </si>
  <si>
    <t xml:space="preserve">Gạch bóng mặt men hoa thị màu vàng, xanh crom </t>
  </si>
  <si>
    <t>Gạch bóng mặt men vuông không màu</t>
  </si>
  <si>
    <t>Gạch bóng mặt men vuông màu đỏ</t>
  </si>
  <si>
    <t>Gạch bóng mặt men vuông màu vàng, xanh crom</t>
  </si>
  <si>
    <t>Gạch bóng mặt men lá phong không màu</t>
  </si>
  <si>
    <t>Gạch bóng mặt men lá phong màu đỏ</t>
  </si>
  <si>
    <t>Gạch bóng mặt men lá phong màu vàng, xanh</t>
  </si>
  <si>
    <t>Vật liệu T/C mương thoát nước</t>
  </si>
  <si>
    <t>Tấm vỏ mỏng U40 M#200</t>
  </si>
  <si>
    <t>Dài 0,5 m/tấm</t>
  </si>
  <si>
    <t>đ/tấm</t>
  </si>
  <si>
    <t>Tấm vỏ mỏng U50 M#200</t>
  </si>
  <si>
    <t>Tấm vỏ mỏng U60 M#200</t>
  </si>
  <si>
    <t>Ngói màu Long Thọ (Mẫu mới)</t>
  </si>
  <si>
    <t>Bán trên phương tiện tại kho của công ty CP Long Thọ (423 Bùi Thị Xuân, Huế; XN gạch Terrazzo-Ngói màu Thủy Phương, thị xã Hương Thủy.</t>
  </si>
  <si>
    <t>Ngói chính</t>
  </si>
  <si>
    <t>423x336</t>
  </si>
  <si>
    <t>Ngói nóc, rìa</t>
  </si>
  <si>
    <t>Ngói đầu nóc, cuối nóc, cuối rìa</t>
  </si>
  <si>
    <t>Gạch Terrazzo Long Thọ</t>
  </si>
  <si>
    <t>Gạch lát Terrazzo màu đen</t>
  </si>
  <si>
    <t>30x30x2,8 cm</t>
  </si>
  <si>
    <t>Gạch lát Terrazzo màu xanh</t>
  </si>
  <si>
    <t>Gạch lát Terrazzo các màu khác</t>
  </si>
  <si>
    <t>Tấm lợp Fibrocement Long Thọ</t>
  </si>
  <si>
    <t>Fibrocement (tấm nóc)</t>
  </si>
  <si>
    <t>400x880mm</t>
  </si>
  <si>
    <t>Fibrocement</t>
  </si>
  <si>
    <t>5x870x1200mm</t>
  </si>
  <si>
    <t>5x870x1500mm</t>
  </si>
  <si>
    <t>5x870x1800mm</t>
  </si>
  <si>
    <t>f</t>
  </si>
  <si>
    <t>Gạch Terrazzo Việt Nhật</t>
  </si>
  <si>
    <t>30x30x3 cm</t>
  </si>
  <si>
    <t>g</t>
  </si>
  <si>
    <t>Gạch tự chèn Việt Nhật</t>
  </si>
  <si>
    <t>Gạch con sâu màu đen M150</t>
  </si>
  <si>
    <t>Gạch con sâu màu xanh crom M150</t>
  </si>
  <si>
    <t>Gạch con sâu các màu khác M150</t>
  </si>
  <si>
    <t>Gạch lát vỉa hè màu đen, M150</t>
  </si>
  <si>
    <t>30x30x6 cm</t>
  </si>
  <si>
    <t>Gạch lát vỉa hè màu xanh crom, M150</t>
  </si>
  <si>
    <t>Gạch lát vỉa hè các màu khác, M150</t>
  </si>
  <si>
    <t>i</t>
  </si>
  <si>
    <t>Gạch Terrazzo Thành An Phát</t>
  </si>
  <si>
    <t>Giá trên phương tiện bê mua tại  02 Sóng Hồng, phường Phú Bài, Hương Thủy</t>
  </si>
  <si>
    <t>Gạch lát Terrazzo màu khác</t>
  </si>
  <si>
    <t>k</t>
  </si>
  <si>
    <t>Gạch Terrazzo Tân Bảo Thành</t>
  </si>
  <si>
    <t>Giá trên phương tiện bê mua tại  07 Cách Mạng Tháng 8, P.Tứ Hạ, TX Hương Trà.</t>
  </si>
  <si>
    <t>40x40x3 cm</t>
  </si>
  <si>
    <t>Gạch ốp lát</t>
  </si>
  <si>
    <r>
      <t xml:space="preserve">Gạch Thạch Bàn, </t>
    </r>
    <r>
      <rPr>
        <b/>
        <u/>
        <sz val="11"/>
        <rFont val="Times New Roman"/>
        <family val="1"/>
      </rPr>
      <t>Loại A1</t>
    </r>
  </si>
  <si>
    <r>
      <t xml:space="preserve">Công ty CP Thạch Bàn Miền Trung, 149 Phan Chu Trinh, Quận Hải Châu, Đà Nẵng; Sđt: 0236.3816.254; Fax: 0236.3871.948; Giá bán trên địa bàn tỉnh Thừa Thiên Huế; Giá bán sản phẩm </t>
    </r>
    <r>
      <rPr>
        <u/>
        <sz val="8"/>
        <rFont val="Times New Roman"/>
        <family val="1"/>
      </rPr>
      <t>loại A</t>
    </r>
    <r>
      <rPr>
        <sz val="8"/>
        <rFont val="Times New Roman"/>
        <family val="1"/>
      </rPr>
      <t xml:space="preserve"> bằng 85%A1.</t>
    </r>
  </si>
  <si>
    <t>Gạch Cera 30x60, men bóng, ốp tường</t>
  </si>
  <si>
    <t>TLP, TLB, TDP, TDB</t>
  </si>
  <si>
    <t>Gạch Cera ốp trang trí 30x60, men bóng, ốp tường</t>
  </si>
  <si>
    <t>TKP, TIP, THP, TKB, TIB, THB…</t>
  </si>
  <si>
    <t>Gạch Cera 30x60, men Matt</t>
  </si>
  <si>
    <t>MLP, MLB, MDP, MDB</t>
  </si>
  <si>
    <t>Gạch Cera ốp trang trí 30x60, men Matt</t>
  </si>
  <si>
    <t>MIP, MHP, MMP, MIP, MKP, MIB, MHB, MMB, MIB, MKB</t>
  </si>
  <si>
    <t>Gạch 30x30, lát sàn vệ sinh, men Matt</t>
  </si>
  <si>
    <t>MSP</t>
  </si>
  <si>
    <t>Gạch Granite 30x60, men khô, phẳng</t>
  </si>
  <si>
    <t>MPF</t>
  </si>
  <si>
    <t>Gạch Granite 30x60, men khô, hiệu ứng</t>
  </si>
  <si>
    <t>MPH</t>
  </si>
  <si>
    <t>Gạch Granite 60x60, men khô, phẳng</t>
  </si>
  <si>
    <t>Gạch Granite 60x60, men khô, hiệu ứng</t>
  </si>
  <si>
    <t>Gạch Granite 80x80, men khô, phẳng</t>
  </si>
  <si>
    <t>Gạch Granite 80x80, men khô, hiệu ứng</t>
  </si>
  <si>
    <t>Gạch Granite 60x60, siêu bóng pha lê</t>
  </si>
  <si>
    <t>BCN</t>
  </si>
  <si>
    <t>Gạch Granite 80x80, siêu bóng pha lê</t>
  </si>
  <si>
    <r>
      <t xml:space="preserve">Gạch Đồng Tâm </t>
    </r>
    <r>
      <rPr>
        <b/>
        <u/>
        <sz val="11"/>
        <rFont val="Times New Roman"/>
        <family val="1"/>
      </rPr>
      <t>loại AA</t>
    </r>
  </si>
  <si>
    <t>Công ty TNHH MTV Thương mại Đồng Tâm, giá bán tại các đại lý trên địa bàn tỉnh Thừa Thiên Huế.</t>
  </si>
  <si>
    <t>Granite 30x30</t>
  </si>
  <si>
    <t>3030FOSSIL001</t>
  </si>
  <si>
    <t>Granite 30x60</t>
  </si>
  <si>
    <t>3060GALAXY001/002</t>
  </si>
  <si>
    <t>Granite 40x80</t>
  </si>
  <si>
    <t>DTD4080GOSAN004/005</t>
  </si>
  <si>
    <t>Ceramic 40x40</t>
  </si>
  <si>
    <t>462;463;464;465;467;469</t>
  </si>
  <si>
    <t>Ceramic 30x30</t>
  </si>
  <si>
    <t>300; 345; 387</t>
  </si>
  <si>
    <t>Ceramic 25x25</t>
  </si>
  <si>
    <t>2525CARO019; 2525HOADA002/004</t>
  </si>
  <si>
    <t>Ceramic 20x20</t>
  </si>
  <si>
    <t>TL01/TL03</t>
  </si>
  <si>
    <t>Ceramic 30x60</t>
  </si>
  <si>
    <t>3060CARARASS002</t>
  </si>
  <si>
    <t>Ceramic 30x45</t>
  </si>
  <si>
    <t>3045HAIVAN001; 3045PHALE001</t>
  </si>
  <si>
    <t>Ceramic 25x40</t>
  </si>
  <si>
    <t>2540CARO018; 2540HOADA001</t>
  </si>
  <si>
    <t>Ceramic 20x25</t>
  </si>
  <si>
    <t>2541;2520</t>
  </si>
  <si>
    <t>Gạch viền trang trí 7x30</t>
  </si>
  <si>
    <t>Thùng 10 viên (V0730FALL001,002,003)</t>
  </si>
  <si>
    <t>đ/thùng</t>
  </si>
  <si>
    <t>Gạch kính trắng 19x19x9,5</t>
  </si>
  <si>
    <t>Thùng 6 viên</t>
  </si>
  <si>
    <t>KIM KHÍ</t>
  </si>
  <si>
    <t>ĐINH SẮT</t>
  </si>
  <si>
    <t xml:space="preserve"> Đinh </t>
  </si>
  <si>
    <t>TÔN LỢP VIỆT NHẬT-PHƯƠNG NAM-SSSC</t>
  </si>
  <si>
    <t>Tôn mạ màu liên doanh Việt Nhật - Phương Nam SSSC</t>
  </si>
  <si>
    <t>CÔNG TY CỔ PHẦN HƯƠNG THỦY.
* Tru sở: 1151 Nguyễn Tất Thành- TX Hương Thủy -TT Huế. ĐT: 0234.3862264 Fax:0234.3861600;
* Xí nghiệp cơ khí Huế Tôn: 496 Nguyễn Tất Thành- Hương Thuỷ;
* CN xưởng Huế tôn Tứ Hạ, số 30 CM tháng 8, KV10- TX Hương Trà;     
* CN xưởng Huế Tôn Thủy Phù ĐC: Quốc lộ 1A, Thủy Phù -TT Huế;         
* CN Xưởng Huế Tôn A Lưới; thôn Quảng Hợp, xã Sơn Thủy, A Lưới;
* Quầy VLXD Trung Tâm: 1054 Nguyễn Tất Thành, Hương Thủy.</t>
  </si>
  <si>
    <t xml:space="preserve">Tôn laphông </t>
  </si>
  <si>
    <t>0,22(mm) x 1,12(m)</t>
  </si>
  <si>
    <t>đ/m</t>
  </si>
  <si>
    <t xml:space="preserve">Tôn mạ màu </t>
  </si>
  <si>
    <t>0,25 x1,08</t>
  </si>
  <si>
    <t>0,3 x 1,08</t>
  </si>
  <si>
    <t>0,35 x 1,08</t>
  </si>
  <si>
    <t>0,40 x 1,08</t>
  </si>
  <si>
    <t>0,45 x 1,08</t>
  </si>
  <si>
    <t>Tôn mạ màu dạng sóng tròn (14 sóng)</t>
  </si>
  <si>
    <t>0,25(mm) x0,95(m)</t>
  </si>
  <si>
    <t>0,3 x 0,95</t>
  </si>
  <si>
    <t>0,35 x 0,95</t>
  </si>
  <si>
    <t>0,40 x 0,95</t>
  </si>
  <si>
    <t>0,45 x 0,95</t>
  </si>
  <si>
    <t>Tôn lạnh</t>
  </si>
  <si>
    <t>Tôn lạnh laphông</t>
  </si>
  <si>
    <t>0,22 x 1,12</t>
  </si>
  <si>
    <t>Tôn lạnh phương nam</t>
  </si>
  <si>
    <t>0,29 x 1,08</t>
  </si>
  <si>
    <t>0,34 x 1,08</t>
  </si>
  <si>
    <t>0,39 x 1,08</t>
  </si>
  <si>
    <t>0,44 x 1,08</t>
  </si>
  <si>
    <t>NHÀ THÉP TIỀN CHẾ</t>
  </si>
  <si>
    <t>Nhà thép tiền chế dạng khung Tiệp</t>
  </si>
  <si>
    <r>
      <t xml:space="preserve">Nhà thép tiền chế dạng kết cấu chữ </t>
    </r>
    <r>
      <rPr>
        <b/>
        <sz val="11"/>
        <rFont val="Times New Roman"/>
        <family val="1"/>
      </rPr>
      <t>H</t>
    </r>
  </si>
  <si>
    <t>D</t>
  </si>
  <si>
    <t>TÔN VIỆT Ý</t>
  </si>
  <si>
    <t>Tôn lợp mạ màu</t>
  </si>
  <si>
    <t>Công ty Cổ phần Tôn Ma VNSTEEL Thăng Long, Lô 14 KCN Quang Minh, Mê Linh, Hà nội, Tel: 024.35840648, fax: 024.38134562; Giá bán tại các đại lý phân phối trên địa bàn tỉnh Thừa Thiên Huế: Công ty CP Hương Thủy, Cty Chiến Quý; giá đã bao gồm chi phí vận chuyển đến chân công trình trên địa bàn tỉnh Thừa Thiên Huế.</t>
  </si>
  <si>
    <t>Tôn lợp mạ màu (9 sóng, 11 sóng), khổ 1080</t>
  </si>
  <si>
    <t>Tôn sóng dân dụng dày 0,3 mm</t>
  </si>
  <si>
    <t>0,3(mm) x 1,08(m)</t>
  </si>
  <si>
    <t>Tôn sóng dân dụng dày 0,35 mm</t>
  </si>
  <si>
    <t>Tôn sóng dân dụng dày 0,37 mm</t>
  </si>
  <si>
    <t>0,37 x 1,08</t>
  </si>
  <si>
    <t>Tôn sóng công nghiệp dày 0,4 mm</t>
  </si>
  <si>
    <t>0,4 x 1,08</t>
  </si>
  <si>
    <t>Tôn sóng công nghiệp dày 0,42 mm</t>
  </si>
  <si>
    <t>0,42 x 1,08</t>
  </si>
  <si>
    <t>Tôn sóng công nghiệp dày 0,45 mm</t>
  </si>
  <si>
    <t>Tôn sóng công nghiệp dày 0,47 mm</t>
  </si>
  <si>
    <t>0,47 x 1,08</t>
  </si>
  <si>
    <t>Tôn sóng công nghiệp dày 0,5 mm</t>
  </si>
  <si>
    <t>0,5 x 1,08</t>
  </si>
  <si>
    <t>Sóng Cliplock (G300-G500)</t>
  </si>
  <si>
    <t>Tôn sóng khổ 948, dày 0,4 mm</t>
  </si>
  <si>
    <t>0,4(mm) x 0,948(m)</t>
  </si>
  <si>
    <t>Tôn sóng khổ 948, dày 0,42 mm</t>
  </si>
  <si>
    <t>0,42 x 0,948</t>
  </si>
  <si>
    <t>Tôn sóng khổ 948, dày 0,45 mm</t>
  </si>
  <si>
    <t>0,45 x 0,948</t>
  </si>
  <si>
    <t>Tôn sóng khổ 948, dày 0,47 mm</t>
  </si>
  <si>
    <t>0,47 x 0,948</t>
  </si>
  <si>
    <t>Tôn sóng khổ 948, dày 0,5 mm</t>
  </si>
  <si>
    <t>0,5 x 0,948</t>
  </si>
  <si>
    <t>Tôn sóng khổ 948, dày 0,6 mm</t>
  </si>
  <si>
    <t>0,6 x 0,948</t>
  </si>
  <si>
    <t>Máng nước, tấm ốp</t>
  </si>
  <si>
    <t>Tấm ốp, máng nước</t>
  </si>
  <si>
    <t>0,47 x 300 x 1000 (mm)</t>
  </si>
  <si>
    <t xml:space="preserve">0,47 x 400 x 1000 </t>
  </si>
  <si>
    <t>0,47 x 600 x 1000</t>
  </si>
  <si>
    <t xml:space="preserve">0,47 x 1200 x 1000 </t>
  </si>
  <si>
    <t>E</t>
  </si>
  <si>
    <t>THÉP</t>
  </si>
  <si>
    <t>Thép hình, thép tấm, thép lá</t>
  </si>
  <si>
    <t>Thép hình I, U</t>
  </si>
  <si>
    <t>Thép hình V</t>
  </si>
  <si>
    <t>Thép tấm</t>
  </si>
  <si>
    <t>Thép lá</t>
  </si>
  <si>
    <t>Thép buộc:</t>
  </si>
  <si>
    <t>Thép buộc</t>
  </si>
  <si>
    <t>01mm/cuộn</t>
  </si>
  <si>
    <t>Thép Việt Mỹ</t>
  </si>
  <si>
    <t>Công ty CPSX Thép Việt Mỹ Tel: 0236.3739579; Fax 0236.3739919; Giá bán tại TP Huế trên phương tiện vận chuyển của bên bán.</t>
  </si>
  <si>
    <t>Thép cuộn Fi 6,8</t>
  </si>
  <si>
    <t>CB300-T</t>
  </si>
  <si>
    <t>Thép thanh vằn D10</t>
  </si>
  <si>
    <t>CB300-V/CB400-V</t>
  </si>
  <si>
    <t>Thép thanh vằn D12-D20</t>
  </si>
  <si>
    <t>CB300-V</t>
  </si>
  <si>
    <t>Thép thanh vằn D12-D32</t>
  </si>
  <si>
    <t>CB400-V</t>
  </si>
  <si>
    <t>CB500-V</t>
  </si>
  <si>
    <t xml:space="preserve">Thép Hòa Phát </t>
  </si>
  <si>
    <t>Thép cuộn</t>
  </si>
  <si>
    <t>CB240-T</t>
  </si>
  <si>
    <t>Thép cây D10, L=11,7m</t>
  </si>
  <si>
    <t>SD295A, CB300-V</t>
  </si>
  <si>
    <t>Thép cây D12, L=11,7m</t>
  </si>
  <si>
    <t>Thép cây D14-D22, L=11,7m</t>
  </si>
  <si>
    <t>Thép cây D14-D25, L=11,7m</t>
  </si>
  <si>
    <t>F</t>
  </si>
  <si>
    <t>XÀ GỒ THÉP MẠ KẼM C</t>
  </si>
  <si>
    <t>C 40 x 80 x 1.8</t>
  </si>
  <si>
    <t>Mạ kẽm</t>
  </si>
  <si>
    <t>C 40 x 100 x 1.8</t>
  </si>
  <si>
    <t>C 45 x 80 x 1.8</t>
  </si>
  <si>
    <t>C 45 x 100 x 1.8</t>
  </si>
  <si>
    <t>C 45 x 100 x 2,0</t>
  </si>
  <si>
    <t>C 50 x 100 x 2.0</t>
  </si>
  <si>
    <t>C 45 x 125 x 2.0</t>
  </si>
  <si>
    <t>C 45 x 150 x 2.0</t>
  </si>
  <si>
    <t>C 50 x 150 x 2.0</t>
  </si>
  <si>
    <t>C 65 x 200 x 2.0</t>
  </si>
  <si>
    <t>G</t>
  </si>
  <si>
    <t xml:space="preserve">LƯỚI THÉP </t>
  </si>
  <si>
    <t>Lưới B40 Sài Gòn (3 ly hoặc 3,5 ly)</t>
  </si>
  <si>
    <t>Sài Gòn</t>
  </si>
  <si>
    <t>Lưới B40 (SG)+Kẽm gai (2,7 ly)</t>
  </si>
  <si>
    <t>H</t>
  </si>
  <si>
    <t>THÉP SEAH VIỆT NAM</t>
  </si>
  <si>
    <t>Ống thép đen (tròn, vuông, hộp) độ dày 1,0mm đến 1,5mm. Đường kính từ DN10 đến DN100</t>
  </si>
  <si>
    <t>BS 1387; ASTM A53/A500; JIS G3444/3452/3454; JIS C8305; KS D3507/3562; API 5L/5CT.</t>
  </si>
  <si>
    <t>Số 7, đường 3A KCN Biên Hòa II, Đồng Nai ĐT: 0251.3833.733, Fax: 02513.836.997; giá giao hàng tại tỉnh Thừa Thiên Huế, không gồm chi phí bốc xếp</t>
  </si>
  <si>
    <t>Ống thép đen (tròn, vuông, hộp) độ dày 1,6mm đến 1,9mm. Đường kính từ DN10 đến DN100</t>
  </si>
  <si>
    <t>Ống thép đen (tròn, vuông, hộp) độ dày 2,0mm đến 5,4mm. Đường kính từ DN10 đến DN100</t>
  </si>
  <si>
    <t>Ống thép đen độ dày 3,4 đến 8,2 mm. Đường kính từ DN125 đến DN200</t>
  </si>
  <si>
    <t>Ống thép đen độ dày trên 8,2 mm. Đường kính từ DN125 đến DN200</t>
  </si>
  <si>
    <t>BU LÔNG</t>
  </si>
  <si>
    <t>Bu lông M6x20</t>
  </si>
  <si>
    <t>đ/cái</t>
  </si>
  <si>
    <t>Bu lông M8x20</t>
  </si>
  <si>
    <t>Bu lông M6x24</t>
  </si>
  <si>
    <t>Bu lông M8x24</t>
  </si>
  <si>
    <t>Bu lông M6x30</t>
  </si>
  <si>
    <t>Bu lông M8x30</t>
  </si>
  <si>
    <t>V</t>
  </si>
  <si>
    <t>CỬA CÁC LOẠI</t>
  </si>
  <si>
    <t>CỬA MAI ANH WINDOW</t>
  </si>
  <si>
    <t>Cửa nhựa uPVC (Profile SPARLEE Hệ châu Á; lõi thép dày 1,2mm-kính trắng Việt Nhật 6,38mm)</t>
  </si>
  <si>
    <t>CÔNG TY TNHH MAI ANH, Số 52A Đào Tấn, P. Phước Vĩnh, TP Huế, TT Huế. Tel: 02343898123, Giá chênh lệnh so với kính trắng 6,38mm; Kính 6,38 mờ +95.000 đ/m2; Kính 8,38mm trắng+350.000 đ/m2, kính mờ+65.000 đ/m2; Kính cường lực 8mm+350.000 đ/m2; Kính cường lực 10mm+385.000 đ/m2 -Đơn giá đã bao gồm vận chuyển và lắp đặt tại công trình trên địa bàn TT-Huế</t>
  </si>
  <si>
    <t>Hệ vách kính, chia đố cố định</t>
  </si>
  <si>
    <t>Cửa sổ 2-4 cánh mở trượt, chưa bao gồm PKKK GQ tay nắm CS, thanh nẹp CS, phòng gió, chống rung, ray nhôm, chốt phụ 625.240 đ/bộ</t>
  </si>
  <si>
    <t>Cửa sổ mở hất, mở quay một cánh, chưa bao gồm PKKK GQ: tay nắm CS, thanh nẹp CS, bản lề chữ A chống va đập, thanh chống  757.830 đ/bộ</t>
  </si>
  <si>
    <t>Cửa sổ 2 cánh mở quay, chưa bao gồm PKKK GQ: Bản lề chữ A, thanh nẹp CS, chốt cánh phụ, tay nắm CS  1.310.000 đ/bộ</t>
  </si>
  <si>
    <t>Hệ cửa đi 1 cánh mở quay, chưa bao gồm PKKK GQ: 03 bản lề 3D, thanh chuyển động khóa đa điểm có lẫy gà, hai đầu chìa 1.680.000 đ/bộ</t>
  </si>
  <si>
    <t>Hệ cửa đi 2 cánh mở quay, chưa bao gồm PKKK GQ: 06 bản lề 3D, thanh chuyển động khóa đa điểm hai đầu chìa, sử dụng thanh celemol cánh phụ 2.750.000 đ/bộ</t>
  </si>
  <si>
    <t>Cửa nhôm cao cấp (Profile Xingfa nhập khẩu; dày trung bình 1,4-2,5mm; kính trắng Việt Nhật 6,38mm), PKKK: Kinlong.</t>
  </si>
  <si>
    <t>Vách kính dày 1,4mm; vách ngăn chia đố cố định hoặc kết hợp cửa (Hệ 55)</t>
  </si>
  <si>
    <t>Cửa đi lùa, sổ lùa; cửa đi, cửa sổ mở hai rây trượt 2-4 cánh, chưa bao gồm PKKK: cửa sổ mở trượt: thanh khóa chuyển động, tay nắm, bánh xe: 1.050.000 đ/bộ; PKKK: cửa đi mở trượt: thanh chuyển động, khóa đa điểm, ray đồng: 2.520.000 đ/bộ (Hệ 2001 dày 2,0mm)</t>
  </si>
  <si>
    <t>Cửa sổ mở quay 1-2 cánh, chưa bao gồm PKKK: cửa sổ mở quay 1 cánh: Bàn lề chữ A, thanh khóa chuyển động, tay nắm, chống xệ 1.150.000 đ/bộ; chưa bao gồm PKKK: cửa sổ mở quay 2 cánh, bàn lề chữ A, thanh khóa chuyển động, tay nắm, chống xệ, chốt cánh phụ: 1.393.000 đ/bộ (Hệ 55 dày 1,4mm tương đương Hệ 1000)</t>
  </si>
  <si>
    <t>Cửa đi 1 cánh mở quay, chưa bao gồm PKKK: Bản lề 3D, khóa đa điểm có lẫy gà 2.350.000 đ/bộ (Hệ 55 dày 2,0mm tương đương Hệ 1000)</t>
  </si>
  <si>
    <t>Cửa đi 2 cánh mở quay, chưa bao gồm PKKK: Bản lề 3D, thanh chuyển động khóa đa điểm, 2 chốt cánh phụ 3.575.000 đ/bộ (Hệ 55 dày 2,0mm tương đương Hệ 1000)</t>
  </si>
  <si>
    <t>Cửa đi 4 cánh mở quay, chưa bao gồm PKKK: Bản lề 3D, thanh chuyển động khóa đa điểm, 6 chốt cánh phụ 7.020.000 đ/bộ (Hệ 55 dày 2,0mm tương đương Hệ 1000)</t>
  </si>
  <si>
    <t>Cửa đi 4 cánh xếp trượt, chưa bao gồm PKKK: Bản lề gấp mở trượt, thanh chuyển động khóa đa điểm, 1 bộ bánh xe trượt trên dưới, bộ chốt cánh phụ 9.150.000 đ/bộ (Hệ EURS45 dày 2,0mm tương đương Hệ 1000)</t>
  </si>
  <si>
    <t>Hệ vách kính mặt dựng lộ đố kính đơn dày 2,5mm; vách kính chia đố mặt dựng (Hệ 65 tương đương Hệ 1000)</t>
  </si>
  <si>
    <t>CỬA NHỰA uPVC SKYDOOR (Profile SPARLEE hệ châu Á-hãng SHIDE; lõi thép dày 1,4mm; PKKK GQ-kính trắng Việt Nhật 5mm)</t>
  </si>
  <si>
    <t>Hệ vách kính</t>
  </si>
  <si>
    <t>CÔNG TY CP SKY DOOR; ĐC: 146 Lê Duẩn, TP Huế, ĐT: 0946 400 990  Fax: 0234.3533977; Giá chênh lệch so với kính trắng 5mm:  Kính 6,38mm trắng + 280.000 đồng, kính 6,38mm mờ hoặc 8,38mm trắng + 400.000 đồng, kính 8.00mm cường lực + 300.000 đồng; Đơn giá đã bao gồm vận chuyển và lắp đặt tại công trình trên địa bàn TT-Huế</t>
  </si>
  <si>
    <t>Vách kính vòng cung</t>
  </si>
  <si>
    <t>Cửa sổ 2, 4 cánh mở trượt, chưa bao gồm PKKK: Vấu chốt, thanh chuyển động, tay nắm mở trượt, bánh xe đơn, chốt cánh phụ 600.000 đ/bộ</t>
  </si>
  <si>
    <t>Cửa sổ mở hất, chưa bao gồm PKKK: thanh chuyển động, thanh chống gió, lề chữ A, tay nắm 800.000 đ/bộ</t>
  </si>
  <si>
    <t>Cửa sổ 1 cánh mở quay, chưa bao gồm PKKK:  Thanh chuyển động, vấu chốt; tay nắm mở quay, bản lề chữ A 820.000 đ/bộ</t>
  </si>
  <si>
    <t>Cửa sổ 2 cánh mở quay, chưa bao gồm PKKK: Thanh chuyển động, vấu chốt; tay nắm mở quay, bản lề chữ A, bộ chốt cánh phụ trên dưới 1.240.000 đ/bộ</t>
  </si>
  <si>
    <t>Cửa sổ 4 cánh mở quay, chưa bao gồm PKKK: Thanh chuyển động, vấu chốt; tay nắm mở quay, bản lề chữ A, bộ chốt cánh phụ trên dưới 4.500.000 đ/bộ</t>
  </si>
  <si>
    <t>Hệ cửa đi 1 cánh mở quay, chưa bao gồm PKKK:  Lề 3D, thanh khóa chuyển động đa điểm , vấu chốt, tay nắm mở đôi, ổ khóa chốt hai đầu chìa + nắp đậy khóa 1.650.000 đ/bộ</t>
  </si>
  <si>
    <t>Hệ cửa đi 2 cánh mở quay, chưa bao gồm PKKK: Lề 3D, thanh khóa chuyển động đa điểm, vấu chốt, tay nắm mở đôi, ổ khóa chốt hai đầu chìa + nắp đậy khóa, bộ chốt cánh phụ 2.540.000 đ/bộ</t>
  </si>
  <si>
    <t>Hệ cửa đi 2 cánh mở trượt, chưa bao gồm PKKK: thanh khóa chuyển động; tay nắm đôi; vấu chốt, bánh xe đôi, ray trượt 1.080.000 đ/bộ</t>
  </si>
  <si>
    <t>Hệ cửa đi 4 cánh mở quay, chưa bao gồm PKKK:  lề 3D, lề trung gian,  thanh khóa chuyển động, vấu chốt, tay nắm mở đôi, ổ khóa chốt hai đầu chìa, nắp đậy khóa, thanh kelemon 10.500.000 đ/bộ</t>
  </si>
  <si>
    <t>Hệ cửa đi 1 cánh mở quay-dùng trên kính dưới lá sách, chưa bao gồm PKKK: Lề 3D, thanh khóa chuyển động đa điểm, vấu chốt, tay nắm mở đôi, ổ khóa chốt hai đầu chìa + nắp đậy khóa 1.650.000 đ/bộ</t>
  </si>
  <si>
    <t>CỬA NHỰA uPVC VIETSEC WINDOW (Lõi thép dày 1,4 mm)</t>
  </si>
  <si>
    <t>Cửa nhựa lõi thép VIETSEC WINDOW, thanh profile SPARLEE- Hãng SHIDE, hệ châu Á, kính trắng Việt Nhật 5mm</t>
  </si>
  <si>
    <t>Công ty CP Việt - Séc; TSC:  Đường số 02 -KCN Hòa Cầm - TP. Đà Nẵng; Giá chênh lệch so với kính trắng 5mm: - Kính 6.38mm trắng: 330.000- Kính 6.38mm film sữa: 440.000- Kính 8.38mm trắng: 462.000- Kính 8.38mm film sữa: 572.000-Kính 10.38 mm trắng: 627.000- Kính 5mm mờ: 77.000- Kính trắng CL 8mm: 330.000- Kính trắng CL 10mm: 462.000; Đơn giá đã bao gồm vận chuyển và lắp đặt tại công trình trên địa bàn TT-Huế.</t>
  </si>
  <si>
    <t>Vách kính cố định</t>
  </si>
  <si>
    <t>Cửa sổ 2 cánh mở trượt, chưa gồm PKKK GQ: Tay nắm CS, thanh khóa đa điểm, bánh xe, phòng gió, chống rung, ray nhôm cửa trượt, chốt cánh phụ 636.000 đ/bộ</t>
  </si>
  <si>
    <t>Cửa sổ 2 cánh mở quay, kính trắng Việt - Nhật 5mm PKKK: Tay nắm CS, thanh khóa đa điểm, bản lề chữ A chống va đập, chốt cánh phụ K15 trên dưới ( 1.279.000 đồng/bộ)</t>
  </si>
  <si>
    <t>Cửa sổ 1 cánh mở hất, mở quay, chưa gồm PKKK GQ: Tay nắm CS, thanh khóa đa điểm, bản lề chữ A chống va đập 1.055.000 đ/bộ</t>
  </si>
  <si>
    <t>Cửa đi 1 cánh mở quay,  kính trắng Việt - Nhật 5mm.
PKKK: Tay nắm CD, thanh khóa đa điểm, 03 bản lề 3D, bộ khóa chìa 
(1.740.000 đồng/bộ)</t>
  </si>
  <si>
    <t>Cửa đi 2 cánh mở trượt, chưa gồm PKKK GQ: Tay nắm CD, thanh khóa đa điểm, bánh xe, phòng gió, chống rung, ray nhôm cửa trượt, chốt cánh phụ 1.407.000 đ/bộ</t>
  </si>
  <si>
    <t>Cửa đi 2 cánh mở quay, chưa gồm PKKK GQ: Tay nắm CD, thanh khóa đa điểm, 06 bản lề 3D, bộ khóa chìa, chốt cánh phụ K15 trên dưới 2.938.000 đồng/bộ</t>
  </si>
  <si>
    <t>Cửa đi 4 cánh mở quay,  kính trắng Việt - Nhật 5mm, chưa bao gồm PKKK GQ: Tay nắm CD, thanh khóa đa điểm, 08 bản lề 3D, 08 bản lề Storo, bộ khóa chìa, 03 chốt cánh phụ K15 trên dưới (8.536.000 đồng/bộ)</t>
  </si>
  <si>
    <t>Cửa nhựa lõi thép VIETSEC WINDOW, thanh profile VEKA, hệ châu Âu, kính trắng Việt Nhật 5mm</t>
  </si>
  <si>
    <t>Cửa sổ 2 cánh mở trượt, chưa gồm PKKK ROTO/GU: Tay nắm CS, thanh khóa đa điểm, bánh xe, phòng gió, chống rung, ray nhôm cửa trượt, tay nắm âm 2.069.000 đ/bộ</t>
  </si>
  <si>
    <t>Cửa sổ 2 cánh mở quay, chưa gồm PKKK ROTO/GU: Tay nắm CS, thanh khóa đa điểm, bản lề chữ A chống va đập, chốt đố động 4.248.000 đ/bộ</t>
  </si>
  <si>
    <t>Cửa sổ 1 cánh mở hất, mở quay, chưa gồm PKKK ROTO/GU: Tay nắm CS, thanh khóa đa điểm, bản lề chữ A chống va đập 2.196.000 đ/bộ</t>
  </si>
  <si>
    <t>Cửa đi 1 cánh mở quay, chưa bao gồm PKKK ROTO/GU: Tay nắm CD, thanh khóa đa điểm, 03 bản lề 3D, bộ khóa chìa 6.207.000 đồng/bộ</t>
  </si>
  <si>
    <t>Cửa đi 2 cánh mở trượt,  kính trắng Việt - Nhật 5mm, chưa bao gồm PKKK ROTO/GU: Tay nắm CD, thanh khóa đa điểm, bánh xe, phòng gió, chống rung, ray nhôm cửa trượt, tay nắm âm ( 4.316.000 đồng/bộ)</t>
  </si>
  <si>
    <t>Cửa đi 2 cánh mở quay,  kính trắng Việt - Nhật 5mm, chưa bao gồm PKKK ROTO/GU: Tay nắm CD, thanh khóa đa điểm, tay gạt, thanh chốt liền, nòng khóa 2 đầu chìa, 06 bản lề 3D, chốt đố động ( 12.017.000 đồng/bộ)</t>
  </si>
  <si>
    <r>
      <t xml:space="preserve">CỬA NHỰA uPVC KANI DOOR (Profile SPARLEE-hệ châu Á; lõi thép dày 1,4mm; kính trắng </t>
    </r>
    <r>
      <rPr>
        <b/>
        <u/>
        <sz val="10"/>
        <rFont val="Times New Roman"/>
        <family val="1"/>
      </rPr>
      <t>Việt Nhật 6,38 mm</t>
    </r>
    <r>
      <rPr>
        <b/>
        <sz val="10"/>
        <rFont val="Times New Roman"/>
        <family val="1"/>
      </rPr>
      <t>)</t>
    </r>
  </si>
  <si>
    <t>Vách kính, chưa bao gồm pk GQ: 70.000đ/bộ</t>
  </si>
  <si>
    <t>Công ty TNHH Khang Ninh, 48 Trần Quốc Toản, Huế, Tel: 0234.3599.978; Giá trên đã bao gồm công lắp đặt và vận chuyển tại chân công trình trên địa bàn Tỉnh</t>
  </si>
  <si>
    <t>Cửa sổ 2 cánh mở trượt, chưa bao gồm pk GQ: 520.000đ/bộ</t>
  </si>
  <si>
    <t>Cửa sổ 4 cánh mở trượt, chưa bao gồm pk GQ: 780.000đ/bộ</t>
  </si>
  <si>
    <t>Cửa sổ 1 cánh mở quay, hất, chưa bao gồm pk GQ: 480.000đ/bộ</t>
  </si>
  <si>
    <t>Cửa sổ 2 cánh mở quay, hất, chưa bao gồm pk GQ: 890.000đ/bộ</t>
  </si>
  <si>
    <t>Cửa sổ 4 cánh mở quay, hất chưa bao gồm pk GQ: 1.690.000đ/bộ</t>
  </si>
  <si>
    <t>Cửa đi 2 cánh mở trượt, chưa bao gồm pk GQ: 1.820.000đ/bộ</t>
  </si>
  <si>
    <t>Cửa đi 4 cánh mở trượt, chưa bao gồm pk GQ: 2.080.000đ/bộ</t>
  </si>
  <si>
    <t>Cửa đi 1 cánh mở quay, chưa bao gồm pk GQ: 1.450.000đ/bộ</t>
  </si>
  <si>
    <t>Cửa đi 2 cánh mở quay, chưa bao gồm pk GQ: 2.550.000đ/bộ</t>
  </si>
  <si>
    <t>Cửa đi 4 cánh mở quay, chưa bao gồm pk GQ: 5.490.000đ/bộ</t>
  </si>
  <si>
    <t>CỬA GREEN HOUSE</t>
  </si>
  <si>
    <t>Cửa nhựa uPVC, profile SPARLEE- Hãng SHIDE, hệ châu Á; lõi thép dày 1,2mm, kính trắng Việt Nhật 5mm</t>
  </si>
  <si>
    <t>Công ty cổ phần Thương mại Xây dựng và Dịch vụ Greenhouse; 79 Bà Triệu, thành phố Huế; Tel: 0234.3932567; Fax: 0234.3932566; giá đã bao gồm vận chuyển; lắp đặt hoàn thiện trên địa bàn Tỉnh.</t>
  </si>
  <si>
    <t>Cửa sổ mở hất, chưa bao gồm PKKK GQ: Khóa đa điểm, có thanh chống gió, sử dụng tay nắm có chìa 916.000 đ/bộ</t>
  </si>
  <si>
    <t>Cửa sổ 2, 4 cánh mở trượt, chưa bao gồm PKKK GQ: Khóa đa điểm, sử dụng tay nắm có chìa 888.000 đ/bộ</t>
  </si>
  <si>
    <t>Cửa sổ 1 cánh mở quay, chưa bao gồm PKKK GQ: Bản lề 3D, khóa đa điểm, sử dụng tay nắm có chìa 1.096.000 đ/bộ</t>
  </si>
  <si>
    <t>Cửa sổ 2 cánh mở quay, chưa bao gồm PKKK GQ: Bản lề 3D, khóa đa điểm, chốt cánh phụ, sử dụng tay nắm có chìa 1.776.000 đ/bộ</t>
  </si>
  <si>
    <t>Hệ cửa đi 1 cánh mở quay, chưa bao gồm PKKK GQ: Bản lề 3D, khóa đa điểm có lẫy gà 2.243.000 đ/bộ</t>
  </si>
  <si>
    <t>Hệ cửa đi 2 cánh mở quay, chưa bao gồm PKKK GQ: Khóa đa điểm, sử dụng thanh celemol cánh phụ 3.536.000 đ/bộ</t>
  </si>
  <si>
    <t>Hệ cửa đi 2 cánh mở trượt, chưa bao gồm PKKK GQ: Khóa đa điểm, ray đồng 1.587.000 đ/bộ</t>
  </si>
  <si>
    <t>Hệ cửa đi 4 cánh mở trượt, chưa bao gồm PKKK GQ: Khóa đa điểm, ray đồng 1.787.000 đ/bộ</t>
  </si>
  <si>
    <t>Cửa nhôm hệ EuroVN Aluminum Gold; dày 1,2-2,0mm, hệ 1000, phụ kiện chính hãng cao cấp đồng bộ, kính trắng Việt Nhật.</t>
  </si>
  <si>
    <t xml:space="preserve">Hệ vách kính </t>
  </si>
  <si>
    <t>6.38mm</t>
  </si>
  <si>
    <t>Công ty cổ phần Thương mại Xây dựng và Dịch vụ Greenhouse; 79 Bà Triệu, thành phố Huế; Tel: 0234.3932567; Fax: 0234.3932566; giá chưa  gồm VAT, giá đã bao gồm vận chuyển; lắp đặt hoàn thiện trên địa bàn Tỉnh.</t>
  </si>
  <si>
    <t>8.38mm</t>
  </si>
  <si>
    <t>Hệ cửa sổ 2 cánh, 4 cánh mở trượt, chưa bao gồm PKKK khóa chốt âm tự sập: 1.256.000 đ/bộ</t>
  </si>
  <si>
    <t>Hệ cửa sổ 1 cánh mở quay, chưa bao gồm PKKK bản lề chữa A, khóa đa điểm: 1.256.000 đ/bộ</t>
  </si>
  <si>
    <t>Hệ cửa sổ 2 cánh mở quay/mở hất, chưa bao gồm PKKK bản lề chữa A, khóa đa điểm, chốt cánh phụ sử dụng tay nắm có chìa: 2.284.000 đ/bộ</t>
  </si>
  <si>
    <t>Hệ cửa đi 1 cánh mở quay, chưa bao gồm PKKK Bản lề 3D, khóa đa điểm có lẩy gà: 3.694.000 đ/bộ</t>
  </si>
  <si>
    <t>Hệ cửa đi 2 cánh mở quay, chưa bao gồm PKKK khóa đa điểm có lẩy gà: 6.000.000 đ/bộ</t>
  </si>
  <si>
    <t>Hệ cửa đi 2 cánh mở trượt, chưa gồm PKKK khóa đa điểm, tay nắm đơn (không chìa): 2.158.000 đ/bộ</t>
  </si>
  <si>
    <t>Hệ cửa đi 4 cánh mở trượt, chưa gồm PKKK khóa đa điểm, chốt âm tự sập cho cánh phụ, tay nắm đơn (không chìa): 3.178.000 đ/bộ</t>
  </si>
  <si>
    <t>Hệ cửa đi 4 cánh mở quay, chưa gồm PKKK khóa đa điểm, có lẩy gà, khóa chìa: 11.808.000 đ/bộ</t>
  </si>
  <si>
    <t>Cửa thép (chống cháy).</t>
  </si>
  <si>
    <t>Cửa thép (chống cháy), chưa gồm phụ kiện 1.200.000 đ/bộ, chất chống cháy: bông thủy tinh</t>
  </si>
  <si>
    <t>1000x2250 mmm</t>
  </si>
  <si>
    <t>CỬA CUỐN ĐÀI LOAN</t>
  </si>
  <si>
    <t xml:space="preserve">
</t>
  </si>
  <si>
    <t>Tôn màu 0,65mm</t>
  </si>
  <si>
    <t>2m2 đến dưới 4m2</t>
  </si>
  <si>
    <t>CÔNG TY CỔ PHẦN HƯƠNG THỦY. Tru sở : 1151 Nguyễn Tất Thành Phường Phú Bài TX Hương Thủy và các chi nhánh huyện</t>
  </si>
  <si>
    <t>7m2 đến dưới 8m2</t>
  </si>
  <si>
    <t xml:space="preserve">từ 8m2 trở lên </t>
  </si>
  <si>
    <t>VI</t>
  </si>
  <si>
    <t>GỖ, VÁN ÉP….</t>
  </si>
  <si>
    <t>Gỗ Kiền Huế</t>
  </si>
  <si>
    <t>Gỗ nhóm 3- 4</t>
  </si>
  <si>
    <t>Gỗ nhóm 5-6</t>
  </si>
  <si>
    <t>Gỗ ván khuôn (cốp pha)</t>
  </si>
  <si>
    <t>VII</t>
  </si>
  <si>
    <t>SƠN CÁC LOẠI</t>
  </si>
  <si>
    <t>SƠN NIPPON</t>
  </si>
  <si>
    <t>Sơn lót chống kiềm ngoài nhà Hitex sealer 5180 (gốc dầu)</t>
  </si>
  <si>
    <t>20L</t>
  </si>
  <si>
    <t xml:space="preserve">đ/thùng </t>
  </si>
  <si>
    <t>Công ty TNHH Nippon Paint Việt Nam, số 14, đường 3A Khu công nghiệp Biên Hòa 2, Chi nhánh Đà Nẵng: Lầu 7, số 114-116 Nguyễn Văn Linh, Thanh Khê, Đà Nẵng; Sđt: (0236)3888.383; giá bán tại Thị trường Thừa Thiên Huế; 0905757569</t>
  </si>
  <si>
    <t>Sơn lót chống kiềm ngoài nhà Weathergard Sealer</t>
  </si>
  <si>
    <t>18L</t>
  </si>
  <si>
    <t>Sơn phủ ngoài nhà Super Matex</t>
  </si>
  <si>
    <t>Sơn phủ ngoài nhà Supergard bóng</t>
  </si>
  <si>
    <t>Sơn phủ ngoài nhà Weathergard bóng</t>
  </si>
  <si>
    <t>Sơn lót chống kiềm trong nhà Odourless Sealer</t>
  </si>
  <si>
    <t>Sơn phủ trong nhà Matex màu chuẩn</t>
  </si>
  <si>
    <t>Sơn phủ trong nhà Vatex</t>
  </si>
  <si>
    <t>17L</t>
  </si>
  <si>
    <t>Sơn phủ trong nhà Odourless chùi rửa vượt trội</t>
  </si>
  <si>
    <t>Bột bả trong nhà NP skimcoat kinh tế</t>
  </si>
  <si>
    <t>40kg</t>
  </si>
  <si>
    <t>đ/bao</t>
  </si>
  <si>
    <t>Bột bả ngoài nhà NP weathergard skimcoat</t>
  </si>
  <si>
    <t>Sơn tạo sần</t>
  </si>
  <si>
    <t>Sơn kẻ đường phản quang</t>
  </si>
  <si>
    <t>5L</t>
  </si>
  <si>
    <t>Sơn cho kim loại nhẹ và tráng kẽm Vinilex 120 Active Primer Base</t>
  </si>
  <si>
    <t>4L</t>
  </si>
  <si>
    <t>Dung môi pha sơn dầu Thinner road line</t>
  </si>
  <si>
    <t>SƠN LUCKY</t>
  </si>
  <si>
    <t>Bột bả nội thất thông dụng LUCKY</t>
  </si>
  <si>
    <t>Công ty CP Lucky House VN, 110 Thái Thịnh, Đống Đa, Hà Nội; Tel: 024.3537.3421; Fax: 024.3537.3420; giá bán trên địa bàn tỉnh Thừa Thiên Huế</t>
  </si>
  <si>
    <t>Sơn lót chống kiềm nội thất JODY</t>
  </si>
  <si>
    <t>20kg</t>
  </si>
  <si>
    <r>
      <t xml:space="preserve">Sơn lót chống kiềm ngoại thất </t>
    </r>
    <r>
      <rPr>
        <sz val="9"/>
        <rFont val="Times New Roman"/>
        <family val="1"/>
      </rPr>
      <t>APROTEX</t>
    </r>
  </si>
  <si>
    <t>Sơn phủ nội thất (màu) WINSON</t>
  </si>
  <si>
    <t>Sơn phủ nội thất VINATEX</t>
  </si>
  <si>
    <t>Sơn phủ ngoại thất SHIELDLATEX</t>
  </si>
  <si>
    <t>Sơn phủ ngoại thất VISCOTEX</t>
  </si>
  <si>
    <t>SƠN ROYAL</t>
  </si>
  <si>
    <t>Sơn dầu Alkyd lót chống rỉ</t>
  </si>
  <si>
    <t>Công ty Sơn Hoàng Gia, KCN Phú Bài, TT-Huế; Tel 0234.3863.975; Fax 0234.3852.252; Giá giao tại kho khách hàng trong phạm vi thành phố Huế.</t>
  </si>
  <si>
    <t>Sơn dầu Alkyd bóng màu</t>
  </si>
  <si>
    <t>Sơn phủ Epoxy 2 TP</t>
  </si>
  <si>
    <t>Thùng 16kg và Lon 4kg</t>
  </si>
  <si>
    <t>đ/bộ</t>
  </si>
  <si>
    <t>Sơn vạch kẻ đường nhiệt dẻo phản quang màu trắng</t>
  </si>
  <si>
    <t>Bao 25kg</t>
  </si>
  <si>
    <t xml:space="preserve">đ/bao </t>
  </si>
  <si>
    <t>Sơn vạch kẻ đường phản quang màu vàng</t>
  </si>
  <si>
    <t>Sơn nước nội thất R..02</t>
  </si>
  <si>
    <t>23,5kg</t>
  </si>
  <si>
    <t>Sơn nước ngoại thất bóng mờ R..01</t>
  </si>
  <si>
    <t>Sơn lót chống kiềm nội thất SR02</t>
  </si>
  <si>
    <t>22kg</t>
  </si>
  <si>
    <t>Sơn lót chống kiềm ngoại thất SR01</t>
  </si>
  <si>
    <t>Bột trét nội thất B102</t>
  </si>
  <si>
    <t>Bột trét ngoại thất B101</t>
  </si>
  <si>
    <t>SƠN FORLIX</t>
  </si>
  <si>
    <t>Bột bả nội thất cao cấp</t>
  </si>
  <si>
    <t>Công ty Cổ phần Forlix Việt Nam; ĐT 02462.537.814; Giá bán tại thị trường Thừa Thiên Huế</t>
  </si>
  <si>
    <t>Bột bả ngoại thất chống thấm cao cấp</t>
  </si>
  <si>
    <t xml:space="preserve">Sơn lót kháng kiềm nội thất cao cấp </t>
  </si>
  <si>
    <t xml:space="preserve">Sơn lót kháng kiềm ngoại thất cao cấp </t>
  </si>
  <si>
    <t>Sơn nội thất lau chùi hiệu quả</t>
  </si>
  <si>
    <t>Sơn nội thất siêu trắng cao cấp</t>
  </si>
  <si>
    <t>Sơn  nội thất cao cấp bán bóng</t>
  </si>
  <si>
    <t xml:space="preserve">Sơn ngoại thất  mịn cao cấp </t>
  </si>
  <si>
    <t>Sơn ngoại thất cao cấp bán bóng</t>
  </si>
  <si>
    <t xml:space="preserve">Sơn nội thất kinh tế </t>
  </si>
  <si>
    <t>Bột bả nội thất kinh tế</t>
  </si>
  <si>
    <t>SƠN ICHI</t>
  </si>
  <si>
    <t>Bột bả nội thất TOPAZ</t>
  </si>
  <si>
    <t>Bột bả ngoại thất TOPAZ</t>
  </si>
  <si>
    <t>Công ty Cổ phần thương mại Sơn ICHI Miền Trung; sđt: 02363.552.688; Giá bán tại thị trường Thừa Thiên Huế; Công ty TNHH Phát triển kỹ thuật XD Hải Sơn, 17/2 Quảng Tế, P.Trường An, thành phố Huế 02343935178</t>
  </si>
  <si>
    <t>Sơn nội thất MID</t>
  </si>
  <si>
    <t>Sơn nội thất AMET</t>
  </si>
  <si>
    <t>Sơn nội thất GARNET</t>
  </si>
  <si>
    <t>Sơn ngoại thất KEY</t>
  </si>
  <si>
    <t>Sơn ngoại thất AMET</t>
  </si>
  <si>
    <t>Sơn kiềm ngoại thất PED</t>
  </si>
  <si>
    <t>Sơn kiềm nội thất PIN</t>
  </si>
  <si>
    <t>SƠN TOA</t>
  </si>
  <si>
    <t>Bột bả ngoài trời cao cấp-TOA Wall Mastic</t>
  </si>
  <si>
    <t xml:space="preserve"> 40 Kg</t>
  </si>
  <si>
    <t>Công ty tnhh Sơn TOA Việt Nam; Đường số 2, KCN Tân Đông Hiệp A, TX Dĩ An, Bình Dương, giá bán tại các đại lý trên địa bàn tỉnh Thừa Thiên Huế</t>
  </si>
  <si>
    <t>Bột bả trong nhà cao cấp-TOA Wall Mastic</t>
  </si>
  <si>
    <t>40 Kg</t>
  </si>
  <si>
    <t>Sơn lót chống kiềm nội và ngoại thất-Supertech Pro.</t>
  </si>
  <si>
    <t>Sơn nội thất-Supertech Pro Interior</t>
  </si>
  <si>
    <t xml:space="preserve">18 L </t>
  </si>
  <si>
    <t>Sơn nội thất-TOA 4 Seasons Interior Top Silk</t>
  </si>
  <si>
    <t>Sơn nội thất-TOA Thoải Mái Lau Chùi, Siêu Bóng</t>
  </si>
  <si>
    <t>Sơn ngoại thất-Supertech Pro Exterior</t>
  </si>
  <si>
    <t>Sơn ngoại thất-TOA 4 Seasons Exterior Tropic shield</t>
  </si>
  <si>
    <t>Sơn ngoại thất-TOA 4 Seasons Exterior Satin Glo</t>
  </si>
  <si>
    <t>SƠN JOTON</t>
  </si>
  <si>
    <t>Bột bả ngoại thất</t>
  </si>
  <si>
    <t>Chi nhánh công ty Cổ phần L.Q Joton Đà Nẵng, giá bán tại các đại lý trên địa bàn tỉnh Thừa Thiên Huế</t>
  </si>
  <si>
    <t>Bột bả nội thất Sp.Filler</t>
  </si>
  <si>
    <t>Sơn lót chống kiềm ngoại thất Pros</t>
  </si>
  <si>
    <t>Sơn lót chống kiềm nội thất Prosin</t>
  </si>
  <si>
    <t>Sơn nội thất cao cấp-New Fa</t>
  </si>
  <si>
    <t xml:space="preserve"> 18 L </t>
  </si>
  <si>
    <t>Sơn nội thất-Accord</t>
  </si>
  <si>
    <t>Sơn ngoại thất-Jony-H</t>
  </si>
  <si>
    <t>Sơn ngoại thất-Jony Bóng</t>
  </si>
  <si>
    <t>Sơn chống rỉ Super Primer</t>
  </si>
  <si>
    <t>18kg</t>
  </si>
  <si>
    <t>Sơn dầu- màu (bóng, mờ)</t>
  </si>
  <si>
    <t>SƠN MYKOLOR</t>
  </si>
  <si>
    <t>Bột bả nội và ngoại thất Grand</t>
  </si>
  <si>
    <t>Chi nhánh công ty 4 Oranges Co., Ltd, Đà Nẵng, giá bán tại các đại lý trên địa bàn tỉnh Thừa Thiên Huế</t>
  </si>
  <si>
    <t>Bột bả nội và ngoại thất Putty</t>
  </si>
  <si>
    <t>Sơn lót chống kiềm ngoại thất Akali Filter</t>
  </si>
  <si>
    <t>Sơn lót chống kiềm nội thất Akali Filter</t>
  </si>
  <si>
    <t>Sơn nội thất Opal Feel</t>
  </si>
  <si>
    <t>Sơn nội thất Quartz Feel</t>
  </si>
  <si>
    <t>Sơn nội thất Ilka</t>
  </si>
  <si>
    <t>Sơn ngoại thất Semigloss Finish</t>
  </si>
  <si>
    <t>Sơn ngoại thất Jade Feel</t>
  </si>
  <si>
    <t>Sơn ngoại thất Shiny</t>
  </si>
  <si>
    <t>SƠN HASU</t>
  </si>
  <si>
    <t>Bột bả nội thất Putty Int.</t>
  </si>
  <si>
    <t xml:space="preserve"> 20 Kg</t>
  </si>
  <si>
    <t>Công ty CP ATA Paint Việt Nam, Lô P-KCN Đồng Văn II, Hà Nam; Tel: 0226.6263101; giá bán tại Công ty Bách Thịnh, 0234.3846367; 80 Tạ Quang Bửu, Huế.</t>
  </si>
  <si>
    <t>Bột bả ngoại thất Hight-Ext.</t>
  </si>
  <si>
    <t>20 Kg</t>
  </si>
  <si>
    <t>Sơn lót chống kiềm nội thất Primer Sealer</t>
  </si>
  <si>
    <t>Sơn lót chống kiềm ngoại thất Primer Hi-Ext</t>
  </si>
  <si>
    <t>Sơn nội thất Luxury Hi-Int.</t>
  </si>
  <si>
    <t>Sơn nội thất Gold Silk</t>
  </si>
  <si>
    <t>Sơn mịn ngoại thất Luxury Hi-Ext.</t>
  </si>
  <si>
    <t>Sơn bóng ngoại thất bóng Gold Silk</t>
  </si>
  <si>
    <t>Dầu bóng Hasu Clear</t>
  </si>
  <si>
    <t>1L</t>
  </si>
  <si>
    <t>đ/lon</t>
  </si>
  <si>
    <t>K</t>
  </si>
  <si>
    <t>SƠN BOSS</t>
  </si>
  <si>
    <t>Bột bả nội thất Wall Filler</t>
  </si>
  <si>
    <t>Công ty 4 Oranges; Lô CO2-1, Khu CN Đức Hòa 1, xã Đức Hòa Đông, huyện Đức Hòa, tỉnh Long An, sđt: 0272.3779.601; giá bán tại các đại lý trên địa bàn tỉnh Thừa Thiên Huế</t>
  </si>
  <si>
    <t>Bột bả nội và ngoại thất Filler</t>
  </si>
  <si>
    <t>Sơn lót chống kiềm nội thất Akali Register</t>
  </si>
  <si>
    <t>Sơn lót chống kiềm ngoại thất Akali Register</t>
  </si>
  <si>
    <t>Sơn nội thất Matt Finish</t>
  </si>
  <si>
    <t>Sơn nội thất Clean Maximum(bóng nhẹ)</t>
  </si>
  <si>
    <t>Sơn ngoại thất Shell Shine</t>
  </si>
  <si>
    <t>Sơn ngoại thất Future</t>
  </si>
  <si>
    <t>L</t>
  </si>
  <si>
    <t>SƠN DULUX</t>
  </si>
  <si>
    <t>Sơn lót Chống kiềm Dulux W.S Sealer-A936</t>
  </si>
  <si>
    <t>Công ty TNHH DV TM Hoàng Phan, 54 Võ Văn Kiệt, phường An Tây, thành phố Huế</t>
  </si>
  <si>
    <t>Sơn lót trong nhà Dulux Primer-A934</t>
  </si>
  <si>
    <t>Sơn lót chống kiềm Maxilite-48C</t>
  </si>
  <si>
    <t>Sơn lót Maxilite trong nhà-ME4</t>
  </si>
  <si>
    <t>Dulux Inspire Ngoại thất</t>
  </si>
  <si>
    <t>Maxilite Ngoài trời Utilma Bề mặt bóng-LU1</t>
  </si>
  <si>
    <t>Maxilite TOUGH Ngoài trời-A919</t>
  </si>
  <si>
    <t>Dulux Easy Clean Lau chùi hiệu quả-A991N</t>
  </si>
  <si>
    <t>Dulux Inspire trong nhà-Y53</t>
  </si>
  <si>
    <t>Maxilite TOTAL trong nhà-A901</t>
  </si>
  <si>
    <t>Maxilite Smooth-ME5</t>
  </si>
  <si>
    <t>Maxilite Hi-Cover-ME6</t>
  </si>
  <si>
    <t>Bột trét Cao cấp Dulux-A502-29133</t>
  </si>
  <si>
    <t>40Kg</t>
  </si>
  <si>
    <t>Bột trét Cao cấp Maxilite-A502-29132</t>
  </si>
  <si>
    <t>M</t>
  </si>
  <si>
    <t>SƠN CHỐNG THẤM</t>
  </si>
  <si>
    <t>Sơn chống thấm NP W 100</t>
  </si>
  <si>
    <t>Sơn Nippon</t>
  </si>
  <si>
    <t>Sơn chống thấm đa năng kết hợp xi măng</t>
  </si>
  <si>
    <t>Sơn Lucky</t>
  </si>
  <si>
    <t>Chất chống thấm đa năng</t>
  </si>
  <si>
    <t>Sơn Forlix</t>
  </si>
  <si>
    <t>Sơn chống thấm đa năng LOCK</t>
  </si>
  <si>
    <t>Sơn Ichi</t>
  </si>
  <si>
    <t>Sơn chống thấm màu, cách nhiệt MULTI</t>
  </si>
  <si>
    <t>Chống Thấm Đa Năng-Dạng keo sữa pha xi măng</t>
  </si>
  <si>
    <t xml:space="preserve"> Sơn Toa</t>
  </si>
  <si>
    <t>Chống thấm CT11</t>
  </si>
  <si>
    <t>Sơn Joton</t>
  </si>
  <si>
    <t>Chống thấm Water Seal</t>
  </si>
  <si>
    <t xml:space="preserve"> Sơn Mycolor</t>
  </si>
  <si>
    <t>Chống thấm Grand Water Proofer</t>
  </si>
  <si>
    <t>Chất chống thấm K+ (CCT-11A)</t>
  </si>
  <si>
    <t>Sơn Hasu</t>
  </si>
  <si>
    <t>Chống thấm pha xi măng, chống rạn nứt Exterior Stop One</t>
  </si>
  <si>
    <t>Sơn Boss</t>
  </si>
  <si>
    <t>Chất chống thấm Dulux Weathershield-Y65</t>
  </si>
  <si>
    <t>Sơn Dulux</t>
  </si>
  <si>
    <t>VIII</t>
  </si>
  <si>
    <t>BỘT MÀU, SƠN CHỐNG RỈ</t>
  </si>
  <si>
    <t>Bột màu Việt Nam xuất khẩu</t>
  </si>
  <si>
    <t>Bột màu Nhật</t>
  </si>
  <si>
    <t>Bột màu Trung Quốc</t>
  </si>
  <si>
    <t>Sơn chống rỉ Bạch tuyết</t>
  </si>
  <si>
    <t>IX</t>
  </si>
  <si>
    <t>EKE, BẢN LỀ, CHỐT CỬA</t>
  </si>
  <si>
    <t>Bản lề gông cửa đi</t>
  </si>
  <si>
    <t>Bản lề gông cửa sổ</t>
  </si>
  <si>
    <t>Bản lề cối dài cửa đi Việt Tiệp</t>
  </si>
  <si>
    <t>Eke cửa bằng thép lá</t>
  </si>
  <si>
    <t>L100x100mm</t>
  </si>
  <si>
    <t>L150x150mm</t>
  </si>
  <si>
    <t>Chốt dọc cửa thép fi 10mm</t>
  </si>
  <si>
    <t>L100x200mm</t>
  </si>
  <si>
    <t>Chốt ngang mạ đồng fi 10mm</t>
  </si>
  <si>
    <t>L150mm</t>
  </si>
  <si>
    <t>CÁC LOẠI KEO, VECNI</t>
  </si>
  <si>
    <t>Keo Nhật</t>
  </si>
  <si>
    <t>Dạng hạt</t>
  </si>
  <si>
    <t xml:space="preserve">Thị trường Huế </t>
  </si>
  <si>
    <t>Keo Trung Quốc</t>
  </si>
  <si>
    <t>Keo da trâu</t>
  </si>
  <si>
    <t>Dạng miếng</t>
  </si>
  <si>
    <t>Keo dán nhựa PVC</t>
  </si>
  <si>
    <t>Lon 0,5 kg</t>
  </si>
  <si>
    <t>Keo con voi</t>
  </si>
  <si>
    <t>Dạng Ống Típ</t>
  </si>
  <si>
    <t>đ/ống</t>
  </si>
  <si>
    <t>Keo dán gạch (màu xám, trắng)</t>
  </si>
  <si>
    <t>tính bình quân</t>
  </si>
  <si>
    <t>Sơn mài Vecni</t>
  </si>
  <si>
    <t>đ/Kg</t>
  </si>
  <si>
    <t>Vecni</t>
  </si>
  <si>
    <t>đ/lít</t>
  </si>
  <si>
    <t>Phèn chua (dạng cục)</t>
  </si>
  <si>
    <t>Sika Water bar 0-20</t>
  </si>
  <si>
    <t>Các khe nối, kết cấu cản nước</t>
  </si>
  <si>
    <t>Sika Water bar 0-32</t>
  </si>
  <si>
    <t>Phụ gia bê tông Sikament 2000AT-25L</t>
  </si>
  <si>
    <t>Phụ gia siêu dẻo, tạo cường độ sớm cho BT, tháo ván khuôn sớm (7 ngày tháo coppha)</t>
  </si>
  <si>
    <t>Phụ gia bê tông Sikament R7N-25L</t>
  </si>
  <si>
    <t>Sikalatex TH-25L</t>
  </si>
  <si>
    <t>Phụ gia kết nối và chống thấm cho vữa</t>
  </si>
  <si>
    <t>Sikatop Seal 107</t>
  </si>
  <si>
    <t>Chống thấm 2 thành phần gốc xi măng</t>
  </si>
  <si>
    <t>Sikaproof Membrane RD</t>
  </si>
  <si>
    <t>Màng nhũ tương chống thấm đàn hồi (gốc nước)</t>
  </si>
  <si>
    <t>Sika Raintite-20kg</t>
  </si>
  <si>
    <t>Màng chống thấm tường</t>
  </si>
  <si>
    <t>Chất kết dính SIKADUR 731</t>
  </si>
  <si>
    <t>Cắm sắt, bu lông, trét vết nứt, lỗ hỗng</t>
  </si>
  <si>
    <t>Chất kết dính SIKADUR 732</t>
  </si>
  <si>
    <t>Kết nối giữa bê tông cũ và mới</t>
  </si>
  <si>
    <t>XI</t>
  </si>
  <si>
    <t xml:space="preserve">ĐẤT ĐÈN, OXY, QUE HAN, THUỐC NỔ </t>
  </si>
  <si>
    <t>Đất đèn</t>
  </si>
  <si>
    <t>Que hàn Nhật 3,2 ly</t>
  </si>
  <si>
    <t>Que hàn Việt Nam</t>
  </si>
  <si>
    <t>Thuốc nổ AD1</t>
  </si>
  <si>
    <t xml:space="preserve">Giá bán tại kho VLNCN huyện Phú Lộc, TT Huế của Tổng Công ty Kinh tế Kỹ thuật CN Quốc phòng </t>
  </si>
  <si>
    <t xml:space="preserve">Thuốc nổ nhũ tương </t>
  </si>
  <si>
    <t>Kíp đốt K8</t>
  </si>
  <si>
    <t xml:space="preserve">đ/cái </t>
  </si>
  <si>
    <t>Kíp điện K8</t>
  </si>
  <si>
    <t>Kíp vi sai điện loại 2m</t>
  </si>
  <si>
    <t xml:space="preserve">Dây nổ chịu nước </t>
  </si>
  <si>
    <t>XII</t>
  </si>
  <si>
    <t>XĂNG, DẦU</t>
  </si>
  <si>
    <t>Dầu hỏa</t>
  </si>
  <si>
    <t>KO</t>
  </si>
  <si>
    <t>Thị trường Thừa Thiên Huế</t>
  </si>
  <si>
    <t>Xăng Ôtô (Không chì)</t>
  </si>
  <si>
    <t>A92</t>
  </si>
  <si>
    <t>A95</t>
  </si>
  <si>
    <t>Diezen</t>
  </si>
  <si>
    <t>0,05%S</t>
  </si>
  <si>
    <t xml:space="preserve">Mazut </t>
  </si>
  <si>
    <t>3,5S</t>
  </si>
  <si>
    <t>XIII</t>
  </si>
  <si>
    <t>ỐNG BI, ỐNG BÊ TÔNG THƯƠNG PHẨM</t>
  </si>
  <si>
    <t>ỐNG CỐNG BÊ TÔNG CỐT THÉP CÔNG NGHỆ RUNG LÕI (22TCN-272-05)</t>
  </si>
  <si>
    <t>Loại đường kính 300mm dày 65mm, Mác 300, L=2,5m</t>
  </si>
  <si>
    <t>Công ty Cổ phần Bê Tông và Xây dựng Thừa Thiên Huế Kiệt 84/6 Nguyễn Khoa Chiêm, tp Huế (bán trên phương tiện bên mua tại nhà máy sản xuất ống rung lõi Khu CN Tứ Hạ, Hương Trà, TTHuế)</t>
  </si>
  <si>
    <t>Ống bê tông  loe 1 đầu, tải trọng vỉa hè</t>
  </si>
  <si>
    <t>đ/md</t>
  </si>
  <si>
    <t>Ống bê tông  loe 1 đầu, hoạt tải HL93</t>
  </si>
  <si>
    <t>Loại đường kính 400mm dày 65mm, Mác 300, L=2,5m</t>
  </si>
  <si>
    <t>Loại đường kính 600mm dày 75mm, Mác 300, L=2,5m</t>
  </si>
  <si>
    <t>Loại đường kính 800mm dày 100mm, Mác 300, L=2,5m</t>
  </si>
  <si>
    <t>Loại đường kính 1000mm dày 100mm, Mác 300, L=2,5m</t>
  </si>
  <si>
    <t>Loại đường kính 1200mm dày 120mm, Mác 300, L=2,5m</t>
  </si>
  <si>
    <t>Loại đường kính 1500mm dày 150mm, Mác 300, L=2,5m</t>
  </si>
  <si>
    <t>Loại đường kính 1800mm dày 150mm, Mác 300, L=2,5m</t>
  </si>
  <si>
    <t>Ống cống bê tông cốt thép, tải trọng vỉa hè, L=2,5m, 1 đầu loe, sử dụng xi măng bền sunfat PSCR40, Mac 300</t>
  </si>
  <si>
    <t>Công ty TNHH Xây dựng Thuận Đức II. Địa chỉ: Thôn 7, Thủy Phương, Hương Thủy, TT Huế. Hàng giao trên phương tiện bên mua.</t>
  </si>
  <si>
    <t>D300-65</t>
  </si>
  <si>
    <t>TCVN 9113:2012</t>
  </si>
  <si>
    <t>D400-65</t>
  </si>
  <si>
    <t>D600-75</t>
  </si>
  <si>
    <t>D800-95</t>
  </si>
  <si>
    <t>D1000-115</t>
  </si>
  <si>
    <t>D1200-125</t>
  </si>
  <si>
    <t>D1500-150</t>
  </si>
  <si>
    <t>D1800-200</t>
  </si>
  <si>
    <t>D2000-220</t>
  </si>
  <si>
    <t>Ống cống bê tông cốt thép, tải trọng HL93 (băng đường), L=2,5m, 1 đầu loe, sử dụng xi măng bền sunfat PSCR40, Mac 300</t>
  </si>
  <si>
    <t>BÊ TÔNG THƯƠNG PHẨM CÔNG TY BÊ TÔNG VÀ XÂY DỰNG TTH</t>
  </si>
  <si>
    <t>Xi măng Kim Đỉnh, Đồng Lâm PCB 40</t>
  </si>
  <si>
    <t>Công ty Cổ phần Bê Tông và Xây dựng Thừa Thiên Huế Kiệt, 84/6 Nguyễn Khoa Chiêm, tp Huế; giá đã bao gồm vận chuyển đến chân công trình trong phạm vi 10 km từ địa chỉ trên.</t>
  </si>
  <si>
    <t>Bê tông thương phẩm</t>
  </si>
  <si>
    <t>Mác BT 200#</t>
  </si>
  <si>
    <t>Mác BT 250#</t>
  </si>
  <si>
    <t>Mác BT 300#</t>
  </si>
  <si>
    <t>Mác BT 350#</t>
  </si>
  <si>
    <t>Mác BT 400#</t>
  </si>
  <si>
    <t>Bơm bê tông công trình</t>
  </si>
  <si>
    <t>Bơm phần móng, tầng 1</t>
  </si>
  <si>
    <t>Từ tầng 2 trở lên tăng mỗi tầng (T2:100.000; T3:120.000; T4:140.000...)</t>
  </si>
  <si>
    <t>Phụ gia đông cứng nhanh (R7 ngày)</t>
  </si>
  <si>
    <t>BÊ TÔNG THƯƠNG PHẨM CÔNG TY CỔ PHẦN TRƯỜNG PHÚ</t>
  </si>
  <si>
    <t>Xi măng Kim Đỉnh, Bỉm Sơn, Đồng Lâm PCB40, cát Tuấn Hải, Tuyết Liêm, đá Trường Sơn, Xuân Long.</t>
  </si>
  <si>
    <t>Trạm bê tông Công ty CP Trường Phú, Hương Văn, Hương Trà; giá đã bao gồm vận chuyển đến chân công trình trong phạm vi 10 km từ địa chỉ trên.</t>
  </si>
  <si>
    <t>XIV</t>
  </si>
  <si>
    <t>VẬT LIỆU ĐIỆN</t>
  </si>
  <si>
    <t>THIẾT BỊ CHIẾU SÁNG</t>
  </si>
  <si>
    <t>Thiết bị chiếu sáng Rạng Đông</t>
  </si>
  <si>
    <t>Công ty Cổ phần Bóng đèn Phích nước Rạng Đông- Chi nhánh Đà Nẵng Điện thoại: 02363.501189; Fax: 02363.649758; hàng hóa được giao trong nội thành TP Huế</t>
  </si>
  <si>
    <t xml:space="preserve">I : LED tube-bộ LED tube                          </t>
  </si>
  <si>
    <t>Bóng đèn LED TUBE T8 60/10W-SS</t>
  </si>
  <si>
    <t>Bóng đèn LED TUBE T8 120/18W-SS</t>
  </si>
  <si>
    <t>Bóng đèn LEDTUBE T8120/18W-SS đầu đèn xoay</t>
  </si>
  <si>
    <t>Bóng đèn LED TUBE T8 N01 60/10W-SS</t>
  </si>
  <si>
    <t>Bóng đèn LED TUBE T8 N01 120/18W-SS</t>
  </si>
  <si>
    <t>Bóng đèn LED TUBE T8 TT01 120/18W-SS</t>
  </si>
  <si>
    <t>Bộ đèn LED TUBE BD LT01 T5/16W-SS</t>
  </si>
  <si>
    <t>Bộ đèn LED TUBE T8 M11/10Wx1-SS</t>
  </si>
  <si>
    <t>Bộ đèn LED TUBE T8 M11/18Wx1-SS</t>
  </si>
  <si>
    <t>Bộ đèn LED TUBE BD T8L N01 M11/10Wx1-SS</t>
  </si>
  <si>
    <t>Bộ đèn LED TUBE BD T8L N01 M11/18Wx1-SS</t>
  </si>
  <si>
    <t>Bộ đèn LED TUBE T8L TT01 M11/18Wx1-SS</t>
  </si>
  <si>
    <t>Bộ đèn Led tube BD LT02 T5 N01 30/4W-S</t>
  </si>
  <si>
    <t>Bộ đèn Led tube BD LT02 T5 N01 60/8W-S</t>
  </si>
  <si>
    <t>Bộ đèn Led tube BD LT02 T5 N01 120/16W-S</t>
  </si>
  <si>
    <t>Bộ đèn LED âm trần BD M15L 30x120/36W-S</t>
  </si>
  <si>
    <t>Bộ đèn LED âm trần BD M15L 60x120/72W-S</t>
  </si>
  <si>
    <t>Bộ đèn LED âm trần BD M15L 60x60/36W-S</t>
  </si>
  <si>
    <t>Bộ đèn LED BD M16L 60/18W-SS</t>
  </si>
  <si>
    <t>Bộ đèn LED BD M16L 120/36W-SS</t>
  </si>
  <si>
    <t>Bộ đèn LED Tube chống ẩm BD M18L 120/36W IP65-SS</t>
  </si>
  <si>
    <t>Bộ đèn LED Tube chống ẩm D LN CA01L/18Wx1-SS</t>
  </si>
  <si>
    <t>Bộ đèn LED Tube chống ẩm D LN CA01L/18Wx2-SS</t>
  </si>
  <si>
    <t xml:space="preserve">II : LED Downlight                                 </t>
  </si>
  <si>
    <t>Đèn Led Downlight (D AT03L 76/3W)-S</t>
  </si>
  <si>
    <t>Đèn Led Downlight (D AT03L 90/5W)-S</t>
  </si>
  <si>
    <t>Đèn Led Downlight (D AT03L90/7W)-SS</t>
  </si>
  <si>
    <t>Đèn Led Downlight (D AT03L110/7W)-SS</t>
  </si>
  <si>
    <t>Đèn Led Downlight (D AT04L 90/7W) 220V-E</t>
  </si>
  <si>
    <t>Đèn Led Downlight (D AT04L110/7W) 220V-E</t>
  </si>
  <si>
    <t>Đèn Led Downlight (D AT03L110/9W)-SS</t>
  </si>
  <si>
    <t>Đèn Led Downlight (D AT04L 90/9W) 220V-E</t>
  </si>
  <si>
    <t>Đèn Led Downlight (D AT04L 110/9W) 220V-E</t>
  </si>
  <si>
    <t>Đèn Led Downlight (D AT04L155/16W)-E</t>
  </si>
  <si>
    <t>Đèn Led Downlight đổi màu (D AT02L DM 90/6W)</t>
  </si>
  <si>
    <t>Đèn Led Downlight đổi màu (DAT02L DM 110/9W)</t>
  </si>
  <si>
    <t>III : LED bull</t>
  </si>
  <si>
    <t>LED BULB (LED A45N1/1W) E27-S</t>
  </si>
  <si>
    <t>LED BULB (LED A45N1/2W) E27-S</t>
  </si>
  <si>
    <t>LED BULB (LED A55N4/3W) E27-S</t>
  </si>
  <si>
    <t>LED BULB (LED A55N4/5W) E27-S</t>
  </si>
  <si>
    <t>LED BULB (LED A60N3/7W) E27-S</t>
  </si>
  <si>
    <t>LED BULB (LED A65N2/9W) E27-S</t>
  </si>
  <si>
    <t>LED BULB (LED A70N1/12W) E27-SS</t>
  </si>
  <si>
    <t>LED BULB (LED A95N1/15W) E27-SS)</t>
  </si>
  <si>
    <t>LED BULB (LED A110N1/20W) E27-SS</t>
  </si>
  <si>
    <t>LED BULB (LED A120N1/30W) E27-S</t>
  </si>
  <si>
    <t>LED BULB (LED A120/40W)-SS</t>
  </si>
  <si>
    <t>LED BULB (LED TR50N1/8W) E27-SS</t>
  </si>
  <si>
    <t>LED BULB (LED TR60N1/10W) E27-SS</t>
  </si>
  <si>
    <t>LED BULB (LED TR60N1/12W) E27-SS</t>
  </si>
  <si>
    <t>LED BULB (LED TR70N1/14W) E27-SS</t>
  </si>
  <si>
    <t>LED BULB (LED TR80N1/18W) E27-SS</t>
  </si>
  <si>
    <t>LED BULB (LED TR100N1/28W) E27-SS</t>
  </si>
  <si>
    <t>LED  BULB(LED TR120N1/40W) E27-SS</t>
  </si>
  <si>
    <t>LED  BULB(LED TR140N1/50W) E27-SS</t>
  </si>
  <si>
    <t xml:space="preserve">IV : LED  ốp trần            </t>
  </si>
  <si>
    <t>Đèn LED ốp trần (D LN04L/7W)-S</t>
  </si>
  <si>
    <t>Đèn LED ốp trần (D LN 03L/9W)-S</t>
  </si>
  <si>
    <t>Đèn LED ốp trần (D LN 03L/14W)-S</t>
  </si>
  <si>
    <t>Đèn LED ốp trần (D LN 03L 375/18W)-S</t>
  </si>
  <si>
    <t>Đèn LED ốp trần (D LN 05L 160/9W)-SS</t>
  </si>
  <si>
    <t>Đèn LED ốp trần (D LN 05L 220/14W)-SS</t>
  </si>
  <si>
    <t>Đèn LED ốp trần (D LN 03L 270/14W)-SS</t>
  </si>
  <si>
    <t>Đèn LED ốp trần (D LN 06L 320/18W)-SS</t>
  </si>
  <si>
    <t>Đèn LED ốp trần (D LN 07L 25x25/9W)-S</t>
  </si>
  <si>
    <t xml:space="preserve">Đèn LED ốp trần (DLN09L25x25/9W)-SS              </t>
  </si>
  <si>
    <t xml:space="preserve">Đèn LED ốp trần (D  LN08L17x17/12W)-SS                      </t>
  </si>
  <si>
    <t>Đèn LED ốp trần (D LN09L 172/12W)-SS</t>
  </si>
  <si>
    <t>Đèn LED ốp trần (D LN09L 225/18W)-SS</t>
  </si>
  <si>
    <t>Đèn LED ốp trần vuông (D LN 08L 23x23/18W)</t>
  </si>
  <si>
    <t>Đèn LED ốp trần chống bụi (D LN CB01L/9W)-S</t>
  </si>
  <si>
    <t>Đèn LED ốp trần chống bụi (D LN CB02L/12W)-S</t>
  </si>
  <si>
    <t>V : LED panel</t>
  </si>
  <si>
    <t>Đèn LED Panel tròn (D PT03L 110/6W)-S</t>
  </si>
  <si>
    <t>Đèn LED Panel tròn (D PT03L 135/9W)-S</t>
  </si>
  <si>
    <t>Đèn LED Panel tròn (D PT02 160/12W)-S</t>
  </si>
  <si>
    <t xml:space="preserve">Đèn LED Panel (D P02 60x60/36w)-S </t>
  </si>
  <si>
    <t>Đèn LED Panel (D P02 30x120/36W)-S</t>
  </si>
  <si>
    <t>Đèn LED Panel D P01 60x60/50w</t>
  </si>
  <si>
    <t>Đèn LED Panel D P01 30x120/50w</t>
  </si>
  <si>
    <t>Đèn LED Panel (D P02 60x120/75W)-E</t>
  </si>
  <si>
    <t>Đèn LED Panel (D PN03 120x120/8W)-S</t>
  </si>
  <si>
    <t>Đèn LED Panel (D PN03 160x160/12W)-S</t>
  </si>
  <si>
    <t>VI : LED khác - LED chiếu đường</t>
  </si>
  <si>
    <t>Đèn LED chỉ dẫn D CD01 40x20/2.2W(1 mặt)</t>
  </si>
  <si>
    <t>Đèn LED chỉ dẫn D CD01 40x20/2.2W(2 mặt)</t>
  </si>
  <si>
    <t>Đèn LED chiếu sáng khẩn cấp D KC01/2W</t>
  </si>
  <si>
    <t xml:space="preserve">Đèn LED chiếu sáng gương D G01L/8W </t>
  </si>
  <si>
    <t>Đèn LED chiếu pha (DCP 03L/10W)</t>
  </si>
  <si>
    <t>Đèn LED chiếu pha (DCP 03L/20W)</t>
  </si>
  <si>
    <t>Đèn LED chiếu pha (DCP 03L/30W)</t>
  </si>
  <si>
    <t>Đèn LED chiếu pha (D CP 03L/50w) - LED SS</t>
  </si>
  <si>
    <t>Đèn LED chiếu pha (D CP 03L/70w) - LED SS</t>
  </si>
  <si>
    <t>Đèn LED chiếu pha (D CP 03L/100w) - LED SS</t>
  </si>
  <si>
    <t>Đèn LED chiếu pha (D CP 03L/150w) - LED SS</t>
  </si>
  <si>
    <t>Đèn LED Lowbay D LB01L/10W 6500K Led SS</t>
  </si>
  <si>
    <t>Đèn LED Lowbay D LB01L/20W 6500K Led SS</t>
  </si>
  <si>
    <t>Đèn LED Lowbay D LB01L/30W 6500K Led SS</t>
  </si>
  <si>
    <t>Đèn LED Lowbay D LB01L/50W 6500K Led SS</t>
  </si>
  <si>
    <t>Đèn LED High bay D HB01L 410/30w</t>
  </si>
  <si>
    <t>Đèn LED High bay D HB01L 410/50w</t>
  </si>
  <si>
    <t>Đèn LED High bay D HB01L 410/70w</t>
  </si>
  <si>
    <t>Đèn LED High bay D HB01L 500/100w</t>
  </si>
  <si>
    <t xml:space="preserve">Đèn LED High bay D HB01L 500/120w </t>
  </si>
  <si>
    <t xml:space="preserve">Đèn LED High bay D HB01L 500/150w </t>
  </si>
  <si>
    <t xml:space="preserve">Đèn LED High bay D HB02L 430/100w </t>
  </si>
  <si>
    <t>Đèn LED High bay D HB02L 430/120w</t>
  </si>
  <si>
    <t xml:space="preserve">Đèn LED High bay D HB02L 430/150w </t>
  </si>
  <si>
    <t>Đèn LED chiếu sáng đường D CSD02L / 30w</t>
  </si>
  <si>
    <t>Đèn LED chiếu sáng đường D CSD02L / 35w</t>
  </si>
  <si>
    <t>Đèn LED chiếu sáng đường D CSD02L / 40w</t>
  </si>
  <si>
    <t>Đèn LED chiếu sáng đường D CSD02L / 60w</t>
  </si>
  <si>
    <t>Đèn LED chiếu sáng đường D CSD02L / 70w</t>
  </si>
  <si>
    <t>Đèn LED chiếu sáng đường D CSD02L / 120w</t>
  </si>
  <si>
    <t>Đèn LED chiếu sáng đường D CSD02L / 150w</t>
  </si>
  <si>
    <t xml:space="preserve">Đèn LED TRACKLIGHT DTRL01L/8W E </t>
  </si>
  <si>
    <t xml:space="preserve">Đèn LED TRACKLIGHT DTRL01L/12W E </t>
  </si>
  <si>
    <t>Đèn LED đánh cá D DC04L/200W (5000K/3000K)</t>
  </si>
  <si>
    <t>Đèn LED thả chìm D TC01L/200W (4000K/Green)</t>
  </si>
  <si>
    <t xml:space="preserve">VII : Bộ đèn LED chiếu sáng lớp học                       </t>
  </si>
  <si>
    <t>Bộ đèn LED TUBE CSLH/20wx1</t>
  </si>
  <si>
    <t>Bộ đèn LED TUBE CSLH/20wx2</t>
  </si>
  <si>
    <t>Bộ đèn LED TUBE CSLH/18wx1 trắng LED SS</t>
  </si>
  <si>
    <t>Bộ đèn LED TUBE TT01 CSLH/18wx1 trắng LED SS</t>
  </si>
  <si>
    <t>Bộ đèn LED TUBE CSLH/18wx2 trắng LED SS</t>
  </si>
  <si>
    <t>Bộ đèn LED TUBE TT01 CSLH/18wx2 trắng LED SS</t>
  </si>
  <si>
    <t>Bộ đèn LED TUBE CSBA/20wx1</t>
  </si>
  <si>
    <t>Bộ đèn LED TUBE CSBA/18wx1 trắng LED SS</t>
  </si>
  <si>
    <t>Bộ đèn LED TUBE TT01 CSBA/18wx1 trắng LED SS</t>
  </si>
  <si>
    <t>Bộ đèn LED CSBA 60/10w trắng LED SS</t>
  </si>
  <si>
    <t>Bộ đèn LED CSBA 120/18w trắng LED SS</t>
  </si>
  <si>
    <t xml:space="preserve">VIII : Bóng đèn HQ-Conpact                              </t>
  </si>
  <si>
    <t xml:space="preserve">Bóng đèn HQ T8 - 36W GALAXY(S)SL                  </t>
  </si>
  <si>
    <t xml:space="preserve">Bóng đèn HQ 40W - 1.2m                            </t>
  </si>
  <si>
    <t>Bóng đèn CFL 2U T4 11W H8 MN</t>
  </si>
  <si>
    <t>Bóng đèn CFL 3U T4 15W H8 MN</t>
  </si>
  <si>
    <t>Bóng đèn CFL 3U T4 20W H8 MN</t>
  </si>
  <si>
    <t xml:space="preserve">Bóng đèn CFL 3UT4 25W H8 E27 </t>
  </si>
  <si>
    <t xml:space="preserve">Bóng đèn CFL 3UT4 30W H8 E27 </t>
  </si>
  <si>
    <t>Bóng đèn  CFL-4UT5 36W.S H8</t>
  </si>
  <si>
    <t xml:space="preserve">Bóng đèn CFL 4U T5 40W H8 E27 </t>
  </si>
  <si>
    <t xml:space="preserve">Bóng đèn CFL 4UT5 40W.S E27 </t>
  </si>
  <si>
    <t>Bóng đèn CFL 4UT5 50W.S E27</t>
  </si>
  <si>
    <t xml:space="preserve">Bóng đèn CFL 4UT5 50W.S E40 </t>
  </si>
  <si>
    <t xml:space="preserve">Bóng đèn CFL 4U T5 50W H8 E27 </t>
  </si>
  <si>
    <t>Bóng đèn CFL 4U T5 50W H8 E40</t>
  </si>
  <si>
    <t xml:space="preserve">Bóng đèn HQ CPact CF-H CSC5U-80-E27               </t>
  </si>
  <si>
    <t xml:space="preserve">Bóng đèn HQ CPact CF-H CSC5U-80-E40               </t>
  </si>
  <si>
    <t>Bóng đèn HQ CPact CF-H CSC5U-100-E27</t>
  </si>
  <si>
    <t xml:space="preserve">Bóng đèn HQ CPact CF-H CSC5U-100-E40 </t>
  </si>
  <si>
    <t>Bóng đèn HQ Compact T3-2U 5W Galaxy</t>
  </si>
  <si>
    <t>Bóng đèn HQ Compact T3-3U 11W Galaxy</t>
  </si>
  <si>
    <t xml:space="preserve">Bóng đèn HQ Compact T3-3U 14W Galaxy </t>
  </si>
  <si>
    <t xml:space="preserve">Bóng đèn HQ Compact CFL-HST4 25W H8 </t>
  </si>
  <si>
    <t xml:space="preserve">Bóng đèn HQ Compact CFL-HST4 30W </t>
  </si>
  <si>
    <t xml:space="preserve">Bóng đèn CFL HST5 40W H8 E27 </t>
  </si>
  <si>
    <t xml:space="preserve">Bóng đèn CFL HST5 50W H8 E27 </t>
  </si>
  <si>
    <t>Bóng đèn HQ CPact xoắn 6000h 85W E27</t>
  </si>
  <si>
    <t xml:space="preserve">Bóng đèn HQ CPact xoắn 6000h 105W E27   </t>
  </si>
  <si>
    <t xml:space="preserve">Bóng đèn HQ CPact xoắn 6000h 105W E40  </t>
  </si>
  <si>
    <t>VIII : Máng đèn-bộ đèn</t>
  </si>
  <si>
    <t>Bộ đèn HQ T8-18W x1 M9G-ballast đ/tử</t>
  </si>
  <si>
    <t>Bộ đèn HQ T8-36W x1 M9G-ballast đ/tử</t>
  </si>
  <si>
    <t xml:space="preserve">Máng đèn HQ-FS-40/36x1-M8, có balat      </t>
  </si>
  <si>
    <t xml:space="preserve">Máng đèn HQ-FS-40/36x2-M8, có balat      </t>
  </si>
  <si>
    <t>Máng HQ âm trần FS20/18x3-M6-ballast đ/tử</t>
  </si>
  <si>
    <t>Máng HQ âm trần FS20/18x4-M6-ballast đ/tử</t>
  </si>
  <si>
    <t>Máng HQ âm trần FS40/36x2-M6-ballast đ/tử</t>
  </si>
  <si>
    <t>Máng HQ âm trần FS40/36x3-M6-ballast đ/tử</t>
  </si>
  <si>
    <t>Máng HQ lắp nổi FS20/18x3-M10-BL-ballast đ/tử</t>
  </si>
  <si>
    <t>Máng HQ lắp nổi FS20/18x4-M10-BL-ballast đ/tử</t>
  </si>
  <si>
    <t>Máng HQ lắp nổi FS40/36x2-M10-BL-ballast đ/tử</t>
  </si>
  <si>
    <t>Máng HQ lắp nổi FS40/36x3-M10-BL-ballast đ/tử</t>
  </si>
  <si>
    <t>Máng HQ lắp nổi FS40/36x4-M10-BL-ballast đ/tử</t>
  </si>
  <si>
    <t>Bộ đèn huỳnh quang chống ẩm D LN CA/1*36W</t>
  </si>
  <si>
    <t>Bộ đèn huỳnh quang chống ẩm D LN CA/2*36W</t>
  </si>
  <si>
    <t>Bộ đèn huỳnh quang chống ẩm D LN CA/2*18W</t>
  </si>
  <si>
    <t>Bộ đèn chiếu sáng lớp học FS40/36x1 CM1*EH</t>
  </si>
  <si>
    <t>Bộ đèn chiếu sáng lớp học FS40/36x2 CM1*EH</t>
  </si>
  <si>
    <t>Bộ đèn chiếu sáng bảng FS40/36x1 CM1*EH BACS</t>
  </si>
  <si>
    <t>Thiết bị chiếu sáng SINO- VANLOCK</t>
  </si>
  <si>
    <t>Đèn huỳnh quang 2x36W+ Bóng 36W</t>
  </si>
  <si>
    <t>SP2036</t>
  </si>
  <si>
    <t>Đèn huỳnh quang 1x36W+ Bóng 36W</t>
  </si>
  <si>
    <t>SP1036</t>
  </si>
  <si>
    <t>Đèn huỳnh quang 2x18W+ Bóng 18W</t>
  </si>
  <si>
    <t>SP1018</t>
  </si>
  <si>
    <t>Đèn ốp trần 1x 32W</t>
  </si>
  <si>
    <t>RD-40E 14</t>
  </si>
  <si>
    <t>Đèn phản quang âm trần thả 2x18W+ Bóng 18W</t>
  </si>
  <si>
    <t>ARM2018</t>
  </si>
  <si>
    <t>Đèn phản quang âm trần thả 3x18W+ Bóng 18W</t>
  </si>
  <si>
    <t>ARM3018</t>
  </si>
  <si>
    <t>Đèn phản quang âm trần thả 2x36W+ Bóng 36W</t>
  </si>
  <si>
    <t>ARM2036</t>
  </si>
  <si>
    <t>Đèn phản quang âm trần thả 3x36W+ Bóng 36W</t>
  </si>
  <si>
    <t>ARM3036</t>
  </si>
  <si>
    <t>Đèn phản quang âm trần thả 4x36W+ Bóng 36W</t>
  </si>
  <si>
    <t>ARM4036</t>
  </si>
  <si>
    <t>CẦU DAO, APTOMAT, TỦ ĐIỆN</t>
  </si>
  <si>
    <t>Aptomat MCB 1P Sino - Vanlock</t>
  </si>
  <si>
    <t>6;10;16;20;25;32;40A</t>
  </si>
  <si>
    <t>50;63A</t>
  </si>
  <si>
    <t>Aptomat MCB 2P Sino - Vanlock</t>
  </si>
  <si>
    <t xml:space="preserve"> 50;63A</t>
  </si>
  <si>
    <t>Aptomat MCB 3P Sino - Vanlock</t>
  </si>
  <si>
    <t>6,10,16,20,25,32,40A</t>
  </si>
  <si>
    <t>Aptomtat chống rò 2P Sino - Vanlock</t>
  </si>
  <si>
    <t>16;20A</t>
  </si>
  <si>
    <t>32;40A</t>
  </si>
  <si>
    <t>Aptomat MCB 01 P- C Curve Panasonic</t>
  </si>
  <si>
    <t>80A</t>
  </si>
  <si>
    <t>100A</t>
  </si>
  <si>
    <t>Aptomat MCB 02 P- C Curve Panasonic</t>
  </si>
  <si>
    <t>Aptomat MCB 03 P- C Curve Panasonic</t>
  </si>
  <si>
    <t>Aptomat MCB 04 P- C Curve Panasonic</t>
  </si>
  <si>
    <t>Aptomat khối loại 1P  Roman</t>
  </si>
  <si>
    <t>(10A-30A)</t>
  </si>
  <si>
    <t>Aptomat khối loại 2P  Roman</t>
  </si>
  <si>
    <t>Aptomat khối loại 2P chống giật Roman</t>
  </si>
  <si>
    <t xml:space="preserve">(15A-30A) </t>
  </si>
  <si>
    <t>(40A-50A)</t>
  </si>
  <si>
    <t>Tủ Aptomat 4P Roman</t>
  </si>
  <si>
    <t>Tủ Aptomat 6P Roman</t>
  </si>
  <si>
    <t>Tủ Aptomat 9P Roman</t>
  </si>
  <si>
    <t>Tủ Aptomat 12P Roman</t>
  </si>
  <si>
    <t>Tủ điện vỏ kim loại lắp nổi KT 610x440x230mm</t>
  </si>
  <si>
    <t>CKE5</t>
  </si>
  <si>
    <t>Tủ điện âm tường chứa 3-6 Module</t>
  </si>
  <si>
    <t>E4FC3/6LA</t>
  </si>
  <si>
    <t>Tủ điện âm tường chứa 4-8 Module</t>
  </si>
  <si>
    <t>E4FC4/8LA</t>
  </si>
  <si>
    <t>Tủ điện vỏ kim loại chứa 2,3,4 Module lắp nổi</t>
  </si>
  <si>
    <t>EM4PL</t>
  </si>
  <si>
    <t>Tủ điện vỏ kim loại chứa 6 Module lắp nổi</t>
  </si>
  <si>
    <t>EM6PL</t>
  </si>
  <si>
    <t>Tủ điện vỏ kim loại chứa 9 Module lắp nổi</t>
  </si>
  <si>
    <t>EM9PL</t>
  </si>
  <si>
    <t>CÔNG TẮC, Ổ CẮM</t>
  </si>
  <si>
    <t xml:space="preserve">Ổ cắm đơn (2 chấu) 16A </t>
  </si>
  <si>
    <t>Sino- Vanlock</t>
  </si>
  <si>
    <t xml:space="preserve">Ổ cắm đôi (2 chấu) 16A </t>
  </si>
  <si>
    <t>Ổ cắm ba (2 chấu) 16A</t>
  </si>
  <si>
    <t>Ổ cắm đơn (2 chấu) 16A+1;2 lỗ</t>
  </si>
  <si>
    <t>Ổ cắm đôi (2 chấu) 16A+1;2 lỗ</t>
  </si>
  <si>
    <t>Ổ cắm đơn (3 chấu) 16A</t>
  </si>
  <si>
    <t xml:space="preserve">Ổ cắm đôi (3 chấu) 16A </t>
  </si>
  <si>
    <t>Ổ cắm đơn (3 chấu) 16A+1, 2 lỗ</t>
  </si>
  <si>
    <t>Hạt công tắc 1 chiều 10A Sino- Vanlock</t>
  </si>
  <si>
    <t>S30/1/2M</t>
  </si>
  <si>
    <t>Hạt công tắc 2 chiều 10A cầu thang Sino- Vanlock</t>
  </si>
  <si>
    <t>S30M</t>
  </si>
  <si>
    <t>Hạt công tắc 2 cực 20A nóng lạnh Sino- Vanlock</t>
  </si>
  <si>
    <t>S30MD20</t>
  </si>
  <si>
    <t>Hạt TV Sino- Vanlock</t>
  </si>
  <si>
    <t>S30TV75MS</t>
  </si>
  <si>
    <t>Hạt điện thoại Sino- Vanlock</t>
  </si>
  <si>
    <t>S30RJ40</t>
  </si>
  <si>
    <t>Hạt mạng Sino- Vanlock</t>
  </si>
  <si>
    <t>S30RJ88</t>
  </si>
  <si>
    <t>Hạt đèn báo đỏ Sino- Vanlock</t>
  </si>
  <si>
    <t>S30NRD</t>
  </si>
  <si>
    <t>Hộp nối dây 110 x 110 x 50mm Sino- Vanlock</t>
  </si>
  <si>
    <t>E265/2</t>
  </si>
  <si>
    <t>Hộp nối, phân dây, Automat &lt;=150 x 150 Sino</t>
  </si>
  <si>
    <t>Hộp phân dây KT 160 x 160 Sino</t>
  </si>
  <si>
    <t>Chia 3 TV Sino- Vanlock</t>
  </si>
  <si>
    <t>Chia 6 TV Sino- Vanlock</t>
  </si>
  <si>
    <t>Chuông điện có dây Vanlock</t>
  </si>
  <si>
    <t>Công tắc đơn 250VAC-16A Panasonic</t>
  </si>
  <si>
    <t>WEG5001K</t>
  </si>
  <si>
    <t>Công tắc cầu thang 250VAC-16A Panasonic</t>
  </si>
  <si>
    <t>WEG5002K</t>
  </si>
  <si>
    <t>Công tắc bình nóng lạnh 16A Panasonic</t>
  </si>
  <si>
    <t>WEG5003K</t>
  </si>
  <si>
    <t>Ổ cắm đơn có màn che 250VAC-16A Panasonic</t>
  </si>
  <si>
    <t>WNG 1081W-7</t>
  </si>
  <si>
    <t>Ổ cắm thường 250VAC- 10A Panasonic</t>
  </si>
  <si>
    <t>WNG 10917W</t>
  </si>
  <si>
    <t>Ổ cắm  đôi loại nổi 250VAC- 10A Panasonic</t>
  </si>
  <si>
    <t>WKG 1092250</t>
  </si>
  <si>
    <t>Ổ cắm đơn loại nổi 250VAC- 10A Panasonic</t>
  </si>
  <si>
    <t>WK 1091- 250</t>
  </si>
  <si>
    <t>Công tắc đơn có đèn báo 16A Panasonic</t>
  </si>
  <si>
    <t>WEG5151-51K</t>
  </si>
  <si>
    <t>Công tắc 1 chiều có dạ quang cỡ S Clipsal</t>
  </si>
  <si>
    <t>3031/1/2M-F</t>
  </si>
  <si>
    <t>Công tắc 2 chiều có dạ quang cỡ S Clipsal</t>
  </si>
  <si>
    <t>3031/2/3M-F</t>
  </si>
  <si>
    <t>Ổ cắm đôi âm tường 3 chấu 250V-16A Clipsal</t>
  </si>
  <si>
    <t>3426UEST2M</t>
  </si>
  <si>
    <t>Ổ cắm đơn âm tường 2 chấu 250V-16A Clipsal</t>
  </si>
  <si>
    <t>3426USM</t>
  </si>
  <si>
    <t>Ổ cắm đơn âm tường 3 chấu 250V-16A Clipsal</t>
  </si>
  <si>
    <t>3426UESTM</t>
  </si>
  <si>
    <t>Hạt công tắc Clipsal</t>
  </si>
  <si>
    <t>E30/1/M-D</t>
  </si>
  <si>
    <t>Ổ cắm chữ nhật 1 lỗ 70X114mm- Nexans</t>
  </si>
  <si>
    <t>Ổ cắm tivi 30 31 TV75MS Clipsal, Schneider</t>
  </si>
  <si>
    <t xml:space="preserve">Ổ cắm điện thoại 30 31RJ 64M </t>
  </si>
  <si>
    <t xml:space="preserve">Clipsal, Schneider </t>
  </si>
  <si>
    <t>Đầu nối lan mark-6 chuẩn Cat 6 N420 660</t>
  </si>
  <si>
    <t>Nexans</t>
  </si>
  <si>
    <t>Cáp điện thoại 30x2x0,5</t>
  </si>
  <si>
    <t>Sacom</t>
  </si>
  <si>
    <t>Công tắc 1 chiều 16A</t>
  </si>
  <si>
    <t>Sino - Vanlock</t>
  </si>
  <si>
    <t>Công tắc 2 chiều 16A</t>
  </si>
  <si>
    <t>Công tắc đơn Rạng Đông</t>
  </si>
  <si>
    <t>16A-250V</t>
  </si>
  <si>
    <t>Công tắc đôi Rạng Đông</t>
  </si>
  <si>
    <t>MẶT CHE, ĐẾ, TẮC TE, TĂNG PHÔ</t>
  </si>
  <si>
    <t>Hộp chia 1,2,3,4 ngả Φ 16 Sino- Vanlock</t>
  </si>
  <si>
    <t>E240/16/2</t>
  </si>
  <si>
    <t>Hộp chia 1,2,3,4 ngả Φ 20 Sino- Vanlock</t>
  </si>
  <si>
    <t>E240/20/2</t>
  </si>
  <si>
    <t>Hộp chia 1,2,3,4 ngả Φ 25 Sino- Vanlock</t>
  </si>
  <si>
    <t>E240/25/2</t>
  </si>
  <si>
    <t>Đế âm chữ nhật tự chống cháy Sino- Vanlock</t>
  </si>
  <si>
    <t>S2157</t>
  </si>
  <si>
    <t>Mặt 1,2,3 công tắc Sino- Vanlock</t>
  </si>
  <si>
    <t>S181/X</t>
  </si>
  <si>
    <t>Mặt 4 công tắc Sino- Vanlock</t>
  </si>
  <si>
    <t>S184/X</t>
  </si>
  <si>
    <t>Mặt chống thấm cho ổ cắm Sino- Vanlock</t>
  </si>
  <si>
    <t>S323DV</t>
  </si>
  <si>
    <t>Mặt 1, 2, 3 lỗ Sino-Vanlock</t>
  </si>
  <si>
    <t>Mặt 4; 5; 6 lỗ Sino-Vanlock</t>
  </si>
  <si>
    <t>Cầu chì Sino6 - Vanlock</t>
  </si>
  <si>
    <t>Mặt 1;2;3 lỗ Clipsal- Schmeider</t>
  </si>
  <si>
    <t>A3001</t>
  </si>
  <si>
    <t>Mặt che cho 1 thiết bị size M Clipsal</t>
  </si>
  <si>
    <t>FG1050</t>
  </si>
  <si>
    <t>Đế âm đơn</t>
  </si>
  <si>
    <t>Đế aptomat tép</t>
  </si>
  <si>
    <t>Đế nổi đơn</t>
  </si>
  <si>
    <t>Tắc te osram (ST111)</t>
  </si>
  <si>
    <t>Tắc te osram (ST111 FSL)</t>
  </si>
  <si>
    <t>Tắc te Thái</t>
  </si>
  <si>
    <t>DÂY CÁP ĐIỆN CADIVI</t>
  </si>
  <si>
    <t>CV-1.5 (7/0.52) - 450/750V</t>
  </si>
  <si>
    <t>Cáp điện lực hạ thế - 450/750V- TCVN 6610-3:2000</t>
  </si>
  <si>
    <t>Công ty Cổ phần Cadivi; Sđt: (028)38.299443, giá bán tại các đại lý trên địa bàn tỉnh Thừa Thiên Huế</t>
  </si>
  <si>
    <t>CV-2.5 (7/0.67) - 450/750V</t>
  </si>
  <si>
    <t>CV-10 (7/1.35) - 450/750V</t>
  </si>
  <si>
    <t>CV-50 - 750V</t>
  </si>
  <si>
    <t>CV-240 -750V</t>
  </si>
  <si>
    <t>CV-300 -750V</t>
  </si>
  <si>
    <t>CVV-1 (1x7/0.425) – 0,6/1 kV</t>
  </si>
  <si>
    <t>Cáp điện lực hạ thế - 0,6/1 kV- TCVN 5935:1995 (1 lõi, ruột đồng, cách điện PVC, vỏ PVC)</t>
  </si>
  <si>
    <t>CVV-1.5 (1x7/0,52) – 0,6/1 kV</t>
  </si>
  <si>
    <t>CVV-6.0 (1x7/1.04) – 0,6/1 kV</t>
  </si>
  <si>
    <t>CVV-25 – 0,6/1 kV</t>
  </si>
  <si>
    <t>CVV-50– 0,6/1 kV</t>
  </si>
  <si>
    <t>CVV-95 – 0,6/1 kV</t>
  </si>
  <si>
    <t>CVV-150 – 0,6/1 kV</t>
  </si>
  <si>
    <t>CVV-2x4 (2x7/0.85)– 300/500 V</t>
  </si>
  <si>
    <t>Cáp điện lực hạ thế – 300/500 V- TCVN 6610-4:2000 (2 lõi, ruột đồng, cách điện PVC, vỏ PVC)</t>
  </si>
  <si>
    <t>CVV-2x10 (2x7/1.35)– 300/500 V</t>
  </si>
  <si>
    <t>CVV-3x1.5 (3x7/0.52) – 300/500 V</t>
  </si>
  <si>
    <t>Cáp điện lực hạ thế – 300/500 V- TCVN 6610-4:2000 (3 lõi, ruột đồng, cách điện PVC, vỏ PVC)</t>
  </si>
  <si>
    <t>CVV-3x2.5 (3x7/0.67) – 300/500 V</t>
  </si>
  <si>
    <t>CVV-3x6 (3x7/1.04) – 300/500 V</t>
  </si>
  <si>
    <t>CVV-4x1.5 (4x7/0.52) – 300/500 V</t>
  </si>
  <si>
    <t>Cáp điện lực hạ thế – 300/500 V- TCVN 6610-4:2000 (4 lõi, ruột đồng, cách điện PVC, vỏ PVC)</t>
  </si>
  <si>
    <t>CVV-4x2.5 (4x7/0.67) – 300/500 V</t>
  </si>
  <si>
    <t>CVV-2x16 – 0,6/1 kV</t>
  </si>
  <si>
    <t>Cáp điện lực hạ thế - 0,6/1 kV- TCVN 5935:1995 (2 lõi, ruột đồng, cách điện PVC, vỏ PVC)</t>
  </si>
  <si>
    <t>CVV-2x25 – 0,6/1 kV</t>
  </si>
  <si>
    <t>CVV-2x150 – 0,6/1 kV</t>
  </si>
  <si>
    <t>CVV-3x16 – 0,6/1 kV</t>
  </si>
  <si>
    <t>Cáp điện lực hạ thế - 0,6/1 kV- TCVN 5935:1995 (3 lõi, ruột đồng, cách điện PVC, vỏ PVC)</t>
  </si>
  <si>
    <t>CVV-3x50 – 0,6/1 kV</t>
  </si>
  <si>
    <t>CVV-3x95 – 0,6/1 kV</t>
  </si>
  <si>
    <t>CVV-3x120 – 0,6/1 kV</t>
  </si>
  <si>
    <t>CVV-4x16 – 0,6/1 kV</t>
  </si>
  <si>
    <t>Cáp điện lực hạ thế - 0,6/1 kV- TCVN 5935:1995 (4 lõi, ruột đồng, cách điện PVC, vỏ PVC)</t>
  </si>
  <si>
    <t>CVV-4x25 – 0,6/1 kV</t>
  </si>
  <si>
    <t>CVV-4x50 – 0,6/1 kV</t>
  </si>
  <si>
    <t>CVV-4x120 – 0,6/1 kV</t>
  </si>
  <si>
    <t>CVV-4x185 – 0,6/1 kV</t>
  </si>
  <si>
    <t>CVV-3x25+1x16 -0,6/1 kV</t>
  </si>
  <si>
    <t>Cáp điện lực hạ thế - 0,6/1 kV- TCVN 5935:1995 (3 lõi pha + 1 lõi đất, ruột đồng, cách điện PVC, vỏ PVC)</t>
  </si>
  <si>
    <t>CVV-3x50+1x25 -0,6/1 kV</t>
  </si>
  <si>
    <t>CVV-3x95+1x50 -0,6/1 kV</t>
  </si>
  <si>
    <t>CVV-3x120+1x70 -0,6/1 kV</t>
  </si>
  <si>
    <t>CVV/DSTA-2x4 (2x7/0.85) -0,6/1 kV</t>
  </si>
  <si>
    <t>Cáp điện lực hạ thế có giáp bảo vệ - 0,6/1 kV- TCVN 5935:1995 (2 lõi, ruột đồng, cách điện PVC, giáp băng thép bảo vệ, vỏ PVC)</t>
  </si>
  <si>
    <t>CVV/DSTA-2x10 (2x7/1.35) -0,6/1 kV</t>
  </si>
  <si>
    <t>CVV/DSTA-3x4 (3x7/0.85) -0,6/1 kV</t>
  </si>
  <si>
    <t>Cáp điện lực hạ thế có giáp bảo vệ - 0,6/1 kV- TCVN 5935:1995 (3 lõi ruột đồng, cách điện PVC, giáp băng thép bảo vệ, vỏ PVC)</t>
  </si>
  <si>
    <t>CVV/DSTA-3x16 -0,6/1 kV</t>
  </si>
  <si>
    <t>CVV/DSTA-3x50 -0,6/1 kV</t>
  </si>
  <si>
    <t>CVV/DSTA-3x185 -0,6/1 kV</t>
  </si>
  <si>
    <t>CVV/DSTA -3x4+1x2.5 -0,6/1 kV</t>
  </si>
  <si>
    <t>Cáp điện lực hạ thế có giáp bảo vệ - 0,6/1 kV- TCVN 5935:1995 (3 lõi pha + 1 lõi đất, ruột đồng, cách điện PVC, giáp băng thép bảo vệ, vỏ PVC)</t>
  </si>
  <si>
    <t>CVV/DSTA -3x16+1x10 -0,6/1 kV</t>
  </si>
  <si>
    <t>CVV/DSTA -3x50+1x25 -0,6/1 kV</t>
  </si>
  <si>
    <t>CV/FR-1x25 -0,6/1 kV</t>
  </si>
  <si>
    <t>Cáp điện lực hạ thế chống cháy 0,6/1 kV- TCVN 5935:1995/IEC 60331-21, IEC 60332-3 CAT C, BS 6387 CAT C (1 lõi, ruột đồng, cách điện FR-PVC)</t>
  </si>
  <si>
    <t>CV/FR-1x240 -0,6/1 kV</t>
  </si>
  <si>
    <t>Cầu dao 2 pha: CD 20A-2P</t>
  </si>
  <si>
    <t>Cầu dao 2 pha đảo: CDD 20A-2P</t>
  </si>
  <si>
    <t>Cầu dao 3 pha: CD 30A-3P</t>
  </si>
  <si>
    <t>Cầu dao 3 pha đảo: CDD 20A-3P</t>
  </si>
  <si>
    <t>DÂY VÀ CÁP ĐIỆN ĐỆ NHẤT (RUỘT ĐỒNG)</t>
  </si>
  <si>
    <t xml:space="preserve">VC-1,5 </t>
  </si>
  <si>
    <t xml:space="preserve">(F 1,38) - 450/750V </t>
  </si>
  <si>
    <t>Công ty TNHH Dây cáp điện Ta Tun Đệ Nhất sđt 028.6291.8991; fax 028.6291.8911; giá bán trên địa bàn tỉnh Thừa Thiên Huế; Đại lý phân phối Cty TNHH SX&amp;Thương mại Phúc Hưng 137 Huỳnh Thúc Kháng, TP Huế</t>
  </si>
  <si>
    <t xml:space="preserve">VC-2,5 </t>
  </si>
  <si>
    <t>(F 1,77) -  450/750V</t>
  </si>
  <si>
    <t>VCm-1,5</t>
  </si>
  <si>
    <t xml:space="preserve">(1x30/0,25)-450/750V </t>
  </si>
  <si>
    <t>VCm-2,5</t>
  </si>
  <si>
    <t xml:space="preserve">(1x50/0,25)-450/750V </t>
  </si>
  <si>
    <t xml:space="preserve">CV-1.5 </t>
  </si>
  <si>
    <t xml:space="preserve">(7/0,52) - 450/750V </t>
  </si>
  <si>
    <t xml:space="preserve">CV-2.5 </t>
  </si>
  <si>
    <t xml:space="preserve">(7/0,67) - 450/750V </t>
  </si>
  <si>
    <t xml:space="preserve">CV-4 </t>
  </si>
  <si>
    <t xml:space="preserve">(7/0,85) - 450/750V </t>
  </si>
  <si>
    <t xml:space="preserve">CV-6 </t>
  </si>
  <si>
    <t xml:space="preserve">(7/1,04) - 450/750V </t>
  </si>
  <si>
    <t>CV-10</t>
  </si>
  <si>
    <t xml:space="preserve">(7/1,35) - 450/750V </t>
  </si>
  <si>
    <t xml:space="preserve">CV-16 </t>
  </si>
  <si>
    <t xml:space="preserve">(7/1,7) - 450/750V </t>
  </si>
  <si>
    <t xml:space="preserve">CV-25 </t>
  </si>
  <si>
    <t xml:space="preserve">(7/2,14) - 450/750V </t>
  </si>
  <si>
    <t xml:space="preserve">CV-35 </t>
  </si>
  <si>
    <t xml:space="preserve">(7/2,52) - 450/750V </t>
  </si>
  <si>
    <t xml:space="preserve">CV-50 </t>
  </si>
  <si>
    <t xml:space="preserve">(19/1.8) - 450/750V </t>
  </si>
  <si>
    <t>VCmo-2x0.75</t>
  </si>
  <si>
    <t>(2x24/0,2)-450/750V</t>
  </si>
  <si>
    <t>VCmo-2x1.0</t>
  </si>
  <si>
    <t>(2x32/0,2)-450/750V</t>
  </si>
  <si>
    <t>VCmo-2x1.5</t>
  </si>
  <si>
    <t xml:space="preserve">(2x30/0,25)-450/750V </t>
  </si>
  <si>
    <t>VCmo-2x2.5</t>
  </si>
  <si>
    <t>(2x50/0,25)-450/750V</t>
  </si>
  <si>
    <t>CVV-2x1.5</t>
  </si>
  <si>
    <t>(2x7/0,52) - 300/500V</t>
  </si>
  <si>
    <t>CVV-2x2.5</t>
  </si>
  <si>
    <t>(2x7/0,67) - 300/500V</t>
  </si>
  <si>
    <t>CVV-2x4</t>
  </si>
  <si>
    <t>(2x7/0,85) - 300/500V</t>
  </si>
  <si>
    <t>CVV-2x6</t>
  </si>
  <si>
    <t>(2x7/1,04 - 300/500V</t>
  </si>
  <si>
    <t xml:space="preserve">CVV-3x10+1x6 </t>
  </si>
  <si>
    <t>(3x7/1,35+1x7/1,04)-0,6/1KV</t>
  </si>
  <si>
    <t>CVV-3x16+1x10</t>
  </si>
  <si>
    <t>(3x7/1,7+1x7/1,35)-0,6/1KV</t>
  </si>
  <si>
    <t>CVV/DSTA-3x6+1x4</t>
  </si>
  <si>
    <t>(3x7/1,04+1x7/0,85)-0,6/1KV</t>
  </si>
  <si>
    <t>CVV/DSTA-3x10+1x6</t>
  </si>
  <si>
    <t>CXV-3x6+1x4</t>
  </si>
  <si>
    <t>CXV-3x10+1x6</t>
  </si>
  <si>
    <t>CXV-3x10+1x10</t>
  </si>
  <si>
    <t>CXV/DSTA-3x10+1x6</t>
  </si>
  <si>
    <t>CXV/DSTA-3x16+1x10</t>
  </si>
  <si>
    <t>LV-ABC-2x16 (ruột nhôm)</t>
  </si>
  <si>
    <t>(2x7/1,73)-0,6/1KV</t>
  </si>
  <si>
    <t>LV-ABC-2x25 (ruột nhôm)</t>
  </si>
  <si>
    <t>(2x7/2,17)-0,6/1KV</t>
  </si>
  <si>
    <t>LV-ABC-4x50 (ruột nhôm)</t>
  </si>
  <si>
    <t>(4x7/2,99)-0,6/1KV</t>
  </si>
  <si>
    <t>LV-ABC-4x70 (ruột nhôm)</t>
  </si>
  <si>
    <t>(4x19/2,17)-0,6/1KV</t>
  </si>
  <si>
    <t>LV-ABC-4x95 (ruột nhôm)</t>
  </si>
  <si>
    <t>(4x19/2,56)-0,6/1KV</t>
  </si>
  <si>
    <t>LV-ABC-4x120 (ruột nhôm)</t>
  </si>
  <si>
    <t>(4x37/2,06)-0,6/1KV</t>
  </si>
  <si>
    <t>ỐNG LUỒN DÂY ĐIỆN THẲNG VANLOCK</t>
  </si>
  <si>
    <t>Ống Vanlock phi 16 (2,92m/cây)</t>
  </si>
  <si>
    <t>VL9016</t>
  </si>
  <si>
    <t>cây</t>
  </si>
  <si>
    <t>Ống Vanlock phi 20 (2,92m/cây)</t>
  </si>
  <si>
    <t>VL9020</t>
  </si>
  <si>
    <t>Ống Vanlock phi 25 (2,92m/cây)</t>
  </si>
  <si>
    <t>VL9025</t>
  </si>
  <si>
    <t>Ống Vanlock phi 32 (2,92m/cây)</t>
  </si>
  <si>
    <t>VL9032</t>
  </si>
  <si>
    <t>Nối trơn phi 16</t>
  </si>
  <si>
    <t>E242/16</t>
  </si>
  <si>
    <t>Nối trơn phi 20</t>
  </si>
  <si>
    <t>E242/20</t>
  </si>
  <si>
    <t>Nối trơn phi 25</t>
  </si>
  <si>
    <t>E242/25</t>
  </si>
  <si>
    <t>Nối trơn phi 32</t>
  </si>
  <si>
    <t>E242/32</t>
  </si>
  <si>
    <t>Nối co L phi 16</t>
  </si>
  <si>
    <t>E244/16</t>
  </si>
  <si>
    <t>Nối co L phi 20</t>
  </si>
  <si>
    <t>E244/20</t>
  </si>
  <si>
    <t>Nối co L phi 25</t>
  </si>
  <si>
    <t>E244/25</t>
  </si>
  <si>
    <t>Nối co L phi 32</t>
  </si>
  <si>
    <t>E244/32</t>
  </si>
  <si>
    <t>Nối T phi 16</t>
  </si>
  <si>
    <t>E246/16</t>
  </si>
  <si>
    <t>Nối T phi 20</t>
  </si>
  <si>
    <t>E246/20</t>
  </si>
  <si>
    <t>Nối T phi 25</t>
  </si>
  <si>
    <t>E246/25</t>
  </si>
  <si>
    <t>Nối T phi 32</t>
  </si>
  <si>
    <t>E246/32</t>
  </si>
  <si>
    <t>XV</t>
  </si>
  <si>
    <t>VẬT LIỆU NƯỚC</t>
  </si>
  <si>
    <t>ỐNG NƯỚC TRÁNG KẼM</t>
  </si>
  <si>
    <t>Ống nước bằng thép tráng kẽm Vinapine</t>
  </si>
  <si>
    <t>Cty TNHH SX &amp; Thương mại Phúc Hưng 137 Huỳnh Thúc Kháng, TP Huế ; giá bán đã bao gồm vận chuyện trong phạm vi TP Huế; giá vận chuyển ngoài phạm vi TP Huế tùy thuộc khối lượng.</t>
  </si>
  <si>
    <t>F 21mm -1,6ly</t>
  </si>
  <si>
    <t>F 21mm -1,9ly</t>
  </si>
  <si>
    <t>F 21mm -2,6ly</t>
  </si>
  <si>
    <t>F 27mm -1,6ly</t>
  </si>
  <si>
    <t>F 27mm -1,9ly</t>
  </si>
  <si>
    <t>F 27mm -2,1ly</t>
  </si>
  <si>
    <t>F 27mm -2,6ly</t>
  </si>
  <si>
    <t>F 34mm -1,6ly</t>
  </si>
  <si>
    <t>F 34mm -1,9ly</t>
  </si>
  <si>
    <t>F 34mm -2,1ly</t>
  </si>
  <si>
    <t>F 34mm -2,3ly</t>
  </si>
  <si>
    <t>F 34mm -3,2ly</t>
  </si>
  <si>
    <t>F 42mm -1,6ly</t>
  </si>
  <si>
    <t>F 42mm -1,9ly</t>
  </si>
  <si>
    <t>F 42mm -2,1ly</t>
  </si>
  <si>
    <t>F 42mm -2,3ly</t>
  </si>
  <si>
    <t>F 42mm -3,2ly</t>
  </si>
  <si>
    <t>F 49mm -1,9ly</t>
  </si>
  <si>
    <t>F 49mm -2,1ly</t>
  </si>
  <si>
    <t>F 49mm -2,3ly</t>
  </si>
  <si>
    <t>F 49mm -2,5ly</t>
  </si>
  <si>
    <t>F 49mm -3,2ly</t>
  </si>
  <si>
    <t>F 60mm -3,2ly</t>
  </si>
  <si>
    <t>F 60mm -3,6ly</t>
  </si>
  <si>
    <t>F 76mm -2,9ly</t>
  </si>
  <si>
    <t>F 76mm -3,6ly</t>
  </si>
  <si>
    <t>F 90mm -2,9ly</t>
  </si>
  <si>
    <t>F 90mm -4,0ly</t>
  </si>
  <si>
    <t>F 114mm -3,2ly</t>
  </si>
  <si>
    <t>F 114mm -4,0ly</t>
  </si>
  <si>
    <t>F 114mm -4,5ly</t>
  </si>
  <si>
    <t>ỐNG NƯỚC BẰNG NHỰA</t>
  </si>
  <si>
    <t>Ống nhựa PVC Đệ Nhất ASTM 2241-BS 3505</t>
  </si>
  <si>
    <t xml:space="preserve">Ống PVC ASTM </t>
  </si>
  <si>
    <t>21x1,7mmx4m (dài)</t>
  </si>
  <si>
    <t>21x3,0mmx4m</t>
  </si>
  <si>
    <t>27x1,9mmx4m</t>
  </si>
  <si>
    <t>27x3,0mmx4m</t>
  </si>
  <si>
    <t>34x2,1mmx4m</t>
  </si>
  <si>
    <t>34x3,0mmx4m</t>
  </si>
  <si>
    <t>42x2,1mmx4m</t>
  </si>
  <si>
    <t>42x3,5mmx4m</t>
  </si>
  <si>
    <t>49x2,5mmx4m</t>
  </si>
  <si>
    <t>49x3,5mmx4m</t>
  </si>
  <si>
    <t>60x2,5mmx4m</t>
  </si>
  <si>
    <t>60x3mmx4m</t>
  </si>
  <si>
    <t>60x4,0mmx4m</t>
  </si>
  <si>
    <t>60x4,5mmx4m</t>
  </si>
  <si>
    <t>73x3mmx4m</t>
  </si>
  <si>
    <t>76x3,0mmx4m</t>
  </si>
  <si>
    <t>76x4,5mmx4m</t>
  </si>
  <si>
    <t>89x5,5mmx4m</t>
  </si>
  <si>
    <t>90x3,0mmx4m</t>
  </si>
  <si>
    <t>90x4mmx4m</t>
  </si>
  <si>
    <t>114x3,5mmx4m</t>
  </si>
  <si>
    <t>114x5mmx4m</t>
  </si>
  <si>
    <t>114x7mmx4m</t>
  </si>
  <si>
    <t>140x5,0mmx4m</t>
  </si>
  <si>
    <t>220x6,6mmx4</t>
  </si>
  <si>
    <t>Bảng giá phụ kiện uPVC ĐỆ NHẤT</t>
  </si>
  <si>
    <t>Nối (Loại dày)</t>
  </si>
  <si>
    <t>ɸ21</t>
  </si>
  <si>
    <t>ɸ27</t>
  </si>
  <si>
    <t>ɸ34</t>
  </si>
  <si>
    <t>ɸ42</t>
  </si>
  <si>
    <t>ɸ49</t>
  </si>
  <si>
    <t>ɸ60</t>
  </si>
  <si>
    <t>ɸ76</t>
  </si>
  <si>
    <t>ɸ90</t>
  </si>
  <si>
    <t>ɸ114 (4")</t>
  </si>
  <si>
    <t>ɸ140 (5")</t>
  </si>
  <si>
    <t>ɸ220 (8")</t>
  </si>
  <si>
    <t>Tê (Loại dày)</t>
  </si>
  <si>
    <t>Co 90 (Loại dày)</t>
  </si>
  <si>
    <t>Co 45 (Loại dày)</t>
  </si>
  <si>
    <t>Y (Loại dày)</t>
  </si>
  <si>
    <t>Ống nhựa chịu nhiệt tiêu chuẩn Đức DEKKO (PN10)</t>
  </si>
  <si>
    <t>ɸ 20x2,3 mm</t>
  </si>
  <si>
    <t>ɸ 25x2,8 mm</t>
  </si>
  <si>
    <t>ɸ 32x2,9 mm</t>
  </si>
  <si>
    <t>ɸ 40x3,7 mm</t>
  </si>
  <si>
    <t>ɸ 50x4,6 mm</t>
  </si>
  <si>
    <t>ɸ 63x5,8 mm</t>
  </si>
  <si>
    <t>ɸ 75x6,8 mm</t>
  </si>
  <si>
    <t>ɸ 90x8,2 mm</t>
  </si>
  <si>
    <t>ɸ 110x10 mm</t>
  </si>
  <si>
    <t>Bảng giá phụ kiện ống nhựa chịu nhiệt tiêu chuẩn Đức DEKKO</t>
  </si>
  <si>
    <r>
      <t>Cút ren trong 90</t>
    </r>
    <r>
      <rPr>
        <b/>
        <vertAlign val="superscript"/>
        <sz val="11"/>
        <rFont val="Times New Roman"/>
        <family val="1"/>
      </rPr>
      <t>0</t>
    </r>
  </si>
  <si>
    <t xml:space="preserve">Cút ren trong </t>
  </si>
  <si>
    <t>ɸ 20 x 1/2"</t>
  </si>
  <si>
    <t>ɸ 25 x 1/2"</t>
  </si>
  <si>
    <t>ɸ 25 x 3/4"</t>
  </si>
  <si>
    <t>ɸ 32 x 1"</t>
  </si>
  <si>
    <r>
      <t>Cút ren ngoài 90</t>
    </r>
    <r>
      <rPr>
        <b/>
        <vertAlign val="superscript"/>
        <sz val="11"/>
        <rFont val="Times New Roman"/>
        <family val="1"/>
      </rPr>
      <t>0</t>
    </r>
  </si>
  <si>
    <t xml:space="preserve">Măng sông ren trong </t>
  </si>
  <si>
    <t xml:space="preserve">Măng sông ren ngoài  </t>
  </si>
  <si>
    <t>ɸ 40 x 1-1/4"</t>
  </si>
  <si>
    <t>ɸ 50 x 1-1/2"</t>
  </si>
  <si>
    <t>ɸ 63 x 2"</t>
  </si>
  <si>
    <t xml:space="preserve">Tê ren trong </t>
  </si>
  <si>
    <t xml:space="preserve">Tê ren ngoài </t>
  </si>
  <si>
    <t xml:space="preserve">Rắc co ren trong </t>
  </si>
  <si>
    <t>Rắc co ren ngoài</t>
  </si>
  <si>
    <t>ɸ50 x 1-1/2"</t>
  </si>
  <si>
    <t>Bàng giá nhựa HDPE Đệ Nhất PE100</t>
  </si>
  <si>
    <t>Đk ngoài x độ dày (mm)</t>
  </si>
  <si>
    <t>Ống HDPE Đệ Nhất</t>
  </si>
  <si>
    <t>20x2,3</t>
  </si>
  <si>
    <t>25x2,3</t>
  </si>
  <si>
    <t>32x3,0</t>
  </si>
  <si>
    <t>40x3,7</t>
  </si>
  <si>
    <t>50x4,6</t>
  </si>
  <si>
    <t>63x4,7</t>
  </si>
  <si>
    <t>75x4,5</t>
  </si>
  <si>
    <t>90x4,3</t>
  </si>
  <si>
    <t>110x5,3</t>
  </si>
  <si>
    <t>125x6,0</t>
  </si>
  <si>
    <t>140x6,7</t>
  </si>
  <si>
    <t>160x7,7</t>
  </si>
  <si>
    <t>180x8,6</t>
  </si>
  <si>
    <t>200x9,6</t>
  </si>
  <si>
    <t>225x10,8</t>
  </si>
  <si>
    <t>250x11,9</t>
  </si>
  <si>
    <t>280x13,4</t>
  </si>
  <si>
    <t>315x15</t>
  </si>
  <si>
    <t>355x16,9</t>
  </si>
  <si>
    <t>Bảng giá phụ kiện uPVC</t>
  </si>
  <si>
    <t>Co giảm 27-21</t>
  </si>
  <si>
    <t>Công ty TNHH Nhựa Giang Hiệp Thăng, Lô C1, CCN nhựa Đức Hòa, huyện Đức Hòa, tỉnh Long An; giá bán tại 93 Huỳnh Thúc Kháng, thành phố Huế</t>
  </si>
  <si>
    <t>Co giảm 34-21</t>
  </si>
  <si>
    <t>Co giảm 34-27</t>
  </si>
  <si>
    <t>Co giảm 42-34</t>
  </si>
  <si>
    <t>Co giảm 60-34</t>
  </si>
  <si>
    <t>Co giảm 90-60</t>
  </si>
  <si>
    <t>Co giảm 114-90</t>
  </si>
  <si>
    <t>Tê giảm 27-21</t>
  </si>
  <si>
    <t>Tê giảm 34-21</t>
  </si>
  <si>
    <t>Tê giảm 34-27</t>
  </si>
  <si>
    <t>Tê giảm 42-27</t>
  </si>
  <si>
    <t>Tê giảm 60-27</t>
  </si>
  <si>
    <t>Tê giảm 60-34</t>
  </si>
  <si>
    <t>Tê giảm 60-42</t>
  </si>
  <si>
    <t>Tê giảm 90-34</t>
  </si>
  <si>
    <t>Tê giảm 90-42</t>
  </si>
  <si>
    <t>Tê giảm 90-60</t>
  </si>
  <si>
    <t>Tê giảm 114-60</t>
  </si>
  <si>
    <t>Tê giảm 114-90</t>
  </si>
  <si>
    <t>Y giảm 90-60</t>
  </si>
  <si>
    <t>Y giảm 114-60</t>
  </si>
  <si>
    <t>Y giảm 114-90</t>
  </si>
  <si>
    <t>Bít 21</t>
  </si>
  <si>
    <t>Bít 27</t>
  </si>
  <si>
    <t>Bít 34</t>
  </si>
  <si>
    <t>Bít 42</t>
  </si>
  <si>
    <t>Bít 49</t>
  </si>
  <si>
    <t>Bít 60</t>
  </si>
  <si>
    <t>Bít 90</t>
  </si>
  <si>
    <t>Bít 114</t>
  </si>
  <si>
    <t>Bảng giá Van, Vòi Minh Hòa</t>
  </si>
  <si>
    <t>Công ty Cổ phần Đầu tư Minh Hòa, giá bán tại các đại lý trên địa bàn tỉnh TT-Huế</t>
  </si>
  <si>
    <t>Van cửa PPR-PN20-DN20</t>
  </si>
  <si>
    <t>Van cửa PPR-PN20-DN25</t>
  </si>
  <si>
    <t>Van cửa PPR-PN20-DN32</t>
  </si>
  <si>
    <t>Van cửa PPR-PN20-DN40</t>
  </si>
  <si>
    <t>Van cửa PPR-PN20-DN50</t>
  </si>
  <si>
    <t>Van cửa PPR-PN20-DN63</t>
  </si>
  <si>
    <t>Van cửa ĐỒNG PN16- DN8 (MIHA)</t>
  </si>
  <si>
    <t>Van cửa ĐỒNG PN16- DN10</t>
  </si>
  <si>
    <t>Van cửa ĐỒNG PN10- DN15</t>
  </si>
  <si>
    <t>Van cửa ĐỒNG PN10- DN20</t>
  </si>
  <si>
    <t>Van cửa ĐỒNG PN10- DN25</t>
  </si>
  <si>
    <t>Van cửa ĐỒNG PN10- DN32</t>
  </si>
  <si>
    <t>Van cửa ĐỒNG PN10- DN40</t>
  </si>
  <si>
    <t>Van cửa ĐỒNG PN10- DN50</t>
  </si>
  <si>
    <t>Van cửa ĐỒNG PN10- DN65</t>
  </si>
  <si>
    <t>Van cửa ĐỒNG PN10- DN80</t>
  </si>
  <si>
    <t>Van cửa ĐỒNG PN10- DN100</t>
  </si>
  <si>
    <t>Van bi HỢP KIM tay gạt PN10- DN15</t>
  </si>
  <si>
    <t>Van bi HỢP KIM tay gạt PN10- DN20</t>
  </si>
  <si>
    <t>Van bi HỢP KIM tay gạt PN10- DN25</t>
  </si>
  <si>
    <t>Van bi HỢP KIM tay gạt PN10- DN32</t>
  </si>
  <si>
    <t>Van bi HỢP KIM tay gạt PN10- DN40</t>
  </si>
  <si>
    <t>Van bi HỢP KIM tay gạt PN10- DN50</t>
  </si>
  <si>
    <t>Van bi HỢP KIM tay gạt PN10- DN65</t>
  </si>
  <si>
    <t>Van 1 chiều ĐỒNG MI PN10- DN15</t>
  </si>
  <si>
    <t>Van 1 chiều ĐỒNG MI PN10- DN20</t>
  </si>
  <si>
    <t>Van 1 chiều ĐỒNG MI PN10- DN25</t>
  </si>
  <si>
    <t>Van 1 chiều ĐỒNG MI PN10- DN32</t>
  </si>
  <si>
    <t>Van 1 chiều ĐỒNG MI PN10- DN40</t>
  </si>
  <si>
    <t>Van 1 chiều ĐỒNG MI PN10- DN50</t>
  </si>
  <si>
    <t>Van 1 chiều ĐỒNG MI PN10- DN65</t>
  </si>
  <si>
    <t>Van 1 chiều ĐỒNG MI PN10- DN80</t>
  </si>
  <si>
    <t>Van 1 chiều ĐỒNG MI PN10- DN100</t>
  </si>
  <si>
    <t>Van phao ĐỒNG PN10- DN15 (MI)</t>
  </si>
  <si>
    <t>Van phao ĐỒNG PN10- DN20</t>
  </si>
  <si>
    <t>Van phao ĐỒNG PN10- DN25</t>
  </si>
  <si>
    <t>Van phao ĐỒNG PN10- DN32</t>
  </si>
  <si>
    <t>Van phao ĐỒNG PN10- DN40</t>
  </si>
  <si>
    <t>Van phao ĐỒNG PN10- DN50</t>
  </si>
  <si>
    <t>Vòi vườn ĐỒNG tay gạt PN10-DN15</t>
  </si>
  <si>
    <t>Vòi vườn ĐỒNG tay gạt PN10-DN20</t>
  </si>
  <si>
    <t>Van xả khí mặt bích FIG 412-DN50</t>
  </si>
  <si>
    <t>Van xả khí mặt bích FIG 412-DN80</t>
  </si>
  <si>
    <t>Van xả khí mặt bích FIG 412-DN100</t>
  </si>
  <si>
    <t>Van xả khí mặt bích FIG 412-DN150</t>
  </si>
  <si>
    <t>Vòi nhựa MH-DN15</t>
  </si>
  <si>
    <t>Vòi máy giặt PN12-DN15</t>
  </si>
  <si>
    <t>Đồng hồ MD-DN15 (thông dụng)</t>
  </si>
  <si>
    <t>Đồng hồ MH-DN15 (cao cấp)</t>
  </si>
  <si>
    <t>Đồng hồ MH-DN20 (cao cấp)</t>
  </si>
  <si>
    <t>Đồng hồ MH-DN25 (cao cấp)</t>
  </si>
  <si>
    <t xml:space="preserve">ỐNG NƯỚC INOX </t>
  </si>
  <si>
    <t>Ống Inox SUS 304 lượn sóng D22,2 dày 1 mm</t>
  </si>
  <si>
    <t>Công ty TNHH SX và TMDV Tấn Hưng, 36 Phạm Thị Liên, TP Huế, sđt 0234.3572889, đơn giá đã bao gồm chi phí vận chuyển trong phạm vi TP Huế</t>
  </si>
  <si>
    <t>Ống Inox SUS 304 lượn sóng D25,4 dày 1 mm</t>
  </si>
  <si>
    <t>Ống Inox SUS 304 lượn sóng D27,4 dày 1,1 mm</t>
  </si>
  <si>
    <t>Ống Inox SUS 304 lượn sóng D32 dày 1,1 mm</t>
  </si>
  <si>
    <t>Đầu nối đồng D25,4 ren ngoài 3/4"</t>
  </si>
  <si>
    <t>Van đồng khởi thủy D25,4 ren ngoài 3/4", tay van inox</t>
  </si>
  <si>
    <t>Đầu nối thẳng nhựa D22,2 ABS</t>
  </si>
  <si>
    <t>Đầu nối thẳng nhựa D25,4 ABS</t>
  </si>
  <si>
    <t>Van nhựa khởi thủy D22,2 ren ngoài 3/4" ABS</t>
  </si>
  <si>
    <t>Van nhựa khởi thủy D25,4 ren ngoài 3/4" ABS</t>
  </si>
  <si>
    <t>SẢN PHẨM INAX (Màu trắng)</t>
  </si>
  <si>
    <t>Mã sản phẩm</t>
  </si>
  <si>
    <t>Bàn cầu 2 khối, tiết kiệm nước, 2 chế độ xả</t>
  </si>
  <si>
    <t xml:space="preserve">C-108VR </t>
  </si>
  <si>
    <t>19 Trần Khánh Dư, 137 Huỳnh Thúc  Kháng, TP Huế</t>
  </si>
  <si>
    <t xml:space="preserve">Bàn cầu hai khối, tiết kiệm nước, hai chế độ xả, nắp êm. </t>
  </si>
  <si>
    <t>C-108VRN</t>
  </si>
  <si>
    <t>C-306VTN</t>
  </si>
  <si>
    <t>XVI</t>
  </si>
  <si>
    <t>VẢI ĐỊA KỸ THUẬT</t>
  </si>
  <si>
    <t>Vải địa kỹ thuật không dệt ART15</t>
  </si>
  <si>
    <t>4mx175m</t>
  </si>
  <si>
    <t>Công ty CP Hưng Việt, sđt 024.6683.8855; fax 024.3640.1824; Giao hàng tại TP Huế</t>
  </si>
  <si>
    <t>Vải địa kỹ thuật không dệt ART20</t>
  </si>
  <si>
    <t>4mx125m</t>
  </si>
  <si>
    <t>XVII</t>
  </si>
  <si>
    <t>TRẦN, VÁCH THẠCH CAO</t>
  </si>
  <si>
    <t>Trần nổi Vĩnh Tường Hệ khung TopLine 610x1210,Tấm Duraflex trang trí Vĩnh Tường (Tấm Duraflex dày 3.5mm in hoa văn nổi) Thanh chính: VT-TopLine 3660(24x38x3660)@1220mm; Thanh phụ: VT-TopLine 1220(24x28x1220) @610mm; Thanh phụ: VT-TopLine 610(24x28x610) @1220mm; Thanh viền tường: VT20/21(20x21x3600);Ty dây 4mm, phụ kiện.</t>
  </si>
  <si>
    <t>Đơn giá chưa gồm nhân công lắp đặt, được giao đến cổng công trình tại địa bàn tỉnh Thừa Thiên Huế; ĐT: 028.37761888; Fax: 028.37762888; Giá nhân công lắp đặt từ 30.000-50.000 đ/m2 tùy loại trần; áp dụng cho vách 1 mặt.</t>
  </si>
  <si>
    <t>Trần chìm phẳng Vĩnh Tường Hệ khung TIKA (1 lớp tấm thạch cao Gyproc tiêu chuẩn 1220x2440x9mm): Thanh chính: VTC-TIKA4000(14x35x4000)@800mm; Thanh phụ: VTC-TIKA4000(14x35x4000)@406mm; Thanh viền tường: VTC20/22(20x21x4000); Ty dây 4mm, Phụ Kiện.</t>
  </si>
  <si>
    <t>Vách ngăn Vĩnh Tường Hệ khung V-WALL 75/76 (Tấm thạch cao Gyproc tiêu chuẩn 1220x2440x12.7 mm mỗi mặt 01 lớp ): Thanh chính: VT V Wall C75 (35x75x3000) dày 0.52 mm@406mm; Thanh phụ: VT V Wall U76 (32x76x2700)@2700 mm; Thanh giằng C38: VTC-TriFlex 3812(12x38x3000)@2000 mm; Phụ Kiện</t>
  </si>
  <si>
    <t>XVIII</t>
  </si>
  <si>
    <t xml:space="preserve">THIẾT BỊ HỆ THỐNG AN TOÀN GIAO THÔNG THEO QCVN 41:2016/ BGTVT </t>
  </si>
  <si>
    <t>Tường hộ lan mềm mạ kẽm nhúng nóng theo TC ASTM-A123</t>
  </si>
  <si>
    <t>Công ty TNHH Xây dựng và quảng cáo Phương Tuấn; ĐT: 057.3829057; Fax: 057.6252000; Giá bán giao tại thành phố Huế</t>
  </si>
  <si>
    <t>Tấm sóng loại 2 sóng</t>
  </si>
  <si>
    <t>Tấm sóng giữa (2320 x 310 x 3)mm</t>
  </si>
  <si>
    <t>Tấm sóng giữa (3320 x 310 x 3)mm</t>
  </si>
  <si>
    <t>Tấm sóng giữa (4140 x 310 x 3)mm</t>
  </si>
  <si>
    <t>Tấm sóng giữa (4320 x 310 x 3)mm</t>
  </si>
  <si>
    <t>Tấm sóng đầu ( 700 x 3 10 x 3)mm</t>
  </si>
  <si>
    <t>Tấm sóng loại 3 sóng</t>
  </si>
  <si>
    <t>Tấm sóng giữa (2320 x 508 x 3)mm</t>
  </si>
  <si>
    <t>Tấm sóng giữa (3320 x 508 x 3)mm</t>
  </si>
  <si>
    <t>Tấm sóng giữa (4140 x 508 x 3)mm</t>
  </si>
  <si>
    <t>Tấm sóng giữa (4320 x 508 x 3)mm</t>
  </si>
  <si>
    <t>Tấm sóng đầu ( 700 x 508 x 3)mm</t>
  </si>
  <si>
    <t xml:space="preserve">Cột thép đỡ tấm sóng </t>
  </si>
  <si>
    <t>Cột thép U ( 150 x 150 x 1750 x 5)mm</t>
  </si>
  <si>
    <t>đ/cột</t>
  </si>
  <si>
    <t>Cột thép U ( 160 x 160 x 1750 x 5)mm</t>
  </si>
  <si>
    <t>Cột thép vuông ( 150 x 150 x 1750 x 5)mm</t>
  </si>
  <si>
    <t>Cột thép vuông ( 160 x 160 x 1750 x 5)mm</t>
  </si>
  <si>
    <t>Hộp đệm gắn vào cột đỡ tấm sóng</t>
  </si>
  <si>
    <t>Hộp đệm U (150 x 150 x 360 x 5)mm</t>
  </si>
  <si>
    <t>đ/hộp</t>
  </si>
  <si>
    <t>Hộp đệm U (160 x 160 x 360 x 5)mm</t>
  </si>
  <si>
    <t>Hộp đệm vuông (150 x 150 x 360 x 5)mm</t>
  </si>
  <si>
    <t>Hộp đệm vuông ( 160 x 160 x 360 x 5) mm</t>
  </si>
  <si>
    <t>Hộp đệm U (160 x 160 x 600 x 5)mm</t>
  </si>
  <si>
    <t>Bản đệm 700x300x5mm</t>
  </si>
  <si>
    <t xml:space="preserve">Mắt phản quang </t>
  </si>
  <si>
    <t>Mắt phản quang tam giác ( 70 x70 x70 x 3)mm</t>
  </si>
  <si>
    <t>Mắt phản quang vuông ( 150 x 150 x 3)mm</t>
  </si>
  <si>
    <t>Mắt phản quang vuông ( 160 x 160 x 3)mm</t>
  </si>
  <si>
    <t>Mắt phản quang tròn D200</t>
  </si>
  <si>
    <t xml:space="preserve">Bu lông  </t>
  </si>
  <si>
    <t>Bu lông M16 x 36 đầu dù</t>
  </si>
  <si>
    <t>Bu lông M16 x 45 đầu dù</t>
  </si>
  <si>
    <t>Bu lông M20 x 180 đầu dù</t>
  </si>
  <si>
    <t>Bu lông M20 x 360 đầu dù</t>
  </si>
  <si>
    <t>Bu lông M20 x 380 đầu dù</t>
  </si>
  <si>
    <t>Lan can cầu mạ kẽm nhúng nóng theo TC: ASTM-A123  (hoàn thiện)</t>
  </si>
  <si>
    <t>Lan can cầu mạ kẽm nhúng nóng (hoàn thiện)</t>
  </si>
  <si>
    <t xml:space="preserve">Mạ kẽm nhúng nóng theo TC ASTM – A123 </t>
  </si>
  <si>
    <t xml:space="preserve">Biển báo phản quang theo QCVN 41:2016/ BGTVT </t>
  </si>
  <si>
    <t>Biển báo tam giác A=70 tole  kẽm dày 1,2mm + thanh giằng nhúng kẽm</t>
  </si>
  <si>
    <t>đ/biển</t>
  </si>
  <si>
    <t>Biển báo tam giác A=90 tole  kẽm dày 1,2mm + thanh giằng nhúng kẽm</t>
  </si>
  <si>
    <t>Biển báo tròn D=70 tole kẽm dày 1,2mm + thanh giằng nhúng kẽm</t>
  </si>
  <si>
    <t>Biển báo tròn D=90 tole kẽm dày 1,2mm + thanh giằng nhúng kẽm</t>
  </si>
  <si>
    <t>Biển báo chữ nhật, vuông, tole kẽm dày 1,2mm+thanh giằng nhúng kẽm</t>
  </si>
  <si>
    <t>Biển báo chữ nhật, vuông, tole kẽm dày 1,2mm+thanh giằng nhúng kẽm+khung hộp (20x40) nhúng kẽm</t>
  </si>
  <si>
    <t>Cột đỡ biển báo bằng ống kẽm được sơn clor hoá bằng sơn chuyên dụng giao thông không phản quang</t>
  </si>
  <si>
    <t>Trụ đỡ  D76 dày 2mm</t>
  </si>
  <si>
    <t>Trụ đỡ D90 dày 2mm</t>
  </si>
  <si>
    <t xml:space="preserve">Trụ đỡ D114 dày 2mm </t>
  </si>
  <si>
    <t>Gương cầu lồi Inox (Hàn Quốc)</t>
  </si>
  <si>
    <t xml:space="preserve"> Gương cầu lồi loại D800mm (Stainles Steel Mirror)</t>
  </si>
  <si>
    <t xml:space="preserve"> Gương cầu lồi loại D1000mm (Stainles Steel Mirror)</t>
  </si>
  <si>
    <t xml:space="preserve">Sơn nhiệt dẻo phản quang QCVN 41: 2016/ BGTVT </t>
  </si>
  <si>
    <t>Sơn G/Thông trắng  Futun 25 kg/bao</t>
  </si>
  <si>
    <t>Sơn G/Thông vàng  Futun 25 kg/bao</t>
  </si>
  <si>
    <t>Sơn lót giao thông   Futun 18kg/thùng</t>
  </si>
  <si>
    <t>Hạt  phản quang 25 kg/bao</t>
  </si>
  <si>
    <t>XIX</t>
  </si>
  <si>
    <t>CÁC LOẠI VẬT LIỆU TẠI ĐỊA BÀN CÁC HUYỆN</t>
  </si>
  <si>
    <t>HUYỆN  A LƯỚI</t>
  </si>
  <si>
    <t>Xi măng Kim Đỉnh</t>
  </si>
  <si>
    <t>Trên phương tiện</t>
  </si>
  <si>
    <t>Thép XD phi 6-8 LD</t>
  </si>
  <si>
    <t>Trên địa bàn huyện</t>
  </si>
  <si>
    <t>Ống nhựa fi 90 cấp I (Tân Tiến)</t>
  </si>
  <si>
    <t>Ống nhựa fi 20 (Tân Tiến 2 li 1)</t>
  </si>
  <si>
    <t>Gạch Tuynen 2 lỗ 200</t>
  </si>
  <si>
    <t>5,5x9,5x20 cm</t>
  </si>
  <si>
    <t>Công ty CPSX&amp;KD VLXD DQ, giá bao gồm bốc xếp lên phương tiện tại Thôn hợp thành, xã A Ngo, huyện A Lưới</t>
  </si>
  <si>
    <t>Gạch Tuynen 2 lỗ 220</t>
  </si>
  <si>
    <t>Gạch Tuynen 4 lỗ 200</t>
  </si>
  <si>
    <t>Gạch Tuynen 4 lỗ 220</t>
  </si>
  <si>
    <t>10,5x10,5x22 cm</t>
  </si>
  <si>
    <t>Gạch Tuynen 6 lỗ 200</t>
  </si>
  <si>
    <t>Gạch Tuynen 6 lỗ 220</t>
  </si>
  <si>
    <t>Gạch Tuynen đặc 200</t>
  </si>
  <si>
    <t>Gạch block đặc M75</t>
  </si>
  <si>
    <t>55x95x200</t>
  </si>
  <si>
    <t>95x195x295</t>
  </si>
  <si>
    <t>Gạch block 2 lỗ nhỏ M50</t>
  </si>
  <si>
    <t>Gạch block 2 lỗ lớn M50</t>
  </si>
  <si>
    <t>95x195x395</t>
  </si>
  <si>
    <t>Gạch block 4 lỗ M50</t>
  </si>
  <si>
    <t>135x135x395</t>
  </si>
  <si>
    <t>Sạn lựa (tại các bãi Hồng Bắc, Hồng Thượng, Hồng Quảng)</t>
  </si>
  <si>
    <t>Trên phương tiện và lệ phí bến bãi</t>
  </si>
  <si>
    <t xml:space="preserve">Đá cấp phối A tại mỏ Hương Phong </t>
  </si>
  <si>
    <t>Đá cấp phối suối (tại bãi Hồng Bắc, Hồng Thượng)</t>
  </si>
  <si>
    <t>Cát nền (Hồng Bắc, Hồng Quảng, Hồng Thượng, Phú Vinh, Hương Phong, Hồng Thái, Hồng Hạ, Hồng Vân, A Roàng, Hương Nguyên)</t>
  </si>
  <si>
    <t>Đất đắp nền (đất cấp 3)</t>
  </si>
  <si>
    <t>Tại huyện A Lưới</t>
  </si>
  <si>
    <t>Cây chống (tre cây)</t>
  </si>
  <si>
    <t>đ/cây</t>
  </si>
  <si>
    <t>Gỗ cop pha (gỗ tạp, gỗ vườn)</t>
  </si>
  <si>
    <t>Bốc lên phương tiện</t>
  </si>
  <si>
    <r>
      <t>HUYỆN NAM ĐÔNG</t>
    </r>
    <r>
      <rPr>
        <sz val="10"/>
        <rFont val="Times New Roman"/>
        <family val="1"/>
      </rPr>
      <t xml:space="preserve">                             </t>
    </r>
  </si>
  <si>
    <t>Đá cuội</t>
  </si>
  <si>
    <t>Giá bốc xếp lên trên phương tiện</t>
  </si>
  <si>
    <t xml:space="preserve">Đất đắp nền </t>
  </si>
  <si>
    <t>Cấp phối suối (cát sạn lẫn lộn)</t>
  </si>
  <si>
    <t>Gỗ xẻ nhóm 2</t>
  </si>
  <si>
    <t>40x100mm,dài 3,5m</t>
  </si>
  <si>
    <t>Gỗ xẻ nhóm 3</t>
  </si>
  <si>
    <t>Gỗ xẻ nhóm 4 đến nhóm 5</t>
  </si>
  <si>
    <t>Gỗ xẻ nhóm 6 đến nhóm 8</t>
  </si>
  <si>
    <t>Gỗ ván khuôn (cốt pha)</t>
  </si>
  <si>
    <t>HUYỆN PHÚ LỘC</t>
  </si>
  <si>
    <t>Tại Công ty CP Thương mại Phú Lộc (Đã bao gồm chi phí bốc lên phương tiện vận chuyển tại nơi bán)</t>
  </si>
  <si>
    <t xml:space="preserve">Xi măng Kim Đỉnh </t>
  </si>
  <si>
    <t>Cát xây, tô, đúc</t>
  </si>
  <si>
    <t>Tại bãi Lộc An, Lộc Điền, trên phương tiện bên mua</t>
  </si>
  <si>
    <t xml:space="preserve">HUYỆN PHONG ĐIỀN </t>
  </si>
  <si>
    <t>Thép cây D6, L=11,7m</t>
  </si>
  <si>
    <t>Thép Việt Úc</t>
  </si>
  <si>
    <t>An Lỗ, xã Phong Hiền</t>
  </si>
  <si>
    <t>Thép cây D8, L=11,7m</t>
  </si>
  <si>
    <t>Gạch Tuynel đặc nhỏ</t>
  </si>
  <si>
    <t>Nhà máy gạch Tuynel 1/5, Km23, xã Phong An</t>
  </si>
  <si>
    <t>Gạch Tuynel đặc lớn</t>
  </si>
  <si>
    <t>Gạch Tuynel 6 lỗ nhỏ</t>
  </si>
  <si>
    <t>Gạch Tuynel 6 lỗ nhỏ 1/2</t>
  </si>
  <si>
    <t>Gạch Tuynel 6 lỗ lớn</t>
  </si>
  <si>
    <t>Gạch Tuynel 6 lỗ lớn 1/2</t>
  </si>
  <si>
    <t>Tại An Lỗ, Bồ Điền, trên phương tiện</t>
  </si>
  <si>
    <t>Sạn Ngang</t>
  </si>
  <si>
    <t>Tại An Lỗ</t>
  </si>
  <si>
    <t>Tấm lợp Phibrô xi măng</t>
  </si>
  <si>
    <t>1,2x0,8m</t>
  </si>
  <si>
    <t>Tại bãi An Lỗ, xã Phong Hiền</t>
  </si>
  <si>
    <t>1,5x0,8m</t>
  </si>
  <si>
    <t>1,8x0,8m</t>
  </si>
  <si>
    <t xml:space="preserve">THỊ XÃ HƯƠNG THỦY </t>
  </si>
  <si>
    <t>Tại nhà máy gạch tuynen, đường Tỉnh lộ 7, Km4+00</t>
  </si>
  <si>
    <t>6x9,5x22 cm</t>
  </si>
  <si>
    <t>Tại bãi Khe Lụ, Cư Chánh 2, Thủy Bằng</t>
  </si>
  <si>
    <t>Cát vàng</t>
  </si>
  <si>
    <t>HUYỆN PHÚ VANG</t>
  </si>
  <si>
    <t>Lấy tại Bãi Phú Thanh, trên phương tiện bên mua</t>
  </si>
  <si>
    <t>Cát xây, tô</t>
  </si>
  <si>
    <t>Sạn ngang 1x2</t>
  </si>
  <si>
    <t>Sạn ngang 2x4; 4x6</t>
  </si>
  <si>
    <t>Gạch tuy nen đặc 6x9,5x20 cm</t>
  </si>
  <si>
    <t>Lấy tại Thủy Lương</t>
  </si>
  <si>
    <t>Tại huyện Phú Vang</t>
  </si>
  <si>
    <t>Gạch tuy nen 6 lỗ 9,5x13,5x20 cm</t>
  </si>
  <si>
    <t xml:space="preserve">HUYỆN QUẢNG ĐIỀN </t>
  </si>
  <si>
    <t>Tại huyện Quảng Điền</t>
  </si>
  <si>
    <t>Cát xây, tô, đúc (Thôn An Lỗ, Phú Lễ, Phước Yên)</t>
  </si>
  <si>
    <t>Trên phương tiện bên mua</t>
  </si>
  <si>
    <t>Chậu tiểu nam Ceravy</t>
  </si>
  <si>
    <t>Chậu rửa mặt Ceravy</t>
  </si>
  <si>
    <t>Tại thị trấn Sịa, giá trên phương tiện vận chuyển</t>
  </si>
  <si>
    <t>Thép cây D14, L=11,7m</t>
  </si>
  <si>
    <t>Thép cây D16, L=11,7m</t>
  </si>
  <si>
    <t>THỊ XÃ HƯƠNG TRÀ</t>
  </si>
  <si>
    <t>Tại các cửa hàng kinh doanh VLXD.</t>
  </si>
  <si>
    <t>Bãi thuộc phường Hương Vân (Lai thành, Lại Bằng), trên PT.</t>
  </si>
  <si>
    <t>Đá 1x2</t>
  </si>
  <si>
    <t>Công ty CP Trường Sơn, giá bán tại bãi thôn Hiệp Khánh, P. Hương Văn</t>
  </si>
  <si>
    <t>Đá 2x4</t>
  </si>
  <si>
    <t>Đá 4x6</t>
  </si>
  <si>
    <t>Gạch tuy nen đặc nhỏ</t>
  </si>
  <si>
    <t>Công ty CP gạch Tuynel số 1 Thừa Thiên Huế</t>
  </si>
  <si>
    <t>Thông báo giá ko có</t>
  </si>
  <si>
    <t>có</t>
  </si>
  <si>
    <t>không</t>
  </si>
  <si>
    <t>ko</t>
  </si>
  <si>
    <t>Lắp đặt hệ thống điện phục vụ thi công trong hầm</t>
  </si>
  <si>
    <t>Thiết bị giàn giáo, kích ren phục vụ thi công</t>
  </si>
  <si>
    <t>Vận chuyển thiết bị vật tư</t>
  </si>
  <si>
    <t>Từ Thanh Hóa và A Lưới (400.000 / người x 2 lượt)</t>
  </si>
  <si>
    <t>BA.19203</t>
  </si>
  <si>
    <t>Lắp đặt aptomat loại 1 pha, cường độ dòng điện &lt;=100A</t>
  </si>
  <si>
    <t>N33.0001</t>
  </si>
  <si>
    <t>BA.16414</t>
  </si>
  <si>
    <t>BA.16205</t>
  </si>
  <si>
    <t>Kéo rải  các loại  dây dẫn, Lắp đặt dây dẫn 2 ruột 2x2,5mm2</t>
  </si>
  <si>
    <t>BA.16112</t>
  </si>
  <si>
    <t>Kéo rải  các loại  dây dẫn, Lắp đặt dây đơn 1x6mm2</t>
  </si>
  <si>
    <t>BA.18502</t>
  </si>
  <si>
    <t>công/cái</t>
  </si>
  <si>
    <t>2 cái</t>
  </si>
  <si>
    <t>công/m</t>
  </si>
  <si>
    <t>Kéo rải  các loại  dây dẫn, Lắp đặt dây dẫn 4 ruột 4x35mm2</t>
  </si>
  <si>
    <t>400 m</t>
  </si>
  <si>
    <t>200m</t>
  </si>
  <si>
    <t>Kéo rải  các loại  dây dẫn, Lắp đặt dây dẫn 4 ruột 4x50mm2</t>
  </si>
  <si>
    <t>1040 m</t>
  </si>
  <si>
    <t>400m</t>
  </si>
  <si>
    <t>BA.16203</t>
  </si>
  <si>
    <t>Kéo rải  các loại  dây dẫn, Lắp đặt dây đơn 2x1,0mm2</t>
  </si>
  <si>
    <t>5 cái</t>
  </si>
  <si>
    <t>Lắp đặt cầu dao 3 cực loại &lt;=100A</t>
  </si>
  <si>
    <t>Trọn bộ</t>
  </si>
  <si>
    <t>Thay bóng đèn ống bằng thủ công</t>
  </si>
  <si>
    <t>CS.5.01.3B VD</t>
  </si>
  <si>
    <t>công/20 bóng</t>
  </si>
  <si>
    <t>100 bóng</t>
  </si>
  <si>
    <t>Lắp đặt tủ điện 400x300</t>
  </si>
  <si>
    <t>công /tủ</t>
  </si>
  <si>
    <t>7 Tủ</t>
  </si>
  <si>
    <t>Tháo dỡ hệ thống điện phục vụ thi công</t>
  </si>
  <si>
    <t>Mua sắm máy nén khí phục vụ thi công (loại Máy nén khí 24m3/h)</t>
  </si>
  <si>
    <t>Bàn giao lại CĐT sau khi thi công</t>
  </si>
  <si>
    <t>Các văn bản áp dụng tính toán</t>
  </si>
  <si>
    <t xml:space="preserve"> - Quyết định số 953/2000/QĐ-BGTVT ngày 20/4/2000 của Bộ Giao thông vận tải về cước vận chuyển, xếp dỡ hàng siêu trường, siêu trọng</t>
  </si>
  <si>
    <t xml:space="preserve"> - Quyết định số 824/2002/QĐ-BGTVT ngày 25/03/2002 của Bộ Giao thông vận tải về việc ban hành quy định vận chuyển hàng siêu trường, siêu trọng bằng đường bộ.</t>
  </si>
  <si>
    <t xml:space="preserve"> - Quyết định số 2112/2003/QĐ-BGTVT ngày 21/7/2003 của Bộ Giao thông vận tải về việc bổ sung, sửa đổi một số điều của Quy định vận chuyển hàng siêu trường, siêu trọng bằng đường bộ.</t>
  </si>
  <si>
    <t xml:space="preserve"> - Quyết định số 02/2016/QĐ-UBND ngày 12/01/2016 của UBND Đắk Nông về việc quy định cước vận tải hàng hoá bằng phương tiện ô tô.  </t>
  </si>
  <si>
    <t xml:space="preserve"> - Quyết định số 25/2008/QĐ-BGTVT ngày 27/11/2008 của Bộ giao thông vận tải về việc xếp loại đường để xác định cước vận chuyển đường bộ năm 2008</t>
  </si>
  <si>
    <t>Số TT</t>
  </si>
  <si>
    <t>Nội dung công việc</t>
  </si>
  <si>
    <t>Văn bản
áp dụng</t>
  </si>
  <si>
    <t>Diễn giải</t>
  </si>
  <si>
    <t xml:space="preserve">Khối lượng </t>
  </si>
  <si>
    <t>Đơn giá
(đồng)</t>
  </si>
  <si>
    <t>Thành tiền (đồng)</t>
  </si>
  <si>
    <t xml:space="preserve">Tuyến 1 </t>
  </si>
  <si>
    <t>1,5m +3,0m +1,5m</t>
  </si>
  <si>
    <t>Tuyến 2a</t>
  </si>
  <si>
    <t>1,0m +2,5m +1,0m</t>
  </si>
  <si>
    <t>Tổng cự ly vận chuyển</t>
  </si>
  <si>
    <t>25/2008/QĐ-BGTVT</t>
  </si>
  <si>
    <t>km</t>
  </si>
  <si>
    <t>Tuyến 2b</t>
  </si>
  <si>
    <t xml:space="preserve"> Đường loại 1</t>
  </si>
  <si>
    <t>Tuyến 3</t>
  </si>
  <si>
    <t xml:space="preserve"> Đường loại 2</t>
  </si>
  <si>
    <t>Tuyến 4</t>
  </si>
  <si>
    <t xml:space="preserve"> Đường loại 3</t>
  </si>
  <si>
    <t>Tuyến 5</t>
  </si>
  <si>
    <t xml:space="preserve"> Đường loại 4</t>
  </si>
  <si>
    <t>Tuyến 6</t>
  </si>
  <si>
    <t xml:space="preserve"> Đường loại 5</t>
  </si>
  <si>
    <t>Tuyến 7</t>
  </si>
  <si>
    <t xml:space="preserve"> Đường loại 6</t>
  </si>
  <si>
    <t>Tuyến 8</t>
  </si>
  <si>
    <t xml:space="preserve">Chi phí bốc xếp hàng từ kho cảng lên phương tiện vận chuyển </t>
  </si>
  <si>
    <t>Z=(6)x80.000 ®/tÊn</t>
  </si>
  <si>
    <t>tấn</t>
  </si>
  <si>
    <t>Tuyến 10</t>
  </si>
  <si>
    <t>Chi phí vận chuyển</t>
  </si>
  <si>
    <t>Tuyến 11</t>
  </si>
  <si>
    <t xml:space="preserve"> +</t>
  </si>
  <si>
    <t xml:space="preserve">Chi phí vận chuyển hàng thông thường </t>
  </si>
  <si>
    <t>41/2015/QĐ-UBND-TTH</t>
  </si>
  <si>
    <t>Z=(673*1042+35*2222+12*3866)*1,3</t>
  </si>
  <si>
    <t>Chuyến</t>
  </si>
  <si>
    <t>Tuyến 12</t>
  </si>
  <si>
    <t>Các chi phí khác</t>
  </si>
  <si>
    <t>Tuyến 13</t>
  </si>
  <si>
    <t>Lệ phí phương tiện trở thiết bị thông thường qua trạm thu phí trên quốc lộ vận chuyển</t>
  </si>
  <si>
    <t>Tuyến 14</t>
  </si>
  <si>
    <t>Chi phí bốc xếp hàng từ kho bãi cảng lên phương tiện vận chuyển (bốc xuống tại vị trí dự án)</t>
  </si>
  <si>
    <t xml:space="preserve">Chi phí bốc xếp hàng từ xe xuống tại nơi giao hàng </t>
  </si>
  <si>
    <t>Q§ 953</t>
  </si>
  <si>
    <t>Z=(6) x (20.000+15.000)®/T</t>
  </si>
  <si>
    <t>TÊn</t>
  </si>
  <si>
    <t>Tạm tính do chưa có quy định cho hàng thông thường</t>
  </si>
  <si>
    <t>TỔNG CỘNG TRƯỚC THUẾ</t>
  </si>
  <si>
    <t>Z= 100.000đ/chuyến x 10 trạm/1,05*2</t>
  </si>
  <si>
    <t>Vận chuyển vật tư, thiết bị phục vụ thi công</t>
  </si>
  <si>
    <t>Sử dụng xe 15 tấn để vận chuyển.</t>
  </si>
  <si>
    <t>Găng tay</t>
  </si>
  <si>
    <t>2 ngày đôi</t>
  </si>
  <si>
    <t>Bảo hộ lao động: 180.000</t>
  </si>
  <si>
    <t>áo mưa: 280.000</t>
  </si>
  <si>
    <t>Mua sắm máy mài khí nén</t>
  </si>
  <si>
    <t>Bộ khớp nối nhanh ông khi nén</t>
  </si>
  <si>
    <t>Giá đỡ kích (3bộ)</t>
  </si>
  <si>
    <t>Mua sắm máy móc hỗ trợ thi công</t>
  </si>
  <si>
    <t>Đơn giá mục I.4 nhân 2 với lý do đường kính tấm ốp D=200mm</t>
  </si>
  <si>
    <t>Đường kính mài D100mm</t>
  </si>
  <si>
    <t>Nút có đường hàn dài 0,1x3,14=0,314m</t>
  </si>
  <si>
    <t>CT1</t>
  </si>
  <si>
    <t>CT2</t>
  </si>
  <si>
    <t>CT3</t>
  </si>
  <si>
    <t>CT4</t>
  </si>
  <si>
    <t>CT6</t>
  </si>
  <si>
    <t>CT5</t>
  </si>
  <si>
    <t>CT7</t>
  </si>
  <si>
    <t>CT4x2</t>
  </si>
  <si>
    <t>CT8</t>
  </si>
  <si>
    <r>
      <t>Tính theo Quyết định phê duyệt số 364/QĐ-EVNCHP ngày 40/03/2016 (</t>
    </r>
    <r>
      <rPr>
        <i/>
        <sz val="10"/>
        <color indexed="8"/>
        <rFont val="Times New Roman"/>
        <family val="1"/>
        <charset val="163"/>
      </rPr>
      <t>bao gồm Sơn lót BARRIER 77 Grey ( Jotun) độ dày lớp sơn khi khô  0,5mm + Sởn phủ bảo vệ MARATHON XHB ( Jotun) mầu Grey 38, độ dày sơn khi khô 1.5 mm)</t>
    </r>
  </si>
  <si>
    <t>CT9</t>
  </si>
  <si>
    <t>CT10</t>
  </si>
  <si>
    <t>Bao gồm nhân công lắp đặt dàn để kích ép tấm bích để không cho nước xì ra</t>
  </si>
  <si>
    <t>Công</t>
  </si>
  <si>
    <t>Nhân công hàn 7/7</t>
  </si>
  <si>
    <t>Nhân công 4,50/7 chuẩn bị kích ép chắn nước.</t>
  </si>
  <si>
    <t>Khắc phục nước chảy rò rỉ vừa tại vết nứt và hàn vết nứt chu vi bằng phương pháp hàn vá theo chu vi đường ống</t>
  </si>
  <si>
    <t>CT11</t>
  </si>
  <si>
    <t>Mài ba via sau khi hàn loại 3</t>
  </si>
  <si>
    <t>Mài sạch ba bia sau khi hàn loại 2</t>
  </si>
  <si>
    <t>Mài sạch ba bia sau khi hàn loại 1</t>
  </si>
  <si>
    <t>CT12</t>
  </si>
  <si>
    <t>Bộ xịt thẩm thấu Nabakem</t>
  </si>
  <si>
    <t>Chủ đầu tư cung cấp</t>
  </si>
  <si>
    <t>Nhân công hàn 3 tấm thép lại thành biên dạng chữ U dùng để hàn đắp. Nhan công 4/7</t>
  </si>
  <si>
    <t>Lắp đặt và tháo dỡ hệ thống điện phụ vụ thi công đường hầm</t>
  </si>
  <si>
    <t xml:space="preserve"> Chiều dài tấm vá dự kiến là 900mm và rộng là 200. Sử dụng que hàn E7018</t>
  </si>
  <si>
    <t>Dùng kích ép các tấm ép kích thước 900x(200+170x2)x10  có cao su để chắn kín nước, sau đó hàn xung quanh có thời gian gia nhiệt để đảm bảo đúng yêu cầu kỹ thuật.</t>
  </si>
  <si>
    <t>Kích thước tấm (900x(210+70+30)x12)mm</t>
  </si>
  <si>
    <t>Hỏi lại định mức của nhà máy</t>
  </si>
  <si>
    <t>Bàn giao lại chủ đầu tư sau khi thi công xong</t>
  </si>
  <si>
    <t>CT13</t>
  </si>
  <si>
    <t>CT15</t>
  </si>
  <si>
    <t>CT14</t>
  </si>
  <si>
    <t>GCM</t>
  </si>
  <si>
    <t>Que hàng Broco underwater</t>
  </si>
  <si>
    <t>Hộp</t>
  </si>
  <si>
    <t>Mài phẳng nút khoan phụt bê tông bằng máy mài(phẳng theo đường hàn, chứ không thể mài phẳng theo COS của ống)</t>
  </si>
  <si>
    <t>Nhân công mài 3,5/7</t>
  </si>
  <si>
    <t>Nhân công di chuyển sàn thao tác 3,5/7</t>
  </si>
  <si>
    <t>Nhân công lắp gía đỡ kích và kích 3,5/7</t>
  </si>
  <si>
    <t>Nhân công di chuyển máy nén khí, máy mài và các máy khác trong hầm</t>
  </si>
  <si>
    <t>Que hàn 7018</t>
  </si>
  <si>
    <t>Tấm cao su chiệu nhiệt kích thước theo tấm hàn đắp</t>
  </si>
  <si>
    <t>Hàn 6G</t>
  </si>
  <si>
    <r>
      <t>Sơn kim hoại bằng hệ sơn PS-01 công trình thủy điện A Lưới đã được phê duyệt(</t>
    </r>
    <r>
      <rPr>
        <b/>
        <sz val="13"/>
        <color indexed="8"/>
        <rFont val="Times New Roman"/>
        <family val="1"/>
      </rPr>
      <t xml:space="preserve">đề nghị CĐT cung cấp sơn) </t>
    </r>
  </si>
  <si>
    <t>Khắc phục vết nứt theo chu vi tại vị trí Km11+470</t>
  </si>
  <si>
    <t>Khắc phục vết nứt theo đường sinh tại vị trí Km11+470</t>
  </si>
  <si>
    <t>Nhân công hàn thợ 6G</t>
  </si>
  <si>
    <t>CT13'</t>
  </si>
  <si>
    <t>Ống ren M50x300(nằm trong các bộ giá đỡ kích)</t>
  </si>
  <si>
    <t>Tính 70% công lắp đặt</t>
  </si>
  <si>
    <t>Mối hàn nối đoạn ống hầm ngang vào nhà máy</t>
  </si>
  <si>
    <t>Mối hàn nối đoạn ống theo chu vi HP4</t>
  </si>
  <si>
    <t>CĐT cấp vật tư thi công</t>
  </si>
  <si>
    <r>
      <t>Kiểm tra vết nứt sau khi hàn xử lý bằng phương pháp thẩm thấu</t>
    </r>
    <r>
      <rPr>
        <b/>
        <sz val="13"/>
        <color indexed="8"/>
        <rFont val="Times New Roman"/>
        <family val="1"/>
      </rPr>
      <t>(CĐT cung cấp vật tư)</t>
    </r>
  </si>
  <si>
    <t xml:space="preserve">Nhân công </t>
  </si>
  <si>
    <t>CT16</t>
  </si>
  <si>
    <r>
      <t>Mài phẳng nút khoan phụt bê tông bằng máy mài</t>
    </r>
    <r>
      <rPr>
        <b/>
        <sz val="13"/>
        <color indexed="8"/>
        <rFont val="Times New Roman"/>
        <family val="1"/>
      </rPr>
      <t>(mài phẳng theo đường hàn, không thể mài phẳng theo mặt phẳng của ống)</t>
    </r>
  </si>
  <si>
    <t>(dùng thử nghiệm hàn dưới nước)</t>
  </si>
  <si>
    <t>1. BẢNG TỔNG HỢP GIÁ TRỊ DỰ TOÁN</t>
  </si>
  <si>
    <t>2. BẢNG CHIẾT TÍNH ĐƠN GIÁ</t>
  </si>
  <si>
    <t>Đơn giá ca máy theo 1134 là 1.043.932x30 ngày đồng</t>
  </si>
  <si>
    <t>Máy phát điện 75 KVA 1 ca dùng 40 lít theo định mức 1134/2015/BXD. Thực tế vận hành tại CNN là 5 phút tiêu hao 0,45 lít= 43,2 lít/ca x  16260 đồng x 20 ngày x 2ca.</t>
  </si>
  <si>
    <t>+ Gía nhiên liệu theo thông báo giá của Tổng công ty xăng dầu Việt Nam ngày 23/01/2018</t>
  </si>
  <si>
    <t xml:space="preserve">3. BẢNG GIÁ NHÂN CÔNG </t>
  </si>
  <si>
    <t>Hạng mục</t>
  </si>
  <si>
    <t>Đơnvị</t>
  </si>
  <si>
    <t>Đơn giá theo báo giá</t>
  </si>
  <si>
    <t>Cước
vận chuyển</t>
  </si>
  <si>
    <t>Đơn giá tại HTXL</t>
  </si>
  <si>
    <t>hộp</t>
  </si>
  <si>
    <t>Bích thép Sus304 D220x8 có rãnh</t>
  </si>
  <si>
    <t>Nhân công tiện tạo rãnh trên tấm bích để lắp gioăng cao su</t>
  </si>
  <si>
    <t>Đơn giá mục CT4 x 2 với lý do đường kính tấm ốp D=220mm</t>
  </si>
  <si>
    <t>Thép Q345B</t>
  </si>
  <si>
    <t>Bóng điện Led 36w/220v</t>
  </si>
  <si>
    <t>Các vật tư hệ thống điện phục vụ thi công sau khi sử dụng bàn giao lại chủ đầu tư theo mục chiết tính của đơn giá. Nếu thực tế bàn giao lại không đủ thì đơn giá sẽ phê duyệt lại theo khối lượng thực tế bàn giao.</t>
  </si>
  <si>
    <t>Gioăng cao su chịu nhiệt hình tròn</t>
  </si>
  <si>
    <t>Gioăng cao su chịu nhiệt hình chữ nhật theo miếng vá</t>
  </si>
  <si>
    <t>Thực tế</t>
  </si>
  <si>
    <t>Thông báo giá TT-Huế tháng 12/1017</t>
  </si>
  <si>
    <t>Thephinh.com</t>
  </si>
  <si>
    <t>Tạm tính 5 vị trí theo tư vấn.</t>
  </si>
  <si>
    <t>Mài đường hàn theo vết nứt chu vi</t>
  </si>
  <si>
    <t>CT9'</t>
  </si>
  <si>
    <t xml:space="preserve">Mài đường hàn theo vết nứt chu vi </t>
  </si>
  <si>
    <t>Hàn vết nứt chu vi bằng phương pháp hàn theo đường ống</t>
  </si>
  <si>
    <t>Nhân công các việc khác</t>
  </si>
  <si>
    <t>4. BẢNG GIÁ VẬT LIỆU THI CÔNG</t>
  </si>
  <si>
    <t xml:space="preserve">5.BẢNG ĐƠN GIÁ MÁY THI CÔNG </t>
  </si>
  <si>
    <t>6. DỰ TOÁN CHI TIẾT CHI PHÍ VẬN CHUYỂN THIẾT BỊ</t>
  </si>
  <si>
    <r>
      <t>Tạm tính theo Quyết định phê duyệt số 364/QĐ-EVNCHP ngày 40/03/2016 (</t>
    </r>
    <r>
      <rPr>
        <i/>
        <sz val="10"/>
        <color indexed="8"/>
        <rFont val="Times New Roman"/>
        <family val="1"/>
        <charset val="163"/>
      </rPr>
      <t>bao gồm Sơn lót BARRIER 77 Grey ( Jotun) độ dày lớp sơn khi khô  0,5mm + Sởn phủ bảo vệ MARATHON XHB ( Jotun) mầu Grey 38, độ dày sơn khi khô 1.5 mm).</t>
    </r>
  </si>
  <si>
    <t xml:space="preserve">Quy định phí đường bộ </t>
  </si>
  <si>
    <t>Chi phí vận chuyển thiêt bị</t>
  </si>
  <si>
    <t>T</t>
  </si>
  <si>
    <t>Mài phẳng nút khoan phụt bê tông bằng máy mài(mài phẳng theo đường hàn, không mài phẳng theo COS của ống)</t>
  </si>
  <si>
    <t>TL</t>
  </si>
  <si>
    <t>Chi phí hạng mục chung</t>
  </si>
  <si>
    <t>Đơn giá tổng hợp ĐG=(G+H+LT)</t>
  </si>
  <si>
    <r>
      <t>Chi phí trực tiếp</t>
    </r>
    <r>
      <rPr>
        <sz val="13"/>
        <color rgb="FF7030A0"/>
        <rFont val="Times New Roman"/>
        <family val="1"/>
        <charset val="163"/>
        <scheme val="major"/>
      </rPr>
      <t xml:space="preserve"> </t>
    </r>
  </si>
  <si>
    <t xml:space="preserve">Chi phí chung </t>
  </si>
  <si>
    <t xml:space="preserve">Thu nhập chịu thuế tính trước </t>
  </si>
  <si>
    <t xml:space="preserve">Giá trị trước thuế </t>
  </si>
  <si>
    <t>T= VL+NC+MTC</t>
  </si>
  <si>
    <t xml:space="preserve">C=T*6,5%*1.05 </t>
  </si>
  <si>
    <t>TL=(T+C)*6%</t>
  </si>
  <si>
    <t>G=T+C+TL</t>
  </si>
  <si>
    <t>H=G*6,5%</t>
  </si>
  <si>
    <t xml:space="preserve">Chi phí lán trại </t>
  </si>
  <si>
    <t>LT=Gx1%</t>
  </si>
  <si>
    <t>ĐG=(G+H+LT)</t>
  </si>
  <si>
    <t>LT</t>
  </si>
  <si>
    <t>ĐG</t>
  </si>
  <si>
    <t>Nhân công vận hành máy nén khí 3,5/7</t>
  </si>
  <si>
    <t>Tấm</t>
  </si>
  <si>
    <r>
      <t>Tính theo Quyết định phê duyệt số 364/QĐ-EVNCHP ngày 40/03/2016 (</t>
    </r>
    <r>
      <rPr>
        <i/>
        <sz val="9"/>
        <color indexed="8"/>
        <rFont val="Times New Roman"/>
        <family val="1"/>
        <charset val="163"/>
      </rPr>
      <t>bao gồm Sơn lót BARRIER 77 Grey ( Jotun) độ dày lớp sơn khi khô  0,5mm + Sởn phủ bảo vệ MARATHON XHB ( Jotun) mầu Grey 38, độ dày sơn khi khô 1.5 mm)</t>
    </r>
  </si>
  <si>
    <t xml:space="preserve">Gia công tấm thép hàn Q345B hàn đắp </t>
  </si>
  <si>
    <t>Đơn giá mục CT4/0,314*(0,500+0,200)x2</t>
  </si>
  <si>
    <t>Phụ lục đính kèm QĐPĐ số………/QĐ-EVNCHP ngày ……./01/2018</t>
  </si>
  <si>
    <t xml:space="preserve">Máy nén khí </t>
  </si>
  <si>
    <t>Nhân công: tính theo Nghị định số 141/2016/NĐ-CP ngày 14/11/2016 của Chính phủ quy định mức lương tối thiểu vùng năm 2017. Trong đó có tính hệ số làm thêm ca 3 là 0,09 và tiền ăn ca 30.000đ/người/ngày</t>
  </si>
  <si>
    <t>SB.53111 VD</t>
  </si>
  <si>
    <t>Lắp đặt kết cấu thép biện pháo thi công tại giếng đứng</t>
  </si>
  <si>
    <t>A25.0124</t>
  </si>
  <si>
    <t>BU lông M20x80</t>
  </si>
  <si>
    <t>A25.0371</t>
  </si>
  <si>
    <t>Que hàn</t>
  </si>
  <si>
    <t>A25.0161</t>
  </si>
  <si>
    <t>Dây thép</t>
  </si>
  <si>
    <t>A25.0254</t>
  </si>
  <si>
    <t>Gỗ kê, sàn công tác</t>
  </si>
  <si>
    <t>m3</t>
  </si>
  <si>
    <t>A25.0026</t>
  </si>
  <si>
    <t>Z999</t>
  </si>
  <si>
    <t>N25.0004</t>
  </si>
  <si>
    <t>Bậc 4,0/7 - Nhóm I</t>
  </si>
  <si>
    <t>M25.0045</t>
  </si>
  <si>
    <t>Máy hàn 23kw</t>
  </si>
  <si>
    <t>M999</t>
  </si>
  <si>
    <t>Cộng chi phí trực tiếp (VL+NC+M):</t>
  </si>
  <si>
    <t>Chi phí chung (T x 6,5%)</t>
  </si>
  <si>
    <t>Thu nhập chịu thuế tính trước ((T+C)x6%</t>
  </si>
  <si>
    <t>Chi phí xây dựng trước thuế (T+C+TL)</t>
  </si>
  <si>
    <t>Ckkl</t>
  </si>
  <si>
    <t>Chi phí hạng mục chung:G*6,5%</t>
  </si>
  <si>
    <t>GT</t>
  </si>
  <si>
    <t>Gía xây dựng: G+Ckkl</t>
  </si>
  <si>
    <t>Lt</t>
  </si>
  <si>
    <t>Lán trại tạm (GT*2%)</t>
  </si>
  <si>
    <t>GXD</t>
  </si>
  <si>
    <t>Tổng giá XD (GT+Lt)</t>
  </si>
  <si>
    <t>ĐOẠN HẦM NGANG NHÀ MÁY (TỪ CHÂN GIẾNG ĐỨNG 2 ĐẾN CHẠC BA ĐƯỜNG ỐNG ÁP LỰC)</t>
  </si>
  <si>
    <t>Đường hàn kín nước (dùng tấm bích hàn đắp lên)</t>
  </si>
  <si>
    <t>Xử lý mối hàn rò rỉ đường chu vi và đường sinh bằng phương pháp hàn bù trực tiếp bằng que hàn Broco</t>
  </si>
  <si>
    <t>ĐOẠN HẦM NGANG HẦM PHỤ 4 (ĐOẠN BẮT ĐẦU LÓT HẦM PHỤ 4 ĐẾN MIỆNG GIẾNG ĐỨNG 2)</t>
  </si>
  <si>
    <t>Đã tính trên</t>
  </si>
  <si>
    <t>Đã tính phần mài vì di chuyển 1 lần để xử lý các công đoạn thực hiện tại 1 vị trí</t>
  </si>
  <si>
    <t>Bích thép Q345 B D220x8 có rãnh</t>
  </si>
  <si>
    <t>Đã nêu tại chỗ nhân công thưc hiện đóng nên và mài.</t>
  </si>
  <si>
    <t>Mài đường hàn theo vết nứt chu vi và đường sinh</t>
  </si>
  <si>
    <t>Hàn vết nứt chu vi hoặc đường sinh bằng phương pháp hàn theo đường ống (hàn bù trực tiếp)</t>
  </si>
  <si>
    <t>BIỆN PHÁP VÀ PHỤ TRỢ THI CÔNG</t>
  </si>
  <si>
    <t>HỖ TRỢ GOM NƯỚC VỀ MỘT CHỖ ĐỂ PHỤC VỤ PHUN VỮA TẠI VỊ TRÍ KM11+470</t>
  </si>
  <si>
    <t>Hỗ trợ vật tư và nhân công xử lỹ khống chế việc xì nước tại vị trí Km11+470</t>
  </si>
  <si>
    <t>Tấm ốp đường chu vi</t>
  </si>
  <si>
    <t>a) Vật tư</t>
  </si>
  <si>
    <t>Đơn giá thép biện pháp giếng đứng</t>
  </si>
  <si>
    <t>b) Nhân công hỗ trợ</t>
  </si>
  <si>
    <t>c) Vận chuyển thiết bị</t>
  </si>
  <si>
    <t>3. BẢNG CHIẾT TÍNH ĐƠN GIÁ VẬN CHUYỂN THỦ CÔNG</t>
  </si>
  <si>
    <t>Hạng mục công việc</t>
  </si>
  <si>
    <t xml:space="preserve">Định mức </t>
  </si>
  <si>
    <t xml:space="preserve">Đơn giá </t>
  </si>
  <si>
    <t>AM.21051 (VD)</t>
  </si>
  <si>
    <t>Tấn</t>
  </si>
  <si>
    <t>NC</t>
  </si>
  <si>
    <t>Nhân công:</t>
  </si>
  <si>
    <t>Nh©n c«ng 3,0/7</t>
  </si>
  <si>
    <t>c«ng</t>
  </si>
  <si>
    <t>Vận chuyển thép ốp dàn giáo, máy hàn, máy mài, que hàn, kích để công và các phụ kiến đi kèm cự ly 100m từ nhà máy đến lỗ thăm van cầu.</t>
  </si>
  <si>
    <t>Vận chuyển thép ốp dàn giáo, máy hàn, máy mài, que hàn, kích để công và các phụ kiến đi kèm qua lỗ van cầu cự ly 230m bằng thủ công</t>
  </si>
  <si>
    <t>Vận chuyển thép ốp dàn giáo, máy hàn, máy mài, que hàn, kích để công và các phụ kiến đi kèm qua lỗ van cầu bằng thủ công</t>
  </si>
  <si>
    <t>Vận chuyển thép ốp dàn giáo, máy hàn, máy mài, que hàn, kích để công và các phụ kiến đi kèm cự ly 100m từ nhà máy đến lỗ thăm van cầu bằng thủ công</t>
  </si>
  <si>
    <t>AM.12061</t>
  </si>
  <si>
    <t>Vận chuyển thép ốp dàn giáo, máy hàn, máy mài, que hàn, kích để công và các phụ kiện đi kèm qua lỗ van cầu</t>
  </si>
  <si>
    <t>VCVT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</si>
</sst>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4" formatCode="_-&quot;₫&quot;\ * #,##0.00_-;\-&quot;₫&quot;\ * #,##0.00_-;_-&quot;₫&quot;\ * &quot;-&quot;??_-;_-@_-"/>
    <numFmt numFmtId="43" formatCode="_-* #,##0.00_-;\-* #,##0.00_-;_-* &quot;-&quot;??_-;_-@_-"/>
    <numFmt numFmtId="164" formatCode="_(* #,##0.00_);_(* \(#,##0.00\);_(* &quot;-&quot;??_);_(@_)"/>
    <numFmt numFmtId="165" formatCode="###\ ###\ ##0"/>
    <numFmt numFmtId="166" formatCode="###,###,###,###,###,##0"/>
    <numFmt numFmtId="167" formatCode="_(* #,##0_);_(* \(#,##0\);_(* &quot;-&quot;??_);_(@_)"/>
    <numFmt numFmtId="168" formatCode="###\ ###\ ###.00"/>
    <numFmt numFmtId="169" formatCode="0.0"/>
    <numFmt numFmtId="170" formatCode="0.000"/>
    <numFmt numFmtId="171" formatCode="_-* #,##0_-;\-* #,##0_-;_-* &quot;-&quot;??_-;_-@_-"/>
    <numFmt numFmtId="172" formatCode="#,##0.0000"/>
    <numFmt numFmtId="173" formatCode="_(* #,##0_);_(* \(#,##0\);_(* \-\ ??_);_(@_)"/>
    <numFmt numFmtId="174" formatCode="###\ ###\ ###.#"/>
    <numFmt numFmtId="175" formatCode="###\ ###\ ###\ ##0"/>
    <numFmt numFmtId="176" formatCode="###\ ###\ ###\ ###\ ##0.0"/>
    <numFmt numFmtId="177" formatCode="###\ ###\ ###\ ###\ ##0"/>
    <numFmt numFmtId="178" formatCode="###\ ###\ ###\ ###\ ###\ ##0"/>
    <numFmt numFmtId="179" formatCode="_-* #,##0.0_-;\-* #,##0.0_-;_-* &quot;-&quot;??_-;_-@_-"/>
    <numFmt numFmtId="180" formatCode="_-* #,##0.000_-;\-* #,##0.000_-;_-* &quot;-&quot;??_-;_-@_-"/>
    <numFmt numFmtId="181" formatCode="#,##0.000"/>
  </numFmts>
  <fonts count="195">
    <font>
      <sz val="11"/>
      <color theme="1"/>
      <name val="Arial"/>
      <family val="2"/>
      <charset val="163"/>
      <scheme val="minor"/>
    </font>
    <font>
      <sz val="11"/>
      <color theme="1"/>
      <name val="Arial"/>
      <family val="2"/>
      <charset val="163"/>
      <scheme val="minor"/>
    </font>
    <font>
      <sz val="11"/>
      <color indexed="8"/>
      <name val="Times New Roman"/>
      <family val="1"/>
      <charset val="163"/>
    </font>
    <font>
      <b/>
      <sz val="11"/>
      <color indexed="8"/>
      <name val="Times New Roman"/>
      <family val="1"/>
      <charset val="163"/>
    </font>
    <font>
      <b/>
      <i/>
      <sz val="11"/>
      <color indexed="8"/>
      <name val="Times New Roman"/>
      <family val="1"/>
      <charset val="163"/>
    </font>
    <font>
      <sz val="11"/>
      <color theme="1"/>
      <name val="Arial"/>
      <family val="2"/>
      <scheme val="minor"/>
    </font>
    <font>
      <sz val="13"/>
      <color theme="1"/>
      <name val="Times New Roman"/>
      <family val="1"/>
      <charset val="163"/>
      <scheme val="major"/>
    </font>
    <font>
      <b/>
      <sz val="13"/>
      <color indexed="8"/>
      <name val="Times New Roman"/>
      <family val="1"/>
      <charset val="163"/>
      <scheme val="major"/>
    </font>
    <font>
      <sz val="13"/>
      <color indexed="8"/>
      <name val="Times New Roman"/>
      <family val="1"/>
      <charset val="163"/>
      <scheme val="major"/>
    </font>
    <font>
      <b/>
      <sz val="13"/>
      <color theme="1"/>
      <name val="Times New Roman"/>
      <family val="1"/>
      <charset val="163"/>
      <scheme val="major"/>
    </font>
    <font>
      <sz val="13"/>
      <name val="Times New Roman"/>
      <family val="1"/>
      <charset val="163"/>
      <scheme val="major"/>
    </font>
    <font>
      <b/>
      <i/>
      <sz val="13"/>
      <color rgb="FF0070C0"/>
      <name val="Times New Roman"/>
      <family val="1"/>
      <charset val="163"/>
      <scheme val="major"/>
    </font>
    <font>
      <b/>
      <sz val="11"/>
      <name val="Times New Roman"/>
      <family val="1"/>
    </font>
    <font>
      <b/>
      <sz val="11"/>
      <name val=".VnTime"/>
      <family val="2"/>
    </font>
    <font>
      <b/>
      <sz val="11"/>
      <color theme="1"/>
      <name val="Times New Roman"/>
      <family val="1"/>
    </font>
    <font>
      <sz val="11"/>
      <name val="Times New Roman"/>
      <family val="1"/>
    </font>
    <font>
      <sz val="11"/>
      <name val=".VnTime"/>
      <family val="2"/>
    </font>
    <font>
      <sz val="11"/>
      <color theme="1"/>
      <name val="Times New Roman"/>
      <family val="1"/>
    </font>
    <font>
      <b/>
      <sz val="12"/>
      <color indexed="10"/>
      <name val="Times New Roman"/>
      <family val="1"/>
    </font>
    <font>
      <sz val="11"/>
      <name val="Arial Narrow"/>
      <family val="2"/>
    </font>
    <font>
      <sz val="12"/>
      <name val="Times New Roman"/>
      <family val="1"/>
      <charset val="163"/>
    </font>
    <font>
      <b/>
      <sz val="12"/>
      <name val="Times New Roman"/>
      <family val="1"/>
      <charset val="163"/>
    </font>
    <font>
      <sz val="12"/>
      <name val="Times New Roman"/>
      <family val="1"/>
      <charset val="163"/>
      <scheme val="major"/>
    </font>
    <font>
      <b/>
      <sz val="13"/>
      <name val="Times New Roman"/>
      <family val="1"/>
      <charset val="163"/>
      <scheme val="major"/>
    </font>
    <font>
      <sz val="10"/>
      <name val="Arial"/>
      <family val="2"/>
    </font>
    <font>
      <b/>
      <sz val="18"/>
      <name val="Times New Roman"/>
      <family val="1"/>
    </font>
    <font>
      <b/>
      <sz val="18"/>
      <name val="Arial"/>
      <family val="2"/>
    </font>
    <font>
      <sz val="10"/>
      <name val=".VnTime"/>
      <family val="2"/>
    </font>
    <font>
      <b/>
      <sz val="16"/>
      <name val="Times New Roman"/>
      <family val="1"/>
    </font>
    <font>
      <sz val="11"/>
      <name val="Arial"/>
      <family val="2"/>
    </font>
    <font>
      <sz val="14"/>
      <name val=".VnTime"/>
      <family val="2"/>
    </font>
    <font>
      <b/>
      <i/>
      <sz val="11"/>
      <name val="Times New Roman"/>
      <family val="1"/>
    </font>
    <font>
      <b/>
      <sz val="11"/>
      <color indexed="10"/>
      <name val="Times New Roman"/>
      <family val="1"/>
    </font>
    <font>
      <i/>
      <sz val="11"/>
      <name val="Times New Roman"/>
      <family val="1"/>
    </font>
    <font>
      <sz val="11"/>
      <color indexed="30"/>
      <name val="Arial"/>
      <family val="2"/>
    </font>
    <font>
      <b/>
      <sz val="11"/>
      <color indexed="30"/>
      <name val="Times New Roman"/>
      <family val="1"/>
    </font>
    <font>
      <sz val="11"/>
      <color indexed="30"/>
      <name val="Times New Roman"/>
      <family val="1"/>
    </font>
    <font>
      <sz val="14"/>
      <name val=".VnArialH"/>
      <family val="2"/>
    </font>
    <font>
      <b/>
      <sz val="12"/>
      <name val=".VnArial NarrowH"/>
      <family val="2"/>
    </font>
    <font>
      <sz val="11"/>
      <name val=".VnArial Narrow"/>
      <family val="2"/>
    </font>
    <font>
      <sz val="10"/>
      <color indexed="30"/>
      <name val="Arial"/>
      <family val="2"/>
    </font>
    <font>
      <sz val="12"/>
      <color indexed="30"/>
      <name val=".VnArialH"/>
      <family val="2"/>
    </font>
    <font>
      <b/>
      <sz val="10"/>
      <color indexed="30"/>
      <name val=".VnArial"/>
      <family val="2"/>
    </font>
    <font>
      <sz val="11"/>
      <color indexed="30"/>
      <name val=".VnArial Narrow"/>
      <family val="2"/>
    </font>
    <font>
      <i/>
      <sz val="10"/>
      <name val="Arial"/>
      <family val="2"/>
    </font>
    <font>
      <b/>
      <i/>
      <u/>
      <sz val="12"/>
      <name val="Times New Roman"/>
      <family val="1"/>
    </font>
    <font>
      <i/>
      <sz val="12"/>
      <name val="Times New Roman"/>
      <family val="1"/>
    </font>
    <font>
      <sz val="12"/>
      <name val="Times New Roman"/>
      <family val="1"/>
    </font>
    <font>
      <sz val="13"/>
      <color rgb="FFC00000"/>
      <name val="Times New Roman"/>
      <family val="1"/>
      <charset val="163"/>
      <scheme val="major"/>
    </font>
    <font>
      <sz val="16"/>
      <name val="Times New Roman"/>
      <family val="1"/>
    </font>
    <font>
      <b/>
      <sz val="12"/>
      <name val="Times New Roman"/>
      <family val="1"/>
    </font>
    <font>
      <sz val="12"/>
      <name val="VNI-Times"/>
    </font>
    <font>
      <sz val="11"/>
      <color indexed="8"/>
      <name val="Times New Roman"/>
      <family val="1"/>
    </font>
    <font>
      <sz val="12"/>
      <name val=".VnTime"/>
      <family val="2"/>
    </font>
    <font>
      <sz val="12"/>
      <color indexed="12"/>
      <name val="Times New Roman"/>
      <family val="1"/>
    </font>
    <font>
      <sz val="12"/>
      <color indexed="12"/>
      <name val=".VnTime"/>
      <family val="2"/>
    </font>
    <font>
      <sz val="12"/>
      <color indexed="12"/>
      <name val="VNI-Times"/>
    </font>
    <font>
      <sz val="12"/>
      <color indexed="10"/>
      <name val="Times New Roman"/>
      <family val="1"/>
    </font>
    <font>
      <sz val="12"/>
      <color indexed="10"/>
      <name val=".VnTime"/>
      <family val="2"/>
    </font>
    <font>
      <sz val="12"/>
      <name val="Symbol"/>
      <family val="1"/>
      <charset val="2"/>
    </font>
    <font>
      <sz val="12"/>
      <color indexed="30"/>
      <name val="Times New Roman"/>
      <family val="1"/>
    </font>
    <font>
      <i/>
      <sz val="12"/>
      <name val=".VnTime"/>
      <family val="2"/>
    </font>
    <font>
      <vertAlign val="superscript"/>
      <sz val="12"/>
      <name val=".VnTime"/>
      <family val="2"/>
    </font>
    <font>
      <sz val="13"/>
      <name val=".VnTime"/>
      <family val="2"/>
    </font>
    <font>
      <sz val="13"/>
      <name val="Times New Roman"/>
      <family val="1"/>
    </font>
    <font>
      <sz val="12"/>
      <color indexed="10"/>
      <name val="VNI-Times"/>
    </font>
    <font>
      <sz val="11"/>
      <color indexed="10"/>
      <name val="Times New Roman"/>
      <family val="1"/>
    </font>
    <font>
      <sz val="10"/>
      <name val="VNI-Times"/>
    </font>
    <font>
      <i/>
      <u/>
      <sz val="14"/>
      <name val="Times New Roman"/>
      <family val="1"/>
    </font>
    <font>
      <i/>
      <sz val="14"/>
      <name val="Times New Roman"/>
      <family val="1"/>
    </font>
    <font>
      <b/>
      <sz val="11"/>
      <name val="Arial Narrow"/>
      <family val="2"/>
    </font>
    <font>
      <b/>
      <sz val="13"/>
      <color theme="5" tint="-0.249977111117893"/>
      <name val="Times New Roman"/>
      <family val="1"/>
      <charset val="163"/>
      <scheme val="major"/>
    </font>
    <font>
      <sz val="13"/>
      <color theme="5" tint="-0.249977111117893"/>
      <name val="Times New Roman"/>
      <family val="1"/>
      <charset val="163"/>
      <scheme val="major"/>
    </font>
    <font>
      <b/>
      <sz val="13"/>
      <color rgb="FF7030A0"/>
      <name val="Times New Roman"/>
      <family val="1"/>
      <charset val="163"/>
      <scheme val="major"/>
    </font>
    <font>
      <sz val="13"/>
      <color rgb="FF7030A0"/>
      <name val="Times New Roman"/>
      <family val="1"/>
      <charset val="163"/>
      <scheme val="major"/>
    </font>
    <font>
      <b/>
      <sz val="13"/>
      <name val="Times New Roman"/>
      <family val="1"/>
      <charset val="163"/>
    </font>
    <font>
      <sz val="13"/>
      <name val="Times New Roman"/>
      <family val="1"/>
      <charset val="163"/>
    </font>
    <font>
      <sz val="13"/>
      <name val=".VnTime"/>
      <family val="2"/>
      <charset val="163"/>
    </font>
    <font>
      <sz val="13"/>
      <color theme="1"/>
      <name val="Times New Roman"/>
      <family val="1"/>
      <charset val="163"/>
    </font>
    <font>
      <b/>
      <sz val="13"/>
      <color theme="1"/>
      <name val="Times New Roman"/>
      <family val="1"/>
      <charset val="163"/>
    </font>
    <font>
      <sz val="13"/>
      <name val="Arial Narrow"/>
      <family val="2"/>
      <charset val="163"/>
    </font>
    <font>
      <b/>
      <sz val="13"/>
      <name val="Times New Roman"/>
      <family val="1"/>
    </font>
    <font>
      <b/>
      <sz val="13"/>
      <color theme="1"/>
      <name val="Times New Roman"/>
      <family val="1"/>
    </font>
    <font>
      <sz val="13"/>
      <color theme="1"/>
      <name val="Times New Roman"/>
      <family val="1"/>
    </font>
    <font>
      <sz val="13"/>
      <color theme="1"/>
      <name val="Arial"/>
      <family val="2"/>
    </font>
    <font>
      <b/>
      <sz val="13"/>
      <color indexed="8"/>
      <name val="Times New Roman"/>
      <family val="1"/>
      <charset val="163"/>
    </font>
    <font>
      <sz val="13"/>
      <color indexed="8"/>
      <name val="Times New Roman"/>
      <family val="1"/>
      <charset val="163"/>
    </font>
    <font>
      <b/>
      <i/>
      <sz val="13"/>
      <color theme="5" tint="-0.249977111117893"/>
      <name val="Times New Roman"/>
      <family val="1"/>
      <charset val="163"/>
    </font>
    <font>
      <sz val="13"/>
      <color theme="5" tint="-0.249977111117893"/>
      <name val="Times New Roman"/>
      <family val="1"/>
      <charset val="163"/>
    </font>
    <font>
      <b/>
      <i/>
      <sz val="13"/>
      <color indexed="8"/>
      <name val="Times New Roman"/>
      <family val="1"/>
      <charset val="163"/>
    </font>
    <font>
      <i/>
      <sz val="13"/>
      <color indexed="8"/>
      <name val="Times New Roman"/>
      <family val="1"/>
      <charset val="163"/>
    </font>
    <font>
      <sz val="8"/>
      <color indexed="8"/>
      <name val="Times New Roman"/>
      <family val="1"/>
      <charset val="163"/>
    </font>
    <font>
      <i/>
      <sz val="8"/>
      <color indexed="8"/>
      <name val="Times New Roman"/>
      <family val="1"/>
      <charset val="163"/>
    </font>
    <font>
      <b/>
      <sz val="11"/>
      <color rgb="FFFF0000"/>
      <name val="Times New Roman"/>
      <family val="1"/>
      <charset val="163"/>
    </font>
    <font>
      <b/>
      <i/>
      <sz val="11"/>
      <color rgb="FFFF0000"/>
      <name val="Times New Roman"/>
      <family val="1"/>
      <charset val="163"/>
    </font>
    <font>
      <sz val="11"/>
      <color rgb="FFFF0000"/>
      <name val="Times New Roman"/>
      <family val="1"/>
      <charset val="163"/>
    </font>
    <font>
      <i/>
      <sz val="11"/>
      <color indexed="8"/>
      <name val="Times New Roman"/>
      <family val="1"/>
      <charset val="163"/>
    </font>
    <font>
      <i/>
      <sz val="11"/>
      <color rgb="FFFF0000"/>
      <name val="Times New Roman"/>
      <family val="1"/>
      <charset val="163"/>
    </font>
    <font>
      <b/>
      <i/>
      <sz val="11"/>
      <name val="Times New Roman"/>
      <family val="1"/>
      <charset val="163"/>
    </font>
    <font>
      <sz val="11"/>
      <color theme="1"/>
      <name val="Times New Roman"/>
      <family val="1"/>
      <charset val="163"/>
    </font>
    <font>
      <b/>
      <sz val="11"/>
      <color theme="1"/>
      <name val="Times New Roman"/>
      <family val="1"/>
      <charset val="163"/>
    </font>
    <font>
      <sz val="11"/>
      <color theme="1"/>
      <name val="Arial"/>
      <family val="2"/>
    </font>
    <font>
      <sz val="11"/>
      <color rgb="FFFF0000"/>
      <name val="Arial"/>
      <family val="2"/>
      <charset val="163"/>
      <scheme val="minor"/>
    </font>
    <font>
      <sz val="11"/>
      <name val="Times New Roman"/>
      <family val="1"/>
      <charset val="163"/>
    </font>
    <font>
      <b/>
      <sz val="14"/>
      <name val="Times New Roman"/>
      <family val="1"/>
    </font>
    <font>
      <b/>
      <sz val="8"/>
      <name val="Times New Roman"/>
      <family val="1"/>
    </font>
    <font>
      <sz val="11"/>
      <color rgb="FF0000FF"/>
      <name val="Times New Roman"/>
      <family val="1"/>
    </font>
    <font>
      <b/>
      <sz val="11"/>
      <color rgb="FF0000FF"/>
      <name val="Times New Roman"/>
      <family val="1"/>
    </font>
    <font>
      <sz val="8"/>
      <color rgb="FF0000FF"/>
      <name val="Times New Roman"/>
      <family val="1"/>
    </font>
    <font>
      <sz val="8"/>
      <name val="Times New Roman"/>
      <family val="1"/>
    </font>
    <font>
      <sz val="7"/>
      <name val="Times New Roman"/>
      <family val="1"/>
    </font>
    <font>
      <sz val="12"/>
      <color rgb="FF0000FF"/>
      <name val="Times New Roman"/>
      <family val="1"/>
    </font>
    <font>
      <b/>
      <sz val="10"/>
      <name val="Times New Roman"/>
      <family val="1"/>
    </font>
    <font>
      <b/>
      <sz val="12"/>
      <color rgb="FF0000FF"/>
      <name val="Times New Roman"/>
      <family val="1"/>
    </font>
    <font>
      <sz val="10"/>
      <name val="Times New Roman"/>
      <family val="1"/>
    </font>
    <font>
      <i/>
      <sz val="10"/>
      <name val="Times New Roman"/>
      <family val="1"/>
    </font>
    <font>
      <i/>
      <u/>
      <sz val="10"/>
      <name val="Times New Roman"/>
      <family val="1"/>
    </font>
    <font>
      <sz val="10"/>
      <color rgb="FF0000FF"/>
      <name val="Times New Roman"/>
      <family val="1"/>
    </font>
    <font>
      <sz val="10.5"/>
      <name val="Times New Roman"/>
      <family val="1"/>
    </font>
    <font>
      <sz val="7.5"/>
      <name val="Times New Roman"/>
      <family val="1"/>
    </font>
    <font>
      <b/>
      <u/>
      <sz val="11"/>
      <name val="Times New Roman"/>
      <family val="1"/>
    </font>
    <font>
      <u/>
      <sz val="8"/>
      <name val="Times New Roman"/>
      <family val="1"/>
    </font>
    <font>
      <b/>
      <sz val="9"/>
      <name val="Times New Roman"/>
      <family val="1"/>
    </font>
    <font>
      <sz val="9"/>
      <name val="Times New Roman"/>
      <family val="1"/>
    </font>
    <font>
      <sz val="11.5"/>
      <name val="Times New Roman"/>
      <family val="1"/>
    </font>
    <font>
      <sz val="11"/>
      <color rgb="FF7030A0"/>
      <name val="Times New Roman"/>
      <family val="1"/>
    </font>
    <font>
      <sz val="9"/>
      <color rgb="FFFF0000"/>
      <name val="Times New Roman"/>
      <family val="1"/>
    </font>
    <font>
      <sz val="12"/>
      <name val="Arial"/>
      <family val="2"/>
    </font>
    <font>
      <b/>
      <sz val="11"/>
      <color rgb="FFFF0000"/>
      <name val="Times New Roman"/>
      <family val="1"/>
    </font>
    <font>
      <sz val="9"/>
      <name val="Times New Roman"/>
      <family val="1"/>
      <charset val="163"/>
    </font>
    <font>
      <b/>
      <u/>
      <sz val="10"/>
      <name val="Times New Roman"/>
      <family val="1"/>
    </font>
    <font>
      <b/>
      <sz val="10.5"/>
      <name val="Times New Roman"/>
      <family val="1"/>
    </font>
    <font>
      <b/>
      <sz val="12"/>
      <color rgb="FFFF0000"/>
      <name val="Times New Roman"/>
      <family val="1"/>
    </font>
    <font>
      <b/>
      <sz val="12"/>
      <color rgb="FF00B0F0"/>
      <name val="Times New Roman"/>
      <family val="1"/>
    </font>
    <font>
      <b/>
      <sz val="11"/>
      <color rgb="FF00B0F0"/>
      <name val="Times New Roman"/>
      <family val="1"/>
    </font>
    <font>
      <sz val="11"/>
      <color rgb="FFFF0000"/>
      <name val="Times New Roman"/>
      <family val="1"/>
    </font>
    <font>
      <b/>
      <sz val="14"/>
      <name val="Times New Roman"/>
      <family val="1"/>
      <charset val="163"/>
    </font>
    <font>
      <sz val="8.5"/>
      <name val="Times New Roman"/>
      <family val="1"/>
    </font>
    <font>
      <sz val="10"/>
      <color rgb="FF0000FF"/>
      <name val="Arial"/>
      <family val="2"/>
    </font>
    <font>
      <sz val="6"/>
      <name val="Times New Roman"/>
      <family val="1"/>
    </font>
    <font>
      <sz val="6.5"/>
      <name val="Times New Roman"/>
      <family val="1"/>
    </font>
    <font>
      <b/>
      <i/>
      <sz val="12"/>
      <name val="Times New Roman"/>
      <family val="1"/>
    </font>
    <font>
      <sz val="11"/>
      <name val="Calibri"/>
      <family val="2"/>
    </font>
    <font>
      <b/>
      <vertAlign val="superscript"/>
      <sz val="11"/>
      <name val="Times New Roman"/>
      <family val="1"/>
    </font>
    <font>
      <i/>
      <sz val="13"/>
      <color rgb="FFFF0000"/>
      <name val="Times New Roman"/>
      <family val="1"/>
      <charset val="163"/>
    </font>
    <font>
      <sz val="10"/>
      <color rgb="FFFF0000"/>
      <name val="Times New Roman"/>
      <family val="1"/>
    </font>
    <font>
      <i/>
      <sz val="13"/>
      <color theme="1"/>
      <name val="Times New Roman"/>
      <family val="1"/>
      <charset val="163"/>
    </font>
    <font>
      <b/>
      <i/>
      <sz val="13"/>
      <color theme="1"/>
      <name val="Times New Roman"/>
      <family val="1"/>
      <charset val="163"/>
    </font>
    <font>
      <i/>
      <sz val="13"/>
      <color indexed="8"/>
      <name val="Times New Roman"/>
      <family val="1"/>
      <charset val="163"/>
      <scheme val="major"/>
    </font>
    <font>
      <i/>
      <sz val="13"/>
      <color theme="1"/>
      <name val="Times New Roman"/>
      <family val="1"/>
      <charset val="163"/>
      <scheme val="major"/>
    </font>
    <font>
      <u/>
      <sz val="12"/>
      <name val="Times New Roman"/>
      <family val="1"/>
    </font>
    <font>
      <i/>
      <sz val="12"/>
      <color indexed="10"/>
      <name val="Times New Roman"/>
      <family val="1"/>
    </font>
    <font>
      <b/>
      <sz val="12"/>
      <name val=".vntime"/>
      <family val="2"/>
    </font>
    <font>
      <b/>
      <u/>
      <sz val="12"/>
      <name val="Times New Roman"/>
      <family val="1"/>
    </font>
    <font>
      <b/>
      <sz val="10"/>
      <color indexed="8"/>
      <name val="Times New Roman"/>
      <family val="1"/>
      <charset val="163"/>
    </font>
    <font>
      <b/>
      <i/>
      <sz val="10"/>
      <color theme="5" tint="-0.249977111117893"/>
      <name val="Times New Roman"/>
      <family val="1"/>
      <charset val="163"/>
    </font>
    <font>
      <sz val="10"/>
      <color indexed="8"/>
      <name val="Times New Roman"/>
      <family val="1"/>
      <charset val="163"/>
    </font>
    <font>
      <i/>
      <sz val="10"/>
      <color indexed="8"/>
      <name val="Times New Roman"/>
      <family val="1"/>
      <charset val="163"/>
    </font>
    <font>
      <b/>
      <i/>
      <sz val="10"/>
      <color indexed="8"/>
      <name val="Times New Roman"/>
      <family val="1"/>
      <charset val="163"/>
    </font>
    <font>
      <b/>
      <sz val="11"/>
      <color rgb="FFFF0000"/>
      <name val="Arial"/>
      <family val="2"/>
      <charset val="163"/>
    </font>
    <font>
      <b/>
      <sz val="13"/>
      <color indexed="8"/>
      <name val="Times New Roman"/>
      <family val="1"/>
    </font>
    <font>
      <b/>
      <i/>
      <sz val="13"/>
      <color theme="5" tint="-0.249977111117893"/>
      <name val="Times New Roman"/>
      <family val="1"/>
    </font>
    <font>
      <i/>
      <sz val="13"/>
      <color indexed="8"/>
      <name val="Times New Roman"/>
      <family val="1"/>
    </font>
    <font>
      <b/>
      <sz val="15"/>
      <color indexed="8"/>
      <name val="Times New Roman"/>
      <family val="1"/>
      <charset val="163"/>
    </font>
    <font>
      <b/>
      <sz val="15"/>
      <color theme="1"/>
      <name val="Times New Roman"/>
      <family val="1"/>
      <charset val="163"/>
      <scheme val="major"/>
    </font>
    <font>
      <b/>
      <sz val="15"/>
      <name val="Times New Roman"/>
      <family val="1"/>
      <charset val="163"/>
    </font>
    <font>
      <i/>
      <sz val="13"/>
      <name val="Times New Roman"/>
      <family val="1"/>
      <charset val="163"/>
      <scheme val="major"/>
    </font>
    <font>
      <b/>
      <sz val="13"/>
      <color rgb="FF0070C0"/>
      <name val="Times New Roman"/>
      <family val="1"/>
      <charset val="163"/>
      <scheme val="major"/>
    </font>
    <font>
      <i/>
      <sz val="9"/>
      <color rgb="FF0070C0"/>
      <name val="Times New Roman"/>
      <family val="1"/>
      <charset val="163"/>
      <scheme val="major"/>
    </font>
    <font>
      <sz val="9"/>
      <color theme="1"/>
      <name val="Times New Roman"/>
      <family val="1"/>
      <charset val="163"/>
      <scheme val="major"/>
    </font>
    <font>
      <b/>
      <sz val="9"/>
      <color theme="1"/>
      <name val="Times New Roman"/>
      <family val="1"/>
      <charset val="163"/>
      <scheme val="major"/>
    </font>
    <font>
      <sz val="9"/>
      <color theme="5" tint="-0.249977111117893"/>
      <name val="Times New Roman"/>
      <family val="1"/>
      <charset val="163"/>
      <scheme val="major"/>
    </font>
    <font>
      <b/>
      <i/>
      <sz val="9"/>
      <color rgb="FF0070C0"/>
      <name val="Times New Roman"/>
      <family val="1"/>
      <charset val="163"/>
      <scheme val="major"/>
    </font>
    <font>
      <sz val="9"/>
      <color indexed="8"/>
      <name val="Times New Roman"/>
      <family val="1"/>
      <charset val="163"/>
    </font>
    <font>
      <i/>
      <sz val="9"/>
      <color indexed="8"/>
      <name val="Times New Roman"/>
      <family val="1"/>
      <charset val="163"/>
    </font>
    <font>
      <sz val="9"/>
      <color rgb="FFFF0000"/>
      <name val="Times New Roman"/>
      <family val="1"/>
      <charset val="163"/>
      <scheme val="major"/>
    </font>
    <font>
      <b/>
      <i/>
      <sz val="9"/>
      <color indexed="8"/>
      <name val="Times New Roman"/>
      <family val="1"/>
      <charset val="163"/>
    </font>
    <font>
      <i/>
      <sz val="9"/>
      <color theme="1"/>
      <name val="Times New Roman"/>
      <family val="1"/>
      <charset val="163"/>
      <scheme val="major"/>
    </font>
    <font>
      <b/>
      <sz val="11"/>
      <color rgb="FF0070C0"/>
      <name val="Times New Roman"/>
      <family val="1"/>
    </font>
    <font>
      <sz val="12"/>
      <color indexed="30"/>
      <name val="VNI-Times"/>
    </font>
    <font>
      <sz val="12"/>
      <color indexed="30"/>
      <name val="Arial"/>
      <family val="2"/>
      <charset val="163"/>
    </font>
    <font>
      <sz val="12"/>
      <color indexed="30"/>
      <name val="Times New Roman"/>
      <family val="1"/>
      <scheme val="major"/>
    </font>
    <font>
      <sz val="12"/>
      <color indexed="30"/>
      <name val=".VnTime"/>
      <family val="2"/>
      <charset val="163"/>
    </font>
    <font>
      <sz val="11"/>
      <color indexed="12"/>
      <name val=".VnTime"/>
      <family val="2"/>
      <charset val="163"/>
    </font>
    <font>
      <sz val="11"/>
      <color indexed="30"/>
      <name val="Times New Roman"/>
      <family val="1"/>
      <charset val="163"/>
    </font>
    <font>
      <sz val="12"/>
      <color indexed="30"/>
      <name val="Times New Roman"/>
      <family val="1"/>
      <charset val="163"/>
    </font>
    <font>
      <sz val="12"/>
      <name val=".VnTime"/>
      <family val="2"/>
      <charset val="163"/>
    </font>
    <font>
      <sz val="13"/>
      <color rgb="FF0070C0"/>
      <name val="Times New Roman"/>
      <family val="1"/>
      <charset val="163"/>
      <scheme val="major"/>
    </font>
    <font>
      <sz val="9"/>
      <color rgb="FF0070C0"/>
      <name val="Times New Roman"/>
      <family val="1"/>
      <charset val="163"/>
      <scheme val="major"/>
    </font>
    <font>
      <b/>
      <i/>
      <sz val="13"/>
      <color theme="1"/>
      <name val="Times New Roman"/>
      <family val="1"/>
      <charset val="163"/>
      <scheme val="major"/>
    </font>
    <font>
      <sz val="12"/>
      <name val="VNI-Times"/>
      <charset val="163"/>
    </font>
    <font>
      <sz val="12"/>
      <name val="Arial"/>
      <family val="2"/>
      <charset val="163"/>
    </font>
    <font>
      <sz val="11"/>
      <name val=".VnTime"/>
      <family val="2"/>
      <charset val="163"/>
    </font>
    <font>
      <b/>
      <sz val="11"/>
      <color rgb="FF0070C0"/>
      <name val="Times New Roman"/>
      <family val="1"/>
      <charset val="163"/>
    </font>
    <font>
      <b/>
      <sz val="12"/>
      <name val=".VnTime"/>
      <family val="2"/>
      <charset val="163"/>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8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8"/>
      </right>
      <top/>
      <bottom style="hair">
        <color indexed="8"/>
      </bottom>
      <diagonal/>
    </border>
    <border>
      <left style="thin">
        <color indexed="64"/>
      </left>
      <right style="thin">
        <color indexed="64"/>
      </right>
      <top style="hair">
        <color indexed="64"/>
      </top>
      <bottom/>
      <diagonal/>
    </border>
    <border>
      <left/>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style="hair">
        <color indexed="64"/>
      </top>
      <bottom style="double">
        <color indexed="64"/>
      </bottom>
      <diagonal/>
    </border>
    <border>
      <left style="double">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double">
        <color indexed="64"/>
      </right>
      <top/>
      <bottom/>
      <diagonal/>
    </border>
    <border>
      <left style="double">
        <color indexed="64"/>
      </left>
      <right style="thin">
        <color indexed="64"/>
      </right>
      <top style="dotted">
        <color indexed="64"/>
      </top>
      <bottom style="double">
        <color indexed="64"/>
      </bottom>
      <diagonal/>
    </border>
    <border>
      <left style="thin">
        <color indexed="64"/>
      </left>
      <right style="thin">
        <color indexed="64"/>
      </right>
      <top style="dotted">
        <color indexed="64"/>
      </top>
      <bottom style="double">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8"/>
      </left>
      <right style="thin">
        <color indexed="8"/>
      </right>
      <top style="hair">
        <color indexed="8"/>
      </top>
      <bottom style="hair">
        <color indexed="8"/>
      </bottom>
      <diagonal/>
    </border>
    <border>
      <left style="double">
        <color auto="1"/>
      </left>
      <right style="thin">
        <color auto="1"/>
      </right>
      <top style="double">
        <color auto="1"/>
      </top>
      <bottom style="hair">
        <color auto="1"/>
      </bottom>
      <diagonal/>
    </border>
    <border>
      <left style="thin">
        <color auto="1"/>
      </left>
      <right style="thin">
        <color auto="1"/>
      </right>
      <top style="double">
        <color auto="1"/>
      </top>
      <bottom style="hair">
        <color auto="1"/>
      </bottom>
      <diagonal/>
    </border>
    <border>
      <left style="thin">
        <color auto="1"/>
      </left>
      <right style="double">
        <color auto="1"/>
      </right>
      <top style="double">
        <color auto="1"/>
      </top>
      <bottom style="hair">
        <color auto="1"/>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style="thin">
        <color auto="1"/>
      </right>
      <top style="hair">
        <color auto="1"/>
      </top>
      <bottom style="double">
        <color auto="1"/>
      </bottom>
      <diagonal/>
    </border>
    <border>
      <left style="thin">
        <color auto="1"/>
      </left>
      <right style="thin">
        <color auto="1"/>
      </right>
      <top style="hair">
        <color auto="1"/>
      </top>
      <bottom style="double">
        <color auto="1"/>
      </bottom>
      <diagonal/>
    </border>
    <border>
      <left style="thin">
        <color auto="1"/>
      </left>
      <right style="double">
        <color auto="1"/>
      </right>
      <top style="hair">
        <color auto="1"/>
      </top>
      <bottom style="double">
        <color auto="1"/>
      </bottom>
      <diagonal/>
    </border>
    <border>
      <left style="thin">
        <color indexed="64"/>
      </left>
      <right style="thin">
        <color indexed="64"/>
      </right>
      <top style="hair">
        <color indexed="64"/>
      </top>
      <bottom/>
      <diagonal/>
    </border>
    <border>
      <left style="double">
        <color auto="1"/>
      </left>
      <right style="thin">
        <color auto="1"/>
      </right>
      <top style="hair">
        <color auto="1"/>
      </top>
      <bottom/>
      <diagonal/>
    </border>
    <border>
      <left style="thin">
        <color auto="1"/>
      </left>
      <right style="double">
        <color auto="1"/>
      </right>
      <top style="hair">
        <color auto="1"/>
      </top>
      <bottom/>
      <diagonal/>
    </border>
    <border>
      <left style="thin">
        <color auto="1"/>
      </left>
      <right/>
      <top/>
      <bottom/>
      <diagonal/>
    </border>
    <border>
      <left/>
      <right style="thin">
        <color auto="1"/>
      </right>
      <top style="double">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style="hair">
        <color auto="1"/>
      </top>
      <bottom style="double">
        <color auto="1"/>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auto="1"/>
      </left>
      <right style="thin">
        <color auto="1"/>
      </right>
      <top/>
      <bottom style="hair">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style="double">
        <color auto="1"/>
      </right>
      <top/>
      <bottom style="hair">
        <color auto="1"/>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auto="1"/>
      </left>
      <right/>
      <top style="hair">
        <color auto="1"/>
      </top>
      <bottom style="hair">
        <color auto="1"/>
      </bottom>
      <diagonal/>
    </border>
    <border>
      <left/>
      <right/>
      <top style="hair">
        <color auto="1"/>
      </top>
      <bottom style="hair">
        <color auto="1"/>
      </bottom>
      <diagonal/>
    </border>
  </borders>
  <cellStyleXfs count="17">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24" fillId="0" borderId="0"/>
    <xf numFmtId="0" fontId="27" fillId="0" borderId="0" applyNumberFormat="0" applyFill="0" applyBorder="0" applyAlignment="0" applyProtection="0"/>
    <xf numFmtId="0" fontId="30" fillId="0" borderId="0"/>
    <xf numFmtId="164" fontId="24" fillId="0" borderId="0" applyFont="0" applyFill="0" applyBorder="0" applyAlignment="0" applyProtection="0"/>
    <xf numFmtId="9" fontId="24" fillId="0" borderId="0" applyFont="0" applyFill="0" applyBorder="0" applyAlignment="0" applyProtection="0"/>
    <xf numFmtId="164" fontId="16" fillId="0" borderId="0" applyFont="0" applyFill="0" applyBorder="0" applyAlignment="0" applyProtection="0"/>
    <xf numFmtId="0" fontId="5" fillId="0" borderId="0" applyNumberFormat="0" applyFill="0" applyBorder="0" applyAlignment="0" applyProtection="0"/>
    <xf numFmtId="0" fontId="53" fillId="0" borderId="0"/>
    <xf numFmtId="0" fontId="67" fillId="0" borderId="0"/>
    <xf numFmtId="44" fontId="1" fillId="0" borderId="0" applyFont="0" applyFill="0" applyBorder="0" applyAlignment="0" applyProtection="0"/>
    <xf numFmtId="0" fontId="30" fillId="0" borderId="0"/>
    <xf numFmtId="0" fontId="47" fillId="0" borderId="0"/>
    <xf numFmtId="0" fontId="67" fillId="0" borderId="0"/>
  </cellStyleXfs>
  <cellXfs count="1149">
    <xf numFmtId="0" fontId="0" fillId="0" borderId="0" xfId="0"/>
    <xf numFmtId="0" fontId="3" fillId="0" borderId="1" xfId="0" applyFont="1" applyBorder="1" applyAlignment="1">
      <alignment horizontal="center" vertical="center" wrapText="1"/>
    </xf>
    <xf numFmtId="0" fontId="2" fillId="0" borderId="1" xfId="0" applyFont="1" applyFill="1" applyBorder="1" applyAlignment="1">
      <alignment vertical="center" wrapText="1"/>
    </xf>
    <xf numFmtId="0" fontId="7" fillId="0" borderId="0" xfId="0" applyFont="1" applyBorder="1" applyAlignment="1">
      <alignment horizontal="center" vertical="center" wrapText="1"/>
    </xf>
    <xf numFmtId="165" fontId="12" fillId="2" borderId="0" xfId="0" applyNumberFormat="1" applyFont="1" applyFill="1" applyBorder="1" applyAlignment="1">
      <alignment vertical="center" wrapText="1"/>
    </xf>
    <xf numFmtId="0" fontId="13" fillId="2" borderId="1" xfId="0" applyFont="1" applyFill="1" applyBorder="1" applyAlignment="1">
      <alignment horizontal="center" vertical="center" wrapText="1"/>
    </xf>
    <xf numFmtId="0" fontId="14" fillId="0" borderId="1" xfId="0" applyFont="1" applyBorder="1" applyAlignment="1">
      <alignment vertical="center" wrapText="1"/>
    </xf>
    <xf numFmtId="166" fontId="13" fillId="2" borderId="1" xfId="0" applyNumberFormat="1" applyFont="1" applyFill="1" applyBorder="1" applyAlignment="1">
      <alignment horizontal="center" vertical="center" wrapText="1"/>
    </xf>
    <xf numFmtId="165" fontId="12" fillId="2" borderId="3" xfId="0" applyNumberFormat="1" applyFont="1" applyFill="1" applyBorder="1" applyAlignment="1">
      <alignment vertical="center" wrapText="1"/>
    </xf>
    <xf numFmtId="165" fontId="15" fillId="2" borderId="3" xfId="0" applyNumberFormat="1" applyFont="1" applyFill="1" applyBorder="1" applyAlignment="1">
      <alignment vertical="center" wrapText="1"/>
    </xf>
    <xf numFmtId="165" fontId="16" fillId="2" borderId="3" xfId="0" applyNumberFormat="1" applyFont="1" applyFill="1" applyBorder="1" applyAlignment="1">
      <alignment vertical="center" wrapText="1"/>
    </xf>
    <xf numFmtId="43" fontId="12" fillId="2" borderId="4" xfId="1" applyFont="1" applyFill="1" applyBorder="1" applyAlignment="1">
      <alignment vertical="center" wrapText="1"/>
    </xf>
    <xf numFmtId="0" fontId="17" fillId="0" borderId="5" xfId="0" applyFont="1" applyBorder="1" applyAlignment="1">
      <alignment wrapText="1"/>
    </xf>
    <xf numFmtId="0" fontId="17" fillId="0" borderId="5" xfId="0" applyFont="1" applyBorder="1" applyAlignment="1">
      <alignment horizontal="center"/>
    </xf>
    <xf numFmtId="3" fontId="17" fillId="0" borderId="5" xfId="0" applyNumberFormat="1" applyFont="1" applyBorder="1"/>
    <xf numFmtId="43" fontId="15" fillId="2" borderId="5" xfId="1" applyFont="1" applyFill="1" applyBorder="1" applyAlignment="1">
      <alignment vertical="center" wrapText="1"/>
    </xf>
    <xf numFmtId="167" fontId="17" fillId="0" borderId="5" xfId="1" applyNumberFormat="1" applyFont="1" applyBorder="1"/>
    <xf numFmtId="0" fontId="14" fillId="0" borderId="5" xfId="0" applyFont="1" applyBorder="1" applyAlignment="1">
      <alignment wrapText="1"/>
    </xf>
    <xf numFmtId="165" fontId="15" fillId="2" borderId="5" xfId="0" applyNumberFormat="1" applyFont="1" applyFill="1" applyBorder="1" applyAlignment="1">
      <alignment horizontal="center" vertical="center" wrapText="1"/>
    </xf>
    <xf numFmtId="167" fontId="15" fillId="2" borderId="5" xfId="1" applyNumberFormat="1" applyFont="1" applyFill="1" applyBorder="1" applyAlignment="1">
      <alignment vertical="center" wrapText="1"/>
    </xf>
    <xf numFmtId="43" fontId="12" fillId="2" borderId="5" xfId="1" applyFont="1" applyFill="1" applyBorder="1" applyAlignment="1">
      <alignment vertical="center" wrapText="1"/>
    </xf>
    <xf numFmtId="167" fontId="0" fillId="0" borderId="0" xfId="0" applyNumberFormat="1"/>
    <xf numFmtId="0" fontId="18" fillId="0" borderId="5" xfId="3" applyFont="1" applyFill="1" applyBorder="1" applyAlignment="1">
      <alignment horizontal="left" vertical="center" wrapText="1"/>
    </xf>
    <xf numFmtId="167" fontId="17" fillId="0" borderId="4" xfId="1" applyNumberFormat="1" applyFont="1" applyBorder="1"/>
    <xf numFmtId="165" fontId="15" fillId="2" borderId="5" xfId="0" applyNumberFormat="1" applyFont="1" applyFill="1" applyBorder="1" applyAlignment="1">
      <alignment vertical="center" wrapText="1"/>
    </xf>
    <xf numFmtId="167" fontId="15" fillId="2" borderId="4" xfId="1" applyNumberFormat="1" applyFont="1" applyFill="1" applyBorder="1" applyAlignment="1">
      <alignment vertical="center" wrapText="1"/>
    </xf>
    <xf numFmtId="167" fontId="15" fillId="2" borderId="5" xfId="1" applyNumberFormat="1" applyFont="1" applyFill="1" applyBorder="1" applyAlignment="1">
      <alignment horizontal="right" vertical="center" wrapText="1"/>
    </xf>
    <xf numFmtId="3" fontId="19" fillId="0" borderId="6" xfId="0" applyNumberFormat="1" applyFont="1" applyBorder="1" applyAlignment="1" applyProtection="1">
      <alignment vertical="top" wrapText="1"/>
      <protection locked="0"/>
    </xf>
    <xf numFmtId="0" fontId="17" fillId="0" borderId="7" xfId="0" applyFont="1" applyBorder="1" applyAlignment="1">
      <alignment wrapText="1"/>
    </xf>
    <xf numFmtId="167" fontId="12" fillId="2" borderId="5" xfId="1" applyNumberFormat="1" applyFont="1" applyFill="1" applyBorder="1" applyAlignment="1">
      <alignment vertical="center" wrapText="1"/>
    </xf>
    <xf numFmtId="0" fontId="14" fillId="0" borderId="5" xfId="0" applyFont="1" applyBorder="1" applyAlignment="1">
      <alignment horizontal="left" wrapText="1"/>
    </xf>
    <xf numFmtId="0" fontId="20" fillId="0" borderId="5" xfId="3" applyFont="1" applyFill="1" applyBorder="1" applyAlignment="1">
      <alignment vertical="center"/>
    </xf>
    <xf numFmtId="3" fontId="21" fillId="0" borderId="5" xfId="3" applyNumberFormat="1" applyFont="1" applyFill="1" applyBorder="1" applyAlignment="1">
      <alignment vertical="center"/>
    </xf>
    <xf numFmtId="0" fontId="17" fillId="0" borderId="4" xfId="0" applyFont="1" applyBorder="1"/>
    <xf numFmtId="0" fontId="17" fillId="0" borderId="5" xfId="0" applyFont="1" applyBorder="1"/>
    <xf numFmtId="0" fontId="24" fillId="0" borderId="0" xfId="4" applyAlignment="1">
      <alignment horizontal="center"/>
    </xf>
    <xf numFmtId="0" fontId="24" fillId="0" borderId="0" xfId="4"/>
    <xf numFmtId="0" fontId="29" fillId="0" borderId="0" xfId="4" applyFont="1" applyAlignment="1">
      <alignment horizontal="center"/>
    </xf>
    <xf numFmtId="0" fontId="12" fillId="0" borderId="0" xfId="6" applyFont="1" applyAlignment="1">
      <alignment vertical="center"/>
    </xf>
    <xf numFmtId="0" fontId="31" fillId="0" borderId="0" xfId="6" applyFont="1" applyAlignment="1">
      <alignment horizontal="right" vertical="center"/>
    </xf>
    <xf numFmtId="167" fontId="32" fillId="3" borderId="0" xfId="7" applyNumberFormat="1" applyFont="1" applyFill="1" applyAlignment="1">
      <alignment vertical="center"/>
    </xf>
    <xf numFmtId="0" fontId="29" fillId="0" borderId="0" xfId="4" applyFont="1"/>
    <xf numFmtId="167" fontId="12" fillId="0" borderId="0" xfId="7" applyNumberFormat="1" applyFont="1" applyAlignment="1">
      <alignment horizontal="right" vertical="center"/>
    </xf>
    <xf numFmtId="0" fontId="34" fillId="0" borderId="0" xfId="4" applyFont="1" applyAlignment="1">
      <alignment horizontal="center"/>
    </xf>
    <xf numFmtId="0" fontId="35" fillId="4" borderId="9" xfId="6" applyFont="1" applyFill="1" applyBorder="1" applyAlignment="1">
      <alignment horizontal="center" vertical="center"/>
    </xf>
    <xf numFmtId="0" fontId="35" fillId="4" borderId="10" xfId="6" applyFont="1" applyFill="1" applyBorder="1" applyAlignment="1">
      <alignment horizontal="center" vertical="center"/>
    </xf>
    <xf numFmtId="0" fontId="35" fillId="4" borderId="11" xfId="6" applyFont="1" applyFill="1" applyBorder="1" applyAlignment="1">
      <alignment horizontal="centerContinuous" vertical="center"/>
    </xf>
    <xf numFmtId="0" fontId="35" fillId="4" borderId="11" xfId="6" applyFont="1" applyFill="1" applyBorder="1" applyAlignment="1">
      <alignment horizontal="center" vertical="center" wrapText="1"/>
    </xf>
    <xf numFmtId="0" fontId="35" fillId="4" borderId="12" xfId="6" applyFont="1" applyFill="1" applyBorder="1" applyAlignment="1">
      <alignment horizontal="center" vertical="center"/>
    </xf>
    <xf numFmtId="0" fontId="34" fillId="0" borderId="0" xfId="4" applyFont="1"/>
    <xf numFmtId="0" fontId="35" fillId="4" borderId="13" xfId="6" applyFont="1" applyFill="1" applyBorder="1" applyAlignment="1">
      <alignment horizontal="center" vertical="center"/>
    </xf>
    <xf numFmtId="0" fontId="35" fillId="4" borderId="14" xfId="6" applyFont="1" applyFill="1" applyBorder="1" applyAlignment="1">
      <alignment horizontal="center" vertical="center"/>
    </xf>
    <xf numFmtId="0" fontId="35" fillId="4" borderId="1" xfId="6" applyFont="1" applyFill="1" applyBorder="1" applyAlignment="1">
      <alignment horizontal="center" vertical="center"/>
    </xf>
    <xf numFmtId="0" fontId="35" fillId="4" borderId="15" xfId="6" applyFont="1" applyFill="1" applyBorder="1" applyAlignment="1">
      <alignment horizontal="center" vertical="center"/>
    </xf>
    <xf numFmtId="0" fontId="35" fillId="4" borderId="16" xfId="6" applyFont="1" applyFill="1" applyBorder="1" applyAlignment="1">
      <alignment horizontal="center" vertical="center"/>
    </xf>
    <xf numFmtId="0" fontId="35" fillId="4" borderId="17" xfId="6" applyFont="1" applyFill="1" applyBorder="1" applyAlignment="1">
      <alignment horizontal="center" vertical="center"/>
    </xf>
    <xf numFmtId="9" fontId="35" fillId="4" borderId="1" xfId="8" applyFont="1" applyFill="1" applyBorder="1" applyAlignment="1">
      <alignment horizontal="center" vertical="center"/>
    </xf>
    <xf numFmtId="4" fontId="35" fillId="4" borderId="1" xfId="2" applyNumberFormat="1" applyFont="1" applyFill="1" applyBorder="1" applyAlignment="1">
      <alignment horizontal="center" vertical="center"/>
    </xf>
    <xf numFmtId="3" fontId="35" fillId="4" borderId="1" xfId="2" applyNumberFormat="1" applyFont="1" applyFill="1" applyBorder="1" applyAlignment="1">
      <alignment horizontal="center" vertical="center"/>
    </xf>
    <xf numFmtId="0" fontId="35" fillId="4" borderId="18" xfId="6" applyFont="1" applyFill="1" applyBorder="1" applyAlignment="1">
      <alignment horizontal="center" vertical="center"/>
    </xf>
    <xf numFmtId="0" fontId="35" fillId="4" borderId="19" xfId="6" applyFont="1" applyFill="1" applyBorder="1" applyAlignment="1">
      <alignment horizontal="center" vertical="center"/>
    </xf>
    <xf numFmtId="0" fontId="35" fillId="2" borderId="20" xfId="6" quotePrefix="1" applyFont="1" applyFill="1" applyBorder="1" applyAlignment="1">
      <alignment horizontal="center" vertical="center"/>
    </xf>
    <xf numFmtId="0" fontId="35" fillId="2" borderId="1" xfId="6" quotePrefix="1" applyFont="1" applyFill="1" applyBorder="1" applyAlignment="1">
      <alignment horizontal="center" vertical="center"/>
    </xf>
    <xf numFmtId="0" fontId="35" fillId="2" borderId="21" xfId="6" quotePrefix="1" applyFont="1" applyFill="1" applyBorder="1" applyAlignment="1">
      <alignment horizontal="center" vertical="center"/>
    </xf>
    <xf numFmtId="0" fontId="36" fillId="0" borderId="22" xfId="6" applyFont="1" applyBorder="1" applyAlignment="1">
      <alignment horizontal="center" vertical="center"/>
    </xf>
    <xf numFmtId="0" fontId="36" fillId="0" borderId="3" xfId="6" applyFont="1" applyBorder="1" applyAlignment="1">
      <alignment vertical="center"/>
    </xf>
    <xf numFmtId="0" fontId="36" fillId="0" borderId="3" xfId="6" applyFont="1" applyBorder="1" applyAlignment="1">
      <alignment horizontal="center" vertical="center"/>
    </xf>
    <xf numFmtId="164" fontId="36" fillId="0" borderId="3" xfId="7" applyFont="1" applyBorder="1" applyAlignment="1">
      <alignment vertical="center"/>
    </xf>
    <xf numFmtId="167" fontId="36" fillId="0" borderId="3" xfId="7" applyNumberFormat="1" applyFont="1" applyBorder="1" applyAlignment="1">
      <alignment vertical="center"/>
    </xf>
    <xf numFmtId="167" fontId="36" fillId="0" borderId="23" xfId="7" applyNumberFormat="1" applyFont="1" applyBorder="1" applyAlignment="1">
      <alignment vertical="center"/>
    </xf>
    <xf numFmtId="167" fontId="34" fillId="0" borderId="0" xfId="4" applyNumberFormat="1" applyFont="1"/>
    <xf numFmtId="0" fontId="36" fillId="0" borderId="24" xfId="6" applyFont="1" applyBorder="1" applyAlignment="1">
      <alignment horizontal="center" vertical="center"/>
    </xf>
    <xf numFmtId="0" fontId="36" fillId="0" borderId="5" xfId="6" applyFont="1" applyBorder="1" applyAlignment="1">
      <alignment vertical="center"/>
    </xf>
    <xf numFmtId="0" fontId="36" fillId="0" borderId="5" xfId="6" applyFont="1" applyBorder="1" applyAlignment="1">
      <alignment horizontal="center" vertical="center"/>
    </xf>
    <xf numFmtId="164" fontId="36" fillId="0" borderId="5" xfId="7" applyFont="1" applyBorder="1" applyAlignment="1">
      <alignment vertical="center"/>
    </xf>
    <xf numFmtId="167" fontId="36" fillId="0" borderId="5" xfId="7" applyNumberFormat="1" applyFont="1" applyBorder="1" applyAlignment="1">
      <alignment vertical="center"/>
    </xf>
    <xf numFmtId="167" fontId="36" fillId="5" borderId="23" xfId="7" applyNumberFormat="1" applyFont="1" applyFill="1" applyBorder="1" applyAlignment="1">
      <alignment vertical="center"/>
    </xf>
    <xf numFmtId="0" fontId="36" fillId="0" borderId="25" xfId="6" applyFont="1" applyBorder="1" applyAlignment="1">
      <alignment horizontal="center" vertical="center"/>
    </xf>
    <xf numFmtId="0" fontId="36" fillId="0" borderId="26" xfId="6" applyFont="1" applyBorder="1" applyAlignment="1">
      <alignment vertical="center"/>
    </xf>
    <xf numFmtId="0" fontId="36" fillId="0" borderId="26" xfId="6" applyFont="1" applyBorder="1" applyAlignment="1">
      <alignment horizontal="center" vertical="center"/>
    </xf>
    <xf numFmtId="164" fontId="36" fillId="0" borderId="26" xfId="7" applyFont="1" applyBorder="1" applyAlignment="1">
      <alignment vertical="center"/>
    </xf>
    <xf numFmtId="167" fontId="36" fillId="0" borderId="26" xfId="7" applyNumberFormat="1" applyFont="1" applyBorder="1" applyAlignment="1">
      <alignment vertical="center"/>
    </xf>
    <xf numFmtId="167" fontId="36" fillId="0" borderId="27" xfId="7" applyNumberFormat="1" applyFont="1" applyBorder="1" applyAlignment="1">
      <alignment vertical="center"/>
    </xf>
    <xf numFmtId="167" fontId="36" fillId="0" borderId="28" xfId="7" applyNumberFormat="1" applyFont="1" applyBorder="1" applyAlignment="1">
      <alignment vertical="center"/>
    </xf>
    <xf numFmtId="167" fontId="36" fillId="0" borderId="29" xfId="7" applyNumberFormat="1" applyFont="1" applyBorder="1" applyAlignment="1">
      <alignment vertical="center"/>
    </xf>
    <xf numFmtId="167" fontId="36" fillId="0" borderId="30" xfId="7" applyNumberFormat="1" applyFont="1" applyBorder="1" applyAlignment="1">
      <alignment vertical="center"/>
    </xf>
    <xf numFmtId="0" fontId="35" fillId="0" borderId="0" xfId="6" applyFont="1" applyAlignment="1">
      <alignment horizontal="centerContinuous" vertical="center"/>
    </xf>
    <xf numFmtId="0" fontId="34" fillId="0" borderId="0" xfId="4" applyFont="1" applyAlignment="1">
      <alignment vertical="center"/>
    </xf>
    <xf numFmtId="167" fontId="12" fillId="0" borderId="0" xfId="7" applyNumberFormat="1" applyFont="1" applyAlignment="1">
      <alignment vertical="center"/>
    </xf>
    <xf numFmtId="167" fontId="12" fillId="0" borderId="0" xfId="7" applyNumberFormat="1" applyFont="1" applyAlignment="1">
      <alignment horizontal="center" vertical="center"/>
    </xf>
    <xf numFmtId="0" fontId="34" fillId="2" borderId="0" xfId="4" applyFont="1" applyFill="1" applyAlignment="1">
      <alignment horizontal="center"/>
    </xf>
    <xf numFmtId="0" fontId="35" fillId="2" borderId="9" xfId="6" applyFont="1" applyFill="1" applyBorder="1" applyAlignment="1">
      <alignment horizontal="center" vertical="center"/>
    </xf>
    <xf numFmtId="0" fontId="35" fillId="2" borderId="10" xfId="6" applyFont="1" applyFill="1" applyBorder="1" applyAlignment="1">
      <alignment horizontal="center" vertical="center"/>
    </xf>
    <xf numFmtId="0" fontId="35" fillId="2" borderId="11" xfId="6" applyFont="1" applyFill="1" applyBorder="1" applyAlignment="1">
      <alignment horizontal="centerContinuous" vertical="center"/>
    </xf>
    <xf numFmtId="0" fontId="35" fillId="2" borderId="11" xfId="6" applyFont="1" applyFill="1" applyBorder="1" applyAlignment="1">
      <alignment horizontal="center" vertical="center" wrapText="1"/>
    </xf>
    <xf numFmtId="0" fontId="35" fillId="2" borderId="12" xfId="6" applyFont="1" applyFill="1" applyBorder="1" applyAlignment="1">
      <alignment horizontal="center" vertical="center"/>
    </xf>
    <xf numFmtId="0" fontId="34" fillId="2" borderId="0" xfId="4" applyFont="1" applyFill="1"/>
    <xf numFmtId="0" fontId="35" fillId="2" borderId="13" xfId="6" applyFont="1" applyFill="1" applyBorder="1" applyAlignment="1">
      <alignment horizontal="center" vertical="center"/>
    </xf>
    <xf numFmtId="0" fontId="35" fillId="2" borderId="14" xfId="6" applyFont="1" applyFill="1" applyBorder="1" applyAlignment="1">
      <alignment horizontal="center" vertical="center"/>
    </xf>
    <xf numFmtId="0" fontId="35" fillId="2" borderId="1" xfId="6" applyFont="1" applyFill="1" applyBorder="1" applyAlignment="1">
      <alignment horizontal="center" vertical="center"/>
    </xf>
    <xf numFmtId="0" fontId="35" fillId="2" borderId="15" xfId="6" applyFont="1" applyFill="1" applyBorder="1" applyAlignment="1">
      <alignment horizontal="center" vertical="center"/>
    </xf>
    <xf numFmtId="0" fontId="35" fillId="2" borderId="16" xfId="6" applyFont="1" applyFill="1" applyBorder="1" applyAlignment="1">
      <alignment horizontal="center" vertical="center"/>
    </xf>
    <xf numFmtId="0" fontId="35" fillId="2" borderId="17" xfId="6" applyFont="1" applyFill="1" applyBorder="1" applyAlignment="1">
      <alignment horizontal="center" vertical="center"/>
    </xf>
    <xf numFmtId="9" fontId="35" fillId="2" borderId="1" xfId="8" applyFont="1" applyFill="1" applyBorder="1" applyAlignment="1">
      <alignment horizontal="center" vertical="center"/>
    </xf>
    <xf numFmtId="4" fontId="35" fillId="2" borderId="1" xfId="2" applyNumberFormat="1" applyFont="1" applyFill="1" applyBorder="1" applyAlignment="1">
      <alignment horizontal="center" vertical="center"/>
    </xf>
    <xf numFmtId="3" fontId="35" fillId="2" borderId="1" xfId="8" applyNumberFormat="1" applyFont="1" applyFill="1" applyBorder="1" applyAlignment="1">
      <alignment horizontal="center" vertical="center"/>
    </xf>
    <xf numFmtId="0" fontId="35" fillId="2" borderId="18" xfId="6" applyFont="1" applyFill="1" applyBorder="1" applyAlignment="1">
      <alignment horizontal="center" vertical="center"/>
    </xf>
    <xf numFmtId="0" fontId="35" fillId="2" borderId="19" xfId="6" applyFont="1" applyFill="1" applyBorder="1" applyAlignment="1">
      <alignment horizontal="center" vertical="center"/>
    </xf>
    <xf numFmtId="0" fontId="36" fillId="2" borderId="22" xfId="6" applyFont="1" applyFill="1" applyBorder="1" applyAlignment="1">
      <alignment horizontal="center" vertical="center"/>
    </xf>
    <xf numFmtId="0" fontId="36" fillId="2" borderId="3" xfId="6" applyFont="1" applyFill="1" applyBorder="1" applyAlignment="1">
      <alignment vertical="center"/>
    </xf>
    <xf numFmtId="0" fontId="36" fillId="2" borderId="3" xfId="6" applyFont="1" applyFill="1" applyBorder="1" applyAlignment="1">
      <alignment horizontal="center" vertical="center"/>
    </xf>
    <xf numFmtId="164" fontId="36" fillId="2" borderId="3" xfId="7" applyFont="1" applyFill="1" applyBorder="1" applyAlignment="1">
      <alignment vertical="center"/>
    </xf>
    <xf numFmtId="167" fontId="36" fillId="2" borderId="3" xfId="7" applyNumberFormat="1" applyFont="1" applyFill="1" applyBorder="1" applyAlignment="1">
      <alignment vertical="center"/>
    </xf>
    <xf numFmtId="167" fontId="36" fillId="2" borderId="23" xfId="7" applyNumberFormat="1" applyFont="1" applyFill="1" applyBorder="1" applyAlignment="1">
      <alignment vertical="center"/>
    </xf>
    <xf numFmtId="0" fontId="36" fillId="2" borderId="24" xfId="6" applyFont="1" applyFill="1" applyBorder="1" applyAlignment="1">
      <alignment horizontal="center" vertical="center"/>
    </xf>
    <xf numFmtId="0" fontId="36" fillId="2" borderId="5" xfId="6" applyFont="1" applyFill="1" applyBorder="1" applyAlignment="1">
      <alignment vertical="center"/>
    </xf>
    <xf numFmtId="0" fontId="36" fillId="2" borderId="5" xfId="6" applyFont="1" applyFill="1" applyBorder="1" applyAlignment="1">
      <alignment horizontal="center" vertical="center"/>
    </xf>
    <xf numFmtId="164" fontId="36" fillId="2" borderId="5" xfId="7" applyFont="1" applyFill="1" applyBorder="1" applyAlignment="1">
      <alignment vertical="center"/>
    </xf>
    <xf numFmtId="167" fontId="36" fillId="2" borderId="5" xfId="7" applyNumberFormat="1" applyFont="1" applyFill="1" applyBorder="1" applyAlignment="1">
      <alignment vertical="center"/>
    </xf>
    <xf numFmtId="167" fontId="36" fillId="2" borderId="31" xfId="7" applyNumberFormat="1" applyFont="1" applyFill="1" applyBorder="1" applyAlignment="1">
      <alignment vertical="center"/>
    </xf>
    <xf numFmtId="167" fontId="35" fillId="2" borderId="31" xfId="7" applyNumberFormat="1" applyFont="1" applyFill="1" applyBorder="1" applyAlignment="1">
      <alignment vertical="center"/>
    </xf>
    <xf numFmtId="0" fontId="36" fillId="2" borderId="5" xfId="6" applyFont="1" applyFill="1" applyBorder="1"/>
    <xf numFmtId="0" fontId="36" fillId="2" borderId="5" xfId="6" applyFont="1" applyFill="1" applyBorder="1" applyAlignment="1">
      <alignment horizontal="center"/>
    </xf>
    <xf numFmtId="164" fontId="36" fillId="2" borderId="5" xfId="7" applyFont="1" applyFill="1" applyBorder="1"/>
    <xf numFmtId="167" fontId="36" fillId="2" borderId="5" xfId="7" applyNumberFormat="1" applyFont="1" applyFill="1" applyBorder="1"/>
    <xf numFmtId="167" fontId="36" fillId="2" borderId="31" xfId="7" applyNumberFormat="1" applyFont="1" applyFill="1" applyBorder="1"/>
    <xf numFmtId="0" fontId="36" fillId="2" borderId="25" xfId="6" applyFont="1" applyFill="1" applyBorder="1" applyAlignment="1">
      <alignment horizontal="center"/>
    </xf>
    <xf numFmtId="0" fontId="36" fillId="2" borderId="26" xfId="6" applyFont="1" applyFill="1" applyBorder="1"/>
    <xf numFmtId="0" fontId="36" fillId="2" borderId="26" xfId="6" applyFont="1" applyFill="1" applyBorder="1" applyAlignment="1">
      <alignment horizontal="center"/>
    </xf>
    <xf numFmtId="164" fontId="36" fillId="2" borderId="26" xfId="7" applyFont="1" applyFill="1" applyBorder="1"/>
    <xf numFmtId="167" fontId="36" fillId="2" borderId="26" xfId="7" applyNumberFormat="1" applyFont="1" applyFill="1" applyBorder="1"/>
    <xf numFmtId="167" fontId="36" fillId="2" borderId="29" xfId="7" applyNumberFormat="1" applyFont="1" applyFill="1" applyBorder="1" applyAlignment="1">
      <alignment vertical="center"/>
    </xf>
    <xf numFmtId="167" fontId="36" fillId="2" borderId="32" xfId="7" applyNumberFormat="1" applyFont="1" applyFill="1" applyBorder="1"/>
    <xf numFmtId="0" fontId="36" fillId="2" borderId="0" xfId="6" applyFont="1" applyFill="1" applyBorder="1" applyAlignment="1">
      <alignment horizontal="center"/>
    </xf>
    <xf numFmtId="0" fontId="36" fillId="2" borderId="0" xfId="6" applyFont="1" applyFill="1" applyBorder="1"/>
    <xf numFmtId="164" fontId="36" fillId="2" borderId="0" xfId="7" applyFont="1" applyFill="1" applyBorder="1"/>
    <xf numFmtId="167" fontId="36" fillId="2" borderId="0" xfId="7" applyNumberFormat="1" applyFont="1" applyFill="1" applyBorder="1"/>
    <xf numFmtId="167" fontId="36" fillId="2" borderId="0" xfId="7" applyNumberFormat="1" applyFont="1" applyFill="1" applyBorder="1" applyAlignment="1">
      <alignment vertical="center"/>
    </xf>
    <xf numFmtId="0" fontId="37" fillId="0" borderId="0" xfId="0" applyFont="1" applyAlignment="1">
      <alignment horizontal="center"/>
    </xf>
    <xf numFmtId="0" fontId="38" fillId="0" borderId="0" xfId="0" applyFont="1"/>
    <xf numFmtId="0" fontId="37" fillId="0" borderId="0" xfId="0" applyFont="1"/>
    <xf numFmtId="165" fontId="37" fillId="0" borderId="0" xfId="0" applyNumberFormat="1" applyFont="1"/>
    <xf numFmtId="168" fontId="39" fillId="0" borderId="0" xfId="0" applyNumberFormat="1" applyFont="1"/>
    <xf numFmtId="167" fontId="15" fillId="0" borderId="0" xfId="7" applyNumberFormat="1" applyFont="1" applyBorder="1" applyAlignment="1">
      <alignment vertical="center"/>
    </xf>
    <xf numFmtId="0" fontId="12" fillId="0" borderId="0" xfId="6" applyFont="1"/>
    <xf numFmtId="0" fontId="31" fillId="0" borderId="0" xfId="6" applyFont="1" applyAlignment="1">
      <alignment horizontal="right"/>
    </xf>
    <xf numFmtId="167" fontId="32" fillId="0" borderId="0" xfId="7" applyNumberFormat="1" applyFont="1"/>
    <xf numFmtId="0" fontId="33" fillId="0" borderId="0" xfId="6" applyFont="1" applyBorder="1" applyAlignment="1">
      <alignment horizontal="center" vertical="center"/>
    </xf>
    <xf numFmtId="0" fontId="35" fillId="2" borderId="9" xfId="6" applyFont="1" applyFill="1" applyBorder="1" applyAlignment="1">
      <alignment horizontal="center"/>
    </xf>
    <xf numFmtId="0" fontId="35" fillId="2" borderId="10" xfId="6" applyFont="1" applyFill="1" applyBorder="1" applyAlignment="1">
      <alignment horizontal="center"/>
    </xf>
    <xf numFmtId="0" fontId="35" fillId="2" borderId="11" xfId="6" applyFont="1" applyFill="1" applyBorder="1" applyAlignment="1">
      <alignment horizontal="centerContinuous"/>
    </xf>
    <xf numFmtId="0" fontId="35" fillId="2" borderId="12" xfId="6" applyFont="1" applyFill="1" applyBorder="1" applyAlignment="1">
      <alignment horizontal="center"/>
    </xf>
    <xf numFmtId="0" fontId="35" fillId="2" borderId="13" xfId="6" applyFont="1" applyFill="1" applyBorder="1" applyAlignment="1">
      <alignment horizontal="center"/>
    </xf>
    <xf numFmtId="0" fontId="35" fillId="2" borderId="14" xfId="6" applyFont="1" applyFill="1" applyBorder="1" applyAlignment="1">
      <alignment horizontal="center"/>
    </xf>
    <xf numFmtId="0" fontId="35" fillId="2" borderId="1" xfId="6" applyFont="1" applyFill="1" applyBorder="1" applyAlignment="1">
      <alignment horizontal="center"/>
    </xf>
    <xf numFmtId="0" fontId="35" fillId="2" borderId="15" xfId="6" applyFont="1" applyFill="1" applyBorder="1" applyAlignment="1">
      <alignment horizontal="center"/>
    </xf>
    <xf numFmtId="0" fontId="35" fillId="2" borderId="16" xfId="6" applyFont="1" applyFill="1" applyBorder="1" applyAlignment="1">
      <alignment horizontal="center"/>
    </xf>
    <xf numFmtId="0" fontId="35" fillId="2" borderId="17" xfId="6" applyFont="1" applyFill="1" applyBorder="1" applyAlignment="1">
      <alignment horizontal="center"/>
    </xf>
    <xf numFmtId="9" fontId="35" fillId="2" borderId="1" xfId="8" applyFont="1" applyFill="1" applyBorder="1" applyAlignment="1">
      <alignment horizontal="center"/>
    </xf>
    <xf numFmtId="0" fontId="35" fillId="2" borderId="18" xfId="6" applyFont="1" applyFill="1" applyBorder="1" applyAlignment="1">
      <alignment horizontal="center"/>
    </xf>
    <xf numFmtId="0" fontId="35" fillId="2" borderId="19" xfId="6" applyFont="1" applyFill="1" applyBorder="1" applyAlignment="1">
      <alignment horizontal="center"/>
    </xf>
    <xf numFmtId="0" fontId="35" fillId="2" borderId="20" xfId="6" quotePrefix="1" applyFont="1" applyFill="1" applyBorder="1" applyAlignment="1">
      <alignment horizontal="center"/>
    </xf>
    <xf numFmtId="0" fontId="35" fillId="2" borderId="1" xfId="6" quotePrefix="1" applyFont="1" applyFill="1" applyBorder="1" applyAlignment="1">
      <alignment horizontal="center"/>
    </xf>
    <xf numFmtId="0" fontId="35" fillId="2" borderId="21" xfId="6" quotePrefix="1" applyFont="1" applyFill="1" applyBorder="1" applyAlignment="1">
      <alignment horizontal="center"/>
    </xf>
    <xf numFmtId="0" fontId="40" fillId="2" borderId="0" xfId="4" applyFont="1" applyFill="1" applyAlignment="1">
      <alignment horizontal="center"/>
    </xf>
    <xf numFmtId="0" fontId="41" fillId="2" borderId="33" xfId="0" applyFont="1" applyFill="1" applyBorder="1" applyAlignment="1">
      <alignment horizontal="left" vertical="center"/>
    </xf>
    <xf numFmtId="0" fontId="42" fillId="2" borderId="34" xfId="0" applyFont="1" applyFill="1" applyBorder="1" applyAlignment="1">
      <alignment horizontal="centerContinuous" vertical="center"/>
    </xf>
    <xf numFmtId="0" fontId="40" fillId="2" borderId="0" xfId="4" applyFont="1" applyFill="1" applyBorder="1"/>
    <xf numFmtId="0" fontId="42" fillId="2" borderId="34" xfId="0" applyFont="1" applyFill="1" applyBorder="1" applyAlignment="1">
      <alignment horizontal="center" vertical="center"/>
    </xf>
    <xf numFmtId="0" fontId="40" fillId="2" borderId="35" xfId="4" applyFont="1" applyFill="1" applyBorder="1"/>
    <xf numFmtId="0" fontId="40" fillId="2" borderId="0" xfId="4" applyFont="1" applyFill="1"/>
    <xf numFmtId="0" fontId="43" fillId="2" borderId="33" xfId="0" applyFont="1" applyFill="1" applyBorder="1" applyAlignment="1">
      <alignment horizontal="left"/>
    </xf>
    <xf numFmtId="169" fontId="43" fillId="2" borderId="34" xfId="0" applyNumberFormat="1" applyFont="1" applyFill="1" applyBorder="1" applyAlignment="1">
      <alignment horizontal="center"/>
    </xf>
    <xf numFmtId="0" fontId="36" fillId="2" borderId="34" xfId="9" applyNumberFormat="1" applyFont="1" applyFill="1" applyBorder="1" applyAlignment="1">
      <alignment horizontal="center"/>
    </xf>
    <xf numFmtId="170" fontId="43" fillId="2" borderId="34" xfId="0" applyNumberFormat="1" applyFont="1" applyFill="1" applyBorder="1"/>
    <xf numFmtId="167" fontId="36" fillId="2" borderId="3" xfId="7" applyNumberFormat="1" applyFont="1" applyFill="1" applyBorder="1"/>
    <xf numFmtId="167" fontId="36" fillId="2" borderId="23" xfId="7" applyNumberFormat="1" applyFont="1" applyFill="1" applyBorder="1"/>
    <xf numFmtId="169" fontId="43" fillId="2" borderId="34" xfId="0" applyNumberFormat="1" applyFont="1" applyFill="1" applyBorder="1" applyAlignment="1">
      <alignment horizontal="centerContinuous"/>
    </xf>
    <xf numFmtId="0" fontId="43" fillId="2" borderId="34" xfId="0" applyFont="1" applyFill="1" applyBorder="1"/>
    <xf numFmtId="170" fontId="43" fillId="2" borderId="34" xfId="0" applyNumberFormat="1" applyFont="1" applyFill="1" applyBorder="1" applyAlignment="1">
      <alignment horizontal="centerContinuous"/>
    </xf>
    <xf numFmtId="0" fontId="43" fillId="2" borderId="36" xfId="0" applyFont="1" applyFill="1" applyBorder="1" applyAlignment="1">
      <alignment horizontal="left"/>
    </xf>
    <xf numFmtId="0" fontId="40" fillId="2" borderId="8" xfId="4" applyFont="1" applyFill="1" applyBorder="1"/>
    <xf numFmtId="169" fontId="43" fillId="2" borderId="37" xfId="0" applyNumberFormat="1" applyFont="1" applyFill="1" applyBorder="1" applyAlignment="1">
      <alignment horizontal="center"/>
    </xf>
    <xf numFmtId="0" fontId="36" fillId="2" borderId="37" xfId="9" applyNumberFormat="1" applyFont="1" applyFill="1" applyBorder="1" applyAlignment="1">
      <alignment horizontal="center"/>
    </xf>
    <xf numFmtId="170" fontId="43" fillId="2" borderId="37" xfId="0" applyNumberFormat="1" applyFont="1" applyFill="1" applyBorder="1"/>
    <xf numFmtId="167" fontId="36" fillId="2" borderId="29" xfId="7" applyNumberFormat="1" applyFont="1" applyFill="1" applyBorder="1"/>
    <xf numFmtId="167" fontId="36" fillId="2" borderId="30" xfId="7" applyNumberFormat="1" applyFont="1" applyFill="1" applyBorder="1"/>
    <xf numFmtId="0" fontId="44" fillId="0" borderId="0" xfId="4" applyFont="1" applyAlignment="1">
      <alignment horizontal="center"/>
    </xf>
    <xf numFmtId="0" fontId="44" fillId="0" borderId="0" xfId="4" applyFont="1"/>
    <xf numFmtId="0" fontId="46" fillId="0" borderId="0" xfId="4" applyFont="1" applyAlignment="1">
      <alignment horizontal="center"/>
    </xf>
    <xf numFmtId="0" fontId="46" fillId="0" borderId="0" xfId="4" applyFont="1"/>
    <xf numFmtId="0" fontId="47" fillId="0" borderId="0" xfId="4" applyFont="1"/>
    <xf numFmtId="0" fontId="6"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wrapText="1"/>
    </xf>
    <xf numFmtId="0" fontId="8" fillId="0" borderId="0" xfId="0" applyFont="1" applyAlignment="1">
      <alignment vertical="center" wrapText="1"/>
    </xf>
    <xf numFmtId="171" fontId="6" fillId="0" borderId="0" xfId="1" applyNumberFormat="1" applyFont="1" applyAlignment="1">
      <alignment vertical="center" wrapText="1"/>
    </xf>
    <xf numFmtId="4" fontId="49" fillId="0" borderId="0" xfId="0" applyNumberFormat="1" applyFont="1"/>
    <xf numFmtId="3" fontId="49" fillId="0" borderId="0" xfId="0" applyNumberFormat="1" applyFont="1"/>
    <xf numFmtId="0" fontId="49" fillId="0" borderId="0" xfId="0" applyFont="1"/>
    <xf numFmtId="0" fontId="47" fillId="0" borderId="0" xfId="0" applyFont="1" applyAlignment="1">
      <alignment horizontal="center"/>
    </xf>
    <xf numFmtId="0" fontId="15" fillId="0" borderId="0" xfId="0" applyFont="1" applyAlignment="1">
      <alignment horizontal="center"/>
    </xf>
    <xf numFmtId="0" fontId="47" fillId="0" borderId="0" xfId="0" applyFont="1"/>
    <xf numFmtId="4" fontId="47" fillId="0" borderId="0" xfId="0" applyNumberFormat="1" applyFont="1"/>
    <xf numFmtId="3" fontId="47" fillId="0" borderId="0" xfId="0" applyNumberFormat="1" applyFont="1"/>
    <xf numFmtId="0" fontId="50" fillId="3" borderId="38" xfId="0" applyFont="1" applyFill="1" applyBorder="1" applyAlignment="1">
      <alignment horizontal="center" vertical="center" wrapText="1"/>
    </xf>
    <xf numFmtId="0" fontId="12" fillId="3" borderId="39" xfId="0" applyFont="1" applyFill="1" applyBorder="1" applyAlignment="1">
      <alignment horizontal="center" vertical="center" wrapText="1"/>
    </xf>
    <xf numFmtId="0" fontId="50" fillId="3" borderId="39" xfId="0" applyFont="1" applyFill="1" applyBorder="1" applyAlignment="1">
      <alignment horizontal="center" vertical="center" wrapText="1"/>
    </xf>
    <xf numFmtId="3" fontId="50" fillId="3" borderId="39" xfId="0" applyNumberFormat="1" applyFont="1" applyFill="1" applyBorder="1" applyAlignment="1">
      <alignment horizontal="center" vertical="center" wrapText="1"/>
    </xf>
    <xf numFmtId="3" fontId="50" fillId="3" borderId="40" xfId="0" applyNumberFormat="1" applyFont="1" applyFill="1" applyBorder="1" applyAlignment="1">
      <alignment horizontal="center" vertical="center" wrapText="1"/>
    </xf>
    <xf numFmtId="4" fontId="50" fillId="3" borderId="2" xfId="0" applyNumberFormat="1" applyFont="1" applyFill="1" applyBorder="1" applyAlignment="1">
      <alignment horizontal="center" vertical="center" wrapText="1"/>
    </xf>
    <xf numFmtId="3" fontId="50" fillId="3" borderId="0" xfId="0" applyNumberFormat="1" applyFont="1" applyFill="1" applyAlignment="1">
      <alignment horizontal="center" vertical="center" wrapText="1"/>
    </xf>
    <xf numFmtId="0" fontId="50" fillId="3" borderId="0" xfId="0" applyFont="1" applyFill="1" applyAlignment="1">
      <alignment horizontal="center" vertical="center" wrapText="1"/>
    </xf>
    <xf numFmtId="0" fontId="51" fillId="0" borderId="41" xfId="0" applyFont="1" applyBorder="1" applyAlignment="1">
      <alignment horizontal="center"/>
    </xf>
    <xf numFmtId="0" fontId="36" fillId="0" borderId="1" xfId="0" applyFont="1" applyBorder="1" applyAlignment="1">
      <alignment horizontal="center"/>
    </xf>
    <xf numFmtId="0" fontId="47" fillId="0" borderId="1" xfId="0" applyFont="1" applyFill="1" applyBorder="1" applyAlignment="1">
      <alignment vertical="center" wrapText="1"/>
    </xf>
    <xf numFmtId="0" fontId="47" fillId="0" borderId="1" xfId="0" applyFont="1" applyFill="1" applyBorder="1" applyAlignment="1">
      <alignment horizontal="center" vertical="center" wrapText="1"/>
    </xf>
    <xf numFmtId="3" fontId="51" fillId="0" borderId="1" xfId="0" applyNumberFormat="1" applyFont="1" applyBorder="1" applyAlignment="1">
      <alignment horizontal="right"/>
    </xf>
    <xf numFmtId="3" fontId="51" fillId="0" borderId="42" xfId="0" applyNumberFormat="1" applyFont="1" applyBorder="1"/>
    <xf numFmtId="4" fontId="51" fillId="0" borderId="2" xfId="0" applyNumberFormat="1" applyFont="1" applyBorder="1"/>
    <xf numFmtId="3" fontId="51" fillId="0" borderId="2" xfId="0" applyNumberFormat="1" applyFont="1" applyBorder="1"/>
    <xf numFmtId="0" fontId="51" fillId="0" borderId="0" xfId="0" applyFont="1"/>
    <xf numFmtId="4" fontId="52" fillId="2" borderId="1" xfId="0" applyNumberFormat="1" applyFont="1" applyFill="1" applyBorder="1" applyAlignment="1">
      <alignment horizontal="center" vertical="center" wrapText="1"/>
    </xf>
    <xf numFmtId="0" fontId="53" fillId="0" borderId="1" xfId="0" applyFont="1" applyFill="1" applyBorder="1" applyAlignment="1">
      <alignment vertical="center" wrapText="1"/>
    </xf>
    <xf numFmtId="0" fontId="53" fillId="0"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54" fillId="0" borderId="1" xfId="0" applyFont="1" applyFill="1" applyBorder="1" applyAlignment="1">
      <alignment vertical="center" wrapText="1"/>
    </xf>
    <xf numFmtId="0" fontId="54" fillId="0" borderId="1" xfId="0" applyFont="1" applyFill="1" applyBorder="1" applyAlignment="1">
      <alignment horizontal="center" vertical="center" wrapText="1"/>
    </xf>
    <xf numFmtId="0" fontId="15" fillId="0" borderId="1" xfId="0" applyFont="1" applyBorder="1" applyAlignment="1">
      <alignment horizontal="center"/>
    </xf>
    <xf numFmtId="0" fontId="22" fillId="0" borderId="1" xfId="0" applyFont="1" applyFill="1" applyBorder="1" applyAlignment="1">
      <alignment vertical="center" wrapText="1"/>
    </xf>
    <xf numFmtId="4" fontId="36" fillId="2" borderId="1" xfId="10" applyNumberFormat="1" applyFont="1" applyFill="1" applyBorder="1" applyAlignment="1">
      <alignment horizontal="center" vertical="center" wrapText="1"/>
    </xf>
    <xf numFmtId="0" fontId="55" fillId="0" borderId="1" xfId="0" applyFont="1" applyFill="1" applyBorder="1" applyAlignment="1">
      <alignment vertical="center" wrapText="1"/>
    </xf>
    <xf numFmtId="0" fontId="55" fillId="0" borderId="1" xfId="0" applyFont="1" applyFill="1" applyBorder="1" applyAlignment="1">
      <alignment horizontal="center" vertical="center" wrapText="1"/>
    </xf>
    <xf numFmtId="3" fontId="56" fillId="0" borderId="42" xfId="0" applyNumberFormat="1" applyFont="1" applyBorder="1"/>
    <xf numFmtId="4" fontId="56" fillId="0" borderId="2" xfId="0" applyNumberFormat="1" applyFont="1" applyBorder="1"/>
    <xf numFmtId="0" fontId="56" fillId="0" borderId="0" xfId="0" applyFont="1"/>
    <xf numFmtId="2" fontId="15" fillId="2" borderId="1" xfId="5" applyNumberFormat="1" applyFont="1" applyFill="1" applyBorder="1" applyAlignment="1">
      <alignment horizontal="left"/>
    </xf>
    <xf numFmtId="2" fontId="15" fillId="2" borderId="1" xfId="5" applyNumberFormat="1" applyFont="1" applyFill="1" applyBorder="1" applyAlignment="1">
      <alignment horizontal="center"/>
    </xf>
    <xf numFmtId="0" fontId="57" fillId="0" borderId="1" xfId="0" applyFont="1" applyFill="1" applyBorder="1" applyAlignment="1">
      <alignment vertical="center" wrapText="1"/>
    </xf>
    <xf numFmtId="0" fontId="58" fillId="0" borderId="1" xfId="0" applyFont="1" applyFill="1" applyBorder="1" applyAlignment="1">
      <alignment horizontal="center" vertical="center" wrapText="1"/>
    </xf>
    <xf numFmtId="0" fontId="47" fillId="2" borderId="1" xfId="5" applyFont="1" applyFill="1" applyBorder="1" applyAlignment="1">
      <alignment vertical="top" wrapText="1"/>
    </xf>
    <xf numFmtId="0" fontId="47" fillId="2" borderId="1" xfId="5" applyFont="1" applyFill="1" applyBorder="1" applyAlignment="1">
      <alignment horizontal="center" vertical="top" wrapText="1"/>
    </xf>
    <xf numFmtId="0" fontId="53" fillId="0" borderId="1" xfId="0" applyFont="1" applyBorder="1" applyAlignment="1">
      <alignment wrapText="1"/>
    </xf>
    <xf numFmtId="0" fontId="53" fillId="0" borderId="1" xfId="0" applyFont="1" applyBorder="1" applyAlignment="1">
      <alignment horizontal="center" wrapText="1"/>
    </xf>
    <xf numFmtId="0" fontId="60" fillId="0" borderId="1" xfId="0" applyFont="1" applyBorder="1" applyAlignment="1">
      <alignment vertical="top" wrapText="1"/>
    </xf>
    <xf numFmtId="0" fontId="60" fillId="0" borderId="1" xfId="0" applyFont="1" applyBorder="1" applyAlignment="1">
      <alignment horizontal="center" vertical="top" wrapText="1"/>
    </xf>
    <xf numFmtId="0" fontId="53" fillId="0" borderId="1" xfId="0" applyFont="1" applyBorder="1"/>
    <xf numFmtId="0" fontId="53" fillId="0" borderId="1" xfId="0" applyFont="1" applyBorder="1" applyAlignment="1">
      <alignment horizontal="center" vertical="top" wrapText="1"/>
    </xf>
    <xf numFmtId="0" fontId="53" fillId="0" borderId="1" xfId="0" applyFont="1" applyBorder="1" applyAlignment="1">
      <alignment vertical="top" wrapText="1"/>
    </xf>
    <xf numFmtId="4" fontId="15" fillId="2" borderId="1" xfId="0" applyNumberFormat="1" applyFont="1" applyFill="1" applyBorder="1" applyAlignment="1">
      <alignment horizontal="center" vertical="center" wrapText="1"/>
    </xf>
    <xf numFmtId="0" fontId="47" fillId="0" borderId="1" xfId="0" applyFont="1" applyBorder="1" applyAlignment="1">
      <alignment wrapText="1"/>
    </xf>
    <xf numFmtId="3" fontId="47" fillId="0" borderId="42" xfId="0" applyNumberFormat="1" applyFont="1" applyBorder="1"/>
    <xf numFmtId="4" fontId="47" fillId="0" borderId="2" xfId="0" applyNumberFormat="1" applyFont="1" applyBorder="1"/>
    <xf numFmtId="4" fontId="36" fillId="2" borderId="1" xfId="0" applyNumberFormat="1" applyFont="1" applyFill="1" applyBorder="1" applyAlignment="1">
      <alignment horizontal="center" vertical="center" wrapText="1"/>
    </xf>
    <xf numFmtId="4" fontId="47" fillId="0" borderId="0" xfId="0" applyNumberFormat="1" applyFont="1" applyBorder="1"/>
    <xf numFmtId="0" fontId="63" fillId="0" borderId="1" xfId="0" applyFont="1" applyBorder="1" applyAlignment="1">
      <alignment vertical="center" wrapText="1"/>
    </xf>
    <xf numFmtId="0" fontId="63" fillId="0" borderId="1" xfId="0" applyFont="1" applyBorder="1" applyAlignment="1">
      <alignment horizontal="center" vertical="center" wrapText="1"/>
    </xf>
    <xf numFmtId="0" fontId="64" fillId="0" borderId="1" xfId="5" applyFont="1" applyBorder="1" applyAlignment="1">
      <alignment vertical="center" wrapText="1"/>
    </xf>
    <xf numFmtId="0" fontId="63" fillId="0" borderId="1" xfId="5" applyFont="1" applyBorder="1" applyAlignment="1">
      <alignment horizontal="center" vertical="center" wrapText="1"/>
    </xf>
    <xf numFmtId="0" fontId="65" fillId="0" borderId="41" xfId="0" applyFont="1" applyBorder="1" applyAlignment="1">
      <alignment horizontal="center"/>
    </xf>
    <xf numFmtId="0" fontId="66" fillId="0" borderId="1" xfId="11" applyFont="1" applyFill="1" applyBorder="1" applyAlignment="1">
      <alignment horizontal="center" vertical="center"/>
    </xf>
    <xf numFmtId="0" fontId="57" fillId="2" borderId="1" xfId="5" applyFont="1" applyFill="1" applyBorder="1" applyAlignment="1">
      <alignment vertical="top" wrapText="1"/>
    </xf>
    <xf numFmtId="0" fontId="57" fillId="2" borderId="1" xfId="5" applyFont="1" applyFill="1" applyBorder="1" applyAlignment="1">
      <alignment horizontal="center" vertical="top" wrapText="1"/>
    </xf>
    <xf numFmtId="3" fontId="65" fillId="0" borderId="1" xfId="0" applyNumberFormat="1" applyFont="1" applyBorder="1" applyAlignment="1">
      <alignment horizontal="right"/>
    </xf>
    <xf numFmtId="3" fontId="57" fillId="0" borderId="42" xfId="0" applyNumberFormat="1" applyFont="1" applyBorder="1"/>
    <xf numFmtId="4" fontId="57" fillId="0" borderId="0" xfId="0" applyNumberFormat="1" applyFont="1" applyBorder="1"/>
    <xf numFmtId="3" fontId="65" fillId="0" borderId="2" xfId="0" applyNumberFormat="1" applyFont="1" applyBorder="1"/>
    <xf numFmtId="0" fontId="57" fillId="0" borderId="0" xfId="0" applyFont="1"/>
    <xf numFmtId="2" fontId="15" fillId="2" borderId="1" xfId="5" applyNumberFormat="1" applyFont="1" applyFill="1" applyBorder="1" applyAlignment="1">
      <alignment horizontal="left" vertical="center" wrapText="1"/>
    </xf>
    <xf numFmtId="0" fontId="64" fillId="0" borderId="1" xfId="0" applyFont="1" applyBorder="1" applyAlignment="1">
      <alignment vertical="center" wrapText="1"/>
    </xf>
    <xf numFmtId="0" fontId="51" fillId="0" borderId="43" xfId="0" applyFont="1" applyBorder="1" applyAlignment="1">
      <alignment horizontal="center"/>
    </xf>
    <xf numFmtId="4" fontId="52" fillId="2" borderId="44" xfId="0" applyNumberFormat="1" applyFont="1" applyFill="1" applyBorder="1" applyAlignment="1">
      <alignment horizontal="center" vertical="center" wrapText="1"/>
    </xf>
    <xf numFmtId="0" fontId="64" fillId="2" borderId="44" xfId="12" applyFont="1" applyFill="1" applyBorder="1" applyAlignment="1">
      <alignment horizontal="left" vertical="center" wrapText="1"/>
    </xf>
    <xf numFmtId="0" fontId="47" fillId="2" borderId="44" xfId="5" applyFont="1" applyFill="1" applyBorder="1" applyAlignment="1">
      <alignment horizontal="center" vertical="top" wrapText="1"/>
    </xf>
    <xf numFmtId="3" fontId="51" fillId="0" borderId="44" xfId="0" applyNumberFormat="1" applyFont="1" applyBorder="1" applyAlignment="1">
      <alignment horizontal="right"/>
    </xf>
    <xf numFmtId="3" fontId="47" fillId="0" borderId="45" xfId="0" applyNumberFormat="1" applyFont="1" applyBorder="1"/>
    <xf numFmtId="0" fontId="69" fillId="0" borderId="0" xfId="0" applyFont="1" applyAlignment="1">
      <alignment horizontal="left" vertical="center" wrapText="1"/>
    </xf>
    <xf numFmtId="3" fontId="69" fillId="0" borderId="0" xfId="0" applyNumberFormat="1" applyFont="1" applyBorder="1" applyAlignment="1">
      <alignment horizontal="left" vertical="center" wrapText="1"/>
    </xf>
    <xf numFmtId="0" fontId="69" fillId="0" borderId="0" xfId="0" applyFont="1" applyAlignment="1">
      <alignment horizontal="center" vertical="center" wrapText="1"/>
    </xf>
    <xf numFmtId="3" fontId="69" fillId="0" borderId="0" xfId="0" applyNumberFormat="1" applyFont="1" applyAlignment="1">
      <alignment horizontal="center" vertical="center" wrapText="1"/>
    </xf>
    <xf numFmtId="0" fontId="46" fillId="0" borderId="0" xfId="0" applyFont="1" applyAlignment="1">
      <alignment horizontal="center" vertical="center" wrapText="1"/>
    </xf>
    <xf numFmtId="3" fontId="46" fillId="0" borderId="0" xfId="0" applyNumberFormat="1" applyFont="1" applyAlignment="1">
      <alignment horizontal="center" vertical="center" wrapText="1"/>
    </xf>
    <xf numFmtId="0" fontId="46" fillId="0" borderId="0" xfId="0" applyFont="1"/>
    <xf numFmtId="3" fontId="46" fillId="0" borderId="0" xfId="0" applyNumberFormat="1" applyFont="1"/>
    <xf numFmtId="0" fontId="47" fillId="0" borderId="0" xfId="0" applyFont="1" applyAlignment="1">
      <alignment horizontal="center" vertical="center" wrapText="1"/>
    </xf>
    <xf numFmtId="0" fontId="15" fillId="0" borderId="0" xfId="0" applyFont="1" applyAlignment="1">
      <alignment horizontal="center" vertical="center" wrapText="1"/>
    </xf>
    <xf numFmtId="0" fontId="51" fillId="0" borderId="0" xfId="0" applyFont="1" applyAlignment="1">
      <alignment vertical="center" wrapText="1"/>
    </xf>
    <xf numFmtId="3" fontId="47" fillId="0" borderId="0" xfId="0" applyNumberFormat="1" applyFont="1" applyAlignment="1">
      <alignment horizontal="right" vertical="center" wrapText="1"/>
    </xf>
    <xf numFmtId="3" fontId="51" fillId="0" borderId="0" xfId="0" applyNumberFormat="1" applyFont="1" applyAlignment="1">
      <alignment vertical="center" wrapText="1"/>
    </xf>
    <xf numFmtId="3" fontId="47" fillId="0" borderId="0" xfId="0" applyNumberFormat="1" applyFont="1" applyAlignment="1">
      <alignment horizontal="right"/>
    </xf>
    <xf numFmtId="0" fontId="51" fillId="0" borderId="0" xfId="0" applyFont="1" applyAlignment="1">
      <alignment horizontal="center"/>
    </xf>
    <xf numFmtId="3" fontId="51" fillId="0" borderId="0" xfId="0" applyNumberFormat="1" applyFont="1" applyAlignment="1">
      <alignment horizontal="right"/>
    </xf>
    <xf numFmtId="3" fontId="51" fillId="0" borderId="0" xfId="0" applyNumberFormat="1" applyFont="1"/>
    <xf numFmtId="4" fontId="51" fillId="0" borderId="0" xfId="0" applyNumberFormat="1" applyFont="1"/>
    <xf numFmtId="0" fontId="51" fillId="0" borderId="46" xfId="0" applyFont="1" applyBorder="1" applyAlignment="1">
      <alignment horizontal="center"/>
    </xf>
    <xf numFmtId="0" fontId="64" fillId="0" borderId="18" xfId="0" applyFont="1" applyBorder="1" applyAlignment="1">
      <alignment vertical="center" wrapText="1"/>
    </xf>
    <xf numFmtId="0" fontId="47" fillId="2" borderId="18" xfId="5" applyFont="1" applyFill="1" applyBorder="1" applyAlignment="1">
      <alignment horizontal="center" vertical="top" wrapText="1"/>
    </xf>
    <xf numFmtId="3" fontId="51" fillId="0" borderId="18" xfId="0" applyNumberFormat="1" applyFont="1" applyBorder="1" applyAlignment="1">
      <alignment horizontal="right"/>
    </xf>
    <xf numFmtId="3" fontId="47" fillId="0" borderId="47" xfId="0" applyNumberFormat="1" applyFont="1" applyBorder="1"/>
    <xf numFmtId="3" fontId="51" fillId="0" borderId="0" xfId="0" applyNumberFormat="1" applyFont="1" applyBorder="1"/>
    <xf numFmtId="49" fontId="70" fillId="0" borderId="48" xfId="0" applyNumberFormat="1" applyFont="1" applyBorder="1" applyAlignment="1" applyProtection="1">
      <alignment horizontal="center" vertical="top" wrapText="1"/>
      <protection locked="0"/>
    </xf>
    <xf numFmtId="0" fontId="7" fillId="0" borderId="49" xfId="0" applyFont="1" applyBorder="1" applyAlignment="1">
      <alignment horizontal="center" vertical="center" wrapText="1"/>
    </xf>
    <xf numFmtId="0" fontId="7" fillId="0" borderId="50" xfId="0" applyFont="1" applyBorder="1" applyAlignment="1">
      <alignment horizontal="center" vertical="center" wrapText="1"/>
    </xf>
    <xf numFmtId="171" fontId="7" fillId="0" borderId="50" xfId="1" applyNumberFormat="1" applyFont="1" applyFill="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171" fontId="6" fillId="0" borderId="53" xfId="1" applyNumberFormat="1" applyFont="1" applyBorder="1" applyAlignment="1">
      <alignment vertical="center" wrapText="1"/>
    </xf>
    <xf numFmtId="0" fontId="6" fillId="0" borderId="53" xfId="0" applyFont="1" applyBorder="1" applyAlignment="1">
      <alignment vertical="center" wrapText="1"/>
    </xf>
    <xf numFmtId="0" fontId="11" fillId="0" borderId="52"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11" fillId="0" borderId="53" xfId="0" applyFont="1" applyFill="1" applyBorder="1" applyAlignment="1">
      <alignment vertical="center" wrapText="1"/>
    </xf>
    <xf numFmtId="171" fontId="11" fillId="0" borderId="53" xfId="1" applyNumberFormat="1" applyFont="1" applyBorder="1" applyAlignment="1">
      <alignment vertical="center" wrapText="1"/>
    </xf>
    <xf numFmtId="0" fontId="8" fillId="0" borderId="52" xfId="0" applyFont="1" applyFill="1" applyBorder="1" applyAlignment="1">
      <alignment horizontal="center" vertical="center" wrapText="1"/>
    </xf>
    <xf numFmtId="0" fontId="8" fillId="0" borderId="53" xfId="0" applyFont="1" applyFill="1" applyBorder="1" applyAlignment="1">
      <alignment horizontal="center" vertical="center" wrapText="1"/>
    </xf>
    <xf numFmtId="0" fontId="48" fillId="0" borderId="53" xfId="0" applyFont="1" applyFill="1" applyBorder="1" applyAlignment="1">
      <alignment vertical="center" wrapText="1"/>
    </xf>
    <xf numFmtId="0" fontId="8" fillId="0" borderId="53" xfId="0" applyFont="1" applyFill="1" applyBorder="1" applyAlignment="1">
      <alignment vertical="center" wrapText="1"/>
    </xf>
    <xf numFmtId="0" fontId="10" fillId="0" borderId="53" xfId="0" applyFont="1" applyFill="1" applyBorder="1" applyAlignment="1">
      <alignment horizontal="center" vertical="center" wrapText="1"/>
    </xf>
    <xf numFmtId="0" fontId="10" fillId="0" borderId="52" xfId="0" applyFont="1" applyFill="1" applyBorder="1" applyAlignment="1">
      <alignment horizontal="center" vertical="center" wrapText="1"/>
    </xf>
    <xf numFmtId="0" fontId="10" fillId="0" borderId="53" xfId="0" applyFont="1" applyFill="1" applyBorder="1" applyAlignment="1">
      <alignment vertical="center" wrapText="1"/>
    </xf>
    <xf numFmtId="171" fontId="10" fillId="2" borderId="53" xfId="1" applyNumberFormat="1" applyFont="1" applyFill="1" applyBorder="1" applyAlignment="1">
      <alignment vertical="center" wrapText="1"/>
    </xf>
    <xf numFmtId="0" fontId="6" fillId="0" borderId="53" xfId="0" applyFont="1" applyBorder="1" applyAlignment="1">
      <alignment horizontal="center" vertical="center"/>
    </xf>
    <xf numFmtId="171" fontId="6" fillId="0" borderId="53" xfId="1" applyNumberFormat="1" applyFont="1" applyBorder="1" applyAlignment="1">
      <alignment vertical="center"/>
    </xf>
    <xf numFmtId="165" fontId="10" fillId="2" borderId="53" xfId="0" applyNumberFormat="1" applyFont="1" applyFill="1" applyBorder="1" applyAlignment="1">
      <alignment horizontal="center" vertical="center" wrapText="1"/>
    </xf>
    <xf numFmtId="171" fontId="10" fillId="0" borderId="53" xfId="1" applyNumberFormat="1" applyFont="1" applyBorder="1" applyAlignment="1" applyProtection="1">
      <alignment vertical="center" wrapText="1"/>
      <protection locked="0"/>
    </xf>
    <xf numFmtId="171" fontId="10" fillId="0" borderId="53" xfId="1" applyNumberFormat="1" applyFont="1" applyFill="1" applyBorder="1" applyAlignment="1">
      <alignment vertical="center"/>
    </xf>
    <xf numFmtId="0" fontId="8" fillId="0" borderId="52"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53" xfId="0" applyFont="1" applyBorder="1" applyAlignment="1">
      <alignment vertical="center" wrapText="1"/>
    </xf>
    <xf numFmtId="171" fontId="72" fillId="0" borderId="53" xfId="1" applyNumberFormat="1" applyFont="1" applyBorder="1" applyAlignment="1">
      <alignment vertical="center" wrapText="1"/>
    </xf>
    <xf numFmtId="0" fontId="72" fillId="0" borderId="0" xfId="0" applyFont="1" applyAlignment="1">
      <alignment vertical="center" wrapText="1"/>
    </xf>
    <xf numFmtId="0" fontId="73" fillId="0" borderId="53" xfId="0" applyFont="1" applyBorder="1" applyAlignment="1">
      <alignment horizontal="left" vertical="center" wrapText="1"/>
    </xf>
    <xf numFmtId="170" fontId="6" fillId="0" borderId="53" xfId="0" applyNumberFormat="1" applyFont="1" applyBorder="1" applyAlignment="1">
      <alignment horizontal="center" vertical="center"/>
    </xf>
    <xf numFmtId="0" fontId="71" fillId="6" borderId="52" xfId="0" applyFont="1" applyFill="1" applyBorder="1" applyAlignment="1">
      <alignment horizontal="center" vertical="center" wrapText="1"/>
    </xf>
    <xf numFmtId="0" fontId="71" fillId="6" borderId="53" xfId="0" applyFont="1" applyFill="1" applyBorder="1" applyAlignment="1">
      <alignment horizontal="center" vertical="center" wrapText="1"/>
    </xf>
    <xf numFmtId="0" fontId="71" fillId="6" borderId="53" xfId="0" applyFont="1" applyFill="1" applyBorder="1" applyAlignment="1">
      <alignment vertical="center" wrapText="1"/>
    </xf>
    <xf numFmtId="171" fontId="72" fillId="6" borderId="53" xfId="1" applyNumberFormat="1" applyFont="1" applyFill="1" applyBorder="1" applyAlignment="1">
      <alignment vertical="center" wrapText="1"/>
    </xf>
    <xf numFmtId="0" fontId="72" fillId="0" borderId="52" xfId="0" applyFont="1" applyFill="1" applyBorder="1" applyAlignment="1">
      <alignment horizontal="center" vertical="center" wrapText="1"/>
    </xf>
    <xf numFmtId="0" fontId="72" fillId="0" borderId="53" xfId="0" applyFont="1" applyFill="1" applyBorder="1" applyAlignment="1">
      <alignment horizontal="center" vertical="center" wrapText="1"/>
    </xf>
    <xf numFmtId="0" fontId="72" fillId="0" borderId="53" xfId="0" applyFont="1" applyFill="1" applyBorder="1" applyAlignment="1">
      <alignment vertical="center" wrapText="1"/>
    </xf>
    <xf numFmtId="171" fontId="9" fillId="0" borderId="50" xfId="1" applyNumberFormat="1" applyFont="1" applyBorder="1" applyAlignment="1">
      <alignment vertical="center" wrapText="1"/>
    </xf>
    <xf numFmtId="171" fontId="71" fillId="6" borderId="53" xfId="1" applyNumberFormat="1" applyFont="1" applyFill="1" applyBorder="1" applyAlignment="1">
      <alignment vertical="center" wrapText="1"/>
    </xf>
    <xf numFmtId="171" fontId="71" fillId="0" borderId="53" xfId="1" applyNumberFormat="1" applyFont="1" applyBorder="1" applyAlignment="1">
      <alignment vertical="center" wrapText="1"/>
    </xf>
    <xf numFmtId="171" fontId="23" fillId="0" borderId="53" xfId="1" applyNumberFormat="1" applyFont="1" applyFill="1" applyBorder="1" applyAlignment="1">
      <alignment vertical="center"/>
    </xf>
    <xf numFmtId="0" fontId="85" fillId="0" borderId="0" xfId="0" applyFont="1" applyBorder="1" applyAlignment="1">
      <alignment horizontal="center" vertical="center"/>
    </xf>
    <xf numFmtId="0" fontId="85" fillId="0" borderId="0" xfId="0" applyFont="1" applyAlignment="1">
      <alignment horizontal="center" vertical="center"/>
    </xf>
    <xf numFmtId="0" fontId="86" fillId="0" borderId="0" xfId="0" applyFont="1" applyAlignment="1">
      <alignment vertical="center"/>
    </xf>
    <xf numFmtId="0" fontId="87" fillId="0" borderId="0" xfId="0" applyFont="1" applyFill="1" applyAlignment="1">
      <alignment vertical="center"/>
    </xf>
    <xf numFmtId="0" fontId="86" fillId="0" borderId="0" xfId="0" applyFont="1" applyFill="1" applyAlignment="1">
      <alignment vertical="center"/>
    </xf>
    <xf numFmtId="0" fontId="89" fillId="0" borderId="0" xfId="0" applyFont="1" applyFill="1" applyAlignment="1">
      <alignment vertical="center"/>
    </xf>
    <xf numFmtId="0" fontId="86" fillId="0" borderId="0" xfId="0" applyFont="1" applyFill="1" applyAlignment="1">
      <alignment horizontal="center" vertical="center"/>
    </xf>
    <xf numFmtId="0" fontId="86" fillId="0" borderId="0" xfId="0" applyFont="1" applyAlignment="1">
      <alignment horizontal="center" vertical="center"/>
    </xf>
    <xf numFmtId="0" fontId="85" fillId="0" borderId="49" xfId="0" applyFont="1" applyBorder="1" applyAlignment="1">
      <alignment horizontal="center" vertical="center"/>
    </xf>
    <xf numFmtId="0" fontId="85" fillId="0" borderId="50" xfId="0" applyFont="1" applyBorder="1" applyAlignment="1">
      <alignment horizontal="center" vertical="center"/>
    </xf>
    <xf numFmtId="0" fontId="85" fillId="0" borderId="51" xfId="0" applyFont="1" applyBorder="1" applyAlignment="1">
      <alignment horizontal="center" vertical="center"/>
    </xf>
    <xf numFmtId="0" fontId="87" fillId="0" borderId="52" xfId="0" applyFont="1" applyFill="1" applyBorder="1" applyAlignment="1">
      <alignment horizontal="center" vertical="center"/>
    </xf>
    <xf numFmtId="0" fontId="87" fillId="0" borderId="53" xfId="0" applyFont="1" applyFill="1" applyBorder="1" applyAlignment="1">
      <alignment vertical="center" wrapText="1"/>
    </xf>
    <xf numFmtId="0" fontId="87" fillId="0" borderId="53" xfId="0" applyFont="1" applyFill="1" applyBorder="1" applyAlignment="1">
      <alignment vertical="center"/>
    </xf>
    <xf numFmtId="0" fontId="87" fillId="0" borderId="53" xfId="0" applyFont="1" applyFill="1" applyBorder="1" applyAlignment="1">
      <alignment horizontal="center" vertical="center"/>
    </xf>
    <xf numFmtId="0" fontId="87" fillId="0" borderId="54" xfId="0" applyFont="1" applyFill="1" applyBorder="1" applyAlignment="1">
      <alignment horizontal="center" vertical="center"/>
    </xf>
    <xf numFmtId="0" fontId="86" fillId="0" borderId="52" xfId="0" applyFont="1" applyFill="1" applyBorder="1" applyAlignment="1">
      <alignment horizontal="center" vertical="center"/>
    </xf>
    <xf numFmtId="0" fontId="86" fillId="0" borderId="53" xfId="0" applyFont="1" applyFill="1" applyBorder="1" applyAlignment="1">
      <alignment vertical="center" wrapText="1"/>
    </xf>
    <xf numFmtId="0" fontId="86" fillId="0" borderId="53" xfId="0" applyFont="1" applyFill="1" applyBorder="1" applyAlignment="1">
      <alignment horizontal="center" vertical="center"/>
    </xf>
    <xf numFmtId="0" fontId="86" fillId="0" borderId="53" xfId="0" applyFont="1" applyFill="1" applyBorder="1" applyAlignment="1">
      <alignment vertical="center"/>
    </xf>
    <xf numFmtId="3" fontId="86" fillId="0" borderId="53" xfId="0" applyNumberFormat="1" applyFont="1" applyFill="1" applyBorder="1" applyAlignment="1">
      <alignment horizontal="center" vertical="center"/>
    </xf>
    <xf numFmtId="0" fontId="86" fillId="0" borderId="54" xfId="0" applyFont="1" applyFill="1" applyBorder="1" applyAlignment="1">
      <alignment horizontal="center" vertical="center"/>
    </xf>
    <xf numFmtId="0" fontId="86" fillId="0" borderId="54" xfId="0" applyFont="1" applyFill="1" applyBorder="1" applyAlignment="1">
      <alignment vertical="center" wrapText="1"/>
    </xf>
    <xf numFmtId="0" fontId="89" fillId="0" borderId="52" xfId="0" applyFont="1" applyFill="1" applyBorder="1" applyAlignment="1">
      <alignment horizontal="center" vertical="center"/>
    </xf>
    <xf numFmtId="0" fontId="89" fillId="0" borderId="53" xfId="0" applyFont="1" applyFill="1" applyBorder="1" applyAlignment="1">
      <alignment vertical="center"/>
    </xf>
    <xf numFmtId="0" fontId="89" fillId="0" borderId="53" xfId="0" applyFont="1" applyFill="1" applyBorder="1" applyAlignment="1">
      <alignment horizontal="center" vertical="center"/>
    </xf>
    <xf numFmtId="0" fontId="89" fillId="0" borderId="54" xfId="0" applyFont="1" applyFill="1" applyBorder="1" applyAlignment="1">
      <alignment horizontal="center" vertical="center"/>
    </xf>
    <xf numFmtId="0" fontId="85" fillId="6" borderId="52" xfId="0" applyFont="1" applyFill="1" applyBorder="1" applyAlignment="1">
      <alignment horizontal="center" vertical="center"/>
    </xf>
    <xf numFmtId="0" fontId="85" fillId="6" borderId="53" xfId="0" applyFont="1" applyFill="1" applyBorder="1" applyAlignment="1">
      <alignment horizontal="center" vertical="center"/>
    </xf>
    <xf numFmtId="0" fontId="85" fillId="6" borderId="54" xfId="0" applyFont="1" applyFill="1" applyBorder="1" applyAlignment="1">
      <alignment horizontal="center" vertical="center"/>
    </xf>
    <xf numFmtId="0" fontId="79" fillId="0" borderId="52" xfId="0" applyFont="1" applyBorder="1" applyAlignment="1">
      <alignment horizontal="center" vertical="center"/>
    </xf>
    <xf numFmtId="0" fontId="79" fillId="0" borderId="53" xfId="0" applyFont="1" applyBorder="1" applyAlignment="1">
      <alignment vertical="center" wrapText="1"/>
    </xf>
    <xf numFmtId="0" fontId="78" fillId="0" borderId="53" xfId="0" applyFont="1" applyBorder="1" applyAlignment="1">
      <alignment horizontal="center" vertical="center"/>
    </xf>
    <xf numFmtId="0" fontId="78" fillId="0" borderId="52" xfId="0" applyFont="1" applyBorder="1" applyAlignment="1">
      <alignment horizontal="center" vertical="center"/>
    </xf>
    <xf numFmtId="0" fontId="78" fillId="0" borderId="53" xfId="0" applyFont="1" applyBorder="1" applyAlignment="1">
      <alignment vertical="center" wrapText="1"/>
    </xf>
    <xf numFmtId="3" fontId="78" fillId="0" borderId="53" xfId="0" applyNumberFormat="1" applyFont="1" applyBorder="1" applyAlignment="1">
      <alignment vertical="center"/>
    </xf>
    <xf numFmtId="3" fontId="78" fillId="0" borderId="53" xfId="0" applyNumberFormat="1" applyFont="1" applyBorder="1" applyAlignment="1">
      <alignment horizontal="center" vertical="center"/>
    </xf>
    <xf numFmtId="167" fontId="78" fillId="0" borderId="53" xfId="1" applyNumberFormat="1" applyFont="1" applyBorder="1" applyAlignment="1">
      <alignment horizontal="center" vertical="center"/>
    </xf>
    <xf numFmtId="0" fontId="78" fillId="0" borderId="54" xfId="0" applyFont="1" applyBorder="1" applyAlignment="1">
      <alignment vertical="center" wrapText="1"/>
    </xf>
    <xf numFmtId="0" fontId="89" fillId="6" borderId="52" xfId="0" applyFont="1" applyFill="1" applyBorder="1" applyAlignment="1">
      <alignment horizontal="center" vertical="center"/>
    </xf>
    <xf numFmtId="0" fontId="89" fillId="6" borderId="53" xfId="0" applyFont="1" applyFill="1" applyBorder="1" applyAlignment="1">
      <alignment vertical="center"/>
    </xf>
    <xf numFmtId="0" fontId="89" fillId="6" borderId="53" xfId="0" applyFont="1" applyFill="1" applyBorder="1" applyAlignment="1">
      <alignment horizontal="center" vertical="center"/>
    </xf>
    <xf numFmtId="0" fontId="89" fillId="6" borderId="54" xfId="0" applyFont="1" applyFill="1" applyBorder="1" applyAlignment="1">
      <alignment horizontal="center" vertical="center"/>
    </xf>
    <xf numFmtId="43" fontId="86" fillId="0" borderId="53" xfId="1" applyFont="1" applyFill="1" applyBorder="1" applyAlignment="1">
      <alignment horizontal="center" vertical="center"/>
    </xf>
    <xf numFmtId="0" fontId="91" fillId="0" borderId="54" xfId="0" applyFont="1" applyFill="1" applyBorder="1" applyAlignment="1">
      <alignment horizontal="left" vertical="center" wrapText="1"/>
    </xf>
    <xf numFmtId="0" fontId="90" fillId="0" borderId="54" xfId="0" applyFont="1" applyFill="1" applyBorder="1" applyAlignment="1">
      <alignment horizontal="center" vertical="center"/>
    </xf>
    <xf numFmtId="0" fontId="85" fillId="0" borderId="59" xfId="0" applyFont="1" applyFill="1" applyBorder="1" applyAlignment="1">
      <alignment horizontal="center" vertical="center"/>
    </xf>
    <xf numFmtId="0" fontId="85" fillId="0" borderId="58" xfId="0" applyFont="1" applyFill="1" applyBorder="1" applyAlignment="1">
      <alignment vertical="center"/>
    </xf>
    <xf numFmtId="0" fontId="85" fillId="0" borderId="58" xfId="0" applyFont="1" applyFill="1" applyBorder="1" applyAlignment="1">
      <alignment horizontal="center" vertical="center"/>
    </xf>
    <xf numFmtId="0" fontId="85" fillId="0" borderId="60" xfId="0" applyFont="1" applyFill="1" applyBorder="1" applyAlignment="1">
      <alignment horizontal="center" vertical="center"/>
    </xf>
    <xf numFmtId="0" fontId="85" fillId="0" borderId="0" xfId="0" applyFont="1" applyFill="1" applyAlignment="1">
      <alignment vertical="center"/>
    </xf>
    <xf numFmtId="0" fontId="85" fillId="0" borderId="55" xfId="0" applyFont="1" applyFill="1" applyBorder="1" applyAlignment="1">
      <alignment horizontal="center" vertical="center"/>
    </xf>
    <xf numFmtId="0" fontId="85" fillId="0" borderId="56" xfId="0" applyFont="1" applyFill="1" applyBorder="1" applyAlignment="1">
      <alignment vertical="center"/>
    </xf>
    <xf numFmtId="0" fontId="85" fillId="0" borderId="56" xfId="0" applyFont="1" applyFill="1" applyBorder="1" applyAlignment="1">
      <alignment horizontal="center" vertical="center"/>
    </xf>
    <xf numFmtId="0" fontId="85" fillId="0" borderId="57" xfId="0" applyFont="1" applyFill="1" applyBorder="1" applyAlignment="1">
      <alignment horizontal="center" vertical="center"/>
    </xf>
    <xf numFmtId="171" fontId="85" fillId="0" borderId="58" xfId="1" applyNumberFormat="1" applyFont="1" applyFill="1" applyBorder="1" applyAlignment="1">
      <alignment horizontal="center" vertical="center"/>
    </xf>
    <xf numFmtId="171" fontId="85" fillId="0" borderId="0" xfId="1" applyNumberFormat="1" applyFont="1" applyBorder="1" applyAlignment="1">
      <alignment horizontal="center" vertical="center"/>
    </xf>
    <xf numFmtId="171" fontId="85" fillId="0" borderId="50" xfId="1" applyNumberFormat="1" applyFont="1" applyBorder="1" applyAlignment="1">
      <alignment horizontal="center" vertical="center"/>
    </xf>
    <xf numFmtId="171" fontId="85" fillId="6" borderId="53" xfId="1" applyNumberFormat="1" applyFont="1" applyFill="1" applyBorder="1" applyAlignment="1">
      <alignment horizontal="center" vertical="center"/>
    </xf>
    <xf numFmtId="171" fontId="87" fillId="0" borderId="53" xfId="1" applyNumberFormat="1" applyFont="1" applyFill="1" applyBorder="1" applyAlignment="1">
      <alignment horizontal="center" vertical="center"/>
    </xf>
    <xf numFmtId="171" fontId="86" fillId="0" borderId="53" xfId="1" applyNumberFormat="1" applyFont="1" applyFill="1" applyBorder="1" applyAlignment="1">
      <alignment horizontal="center" vertical="center"/>
    </xf>
    <xf numFmtId="171" fontId="88" fillId="0" borderId="53" xfId="1" applyNumberFormat="1" applyFont="1" applyFill="1" applyBorder="1" applyAlignment="1">
      <alignment horizontal="center" vertical="center"/>
    </xf>
    <xf numFmtId="171" fontId="89" fillId="0" borderId="53" xfId="1" applyNumberFormat="1" applyFont="1" applyFill="1" applyBorder="1" applyAlignment="1">
      <alignment horizontal="center" vertical="center"/>
    </xf>
    <xf numFmtId="171" fontId="79" fillId="0" borderId="53" xfId="1" applyNumberFormat="1" applyFont="1" applyBorder="1" applyAlignment="1">
      <alignment vertical="center"/>
    </xf>
    <xf numFmtId="171" fontId="78" fillId="0" borderId="53" xfId="1" applyNumberFormat="1" applyFont="1" applyBorder="1" applyAlignment="1">
      <alignment vertical="center"/>
    </xf>
    <xf numFmtId="171" fontId="89" fillId="6" borderId="53" xfId="1" applyNumberFormat="1" applyFont="1" applyFill="1" applyBorder="1" applyAlignment="1">
      <alignment horizontal="center" vertical="center"/>
    </xf>
    <xf numFmtId="171" fontId="85" fillId="0" borderId="56" xfId="1" applyNumberFormat="1" applyFont="1" applyFill="1" applyBorder="1" applyAlignment="1">
      <alignment horizontal="center" vertical="center"/>
    </xf>
    <xf numFmtId="171" fontId="86" fillId="0" borderId="0" xfId="1" applyNumberFormat="1" applyFont="1" applyFill="1" applyAlignment="1">
      <alignment horizontal="center" vertical="center"/>
    </xf>
    <xf numFmtId="171" fontId="86" fillId="0" borderId="0" xfId="1" applyNumberFormat="1" applyFont="1" applyAlignment="1">
      <alignment horizontal="center" vertical="center"/>
    </xf>
    <xf numFmtId="0" fontId="85" fillId="0" borderId="0" xfId="0" applyFont="1" applyBorder="1" applyAlignment="1">
      <alignment horizontal="center" vertical="center"/>
    </xf>
    <xf numFmtId="0" fontId="85" fillId="0" borderId="50" xfId="0" applyFont="1" applyBorder="1" applyAlignment="1">
      <alignment horizontal="center" vertical="center"/>
    </xf>
    <xf numFmtId="0" fontId="95" fillId="0" borderId="1" xfId="0" applyFont="1" applyFill="1" applyBorder="1" applyAlignment="1">
      <alignment vertical="center" wrapText="1"/>
    </xf>
    <xf numFmtId="0" fontId="3" fillId="0" borderId="0" xfId="0" applyFont="1" applyBorder="1" applyAlignment="1">
      <alignment horizontal="center" vertical="center" wrapText="1"/>
    </xf>
    <xf numFmtId="0" fontId="93" fillId="0" borderId="0" xfId="0" applyFont="1" applyBorder="1" applyAlignment="1">
      <alignment horizontal="center" vertical="center" wrapText="1"/>
    </xf>
    <xf numFmtId="0" fontId="3" fillId="0" borderId="0" xfId="0" applyFont="1" applyAlignment="1">
      <alignment horizontal="center" vertical="center" wrapText="1"/>
    </xf>
    <xf numFmtId="0" fontId="93"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2" fillId="0" borderId="1" xfId="0" applyFont="1" applyFill="1" applyBorder="1" applyAlignment="1">
      <alignment horizontal="center" vertical="center" wrapText="1"/>
    </xf>
    <xf numFmtId="43" fontId="2" fillId="0" borderId="1" xfId="1" applyFont="1" applyFill="1" applyBorder="1" applyAlignment="1">
      <alignment horizontal="center" vertical="center" wrapText="1"/>
    </xf>
    <xf numFmtId="0" fontId="94"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96" fillId="0" borderId="1" xfId="0" applyFont="1" applyFill="1" applyBorder="1" applyAlignment="1">
      <alignment horizontal="center" vertical="center" wrapText="1"/>
    </xf>
    <xf numFmtId="0" fontId="2" fillId="0" borderId="0" xfId="0" applyFont="1" applyAlignment="1">
      <alignment vertical="center" wrapText="1"/>
    </xf>
    <xf numFmtId="0" fontId="4"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95" fillId="0" borderId="0" xfId="0" applyFont="1" applyFill="1" applyAlignment="1">
      <alignment horizontal="center" vertical="center" wrapText="1"/>
    </xf>
    <xf numFmtId="0" fontId="2" fillId="0" borderId="0" xfId="0" applyFont="1" applyAlignment="1">
      <alignment horizontal="center" vertical="center" wrapText="1"/>
    </xf>
    <xf numFmtId="0" fontId="95" fillId="0" borderId="0" xfId="0" applyFont="1" applyAlignment="1">
      <alignment horizontal="center" vertical="center" wrapText="1"/>
    </xf>
    <xf numFmtId="0" fontId="97" fillId="0" borderId="1" xfId="0" applyFont="1" applyFill="1" applyBorder="1" applyAlignment="1">
      <alignment horizontal="center" vertical="center" wrapText="1"/>
    </xf>
    <xf numFmtId="0" fontId="98" fillId="0" borderId="1"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95" fillId="7" borderId="1" xfId="0" applyFont="1" applyFill="1" applyBorder="1" applyAlignment="1">
      <alignment horizontal="center" vertical="center" wrapText="1"/>
    </xf>
    <xf numFmtId="0" fontId="97"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0" fontId="100" fillId="0" borderId="1" xfId="0" applyFont="1" applyBorder="1" applyAlignment="1">
      <alignment horizontal="center" vertical="center"/>
    </xf>
    <xf numFmtId="0" fontId="99" fillId="0" borderId="1" xfId="0" applyFont="1" applyBorder="1" applyAlignment="1">
      <alignment horizontal="center" vertical="center"/>
    </xf>
    <xf numFmtId="0" fontId="100" fillId="0" borderId="1" xfId="0" applyFont="1" applyBorder="1" applyAlignment="1">
      <alignment horizontal="left" vertical="center" wrapText="1"/>
    </xf>
    <xf numFmtId="0" fontId="99" fillId="0" borderId="1" xfId="0" applyFont="1" applyBorder="1" applyAlignment="1">
      <alignment vertical="center" wrapText="1"/>
    </xf>
    <xf numFmtId="3" fontId="99" fillId="0" borderId="1" xfId="0" applyNumberFormat="1" applyFont="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9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100" fillId="0" borderId="1" xfId="0" applyFont="1" applyBorder="1" applyAlignment="1">
      <alignment vertical="center" wrapText="1"/>
    </xf>
    <xf numFmtId="0" fontId="85" fillId="0" borderId="62" xfId="0" applyFont="1" applyBorder="1" applyAlignment="1">
      <alignment horizontal="center" vertical="center"/>
    </xf>
    <xf numFmtId="0" fontId="85" fillId="6" borderId="63" xfId="0" applyFont="1" applyFill="1" applyBorder="1" applyAlignment="1">
      <alignment horizontal="center" vertical="center"/>
    </xf>
    <xf numFmtId="0" fontId="87" fillId="0" borderId="63" xfId="0" applyFont="1" applyFill="1" applyBorder="1" applyAlignment="1">
      <alignment horizontal="center" vertical="center"/>
    </xf>
    <xf numFmtId="0" fontId="86" fillId="0" borderId="63" xfId="0" applyFont="1" applyFill="1" applyBorder="1" applyAlignment="1">
      <alignment horizontal="center" vertical="center"/>
    </xf>
    <xf numFmtId="0" fontId="89" fillId="0" borderId="63" xfId="0" applyFont="1" applyFill="1" applyBorder="1" applyAlignment="1">
      <alignment horizontal="center" vertical="center"/>
    </xf>
    <xf numFmtId="0" fontId="79" fillId="0" borderId="63" xfId="0" applyFont="1" applyBorder="1" applyAlignment="1">
      <alignment horizontal="center" vertical="center"/>
    </xf>
    <xf numFmtId="0" fontId="78" fillId="0" borderId="63" xfId="0" applyFont="1" applyBorder="1" applyAlignment="1">
      <alignment horizontal="center" vertical="center"/>
    </xf>
    <xf numFmtId="0" fontId="89" fillId="6" borderId="63" xfId="0" applyFont="1" applyFill="1" applyBorder="1" applyAlignment="1">
      <alignment horizontal="center" vertical="center"/>
    </xf>
    <xf numFmtId="0" fontId="85" fillId="0" borderId="64" xfId="0" applyFont="1" applyFill="1" applyBorder="1" applyAlignment="1">
      <alignment horizontal="center" vertical="center"/>
    </xf>
    <xf numFmtId="0" fontId="85" fillId="0" borderId="65" xfId="0" applyFont="1" applyFill="1" applyBorder="1" applyAlignment="1">
      <alignment horizontal="center" vertical="center"/>
    </xf>
    <xf numFmtId="0" fontId="103" fillId="0" borderId="1" xfId="0" applyFont="1" applyFill="1" applyBorder="1" applyAlignment="1">
      <alignment horizontal="center" vertical="center" wrapText="1"/>
    </xf>
    <xf numFmtId="3" fontId="15" fillId="0" borderId="61" xfId="0" applyNumberFormat="1" applyFont="1" applyFill="1" applyBorder="1" applyAlignment="1">
      <alignment horizontal="right" vertical="center"/>
    </xf>
    <xf numFmtId="3" fontId="12" fillId="0" borderId="0" xfId="0" applyNumberFormat="1" applyFont="1" applyFill="1" applyBorder="1" applyAlignment="1">
      <alignment horizontal="right" vertical="center"/>
    </xf>
    <xf numFmtId="0" fontId="47" fillId="0" borderId="0" xfId="0" applyFont="1" applyFill="1" applyBorder="1" applyAlignment="1">
      <alignment horizontal="right" vertical="center"/>
    </xf>
    <xf numFmtId="0" fontId="50" fillId="0" borderId="0" xfId="0" applyFont="1" applyFill="1" applyBorder="1" applyAlignment="1">
      <alignment vertical="center"/>
    </xf>
    <xf numFmtId="0" fontId="104" fillId="0" borderId="0" xfId="0" applyFont="1" applyFill="1" applyBorder="1" applyAlignment="1">
      <alignment vertical="center"/>
    </xf>
    <xf numFmtId="3" fontId="15" fillId="0" borderId="0" xfId="0" applyNumberFormat="1" applyFont="1" applyFill="1" applyBorder="1" applyAlignment="1">
      <alignment horizontal="right" vertical="center"/>
    </xf>
    <xf numFmtId="0" fontId="47" fillId="0" borderId="0" xfId="0" applyFont="1" applyFill="1" applyBorder="1" applyAlignment="1">
      <alignment vertical="center"/>
    </xf>
    <xf numFmtId="1" fontId="12" fillId="0" borderId="70" xfId="0" applyNumberFormat="1" applyFont="1" applyFill="1" applyBorder="1" applyAlignment="1">
      <alignment horizontal="center" vertical="center"/>
    </xf>
    <xf numFmtId="3" fontId="50" fillId="0" borderId="1" xfId="0" applyNumberFormat="1" applyFont="1" applyFill="1" applyBorder="1" applyAlignment="1">
      <alignment horizontal="center" vertical="center"/>
    </xf>
    <xf numFmtId="3" fontId="12" fillId="0" borderId="1" xfId="0" applyNumberFormat="1" applyFont="1" applyFill="1" applyBorder="1" applyAlignment="1">
      <alignment horizontal="center" vertical="center"/>
    </xf>
    <xf numFmtId="3" fontId="12" fillId="0" borderId="1" xfId="0" applyNumberFormat="1" applyFont="1" applyFill="1" applyBorder="1" applyAlignment="1">
      <alignment horizontal="center" vertical="center" wrapText="1"/>
    </xf>
    <xf numFmtId="3" fontId="12" fillId="0" borderId="1" xfId="0" applyNumberFormat="1" applyFont="1" applyFill="1" applyBorder="1" applyAlignment="1">
      <alignment horizontal="right" vertical="center" wrapText="1"/>
    </xf>
    <xf numFmtId="3" fontId="105" fillId="0" borderId="71" xfId="0" applyNumberFormat="1" applyFont="1" applyFill="1" applyBorder="1" applyAlignment="1">
      <alignment horizontal="center" vertical="center"/>
    </xf>
    <xf numFmtId="1" fontId="12" fillId="8" borderId="70" xfId="0" applyNumberFormat="1" applyFont="1" applyFill="1" applyBorder="1" applyAlignment="1">
      <alignment horizontal="center" vertical="center" wrapText="1"/>
    </xf>
    <xf numFmtId="3" fontId="12" fillId="0" borderId="0" xfId="0" applyNumberFormat="1" applyFont="1" applyFill="1" applyBorder="1" applyAlignment="1">
      <alignment horizontal="right" vertical="center" wrapText="1"/>
    </xf>
    <xf numFmtId="0" fontId="47" fillId="0" borderId="0" xfId="0" applyFont="1" applyFill="1" applyBorder="1" applyAlignment="1">
      <alignment vertical="center" wrapText="1"/>
    </xf>
    <xf numFmtId="1" fontId="15" fillId="0" borderId="70" xfId="0" applyNumberFormat="1" applyFont="1" applyFill="1" applyBorder="1" applyAlignment="1">
      <alignment horizontal="center" vertical="center" wrapText="1"/>
    </xf>
    <xf numFmtId="3" fontId="106" fillId="0" borderId="1" xfId="13" applyNumberFormat="1" applyFont="1" applyFill="1" applyBorder="1" applyAlignment="1">
      <alignment vertical="center" wrapText="1"/>
    </xf>
    <xf numFmtId="3" fontId="106" fillId="0" borderId="1" xfId="0" applyNumberFormat="1" applyFont="1" applyFill="1" applyBorder="1" applyAlignment="1">
      <alignment horizontal="center" vertical="center" wrapText="1"/>
    </xf>
    <xf numFmtId="3" fontId="107" fillId="0" borderId="1" xfId="0" applyNumberFormat="1" applyFont="1" applyFill="1" applyBorder="1" applyAlignment="1">
      <alignment horizontal="right" vertical="center" wrapText="1"/>
    </xf>
    <xf numFmtId="3" fontId="108" fillId="0" borderId="71" xfId="0" applyNumberFormat="1" applyFont="1" applyFill="1" applyBorder="1" applyAlignment="1">
      <alignment horizontal="center" vertical="center" wrapText="1"/>
    </xf>
    <xf numFmtId="3" fontId="15" fillId="0" borderId="0" xfId="0" applyNumberFormat="1" applyFont="1" applyFill="1" applyBorder="1" applyAlignment="1">
      <alignment horizontal="right" vertical="center" wrapText="1"/>
    </xf>
    <xf numFmtId="3" fontId="47" fillId="0" borderId="0" xfId="0" applyNumberFormat="1" applyFont="1" applyFill="1" applyBorder="1" applyAlignment="1">
      <alignment vertical="center" wrapText="1"/>
    </xf>
    <xf numFmtId="3" fontId="15" fillId="0" borderId="1" xfId="0" applyNumberFormat="1" applyFont="1" applyFill="1" applyBorder="1" applyAlignment="1">
      <alignment vertical="center" wrapText="1"/>
    </xf>
    <xf numFmtId="3" fontId="15" fillId="0" borderId="1" xfId="0" applyNumberFormat="1" applyFont="1" applyFill="1" applyBorder="1" applyAlignment="1">
      <alignment horizontal="center" vertical="center" wrapText="1"/>
    </xf>
    <xf numFmtId="172" fontId="15" fillId="0" borderId="0" xfId="0" applyNumberFormat="1" applyFont="1" applyFill="1" applyBorder="1" applyAlignment="1">
      <alignment horizontal="right" vertical="center" wrapText="1"/>
    </xf>
    <xf numFmtId="3" fontId="15" fillId="0" borderId="1" xfId="0" applyNumberFormat="1" applyFont="1" applyFill="1" applyBorder="1" applyAlignment="1">
      <alignment horizontal="left" vertical="center" wrapText="1"/>
    </xf>
    <xf numFmtId="3" fontId="12" fillId="0" borderId="0" xfId="13" applyNumberFormat="1" applyFont="1" applyFill="1" applyBorder="1" applyAlignment="1">
      <alignment horizontal="right" vertical="center" wrapText="1"/>
    </xf>
    <xf numFmtId="3" fontId="106" fillId="0" borderId="1" xfId="0" applyNumberFormat="1" applyFont="1" applyFill="1" applyBorder="1" applyAlignment="1">
      <alignment vertical="center" wrapText="1"/>
    </xf>
    <xf numFmtId="3" fontId="110" fillId="0" borderId="71" xfId="0" applyNumberFormat="1" applyFont="1" applyFill="1" applyBorder="1" applyAlignment="1">
      <alignment horizontal="center" vertical="center" wrapText="1"/>
    </xf>
    <xf numFmtId="3" fontId="111" fillId="0" borderId="0" xfId="0" applyNumberFormat="1" applyFont="1" applyFill="1" applyBorder="1" applyAlignment="1">
      <alignment vertical="center" wrapText="1"/>
    </xf>
    <xf numFmtId="0" fontId="111" fillId="0" borderId="0" xfId="0" applyFont="1" applyFill="1" applyBorder="1" applyAlignment="1">
      <alignment vertical="center" wrapText="1"/>
    </xf>
    <xf numFmtId="1" fontId="112" fillId="9" borderId="70" xfId="0" applyNumberFormat="1" applyFont="1" applyFill="1" applyBorder="1" applyAlignment="1">
      <alignment horizontal="center" vertical="center" wrapText="1"/>
    </xf>
    <xf numFmtId="3" fontId="112" fillId="9" borderId="1" xfId="0" applyNumberFormat="1" applyFont="1" applyFill="1" applyBorder="1" applyAlignment="1">
      <alignment horizontal="left" vertical="center" wrapText="1"/>
    </xf>
    <xf numFmtId="3" fontId="12" fillId="9" borderId="1" xfId="0" applyNumberFormat="1" applyFont="1" applyFill="1" applyBorder="1" applyAlignment="1">
      <alignment horizontal="center" vertical="center" wrapText="1"/>
    </xf>
    <xf numFmtId="3" fontId="50" fillId="9" borderId="1" xfId="0" applyNumberFormat="1" applyFont="1" applyFill="1" applyBorder="1" applyAlignment="1">
      <alignment horizontal="right" vertical="center" wrapText="1"/>
    </xf>
    <xf numFmtId="3" fontId="105" fillId="9" borderId="71" xfId="0" applyNumberFormat="1" applyFont="1" applyFill="1" applyBorder="1" applyAlignment="1">
      <alignment horizontal="center" vertical="center" wrapText="1"/>
    </xf>
    <xf numFmtId="3" fontId="106" fillId="0" borderId="1" xfId="0" applyNumberFormat="1" applyFont="1" applyFill="1" applyBorder="1" applyAlignment="1">
      <alignment horizontal="left" vertical="center" wrapText="1"/>
    </xf>
    <xf numFmtId="3" fontId="50" fillId="0" borderId="0" xfId="0" applyNumberFormat="1" applyFont="1" applyFill="1" applyBorder="1" applyAlignment="1">
      <alignment vertical="center" wrapText="1"/>
    </xf>
    <xf numFmtId="3" fontId="113" fillId="0" borderId="0" xfId="0" applyNumberFormat="1" applyFont="1" applyFill="1" applyBorder="1" applyAlignment="1">
      <alignment vertical="center" wrapText="1"/>
    </xf>
    <xf numFmtId="3" fontId="109" fillId="0" borderId="71" xfId="0" applyNumberFormat="1" applyFont="1" applyFill="1" applyBorder="1" applyAlignment="1">
      <alignment vertical="center" wrapText="1"/>
    </xf>
    <xf numFmtId="3" fontId="109" fillId="0" borderId="71" xfId="0" applyNumberFormat="1" applyFont="1" applyFill="1" applyBorder="1" applyAlignment="1">
      <alignment horizontal="center" vertical="center" wrapText="1"/>
    </xf>
    <xf numFmtId="3" fontId="112" fillId="9" borderId="1" xfId="0" applyNumberFormat="1" applyFont="1" applyFill="1" applyBorder="1" applyAlignment="1">
      <alignment vertical="center" wrapText="1"/>
    </xf>
    <xf numFmtId="3" fontId="12" fillId="9" borderId="1" xfId="0" applyNumberFormat="1" applyFont="1" applyFill="1" applyBorder="1" applyAlignment="1">
      <alignment vertical="center" wrapText="1"/>
    </xf>
    <xf numFmtId="3" fontId="105" fillId="9" borderId="71" xfId="0" applyNumberFormat="1" applyFont="1" applyFill="1" applyBorder="1" applyAlignment="1">
      <alignment vertical="center" wrapText="1"/>
    </xf>
    <xf numFmtId="0" fontId="114" fillId="0" borderId="0" xfId="0" applyFont="1" applyFill="1" applyBorder="1" applyAlignment="1">
      <alignment vertical="center" wrapText="1"/>
    </xf>
    <xf numFmtId="1" fontId="12" fillId="0" borderId="70" xfId="0" applyNumberFormat="1" applyFont="1" applyFill="1" applyBorder="1" applyAlignment="1">
      <alignment horizontal="center" vertical="center" wrapText="1"/>
    </xf>
    <xf numFmtId="3" fontId="12" fillId="0" borderId="1" xfId="0" applyNumberFormat="1" applyFont="1" applyFill="1" applyBorder="1" applyAlignment="1">
      <alignment vertical="center" wrapText="1"/>
    </xf>
    <xf numFmtId="3" fontId="50" fillId="0" borderId="1" xfId="0" applyNumberFormat="1" applyFont="1" applyFill="1" applyBorder="1" applyAlignment="1">
      <alignment horizontal="right" vertical="center" wrapText="1"/>
    </xf>
    <xf numFmtId="0" fontId="117" fillId="0" borderId="0" xfId="0" applyFont="1" applyFill="1" applyBorder="1" applyAlignment="1">
      <alignment vertical="center" wrapText="1"/>
    </xf>
    <xf numFmtId="3" fontId="105" fillId="0" borderId="71" xfId="0" applyNumberFormat="1" applyFont="1" applyFill="1" applyBorder="1" applyAlignment="1">
      <alignment horizontal="center" vertical="center" wrapText="1"/>
    </xf>
    <xf numFmtId="0" fontId="112" fillId="0" borderId="0" xfId="0" applyFont="1" applyFill="1" applyBorder="1" applyAlignment="1">
      <alignment vertical="center" wrapText="1"/>
    </xf>
    <xf numFmtId="3" fontId="50" fillId="0" borderId="0" xfId="0" applyNumberFormat="1" applyFont="1" applyFill="1" applyBorder="1" applyAlignment="1">
      <alignment horizontal="right" vertical="center" wrapText="1"/>
    </xf>
    <xf numFmtId="3" fontId="118" fillId="0" borderId="1" xfId="0" applyNumberFormat="1" applyFont="1" applyFill="1" applyBorder="1" applyAlignment="1">
      <alignment horizontal="left" vertical="center" wrapText="1"/>
    </xf>
    <xf numFmtId="3" fontId="118" fillId="0" borderId="1" xfId="0" applyNumberFormat="1" applyFont="1" applyFill="1" applyBorder="1" applyAlignment="1">
      <alignment vertical="center" wrapText="1"/>
    </xf>
    <xf numFmtId="0" fontId="50" fillId="0" borderId="0" xfId="0" applyFont="1" applyFill="1" applyBorder="1" applyAlignment="1">
      <alignment vertical="center" wrapText="1"/>
    </xf>
    <xf numFmtId="3" fontId="47" fillId="0" borderId="0" xfId="0" applyNumberFormat="1" applyFont="1" applyFill="1" applyBorder="1" applyAlignment="1">
      <alignment horizontal="right" vertical="center" wrapText="1"/>
    </xf>
    <xf numFmtId="3" fontId="114" fillId="0" borderId="1" xfId="0" applyNumberFormat="1" applyFont="1" applyFill="1" applyBorder="1" applyAlignment="1">
      <alignment vertical="center" wrapText="1"/>
    </xf>
    <xf numFmtId="3" fontId="122" fillId="0" borderId="1" xfId="0" applyNumberFormat="1" applyFont="1" applyFill="1" applyBorder="1" applyAlignment="1">
      <alignment vertical="center" wrapText="1"/>
    </xf>
    <xf numFmtId="0" fontId="114" fillId="0" borderId="1" xfId="0" applyNumberFormat="1" applyFont="1" applyFill="1" applyBorder="1" applyAlignment="1">
      <alignment horizontal="center" vertical="center" wrapText="1"/>
    </xf>
    <xf numFmtId="0" fontId="123" fillId="0" borderId="1" xfId="0" applyNumberFormat="1" applyFont="1" applyFill="1" applyBorder="1" applyAlignment="1">
      <alignment horizontal="center" vertical="center" wrapText="1"/>
    </xf>
    <xf numFmtId="0" fontId="118" fillId="0" borderId="1" xfId="0" applyNumberFormat="1" applyFont="1" applyFill="1" applyBorder="1" applyAlignment="1">
      <alignment horizontal="center" vertical="center" wrapText="1"/>
    </xf>
    <xf numFmtId="0" fontId="109" fillId="0" borderId="1" xfId="0" applyNumberFormat="1" applyFont="1" applyFill="1" applyBorder="1" applyAlignment="1">
      <alignment horizontal="center" vertical="center" wrapText="1"/>
    </xf>
    <xf numFmtId="0" fontId="108" fillId="0" borderId="1" xfId="0" applyNumberFormat="1" applyFont="1" applyFill="1" applyBorder="1" applyAlignment="1">
      <alignment horizontal="center" vertical="center" wrapText="1"/>
    </xf>
    <xf numFmtId="3" fontId="15" fillId="9" borderId="1" xfId="0" applyNumberFormat="1" applyFont="1" applyFill="1" applyBorder="1" applyAlignment="1">
      <alignment horizontal="center" vertical="center" wrapText="1"/>
    </xf>
    <xf numFmtId="3" fontId="109" fillId="9" borderId="71" xfId="0" applyNumberFormat="1" applyFont="1" applyFill="1" applyBorder="1" applyAlignment="1">
      <alignment horizontal="center" vertical="center" wrapText="1"/>
    </xf>
    <xf numFmtId="3" fontId="107" fillId="0" borderId="0" xfId="0" applyNumberFormat="1" applyFont="1" applyFill="1" applyBorder="1" applyAlignment="1">
      <alignment horizontal="right" vertical="center" wrapText="1"/>
    </xf>
    <xf numFmtId="3" fontId="12" fillId="0" borderId="1" xfId="0" applyNumberFormat="1" applyFont="1" applyFill="1" applyBorder="1" applyAlignment="1">
      <alignment horizontal="left" vertical="center" wrapText="1"/>
    </xf>
    <xf numFmtId="3" fontId="50" fillId="0" borderId="1" xfId="0" applyNumberFormat="1" applyFont="1" applyFill="1" applyBorder="1" applyAlignment="1">
      <alignment horizontal="left" vertical="center" wrapText="1"/>
    </xf>
    <xf numFmtId="3" fontId="45" fillId="0" borderId="0" xfId="0" applyNumberFormat="1" applyFont="1" applyFill="1" applyBorder="1" applyAlignment="1">
      <alignment vertical="center"/>
    </xf>
    <xf numFmtId="3" fontId="124" fillId="0" borderId="1" xfId="0" applyNumberFormat="1" applyFont="1" applyFill="1" applyBorder="1" applyAlignment="1">
      <alignment horizontal="left" vertical="center" wrapText="1"/>
    </xf>
    <xf numFmtId="1" fontId="112" fillId="0" borderId="70" xfId="0" applyNumberFormat="1" applyFont="1" applyFill="1" applyBorder="1" applyAlignment="1">
      <alignment horizontal="center" vertical="center" wrapText="1"/>
    </xf>
    <xf numFmtId="3" fontId="114" fillId="0" borderId="1" xfId="0" applyNumberFormat="1" applyFont="1" applyFill="1" applyBorder="1" applyAlignment="1">
      <alignment horizontal="center" vertical="center" wrapText="1"/>
    </xf>
    <xf numFmtId="3" fontId="50" fillId="9" borderId="71" xfId="0" applyNumberFormat="1" applyFont="1" applyFill="1" applyBorder="1" applyAlignment="1">
      <alignment horizontal="right" vertical="center" wrapText="1"/>
    </xf>
    <xf numFmtId="3" fontId="106" fillId="10" borderId="0" xfId="0" applyNumberFormat="1" applyFont="1" applyFill="1" applyBorder="1" applyAlignment="1">
      <alignment horizontal="right" vertical="center" wrapText="1"/>
    </xf>
    <xf numFmtId="3" fontId="106" fillId="0" borderId="0" xfId="0" applyNumberFormat="1" applyFont="1" applyFill="1" applyBorder="1" applyAlignment="1">
      <alignment horizontal="right" vertical="center" wrapText="1"/>
    </xf>
    <xf numFmtId="3" fontId="107" fillId="0" borderId="1" xfId="0" applyNumberFormat="1" applyFont="1" applyFill="1" applyBorder="1" applyAlignment="1">
      <alignment horizontal="right" wrapText="1"/>
    </xf>
    <xf numFmtId="3" fontId="125" fillId="0" borderId="0" xfId="0" applyNumberFormat="1" applyFont="1" applyFill="1" applyBorder="1" applyAlignment="1">
      <alignment horizontal="right" vertical="center" wrapText="1"/>
    </xf>
    <xf numFmtId="0" fontId="47" fillId="0" borderId="0" xfId="0" applyFont="1" applyFill="1" applyBorder="1" applyAlignment="1">
      <alignment horizontal="left" vertical="center" wrapText="1"/>
    </xf>
    <xf numFmtId="0" fontId="114" fillId="0" borderId="0" xfId="0" applyFont="1" applyFill="1" applyBorder="1" applyAlignment="1">
      <alignment horizontal="left" vertical="center" wrapText="1"/>
    </xf>
    <xf numFmtId="0" fontId="112" fillId="9" borderId="1" xfId="0" applyFont="1" applyFill="1" applyBorder="1" applyAlignment="1">
      <alignment horizontal="left" vertical="center" wrapText="1"/>
    </xf>
    <xf numFmtId="0" fontId="12" fillId="9" borderId="1" xfId="0" applyFont="1" applyFill="1" applyBorder="1" applyAlignment="1">
      <alignment vertical="center" wrapText="1"/>
    </xf>
    <xf numFmtId="0" fontId="12" fillId="9" borderId="1" xfId="0" applyFont="1" applyFill="1" applyBorder="1" applyAlignment="1">
      <alignment horizontal="center" vertical="center" wrapText="1"/>
    </xf>
    <xf numFmtId="3" fontId="12" fillId="9" borderId="1" xfId="0" applyNumberFormat="1" applyFont="1" applyFill="1" applyBorder="1" applyAlignment="1">
      <alignment horizontal="right" vertical="center" wrapText="1"/>
    </xf>
    <xf numFmtId="0" fontId="112" fillId="0" borderId="0" xfId="0" applyFont="1" applyFill="1" applyBorder="1" applyAlignment="1">
      <alignment horizontal="left" vertical="center" wrapText="1"/>
    </xf>
    <xf numFmtId="0" fontId="118"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123" fillId="0" borderId="1" xfId="0" applyFont="1" applyFill="1" applyBorder="1" applyAlignment="1">
      <alignment horizontal="center" vertical="center" wrapText="1"/>
    </xf>
    <xf numFmtId="0" fontId="126" fillId="0" borderId="1" xfId="0" applyFont="1" applyFill="1" applyBorder="1" applyAlignment="1">
      <alignment horizontal="center" vertical="center" wrapText="1"/>
    </xf>
    <xf numFmtId="0" fontId="112" fillId="9" borderId="70" xfId="0" applyFont="1" applyFill="1" applyBorder="1" applyAlignment="1">
      <alignment horizontal="center" vertical="center" wrapText="1"/>
    </xf>
    <xf numFmtId="0" fontId="127" fillId="0" borderId="0" xfId="0" applyFont="1" applyFill="1" applyAlignment="1">
      <alignment vertical="center"/>
    </xf>
    <xf numFmtId="0" fontId="127" fillId="0" borderId="0" xfId="0" applyFont="1" applyAlignment="1">
      <alignment vertical="center"/>
    </xf>
    <xf numFmtId="0" fontId="15" fillId="0" borderId="1" xfId="0" applyFont="1" applyFill="1" applyBorder="1" applyAlignment="1">
      <alignment horizontal="center" vertical="center"/>
    </xf>
    <xf numFmtId="3" fontId="12" fillId="0" borderId="1" xfId="0" applyNumberFormat="1" applyFont="1" applyFill="1" applyBorder="1" applyAlignment="1">
      <alignment horizontal="right" vertical="center"/>
    </xf>
    <xf numFmtId="3" fontId="128" fillId="0" borderId="63" xfId="0" applyNumberFormat="1" applyFont="1" applyFill="1" applyBorder="1" applyAlignment="1">
      <alignment horizontal="right" vertical="center"/>
    </xf>
    <xf numFmtId="3" fontId="128" fillId="0" borderId="0" xfId="0" applyNumberFormat="1" applyFont="1" applyFill="1" applyBorder="1" applyAlignment="1">
      <alignment horizontal="right" vertical="center"/>
    </xf>
    <xf numFmtId="0" fontId="15" fillId="0" borderId="1" xfId="0" applyFont="1" applyFill="1" applyBorder="1" applyAlignment="1">
      <alignment horizontal="center"/>
    </xf>
    <xf numFmtId="167" fontId="15" fillId="0" borderId="0" xfId="1" applyNumberFormat="1" applyFont="1" applyFill="1" applyBorder="1" applyAlignment="1">
      <alignment horizontal="right" wrapText="1"/>
    </xf>
    <xf numFmtId="167" fontId="47" fillId="0" borderId="0" xfId="1" applyNumberFormat="1" applyFont="1" applyFill="1" applyBorder="1" applyAlignment="1">
      <alignment wrapText="1"/>
    </xf>
    <xf numFmtId="0" fontId="114" fillId="0" borderId="0" xfId="0" applyFont="1" applyFill="1" applyBorder="1" applyAlignment="1">
      <alignment wrapText="1"/>
    </xf>
    <xf numFmtId="0" fontId="112" fillId="9" borderId="70" xfId="0" applyFont="1" applyFill="1" applyBorder="1" applyAlignment="1">
      <alignment horizontal="center" vertical="center"/>
    </xf>
    <xf numFmtId="3" fontId="47" fillId="0" borderId="0" xfId="0" applyNumberFormat="1" applyFont="1" applyFill="1" applyBorder="1" applyAlignment="1">
      <alignment wrapText="1"/>
    </xf>
    <xf numFmtId="0" fontId="47" fillId="0" borderId="0" xfId="0" applyFont="1" applyFill="1" applyBorder="1" applyAlignment="1">
      <alignment wrapText="1"/>
    </xf>
    <xf numFmtId="0" fontId="123" fillId="0" borderId="1" xfId="0" applyFont="1" applyFill="1" applyBorder="1" applyAlignment="1">
      <alignment horizontal="left" vertical="center" wrapText="1"/>
    </xf>
    <xf numFmtId="0" fontId="12" fillId="9" borderId="1" xfId="0" applyFont="1" applyFill="1" applyBorder="1" applyAlignment="1">
      <alignment horizontal="center" vertical="center"/>
    </xf>
    <xf numFmtId="1" fontId="12" fillId="9" borderId="1" xfId="0" applyNumberFormat="1" applyFont="1" applyFill="1" applyBorder="1" applyAlignment="1">
      <alignment horizontal="center" vertical="center" wrapText="1"/>
    </xf>
    <xf numFmtId="0" fontId="12" fillId="9" borderId="1" xfId="0" applyFont="1" applyFill="1" applyBorder="1" applyAlignment="1">
      <alignment horizontal="left" vertical="center" wrapText="1"/>
    </xf>
    <xf numFmtId="3" fontId="110" fillId="9" borderId="71" xfId="0" applyNumberFormat="1" applyFont="1" applyFill="1" applyBorder="1" applyAlignment="1">
      <alignment vertical="center" wrapText="1"/>
    </xf>
    <xf numFmtId="3" fontId="12" fillId="0" borderId="1" xfId="1" applyNumberFormat="1" applyFont="1" applyFill="1" applyBorder="1" applyAlignment="1">
      <alignment horizontal="right" vertical="center" wrapText="1"/>
    </xf>
    <xf numFmtId="3" fontId="15" fillId="10" borderId="0" xfId="0" applyNumberFormat="1" applyFont="1" applyFill="1" applyBorder="1" applyAlignment="1">
      <alignment horizontal="right" vertical="center" wrapText="1"/>
    </xf>
    <xf numFmtId="0" fontId="112" fillId="9" borderId="1" xfId="0" applyFont="1" applyFill="1" applyBorder="1" applyAlignment="1">
      <alignment vertical="center"/>
    </xf>
    <xf numFmtId="0" fontId="15" fillId="9" borderId="1" xfId="0" applyFont="1" applyFill="1" applyBorder="1" applyAlignment="1">
      <alignment horizontal="center" vertical="center"/>
    </xf>
    <xf numFmtId="3" fontId="50" fillId="9" borderId="1" xfId="0" applyNumberFormat="1" applyFont="1" applyFill="1" applyBorder="1" applyAlignment="1">
      <alignment horizontal="right" vertical="center"/>
    </xf>
    <xf numFmtId="0" fontId="15" fillId="0" borderId="1" xfId="0" applyFont="1" applyFill="1" applyBorder="1" applyAlignment="1">
      <alignment vertical="center" wrapText="1"/>
    </xf>
    <xf numFmtId="0" fontId="15" fillId="0" borderId="0" xfId="0" applyFont="1" applyFill="1" applyBorder="1" applyAlignment="1">
      <alignment horizontal="right" vertical="center" wrapText="1"/>
    </xf>
    <xf numFmtId="4" fontId="15" fillId="0" borderId="0" xfId="0" applyNumberFormat="1" applyFont="1" applyFill="1" applyBorder="1" applyAlignment="1">
      <alignment horizontal="right" vertical="center" wrapText="1"/>
    </xf>
    <xf numFmtId="3" fontId="132" fillId="0" borderId="0" xfId="0" applyNumberFormat="1" applyFont="1" applyFill="1" applyBorder="1" applyAlignment="1">
      <alignment vertical="center" wrapText="1"/>
    </xf>
    <xf numFmtId="3" fontId="133" fillId="0" borderId="0" xfId="0" applyNumberFormat="1" applyFont="1" applyFill="1" applyBorder="1" applyAlignment="1">
      <alignment vertical="center" wrapText="1"/>
    </xf>
    <xf numFmtId="0" fontId="15" fillId="0" borderId="1" xfId="0" applyFont="1" applyFill="1" applyBorder="1" applyAlignment="1">
      <alignment vertical="center"/>
    </xf>
    <xf numFmtId="0" fontId="106" fillId="0" borderId="1" xfId="0" applyFont="1" applyFill="1" applyBorder="1" applyAlignment="1">
      <alignment vertical="center" wrapText="1"/>
    </xf>
    <xf numFmtId="0" fontId="106" fillId="0" borderId="1" xfId="0" applyFont="1" applyFill="1" applyBorder="1" applyAlignment="1">
      <alignment horizontal="center" vertical="center"/>
    </xf>
    <xf numFmtId="3" fontId="107" fillId="0" borderId="1" xfId="0" applyNumberFormat="1" applyFont="1" applyFill="1" applyBorder="1" applyAlignment="1">
      <alignment horizontal="right" vertical="center"/>
    </xf>
    <xf numFmtId="0" fontId="106" fillId="0" borderId="0" xfId="0" applyFont="1" applyFill="1" applyBorder="1" applyAlignment="1">
      <alignment horizontal="right" vertical="center" wrapText="1"/>
    </xf>
    <xf numFmtId="3" fontId="109" fillId="9" borderId="71" xfId="0" applyNumberFormat="1" applyFont="1" applyFill="1" applyBorder="1" applyAlignment="1">
      <alignment vertical="center" wrapText="1"/>
    </xf>
    <xf numFmtId="0" fontId="118" fillId="0" borderId="1" xfId="0" applyFont="1" applyFill="1" applyBorder="1" applyAlignment="1">
      <alignment vertical="center" wrapText="1"/>
    </xf>
    <xf numFmtId="3" fontId="134" fillId="0" borderId="63" xfId="0" applyNumberFormat="1" applyFont="1" applyFill="1" applyBorder="1" applyAlignment="1">
      <alignment horizontal="right" vertical="center"/>
    </xf>
    <xf numFmtId="0" fontId="118" fillId="0" borderId="1" xfId="0" applyFont="1" applyFill="1" applyBorder="1" applyAlignment="1">
      <alignment vertical="center" shrinkToFit="1"/>
    </xf>
    <xf numFmtId="3" fontId="12" fillId="0" borderId="2" xfId="0" applyNumberFormat="1" applyFont="1" applyFill="1" applyBorder="1" applyAlignment="1">
      <alignment horizontal="right" vertical="center"/>
    </xf>
    <xf numFmtId="3" fontId="109" fillId="0" borderId="0" xfId="0" applyNumberFormat="1" applyFont="1" applyFill="1" applyBorder="1" applyAlignment="1">
      <alignment vertical="center" wrapText="1"/>
    </xf>
    <xf numFmtId="3" fontId="109" fillId="0" borderId="0" xfId="0" applyNumberFormat="1" applyFont="1" applyFill="1" applyBorder="1" applyAlignment="1">
      <alignment horizontal="center" vertical="center" wrapText="1"/>
    </xf>
    <xf numFmtId="3" fontId="123" fillId="0" borderId="71" xfId="0" applyNumberFormat="1" applyFont="1" applyFill="1" applyBorder="1" applyAlignment="1">
      <alignment horizontal="center" vertical="center" wrapText="1"/>
    </xf>
    <xf numFmtId="3" fontId="135" fillId="0" borderId="0" xfId="0" applyNumberFormat="1" applyFont="1" applyFill="1" applyBorder="1" applyAlignment="1">
      <alignment horizontal="right" vertical="center" wrapText="1"/>
    </xf>
    <xf numFmtId="3" fontId="123" fillId="0" borderId="1" xfId="0" applyNumberFormat="1" applyFont="1" applyFill="1" applyBorder="1" applyAlignment="1">
      <alignment horizontal="center" vertical="center" wrapText="1"/>
    </xf>
    <xf numFmtId="3" fontId="12" fillId="0" borderId="63" xfId="0" applyNumberFormat="1" applyFont="1" applyFill="1" applyBorder="1" applyAlignment="1">
      <alignment horizontal="right" vertical="center" wrapText="1"/>
    </xf>
    <xf numFmtId="0" fontId="114" fillId="9" borderId="71" xfId="0" applyFont="1" applyFill="1" applyBorder="1" applyAlignment="1">
      <alignment vertical="center" wrapText="1"/>
    </xf>
    <xf numFmtId="4" fontId="12" fillId="0" borderId="0" xfId="0" applyNumberFormat="1" applyFont="1" applyFill="1" applyBorder="1" applyAlignment="1">
      <alignment horizontal="right" vertical="center" wrapText="1"/>
    </xf>
    <xf numFmtId="3" fontId="111" fillId="0" borderId="0" xfId="0" applyNumberFormat="1" applyFont="1" applyFill="1" applyBorder="1" applyAlignment="1">
      <alignment horizontal="right" vertical="center" wrapText="1"/>
    </xf>
    <xf numFmtId="173" fontId="104" fillId="0" borderId="1" xfId="0" applyNumberFormat="1" applyFont="1" applyFill="1" applyBorder="1" applyAlignment="1">
      <alignment vertical="center" readingOrder="1"/>
    </xf>
    <xf numFmtId="0" fontId="47" fillId="0" borderId="1" xfId="0" applyFont="1" applyFill="1" applyBorder="1" applyAlignment="1">
      <alignment horizontal="center" vertical="center" wrapText="1" readingOrder="1"/>
    </xf>
    <xf numFmtId="173" fontId="12" fillId="0" borderId="1" xfId="0" applyNumberFormat="1" applyFont="1" applyFill="1" applyBorder="1" applyAlignment="1">
      <alignment vertical="center" readingOrder="1"/>
    </xf>
    <xf numFmtId="173" fontId="136" fillId="0" borderId="1" xfId="0" applyNumberFormat="1" applyFont="1" applyFill="1" applyBorder="1" applyAlignment="1">
      <alignment vertical="center" readingOrder="1"/>
    </xf>
    <xf numFmtId="0" fontId="47" fillId="0" borderId="1" xfId="12" applyFont="1" applyFill="1" applyBorder="1" applyAlignment="1">
      <alignment horizontal="center" vertical="center" wrapText="1" readingOrder="1"/>
    </xf>
    <xf numFmtId="174" fontId="20" fillId="0" borderId="1" xfId="0" applyNumberFormat="1" applyFont="1" applyFill="1" applyBorder="1" applyAlignment="1">
      <alignment horizontal="center" vertical="center" readingOrder="1"/>
    </xf>
    <xf numFmtId="174" fontId="20" fillId="0" borderId="1" xfId="0" applyNumberFormat="1" applyFont="1" applyFill="1" applyBorder="1" applyAlignment="1">
      <alignment horizontal="center"/>
    </xf>
    <xf numFmtId="173" fontId="20" fillId="0" borderId="1" xfId="0" applyNumberFormat="1" applyFont="1" applyFill="1" applyBorder="1" applyAlignment="1">
      <alignment horizontal="center" vertical="center" readingOrder="1"/>
    </xf>
    <xf numFmtId="174" fontId="20" fillId="0" borderId="1" xfId="14" applyNumberFormat="1" applyFont="1" applyFill="1" applyBorder="1" applyAlignment="1">
      <alignment horizontal="center" vertical="center" readingOrder="1"/>
    </xf>
    <xf numFmtId="3" fontId="123" fillId="0" borderId="1" xfId="0" applyNumberFormat="1" applyFont="1" applyFill="1" applyBorder="1" applyAlignment="1">
      <alignment horizontal="left" vertical="center" wrapText="1"/>
    </xf>
    <xf numFmtId="3" fontId="137" fillId="0" borderId="1" xfId="0" applyNumberFormat="1" applyFont="1" applyFill="1" applyBorder="1" applyAlignment="1">
      <alignment horizontal="left" vertical="center" wrapText="1"/>
    </xf>
    <xf numFmtId="3" fontId="114" fillId="0" borderId="1" xfId="0" applyNumberFormat="1" applyFont="1" applyFill="1" applyBorder="1" applyAlignment="1">
      <alignment horizontal="left" vertical="center" wrapText="1"/>
    </xf>
    <xf numFmtId="0" fontId="15" fillId="0" borderId="0" xfId="0" applyFont="1" applyFill="1" applyBorder="1" applyAlignment="1">
      <alignment vertical="center" wrapText="1"/>
    </xf>
    <xf numFmtId="0" fontId="106" fillId="0" borderId="0" xfId="0" applyFont="1" applyFill="1" applyBorder="1" applyAlignment="1">
      <alignment vertical="center" wrapText="1"/>
    </xf>
    <xf numFmtId="0" fontId="12" fillId="0" borderId="0" xfId="0" applyFont="1" applyFill="1" applyBorder="1" applyAlignment="1">
      <alignment vertical="center" wrapText="1"/>
    </xf>
    <xf numFmtId="0" fontId="117" fillId="0" borderId="1" xfId="0" applyFont="1" applyFill="1" applyBorder="1" applyAlignment="1" applyProtection="1">
      <alignment vertical="center" wrapText="1"/>
      <protection locked="0"/>
    </xf>
    <xf numFmtId="0" fontId="106" fillId="0" borderId="1" xfId="0" applyFont="1" applyFill="1" applyBorder="1" applyAlignment="1" applyProtection="1">
      <alignment horizontal="center" vertical="center" wrapText="1"/>
      <protection locked="0"/>
    </xf>
    <xf numFmtId="3" fontId="107" fillId="0" borderId="1" xfId="0" applyNumberFormat="1" applyFont="1" applyFill="1" applyBorder="1" applyAlignment="1" applyProtection="1">
      <alignment horizontal="right" vertical="center" wrapText="1"/>
      <protection locked="0"/>
    </xf>
    <xf numFmtId="0" fontId="138" fillId="0" borderId="0" xfId="0" applyFont="1" applyFill="1" applyBorder="1" applyAlignment="1">
      <alignment vertical="center"/>
    </xf>
    <xf numFmtId="0" fontId="138" fillId="0" borderId="0" xfId="0" applyFont="1" applyFill="1" applyAlignment="1">
      <alignment vertical="center"/>
    </xf>
    <xf numFmtId="0" fontId="138" fillId="0" borderId="0" xfId="0" applyFont="1" applyAlignment="1">
      <alignment vertical="center"/>
    </xf>
    <xf numFmtId="0" fontId="114" fillId="0" borderId="1" xfId="0" applyFont="1" applyFill="1" applyBorder="1" applyAlignment="1" applyProtection="1">
      <alignment vertical="center" wrapText="1"/>
      <protection locked="0"/>
    </xf>
    <xf numFmtId="0" fontId="15" fillId="0" borderId="1" xfId="0" applyFont="1" applyFill="1" applyBorder="1" applyAlignment="1" applyProtection="1">
      <alignment horizontal="center" vertical="center" wrapText="1"/>
      <protection locked="0"/>
    </xf>
    <xf numFmtId="3" fontId="12" fillId="0" borderId="1" xfId="0" applyNumberFormat="1" applyFont="1" applyFill="1" applyBorder="1" applyAlignment="1" applyProtection="1">
      <alignment horizontal="right" vertical="center" wrapText="1"/>
      <protection locked="0"/>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applyAlignment="1">
      <alignment vertical="center"/>
    </xf>
    <xf numFmtId="0" fontId="29" fillId="0" borderId="0" xfId="0" applyFont="1" applyFill="1" applyBorder="1" applyAlignment="1">
      <alignment horizontal="right" vertical="center"/>
    </xf>
    <xf numFmtId="0" fontId="139" fillId="0" borderId="1" xfId="0" applyFont="1" applyFill="1" applyBorder="1" applyAlignment="1" applyProtection="1">
      <alignment horizontal="center" vertical="center" wrapText="1"/>
      <protection locked="0"/>
    </xf>
    <xf numFmtId="3" fontId="12" fillId="9" borderId="1" xfId="0" applyNumberFormat="1" applyFont="1" applyFill="1" applyBorder="1" applyAlignment="1">
      <alignment horizontal="right" vertical="center"/>
    </xf>
    <xf numFmtId="0" fontId="105" fillId="9" borderId="71" xfId="0" applyFont="1" applyFill="1" applyBorder="1" applyAlignment="1">
      <alignment horizontal="center" vertical="center" wrapText="1"/>
    </xf>
    <xf numFmtId="0" fontId="12" fillId="0" borderId="0" xfId="0" applyFont="1" applyFill="1" applyBorder="1" applyAlignment="1">
      <alignment horizontal="right" vertical="center" wrapText="1"/>
    </xf>
    <xf numFmtId="0" fontId="114" fillId="0" borderId="1" xfId="0" applyFont="1" applyFill="1" applyBorder="1" applyAlignment="1">
      <alignment horizontal="center" vertical="center"/>
    </xf>
    <xf numFmtId="0" fontId="119" fillId="0" borderId="1" xfId="0" applyFont="1" applyFill="1" applyBorder="1" applyAlignment="1">
      <alignment horizontal="center" vertical="center"/>
    </xf>
    <xf numFmtId="3" fontId="31" fillId="0" borderId="1" xfId="0" applyNumberFormat="1" applyFont="1" applyFill="1" applyBorder="1" applyAlignment="1">
      <alignment horizontal="center" vertical="center" wrapText="1"/>
    </xf>
    <xf numFmtId="3" fontId="141" fillId="0" borderId="1" xfId="0" applyNumberFormat="1" applyFont="1" applyFill="1" applyBorder="1" applyAlignment="1">
      <alignment horizontal="right" vertical="center" wrapText="1"/>
    </xf>
    <xf numFmtId="3" fontId="142" fillId="0" borderId="1" xfId="0" applyNumberFormat="1" applyFont="1" applyFill="1" applyBorder="1" applyAlignment="1">
      <alignment horizontal="left" vertical="center" wrapText="1"/>
    </xf>
    <xf numFmtId="3" fontId="112" fillId="0" borderId="1" xfId="0" applyNumberFormat="1" applyFont="1" applyFill="1" applyBorder="1" applyAlignment="1">
      <alignment horizontal="left" vertical="center" wrapText="1"/>
    </xf>
    <xf numFmtId="3" fontId="12" fillId="0" borderId="1" xfId="0" applyNumberFormat="1" applyFont="1" applyFill="1" applyBorder="1" applyAlignment="1">
      <alignment horizontal="center" vertical="center" shrinkToFit="1"/>
    </xf>
    <xf numFmtId="3" fontId="50" fillId="0" borderId="71" xfId="0" applyNumberFormat="1" applyFont="1" applyFill="1" applyBorder="1" applyAlignment="1">
      <alignment horizontal="right" vertical="center" wrapText="1"/>
    </xf>
    <xf numFmtId="3" fontId="128" fillId="0" borderId="63" xfId="0" applyNumberFormat="1" applyFont="1" applyFill="1" applyBorder="1" applyAlignment="1">
      <alignment horizontal="right" vertical="center" wrapText="1"/>
    </xf>
    <xf numFmtId="3" fontId="128" fillId="0" borderId="0" xfId="0" applyNumberFormat="1" applyFont="1" applyFill="1" applyBorder="1" applyAlignment="1">
      <alignment horizontal="right" vertical="center" wrapText="1"/>
    </xf>
    <xf numFmtId="0" fontId="50" fillId="0" borderId="1" xfId="0" applyFont="1" applyFill="1" applyBorder="1"/>
    <xf numFmtId="2" fontId="50" fillId="0" borderId="1" xfId="0" applyNumberFormat="1" applyFont="1" applyFill="1" applyBorder="1" applyAlignment="1">
      <alignment horizontal="left" vertical="center" wrapText="1"/>
    </xf>
    <xf numFmtId="167" fontId="50" fillId="0" borderId="0" xfId="9" applyNumberFormat="1" applyFont="1" applyFill="1" applyBorder="1" applyAlignment="1">
      <alignment vertical="center" wrapText="1"/>
    </xf>
    <xf numFmtId="3" fontId="47" fillId="0" borderId="0" xfId="0" applyNumberFormat="1" applyFont="1" applyFill="1" applyBorder="1" applyAlignment="1">
      <alignment vertical="center"/>
    </xf>
    <xf numFmtId="0" fontId="114" fillId="0" borderId="0" xfId="0" applyFont="1" applyFill="1" applyBorder="1" applyAlignment="1">
      <alignment vertical="center"/>
    </xf>
    <xf numFmtId="3" fontId="112" fillId="0" borderId="1" xfId="0" applyNumberFormat="1" applyFont="1" applyFill="1" applyBorder="1" applyAlignment="1">
      <alignment vertical="center" wrapText="1"/>
    </xf>
    <xf numFmtId="0" fontId="109" fillId="0" borderId="1" xfId="0" applyFont="1" applyFill="1" applyBorder="1" applyAlignment="1">
      <alignment vertical="center" wrapText="1"/>
    </xf>
    <xf numFmtId="0" fontId="109" fillId="0" borderId="71" xfId="0" applyFont="1" applyFill="1" applyBorder="1" applyAlignment="1">
      <alignment vertical="center" wrapText="1"/>
    </xf>
    <xf numFmtId="3" fontId="109" fillId="0" borderId="1" xfId="0" applyNumberFormat="1" applyFont="1" applyFill="1" applyBorder="1" applyAlignment="1">
      <alignment horizontal="center" vertical="center" wrapText="1"/>
    </xf>
    <xf numFmtId="0" fontId="112" fillId="0" borderId="0" xfId="0" applyFont="1" applyFill="1" applyBorder="1" applyAlignment="1">
      <alignment vertical="center"/>
    </xf>
    <xf numFmtId="0" fontId="109" fillId="0" borderId="1" xfId="0" applyFont="1" applyFill="1" applyBorder="1" applyAlignment="1">
      <alignment horizontal="center" vertical="center"/>
    </xf>
    <xf numFmtId="0" fontId="109" fillId="0" borderId="71" xfId="0" applyFont="1" applyFill="1" applyBorder="1" applyAlignment="1">
      <alignment horizontal="center" vertical="center"/>
    </xf>
    <xf numFmtId="0" fontId="15" fillId="0" borderId="0" xfId="0" applyFont="1" applyFill="1" applyBorder="1" applyAlignment="1">
      <alignment horizontal="right" vertical="center"/>
    </xf>
    <xf numFmtId="1" fontId="112" fillId="0" borderId="70" xfId="0" applyNumberFormat="1" applyFont="1" applyFill="1" applyBorder="1" applyAlignment="1">
      <alignment horizontal="center" vertical="center"/>
    </xf>
    <xf numFmtId="0" fontId="112" fillId="0" borderId="1" xfId="0" applyFont="1" applyFill="1" applyBorder="1" applyAlignment="1">
      <alignment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05" fillId="0" borderId="1" xfId="0" applyFont="1" applyFill="1" applyBorder="1" applyAlignment="1">
      <alignment horizontal="center" vertical="center"/>
    </xf>
    <xf numFmtId="0" fontId="105" fillId="0" borderId="71" xfId="0" applyFont="1" applyFill="1" applyBorder="1" applyAlignment="1">
      <alignment horizontal="center" vertical="center"/>
    </xf>
    <xf numFmtId="0" fontId="12" fillId="0" borderId="0" xfId="0" applyFont="1" applyFill="1" applyBorder="1" applyAlignment="1">
      <alignment horizontal="right" vertical="center"/>
    </xf>
    <xf numFmtId="3" fontId="50" fillId="0" borderId="63" xfId="0" applyNumberFormat="1" applyFont="1" applyFill="1" applyBorder="1" applyAlignment="1">
      <alignment horizontal="right" vertical="center" wrapText="1"/>
    </xf>
    <xf numFmtId="3" fontId="15" fillId="0" borderId="1" xfId="13" applyNumberFormat="1" applyFont="1" applyFill="1" applyBorder="1" applyAlignment="1">
      <alignment horizontal="left" vertical="center" wrapText="1"/>
    </xf>
    <xf numFmtId="3" fontId="15" fillId="0" borderId="1" xfId="13" applyNumberFormat="1" applyFont="1" applyFill="1" applyBorder="1" applyAlignment="1">
      <alignment vertical="center" wrapText="1"/>
    </xf>
    <xf numFmtId="1" fontId="15" fillId="0" borderId="72" xfId="0" applyNumberFormat="1" applyFont="1" applyFill="1" applyBorder="1" applyAlignment="1">
      <alignment horizontal="center" vertical="center" wrapText="1"/>
    </xf>
    <xf numFmtId="3" fontId="15" fillId="0" borderId="73" xfId="0" applyNumberFormat="1" applyFont="1" applyFill="1" applyBorder="1" applyAlignment="1">
      <alignment vertical="center" wrapText="1"/>
    </xf>
    <xf numFmtId="0" fontId="15" fillId="0" borderId="73" xfId="0" applyFont="1" applyFill="1" applyBorder="1" applyAlignment="1">
      <alignment horizontal="center" vertical="center"/>
    </xf>
    <xf numFmtId="3" fontId="15" fillId="0" borderId="73" xfId="0" applyNumberFormat="1" applyFont="1" applyFill="1" applyBorder="1" applyAlignment="1">
      <alignment horizontal="center" vertical="center" wrapText="1"/>
    </xf>
    <xf numFmtId="3" fontId="12" fillId="0" borderId="73" xfId="0" applyNumberFormat="1" applyFont="1" applyFill="1" applyBorder="1" applyAlignment="1">
      <alignment horizontal="right" vertical="center" wrapText="1"/>
    </xf>
    <xf numFmtId="0" fontId="114" fillId="0" borderId="0" xfId="0" applyFont="1" applyFill="1" applyAlignment="1">
      <alignment vertical="center"/>
    </xf>
    <xf numFmtId="0" fontId="15" fillId="0" borderId="0" xfId="0" applyFont="1" applyFill="1" applyBorder="1" applyAlignment="1">
      <alignment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09" fillId="0" borderId="0" xfId="0" applyFont="1" applyFill="1" applyBorder="1" applyAlignment="1">
      <alignment horizontal="center" vertical="center"/>
    </xf>
    <xf numFmtId="0" fontId="15" fillId="0" borderId="61" xfId="0" applyFont="1" applyFill="1" applyBorder="1" applyAlignment="1">
      <alignment horizontal="right" vertical="center"/>
    </xf>
    <xf numFmtId="0" fontId="109" fillId="0" borderId="0" xfId="0" applyFont="1" applyFill="1" applyAlignment="1">
      <alignment horizontal="center" vertical="center"/>
    </xf>
    <xf numFmtId="0" fontId="15" fillId="0" borderId="0" xfId="0" applyFont="1" applyFill="1" applyAlignment="1">
      <alignment vertical="center"/>
    </xf>
    <xf numFmtId="1" fontId="15" fillId="0" borderId="0" xfId="0" applyNumberFormat="1" applyFont="1" applyFill="1" applyAlignment="1">
      <alignment horizontal="center" vertical="center"/>
    </xf>
    <xf numFmtId="0" fontId="15" fillId="0" borderId="0" xfId="0" applyFont="1" applyFill="1" applyAlignment="1">
      <alignment horizontal="center" vertical="center"/>
    </xf>
    <xf numFmtId="0" fontId="15" fillId="0" borderId="0" xfId="0" applyFont="1" applyFill="1" applyAlignment="1">
      <alignment horizontal="center" vertical="center" wrapText="1"/>
    </xf>
    <xf numFmtId="0" fontId="12" fillId="0" borderId="0" xfId="0" applyFont="1" applyFill="1" applyAlignment="1">
      <alignment horizontal="right" vertical="center" wrapText="1"/>
    </xf>
    <xf numFmtId="0" fontId="90" fillId="0" borderId="0" xfId="0" applyFont="1" applyFill="1" applyAlignment="1">
      <alignment vertical="center"/>
    </xf>
    <xf numFmtId="0" fontId="144" fillId="0" borderId="0" xfId="0" applyFont="1" applyFill="1" applyAlignment="1">
      <alignment vertical="center"/>
    </xf>
    <xf numFmtId="1" fontId="135" fillId="0" borderId="70" xfId="0" applyNumberFormat="1" applyFont="1" applyFill="1" applyBorder="1" applyAlignment="1">
      <alignment horizontal="center" vertical="center" wrapText="1"/>
    </xf>
    <xf numFmtId="0" fontId="135" fillId="0" borderId="1" xfId="0" applyFont="1" applyFill="1" applyBorder="1" applyAlignment="1">
      <alignment vertical="center"/>
    </xf>
    <xf numFmtId="0" fontId="145" fillId="0" borderId="1" xfId="0" applyFont="1" applyFill="1" applyBorder="1" applyAlignment="1">
      <alignment horizontal="center" vertical="center"/>
    </xf>
    <xf numFmtId="0" fontId="135" fillId="0" borderId="1" xfId="0" applyFont="1" applyFill="1" applyBorder="1" applyAlignment="1">
      <alignment horizontal="center" vertical="center"/>
    </xf>
    <xf numFmtId="3" fontId="128" fillId="0" borderId="1" xfId="0" applyNumberFormat="1" applyFont="1" applyFill="1" applyBorder="1" applyAlignment="1">
      <alignment horizontal="right" vertical="center"/>
    </xf>
    <xf numFmtId="3" fontId="89" fillId="0" borderId="0" xfId="0" applyNumberFormat="1" applyFont="1" applyFill="1" applyAlignment="1">
      <alignment vertical="center"/>
    </xf>
    <xf numFmtId="1" fontId="15" fillId="11" borderId="70" xfId="0" applyNumberFormat="1" applyFont="1" applyFill="1" applyBorder="1" applyAlignment="1">
      <alignment horizontal="center" vertical="center" wrapText="1"/>
    </xf>
    <xf numFmtId="0" fontId="15" fillId="11" borderId="1" xfId="0" applyFont="1" applyFill="1" applyBorder="1" applyAlignment="1">
      <alignment vertical="center"/>
    </xf>
    <xf numFmtId="0" fontId="114" fillId="11" borderId="1" xfId="0" applyFont="1" applyFill="1" applyBorder="1" applyAlignment="1">
      <alignment horizontal="center" vertical="center"/>
    </xf>
    <xf numFmtId="0" fontId="15" fillId="11" borderId="1" xfId="0" applyFont="1" applyFill="1" applyBorder="1" applyAlignment="1">
      <alignment horizontal="center" vertical="center"/>
    </xf>
    <xf numFmtId="3" fontId="12" fillId="11" borderId="1" xfId="0" applyNumberFormat="1" applyFont="1" applyFill="1" applyBorder="1" applyAlignment="1">
      <alignment horizontal="right" vertical="center"/>
    </xf>
    <xf numFmtId="0" fontId="145" fillId="0" borderId="1" xfId="0" applyFont="1" applyFill="1" applyBorder="1" applyAlignment="1" applyProtection="1">
      <alignment vertical="center" wrapText="1"/>
      <protection locked="0"/>
    </xf>
    <xf numFmtId="0" fontId="135" fillId="0" borderId="1" xfId="0" applyFont="1" applyFill="1" applyBorder="1" applyAlignment="1" applyProtection="1">
      <alignment horizontal="center" vertical="center" wrapText="1"/>
      <protection locked="0"/>
    </xf>
    <xf numFmtId="3" fontId="128" fillId="0" borderId="1" xfId="0" applyNumberFormat="1" applyFont="1" applyFill="1" applyBorder="1" applyAlignment="1" applyProtection="1">
      <alignment horizontal="right" vertical="center" wrapText="1"/>
      <protection locked="0"/>
    </xf>
    <xf numFmtId="0" fontId="102" fillId="0" borderId="0" xfId="0" applyFont="1" applyFill="1" applyBorder="1" applyAlignment="1">
      <alignment vertical="center"/>
    </xf>
    <xf numFmtId="0" fontId="102" fillId="0" borderId="0" xfId="0" applyFont="1" applyFill="1" applyAlignment="1">
      <alignment vertical="center"/>
    </xf>
    <xf numFmtId="0" fontId="102" fillId="0" borderId="0" xfId="0" applyFont="1" applyAlignment="1">
      <alignment vertical="center"/>
    </xf>
    <xf numFmtId="0" fontId="147" fillId="0" borderId="52" xfId="0" applyFont="1" applyBorder="1" applyAlignment="1">
      <alignment horizontal="center" vertical="center"/>
    </xf>
    <xf numFmtId="0" fontId="147" fillId="0" borderId="63" xfId="0" applyFont="1" applyBorder="1" applyAlignment="1">
      <alignment horizontal="center" vertical="center"/>
    </xf>
    <xf numFmtId="0" fontId="147" fillId="0" borderId="53" xfId="0" applyFont="1" applyBorder="1" applyAlignment="1">
      <alignment vertical="center" wrapText="1"/>
    </xf>
    <xf numFmtId="0" fontId="147" fillId="0" borderId="53" xfId="0" applyFont="1" applyBorder="1" applyAlignment="1">
      <alignment horizontal="center" vertical="center"/>
    </xf>
    <xf numFmtId="3" fontId="147" fillId="0" borderId="53" xfId="0" applyNumberFormat="1" applyFont="1" applyBorder="1" applyAlignment="1">
      <alignment vertical="center"/>
    </xf>
    <xf numFmtId="171" fontId="147" fillId="0" borderId="53" xfId="1" applyNumberFormat="1" applyFont="1" applyBorder="1" applyAlignment="1">
      <alignment vertical="center"/>
    </xf>
    <xf numFmtId="0" fontId="147" fillId="0" borderId="53" xfId="0" applyFont="1" applyBorder="1" applyAlignment="1">
      <alignment vertical="center"/>
    </xf>
    <xf numFmtId="0" fontId="79" fillId="0" borderId="53" xfId="0" applyFont="1" applyBorder="1" applyAlignment="1">
      <alignment horizontal="center" vertical="center"/>
    </xf>
    <xf numFmtId="0" fontId="146" fillId="0" borderId="54" xfId="0" applyFont="1" applyBorder="1" applyAlignment="1">
      <alignment vertical="center" wrapText="1"/>
    </xf>
    <xf numFmtId="171" fontId="89" fillId="0" borderId="0" xfId="1" applyNumberFormat="1" applyFont="1" applyFill="1" applyAlignment="1">
      <alignment vertical="center"/>
    </xf>
    <xf numFmtId="0" fontId="82" fillId="0" borderId="53" xfId="0" applyFont="1" applyBorder="1" applyAlignment="1">
      <alignment vertical="center" wrapText="1"/>
    </xf>
    <xf numFmtId="165" fontId="64" fillId="2" borderId="53" xfId="0" applyNumberFormat="1" applyFont="1" applyFill="1" applyBorder="1" applyAlignment="1">
      <alignment horizontal="center" vertical="center" wrapText="1"/>
    </xf>
    <xf numFmtId="0" fontId="83" fillId="0" borderId="53" xfId="0" applyFont="1" applyBorder="1" applyAlignment="1">
      <alignment horizontal="center" vertical="center"/>
    </xf>
    <xf numFmtId="167" fontId="64" fillId="2" borderId="53" xfId="1" applyNumberFormat="1" applyFont="1" applyFill="1" applyBorder="1" applyAlignment="1">
      <alignment vertical="center" wrapText="1"/>
    </xf>
    <xf numFmtId="171" fontId="81" fillId="2" borderId="53" xfId="1" applyNumberFormat="1" applyFont="1" applyFill="1" applyBorder="1" applyAlignment="1">
      <alignment vertical="center" wrapText="1"/>
    </xf>
    <xf numFmtId="0" fontId="10" fillId="0" borderId="53" xfId="3" applyFont="1" applyFill="1" applyBorder="1" applyAlignment="1">
      <alignment horizontal="center" vertical="center"/>
    </xf>
    <xf numFmtId="0" fontId="8" fillId="0" borderId="53" xfId="0" quotePrefix="1" applyFont="1" applyFill="1" applyBorder="1" applyAlignment="1">
      <alignment horizontal="center" vertical="center" wrapText="1"/>
    </xf>
    <xf numFmtId="0" fontId="148" fillId="0" borderId="52" xfId="0" applyFont="1" applyFill="1" applyBorder="1" applyAlignment="1">
      <alignment horizontal="center" vertical="center" wrapText="1"/>
    </xf>
    <xf numFmtId="0" fontId="148" fillId="0" borderId="53" xfId="0" applyFont="1" applyFill="1" applyBorder="1" applyAlignment="1">
      <alignment horizontal="center" vertical="center" wrapText="1"/>
    </xf>
    <xf numFmtId="0" fontId="148" fillId="0" borderId="53" xfId="0" applyFont="1" applyFill="1" applyBorder="1" applyAlignment="1">
      <alignment vertical="center" wrapText="1"/>
    </xf>
    <xf numFmtId="171" fontId="149" fillId="0" borderId="53" xfId="1" applyNumberFormat="1" applyFont="1" applyBorder="1" applyAlignment="1">
      <alignment vertical="center" wrapText="1"/>
    </xf>
    <xf numFmtId="0" fontId="149" fillId="0" borderId="0" xfId="0" applyFont="1" applyAlignment="1">
      <alignment vertical="center" wrapText="1"/>
    </xf>
    <xf numFmtId="171" fontId="86" fillId="0" borderId="53" xfId="0" applyNumberFormat="1" applyFont="1" applyFill="1" applyBorder="1" applyAlignment="1">
      <alignment horizontal="center" vertical="center"/>
    </xf>
    <xf numFmtId="0" fontId="47" fillId="0" borderId="0" xfId="0" applyFont="1" applyFill="1" applyAlignment="1" applyProtection="1">
      <alignment vertical="center"/>
    </xf>
    <xf numFmtId="167" fontId="47" fillId="0" borderId="0" xfId="1" applyNumberFormat="1" applyFont="1" applyFill="1" applyProtection="1"/>
    <xf numFmtId="0" fontId="47" fillId="0" borderId="0" xfId="0" applyFont="1" applyFill="1" applyProtection="1"/>
    <xf numFmtId="0" fontId="47" fillId="0" borderId="0" xfId="0" applyFont="1" applyFill="1" applyAlignment="1" applyProtection="1">
      <alignment horizontal="center" vertical="center"/>
    </xf>
    <xf numFmtId="0" fontId="47" fillId="0" borderId="0" xfId="0" applyFont="1" applyFill="1" applyAlignment="1" applyProtection="1">
      <alignment vertical="center" wrapText="1"/>
    </xf>
    <xf numFmtId="0" fontId="47" fillId="0" borderId="0" xfId="0" applyFont="1" applyFill="1" applyAlignment="1" applyProtection="1">
      <alignment horizontal="center" vertical="center" wrapText="1"/>
    </xf>
    <xf numFmtId="176" fontId="47" fillId="0" borderId="0" xfId="0" applyNumberFormat="1" applyFont="1" applyFill="1" applyAlignment="1" applyProtection="1">
      <alignment vertical="center"/>
    </xf>
    <xf numFmtId="177" fontId="47" fillId="0" borderId="0" xfId="0" applyNumberFormat="1" applyFont="1" applyFill="1" applyAlignment="1" applyProtection="1">
      <alignment vertical="center"/>
    </xf>
    <xf numFmtId="0" fontId="114" fillId="0" borderId="0" xfId="0" applyFont="1" applyFill="1" applyAlignment="1" applyProtection="1">
      <alignment horizontal="center" vertical="center"/>
    </xf>
    <xf numFmtId="0" fontId="15" fillId="0" borderId="75" xfId="0" applyFont="1" applyBorder="1" applyAlignment="1" applyProtection="1">
      <alignment horizontal="center"/>
    </xf>
    <xf numFmtId="0" fontId="15" fillId="0" borderId="76" xfId="0" applyFont="1" applyBorder="1" applyProtection="1"/>
    <xf numFmtId="0" fontId="15" fillId="0" borderId="76" xfId="0" applyFont="1" applyBorder="1" applyAlignment="1" applyProtection="1">
      <alignment horizontal="center"/>
    </xf>
    <xf numFmtId="0" fontId="15" fillId="0" borderId="76" xfId="0" applyFont="1" applyBorder="1" applyAlignment="1" applyProtection="1">
      <alignment horizontal="right"/>
    </xf>
    <xf numFmtId="0" fontId="50" fillId="0" borderId="1" xfId="0" applyFont="1" applyFill="1" applyBorder="1" applyAlignment="1" applyProtection="1">
      <alignment horizontal="center" vertical="center" wrapText="1"/>
    </xf>
    <xf numFmtId="0" fontId="47" fillId="0" borderId="1" xfId="0" applyNumberFormat="1" applyFont="1" applyFill="1" applyBorder="1" applyAlignment="1" applyProtection="1">
      <alignment horizontal="left" vertical="center" wrapText="1"/>
    </xf>
    <xf numFmtId="0" fontId="47" fillId="0" borderId="1" xfId="0" applyFont="1" applyFill="1" applyBorder="1" applyAlignment="1" applyProtection="1">
      <alignment horizontal="center" vertical="center" wrapText="1"/>
    </xf>
    <xf numFmtId="177" fontId="47" fillId="0" borderId="1" xfId="1" applyNumberFormat="1" applyFont="1" applyFill="1" applyBorder="1" applyAlignment="1" applyProtection="1">
      <alignment horizontal="right" vertical="center" wrapText="1"/>
    </xf>
    <xf numFmtId="177" fontId="47" fillId="0" borderId="1" xfId="0" applyNumberFormat="1" applyFont="1" applyFill="1" applyBorder="1" applyAlignment="1" applyProtection="1">
      <alignment horizontal="right" vertical="center" wrapText="1"/>
    </xf>
    <xf numFmtId="0" fontId="114" fillId="0" borderId="1" xfId="0" applyFont="1" applyFill="1" applyBorder="1" applyAlignment="1" applyProtection="1">
      <alignment horizontal="center" vertical="center" wrapText="1"/>
    </xf>
    <xf numFmtId="0" fontId="47" fillId="0" borderId="1" xfId="0" applyFont="1" applyBorder="1" applyAlignment="1" applyProtection="1">
      <alignment horizontal="center" wrapText="1"/>
    </xf>
    <xf numFmtId="43" fontId="50" fillId="0" borderId="1" xfId="1" applyFont="1" applyFill="1" applyBorder="1" applyAlignment="1" applyProtection="1">
      <alignment horizontal="right" vertical="center" wrapText="1"/>
    </xf>
    <xf numFmtId="177" fontId="50" fillId="0" borderId="1" xfId="0" applyNumberFormat="1" applyFont="1" applyFill="1" applyBorder="1" applyAlignment="1" applyProtection="1">
      <alignment horizontal="right" vertical="center" wrapText="1"/>
    </xf>
    <xf numFmtId="0" fontId="115" fillId="0" borderId="1" xfId="0" applyFont="1" applyFill="1" applyBorder="1" applyAlignment="1" applyProtection="1">
      <alignment horizontal="center" vertical="center" wrapText="1"/>
    </xf>
    <xf numFmtId="4" fontId="15" fillId="0" borderId="76" xfId="0" applyNumberFormat="1" applyFont="1" applyBorder="1" applyAlignment="1" applyProtection="1">
      <alignment horizontal="right"/>
    </xf>
    <xf numFmtId="0" fontId="46" fillId="0" borderId="1" xfId="0" applyFont="1" applyFill="1" applyBorder="1" applyAlignment="1" applyProtection="1">
      <alignment horizontal="center" vertical="center" wrapText="1"/>
    </xf>
    <xf numFmtId="43" fontId="46" fillId="0" borderId="1" xfId="1" applyFont="1" applyFill="1" applyBorder="1" applyAlignment="1" applyProtection="1">
      <alignment horizontal="right" vertical="center" wrapText="1"/>
    </xf>
    <xf numFmtId="177" fontId="46" fillId="0" borderId="1" xfId="0" applyNumberFormat="1" applyFont="1" applyFill="1" applyBorder="1" applyAlignment="1" applyProtection="1">
      <alignment horizontal="right" vertical="center" wrapText="1"/>
    </xf>
    <xf numFmtId="0" fontId="46" fillId="0" borderId="0" xfId="0" applyFont="1" applyFill="1" applyAlignment="1" applyProtection="1">
      <alignment vertical="center"/>
    </xf>
    <xf numFmtId="167" fontId="46" fillId="0" borderId="0" xfId="1" applyNumberFormat="1" applyFont="1" applyFill="1" applyProtection="1"/>
    <xf numFmtId="0" fontId="46" fillId="0" borderId="0" xfId="0" applyFont="1" applyFill="1" applyProtection="1"/>
    <xf numFmtId="177" fontId="151" fillId="0" borderId="1" xfId="0" applyNumberFormat="1" applyFont="1" applyFill="1" applyBorder="1" applyAlignment="1" applyProtection="1">
      <alignment horizontal="right" vertical="center" wrapText="1"/>
    </xf>
    <xf numFmtId="0" fontId="114" fillId="0" borderId="1" xfId="0" applyFont="1" applyBorder="1" applyProtection="1"/>
    <xf numFmtId="0" fontId="114" fillId="0" borderId="1" xfId="0" applyFont="1" applyBorder="1" applyAlignment="1" applyProtection="1">
      <alignment wrapText="1"/>
    </xf>
    <xf numFmtId="0" fontId="53" fillId="0" borderId="1" xfId="0" applyFont="1" applyFill="1" applyBorder="1" applyAlignment="1" applyProtection="1">
      <alignment horizontal="center" vertical="center" wrapText="1"/>
    </xf>
    <xf numFmtId="38" fontId="47" fillId="0" borderId="1" xfId="1" applyNumberFormat="1" applyFont="1" applyFill="1" applyBorder="1" applyAlignment="1" applyProtection="1">
      <alignment horizontal="center" vertical="center" wrapText="1"/>
    </xf>
    <xf numFmtId="38" fontId="47" fillId="0" borderId="1" xfId="0" applyNumberFormat="1" applyFont="1" applyFill="1" applyBorder="1" applyAlignment="1" applyProtection="1">
      <alignment horizontal="center" vertical="center" wrapText="1"/>
    </xf>
    <xf numFmtId="0" fontId="15" fillId="0" borderId="1" xfId="0" applyNumberFormat="1" applyFont="1" applyFill="1" applyBorder="1" applyAlignment="1" applyProtection="1">
      <alignment vertical="center" wrapText="1"/>
    </xf>
    <xf numFmtId="38" fontId="50" fillId="0" borderId="1" xfId="0" applyNumberFormat="1" applyFont="1" applyFill="1" applyBorder="1" applyAlignment="1" applyProtection="1">
      <alignment horizontal="center" vertical="center" wrapText="1"/>
    </xf>
    <xf numFmtId="0" fontId="47" fillId="0" borderId="1" xfId="0" applyNumberFormat="1" applyFont="1" applyFill="1" applyBorder="1" applyAlignment="1" applyProtection="1">
      <alignment vertical="center" wrapText="1"/>
    </xf>
    <xf numFmtId="0" fontId="47" fillId="0" borderId="1" xfId="0" applyNumberFormat="1" applyFont="1" applyFill="1" applyBorder="1" applyAlignment="1" applyProtection="1">
      <alignment horizontal="center" vertical="center" wrapText="1"/>
    </xf>
    <xf numFmtId="0" fontId="114" fillId="0" borderId="1" xfId="0" applyNumberFormat="1"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52" fillId="0" borderId="1" xfId="0" applyFont="1" applyFill="1" applyBorder="1" applyAlignment="1" applyProtection="1">
      <alignment horizontal="center" vertical="center" wrapText="1"/>
    </xf>
    <xf numFmtId="38" fontId="53" fillId="0" borderId="1" xfId="1" applyNumberFormat="1" applyFont="1" applyFill="1" applyBorder="1" applyAlignment="1" applyProtection="1">
      <alignment horizontal="center" vertical="center" wrapText="1"/>
    </xf>
    <xf numFmtId="38" fontId="53" fillId="0" borderId="1" xfId="0" applyNumberFormat="1" applyFont="1" applyFill="1" applyBorder="1" applyAlignment="1" applyProtection="1">
      <alignment horizontal="center" vertical="center" wrapText="1"/>
    </xf>
    <xf numFmtId="0" fontId="53" fillId="0" borderId="0" xfId="0" applyFont="1" applyFill="1" applyProtection="1"/>
    <xf numFmtId="0" fontId="50" fillId="0" borderId="1" xfId="0" applyNumberFormat="1" applyFont="1" applyFill="1" applyBorder="1" applyAlignment="1" applyProtection="1">
      <alignment horizontal="center" vertical="center" wrapText="1"/>
    </xf>
    <xf numFmtId="38" fontId="50" fillId="0" borderId="1" xfId="1" applyNumberFormat="1" applyFont="1" applyFill="1" applyBorder="1" applyAlignment="1" applyProtection="1">
      <alignment horizontal="center" vertical="center" wrapText="1"/>
    </xf>
    <xf numFmtId="178" fontId="112" fillId="0" borderId="1" xfId="0" applyNumberFormat="1" applyFont="1" applyFill="1" applyBorder="1" applyAlignment="1" applyProtection="1">
      <alignment horizontal="center" vertical="center" wrapText="1"/>
    </xf>
    <xf numFmtId="0" fontId="50" fillId="0" borderId="0" xfId="0" applyFont="1" applyFill="1" applyProtection="1"/>
    <xf numFmtId="167" fontId="50" fillId="0" borderId="0" xfId="1" applyNumberFormat="1" applyFont="1" applyFill="1" applyProtection="1"/>
    <xf numFmtId="0" fontId="50" fillId="0" borderId="15" xfId="0" applyFont="1" applyFill="1" applyBorder="1" applyAlignment="1" applyProtection="1">
      <alignment horizontal="center" vertical="center" wrapText="1"/>
    </xf>
    <xf numFmtId="0" fontId="47" fillId="0" borderId="15" xfId="0" applyNumberFormat="1" applyFont="1" applyFill="1" applyBorder="1" applyAlignment="1" applyProtection="1">
      <alignment horizontal="left" vertical="center" wrapText="1"/>
    </xf>
    <xf numFmtId="0" fontId="50" fillId="0" borderId="15" xfId="0" applyNumberFormat="1" applyFont="1" applyFill="1" applyBorder="1" applyAlignment="1" applyProtection="1">
      <alignment horizontal="center" vertical="center" wrapText="1"/>
    </xf>
    <xf numFmtId="176" fontId="50" fillId="0" borderId="15" xfId="0" applyNumberFormat="1" applyFont="1" applyFill="1" applyBorder="1" applyAlignment="1" applyProtection="1">
      <alignment horizontal="right" vertical="center" wrapText="1"/>
    </xf>
    <xf numFmtId="177" fontId="153" fillId="0" borderId="15" xfId="0" applyNumberFormat="1" applyFont="1" applyFill="1" applyBorder="1" applyAlignment="1" applyProtection="1">
      <alignment horizontal="right" vertical="center" wrapText="1"/>
    </xf>
    <xf numFmtId="177" fontId="47" fillId="0" borderId="0" xfId="0" applyNumberFormat="1" applyFont="1" applyFill="1" applyProtection="1"/>
    <xf numFmtId="0" fontId="114" fillId="0" borderId="0" xfId="0" applyFont="1" applyFill="1" applyProtection="1"/>
    <xf numFmtId="0" fontId="85" fillId="0" borderId="53" xfId="0" applyFont="1" applyFill="1" applyBorder="1" applyAlignment="1">
      <alignment horizontal="center" vertical="center"/>
    </xf>
    <xf numFmtId="0" fontId="85" fillId="0" borderId="53" xfId="0" applyFont="1" applyFill="1" applyBorder="1" applyAlignment="1">
      <alignment vertical="center"/>
    </xf>
    <xf numFmtId="0" fontId="154" fillId="0" borderId="0" xfId="0" applyFont="1" applyBorder="1" applyAlignment="1">
      <alignment horizontal="center" vertical="center"/>
    </xf>
    <xf numFmtId="0" fontId="154" fillId="0" borderId="51" xfId="0" applyFont="1" applyBorder="1" applyAlignment="1">
      <alignment horizontal="center" vertical="center"/>
    </xf>
    <xf numFmtId="0" fontId="154" fillId="6" borderId="54" xfId="0" applyFont="1" applyFill="1" applyBorder="1" applyAlignment="1">
      <alignment horizontal="center" vertical="center"/>
    </xf>
    <xf numFmtId="0" fontId="156" fillId="0" borderId="54" xfId="0" applyFont="1" applyFill="1" applyBorder="1" applyAlignment="1">
      <alignment horizontal="center" vertical="center"/>
    </xf>
    <xf numFmtId="0" fontId="156" fillId="0" borderId="54" xfId="0" applyFont="1" applyFill="1" applyBorder="1" applyAlignment="1">
      <alignment horizontal="left" vertical="center" wrapText="1"/>
    </xf>
    <xf numFmtId="0" fontId="154" fillId="0" borderId="54" xfId="0" applyFont="1" applyFill="1" applyBorder="1" applyAlignment="1">
      <alignment vertical="center" wrapText="1"/>
    </xf>
    <xf numFmtId="0" fontId="156" fillId="0" borderId="54" xfId="0" applyFont="1" applyFill="1" applyBorder="1" applyAlignment="1">
      <alignment vertical="center" wrapText="1"/>
    </xf>
    <xf numFmtId="0" fontId="158" fillId="6" borderId="54" xfId="0" applyFont="1" applyFill="1" applyBorder="1" applyAlignment="1">
      <alignment horizontal="center" vertical="center"/>
    </xf>
    <xf numFmtId="0" fontId="154" fillId="0" borderId="60" xfId="0" applyFont="1" applyFill="1" applyBorder="1" applyAlignment="1">
      <alignment horizontal="center" vertical="center"/>
    </xf>
    <xf numFmtId="0" fontId="154" fillId="0" borderId="57" xfId="0" applyFont="1" applyFill="1" applyBorder="1" applyAlignment="1">
      <alignment horizontal="center" vertical="center"/>
    </xf>
    <xf numFmtId="0" fontId="156" fillId="0" borderId="0" xfId="0" applyFont="1" applyFill="1" applyAlignment="1">
      <alignment horizontal="center" vertical="center"/>
    </xf>
    <xf numFmtId="0" fontId="156" fillId="0" borderId="0" xfId="0" applyFont="1" applyAlignment="1">
      <alignment horizontal="center" vertical="center"/>
    </xf>
    <xf numFmtId="0" fontId="147" fillId="0" borderId="64" xfId="0" applyFont="1" applyBorder="1" applyAlignment="1">
      <alignment horizontal="center" vertical="center"/>
    </xf>
    <xf numFmtId="0" fontId="147" fillId="0" borderId="65" xfId="0" applyFont="1" applyBorder="1" applyAlignment="1">
      <alignment horizontal="center" vertical="center"/>
    </xf>
    <xf numFmtId="0" fontId="147" fillId="0" borderId="0" xfId="0" applyFont="1" applyBorder="1" applyAlignment="1">
      <alignment horizontal="center" vertical="center"/>
    </xf>
    <xf numFmtId="3" fontId="78" fillId="0" borderId="63" xfId="0" applyNumberFormat="1" applyFont="1" applyBorder="1" applyAlignment="1">
      <alignment horizontal="center" vertical="center"/>
    </xf>
    <xf numFmtId="165" fontId="75" fillId="2" borderId="53" xfId="0" applyNumberFormat="1" applyFont="1" applyFill="1" applyBorder="1" applyAlignment="1">
      <alignment vertical="center" wrapText="1"/>
    </xf>
    <xf numFmtId="165" fontId="76" fillId="2" borderId="53" xfId="0" applyNumberFormat="1" applyFont="1" applyFill="1" applyBorder="1" applyAlignment="1">
      <alignment horizontal="center" vertical="center" wrapText="1"/>
    </xf>
    <xf numFmtId="171" fontId="75" fillId="2" borderId="53" xfId="1" applyNumberFormat="1" applyFont="1" applyFill="1" applyBorder="1" applyAlignment="1">
      <alignment vertical="center" wrapText="1"/>
    </xf>
    <xf numFmtId="171" fontId="76" fillId="2" borderId="53" xfId="1" applyNumberFormat="1" applyFont="1" applyFill="1" applyBorder="1" applyAlignment="1">
      <alignment vertical="center" wrapText="1"/>
    </xf>
    <xf numFmtId="167" fontId="78" fillId="0" borderId="53" xfId="1" applyNumberFormat="1" applyFont="1" applyBorder="1" applyAlignment="1">
      <alignment vertical="center"/>
    </xf>
    <xf numFmtId="167" fontId="76" fillId="2" borderId="53" xfId="1" applyNumberFormat="1" applyFont="1" applyFill="1" applyBorder="1" applyAlignment="1">
      <alignment vertical="center" wrapText="1"/>
    </xf>
    <xf numFmtId="167" fontId="76" fillId="2" borderId="53" xfId="1" applyNumberFormat="1" applyFont="1" applyFill="1" applyBorder="1" applyAlignment="1">
      <alignment horizontal="right" vertical="center" wrapText="1"/>
    </xf>
    <xf numFmtId="3" fontId="80" fillId="0" borderId="53" xfId="0" applyNumberFormat="1" applyFont="1" applyBorder="1" applyAlignment="1" applyProtection="1">
      <alignment vertical="center" wrapText="1"/>
      <protection locked="0"/>
    </xf>
    <xf numFmtId="165" fontId="81" fillId="2" borderId="53" xfId="0" applyNumberFormat="1" applyFont="1" applyFill="1" applyBorder="1" applyAlignment="1">
      <alignment vertical="center" wrapText="1"/>
    </xf>
    <xf numFmtId="165" fontId="63" fillId="2" borderId="53" xfId="0" applyNumberFormat="1" applyFont="1" applyFill="1" applyBorder="1" applyAlignment="1">
      <alignment vertical="center" wrapText="1"/>
    </xf>
    <xf numFmtId="0" fontId="83" fillId="0" borderId="53" xfId="0" applyFont="1" applyBorder="1" applyAlignment="1">
      <alignment vertical="center" wrapText="1"/>
    </xf>
    <xf numFmtId="167" fontId="83" fillId="0" borderId="53" xfId="1" applyNumberFormat="1" applyFont="1" applyBorder="1" applyAlignment="1">
      <alignment vertical="center"/>
    </xf>
    <xf numFmtId="171" fontId="64" fillId="2" borderId="53" xfId="1" applyNumberFormat="1" applyFont="1" applyFill="1" applyBorder="1" applyAlignment="1">
      <alignment vertical="center" wrapText="1"/>
    </xf>
    <xf numFmtId="167" fontId="64" fillId="2" borderId="53" xfId="1" applyNumberFormat="1" applyFont="1" applyFill="1" applyBorder="1" applyAlignment="1">
      <alignment horizontal="right" vertical="center" wrapText="1"/>
    </xf>
    <xf numFmtId="171" fontId="86" fillId="0" borderId="53" xfId="1" applyNumberFormat="1" applyFont="1" applyFill="1" applyBorder="1" applyAlignment="1">
      <alignment vertical="center"/>
    </xf>
    <xf numFmtId="0" fontId="148" fillId="0" borderId="52" xfId="0" applyFont="1" applyBorder="1" applyAlignment="1">
      <alignment horizontal="center" vertical="center" wrapText="1"/>
    </xf>
    <xf numFmtId="0" fontId="148" fillId="0" borderId="53" xfId="0" applyFont="1" applyBorder="1" applyAlignment="1">
      <alignment horizontal="center" vertical="center" wrapText="1"/>
    </xf>
    <xf numFmtId="0" fontId="148" fillId="0" borderId="53" xfId="0" applyFont="1" applyBorder="1" applyAlignment="1">
      <alignment vertical="center" wrapText="1"/>
    </xf>
    <xf numFmtId="0" fontId="8" fillId="0" borderId="55" xfId="0" applyFont="1" applyFill="1" applyBorder="1" applyAlignment="1">
      <alignment horizontal="center" vertical="center" wrapText="1"/>
    </xf>
    <xf numFmtId="0" fontId="8" fillId="0" borderId="56" xfId="0" applyFont="1" applyFill="1" applyBorder="1" applyAlignment="1">
      <alignment horizontal="center" vertical="center" wrapText="1"/>
    </xf>
    <xf numFmtId="0" fontId="73" fillId="0" borderId="56" xfId="0" applyFont="1" applyBorder="1" applyAlignment="1">
      <alignment horizontal="left" vertical="center" wrapText="1"/>
    </xf>
    <xf numFmtId="0" fontId="10" fillId="0" borderId="56" xfId="3" applyFont="1" applyFill="1" applyBorder="1" applyAlignment="1">
      <alignment horizontal="center" vertical="center"/>
    </xf>
    <xf numFmtId="171" fontId="10" fillId="0" borderId="56" xfId="1" applyNumberFormat="1" applyFont="1" applyFill="1" applyBorder="1" applyAlignment="1">
      <alignment vertical="center"/>
    </xf>
    <xf numFmtId="171" fontId="23" fillId="0" borderId="56" xfId="1" applyNumberFormat="1" applyFont="1" applyFill="1" applyBorder="1" applyAlignment="1">
      <alignment vertical="center"/>
    </xf>
    <xf numFmtId="0" fontId="159" fillId="2" borderId="0" xfId="4" applyFont="1" applyFill="1" applyAlignment="1">
      <alignment horizontal="center"/>
    </xf>
    <xf numFmtId="0" fontId="95" fillId="2" borderId="24" xfId="6" applyFont="1" applyFill="1" applyBorder="1" applyAlignment="1">
      <alignment horizontal="center" vertical="center"/>
    </xf>
    <xf numFmtId="0" fontId="93" fillId="2" borderId="5" xfId="6" applyFont="1" applyFill="1" applyBorder="1" applyAlignment="1">
      <alignment vertical="center"/>
    </xf>
    <xf numFmtId="0" fontId="93" fillId="2" borderId="5" xfId="6" applyFont="1" applyFill="1" applyBorder="1" applyAlignment="1">
      <alignment horizontal="center" vertical="center"/>
    </xf>
    <xf numFmtId="164" fontId="93" fillId="2" borderId="5" xfId="7" applyFont="1" applyFill="1" applyBorder="1" applyAlignment="1">
      <alignment vertical="center"/>
    </xf>
    <xf numFmtId="167" fontId="93" fillId="2" borderId="5" xfId="7" applyNumberFormat="1" applyFont="1" applyFill="1" applyBorder="1" applyAlignment="1">
      <alignment vertical="center"/>
    </xf>
    <xf numFmtId="167" fontId="93" fillId="2" borderId="3" xfId="7" applyNumberFormat="1" applyFont="1" applyFill="1" applyBorder="1" applyAlignment="1">
      <alignment vertical="center"/>
    </xf>
    <xf numFmtId="167" fontId="93" fillId="2" borderId="31" xfId="7" applyNumberFormat="1" applyFont="1" applyFill="1" applyBorder="1" applyAlignment="1">
      <alignment vertical="center"/>
    </xf>
    <xf numFmtId="0" fontId="159" fillId="2" borderId="0" xfId="4" applyFont="1" applyFill="1"/>
    <xf numFmtId="164" fontId="93" fillId="2" borderId="3" xfId="7" applyFont="1" applyFill="1" applyBorder="1" applyAlignment="1">
      <alignment vertical="center"/>
    </xf>
    <xf numFmtId="164" fontId="95" fillId="0" borderId="5" xfId="7" applyFont="1" applyBorder="1" applyAlignment="1">
      <alignment vertical="center"/>
    </xf>
    <xf numFmtId="164" fontId="95" fillId="2" borderId="5" xfId="7" applyFont="1" applyFill="1" applyBorder="1" applyAlignment="1">
      <alignment vertical="center"/>
    </xf>
    <xf numFmtId="0" fontId="155" fillId="0" borderId="54" xfId="0" applyFont="1" applyFill="1" applyBorder="1" applyAlignment="1">
      <alignment horizontal="left" vertical="center" wrapText="1"/>
    </xf>
    <xf numFmtId="0" fontId="85" fillId="0" borderId="0" xfId="0" applyFont="1" applyBorder="1" applyAlignment="1">
      <alignment horizontal="right" vertical="center"/>
    </xf>
    <xf numFmtId="0" fontId="85" fillId="0" borderId="50" xfId="0" applyFont="1" applyBorder="1" applyAlignment="1">
      <alignment horizontal="right" vertical="center"/>
    </xf>
    <xf numFmtId="0" fontId="87" fillId="0" borderId="53" xfId="0" applyFont="1" applyFill="1" applyBorder="1" applyAlignment="1">
      <alignment horizontal="right" vertical="center"/>
    </xf>
    <xf numFmtId="3" fontId="86" fillId="0" borderId="53" xfId="0" applyNumberFormat="1" applyFont="1" applyFill="1" applyBorder="1" applyAlignment="1">
      <alignment horizontal="right" vertical="center"/>
    </xf>
    <xf numFmtId="3" fontId="85" fillId="0" borderId="53" xfId="0" applyNumberFormat="1" applyFont="1" applyFill="1" applyBorder="1" applyAlignment="1">
      <alignment horizontal="right" vertical="center"/>
    </xf>
    <xf numFmtId="3" fontId="78" fillId="0" borderId="53" xfId="0" applyNumberFormat="1" applyFont="1" applyBorder="1" applyAlignment="1">
      <alignment horizontal="right" vertical="center"/>
    </xf>
    <xf numFmtId="3" fontId="147" fillId="0" borderId="53" xfId="0" applyNumberFormat="1" applyFont="1" applyBorder="1" applyAlignment="1">
      <alignment horizontal="right" vertical="center"/>
    </xf>
    <xf numFmtId="0" fontId="89" fillId="6" borderId="53" xfId="0" applyFont="1" applyFill="1" applyBorder="1" applyAlignment="1">
      <alignment horizontal="right" vertical="center"/>
    </xf>
    <xf numFmtId="0" fontId="85" fillId="0" borderId="58" xfId="0" applyFont="1" applyFill="1" applyBorder="1" applyAlignment="1">
      <alignment horizontal="right" vertical="center"/>
    </xf>
    <xf numFmtId="0" fontId="85" fillId="0" borderId="56" xfId="0" applyFont="1" applyFill="1" applyBorder="1" applyAlignment="1">
      <alignment horizontal="right" vertical="center"/>
    </xf>
    <xf numFmtId="0" fontId="86" fillId="0" borderId="0" xfId="0" applyFont="1" applyFill="1" applyAlignment="1">
      <alignment horizontal="right" vertical="center"/>
    </xf>
    <xf numFmtId="0" fontId="86" fillId="0" borderId="0" xfId="0" applyFont="1" applyAlignment="1">
      <alignment horizontal="right" vertical="center"/>
    </xf>
    <xf numFmtId="0" fontId="85" fillId="0" borderId="62" xfId="0" applyFont="1" applyBorder="1" applyAlignment="1">
      <alignment horizontal="center" vertical="center" wrapText="1"/>
    </xf>
    <xf numFmtId="43" fontId="11" fillId="0" borderId="0" xfId="0" applyNumberFormat="1" applyFont="1" applyAlignment="1">
      <alignment vertical="center" wrapText="1"/>
    </xf>
    <xf numFmtId="164" fontId="11" fillId="0" borderId="0" xfId="0" applyNumberFormat="1" applyFont="1" applyAlignment="1">
      <alignment vertical="center" wrapText="1"/>
    </xf>
    <xf numFmtId="179" fontId="6" fillId="0" borderId="53" xfId="1" applyNumberFormat="1" applyFont="1" applyBorder="1" applyAlignment="1">
      <alignment vertical="center" wrapText="1"/>
    </xf>
    <xf numFmtId="0" fontId="161" fillId="6" borderId="53" xfId="0" applyFont="1" applyFill="1" applyBorder="1" applyAlignment="1">
      <alignment horizontal="center" vertical="center" wrapText="1"/>
    </xf>
    <xf numFmtId="0" fontId="162" fillId="0" borderId="53" xfId="0" applyFont="1" applyFill="1" applyBorder="1" applyAlignment="1">
      <alignment horizontal="center" vertical="center" wrapText="1"/>
    </xf>
    <xf numFmtId="0" fontId="161" fillId="6" borderId="53" xfId="0" applyFont="1" applyFill="1" applyBorder="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171" fontId="6" fillId="0" borderId="0" xfId="1" applyNumberFormat="1" applyFont="1" applyAlignment="1">
      <alignment vertical="center"/>
    </xf>
    <xf numFmtId="0" fontId="11" fillId="0" borderId="53" xfId="0" applyFont="1" applyFill="1" applyBorder="1" applyAlignment="1">
      <alignment horizontal="left" vertical="center" wrapText="1"/>
    </xf>
    <xf numFmtId="171" fontId="90" fillId="0" borderId="0" xfId="1" applyNumberFormat="1" applyFont="1" applyFill="1" applyAlignment="1">
      <alignment vertical="center"/>
    </xf>
    <xf numFmtId="3" fontId="90" fillId="0" borderId="0" xfId="0" applyNumberFormat="1" applyFont="1" applyFill="1" applyAlignment="1">
      <alignment vertical="center"/>
    </xf>
    <xf numFmtId="0" fontId="23" fillId="0" borderId="49" xfId="0" applyFont="1" applyFill="1" applyBorder="1" applyAlignment="1">
      <alignment horizontal="center" vertical="center" wrapText="1"/>
    </xf>
    <xf numFmtId="0" fontId="23" fillId="0" borderId="50" xfId="0" applyFont="1" applyFill="1" applyBorder="1" applyAlignment="1">
      <alignment horizontal="center" vertical="center" wrapText="1"/>
    </xf>
    <xf numFmtId="171" fontId="23" fillId="2" borderId="50" xfId="1" applyNumberFormat="1" applyFont="1" applyFill="1" applyBorder="1" applyAlignment="1">
      <alignment horizontal="center" vertical="center" wrapText="1"/>
    </xf>
    <xf numFmtId="3" fontId="23" fillId="2" borderId="50" xfId="0" applyNumberFormat="1" applyFont="1" applyFill="1" applyBorder="1" applyAlignment="1">
      <alignment horizontal="center" vertical="center" wrapText="1"/>
    </xf>
    <xf numFmtId="0" fontId="23" fillId="0" borderId="51" xfId="0" applyFont="1" applyFill="1" applyBorder="1" applyAlignment="1">
      <alignment horizontal="center" vertical="center" wrapText="1"/>
    </xf>
    <xf numFmtId="0" fontId="6" fillId="0" borderId="52" xfId="0" applyFont="1" applyBorder="1" applyAlignment="1">
      <alignment vertical="center"/>
    </xf>
    <xf numFmtId="0" fontId="6" fillId="0" borderId="53" xfId="0" applyFont="1" applyBorder="1" applyAlignment="1">
      <alignment vertical="center"/>
    </xf>
    <xf numFmtId="0" fontId="6" fillId="0" borderId="54" xfId="0" applyFont="1" applyBorder="1" applyAlignment="1">
      <alignment vertical="center"/>
    </xf>
    <xf numFmtId="0" fontId="6" fillId="0" borderId="55" xfId="0" applyFont="1" applyBorder="1" applyAlignment="1">
      <alignment vertical="center"/>
    </xf>
    <xf numFmtId="0" fontId="6" fillId="0" borderId="56" xfId="0" applyFont="1" applyBorder="1" applyAlignment="1">
      <alignment vertical="center"/>
    </xf>
    <xf numFmtId="0" fontId="6" fillId="0" borderId="56" xfId="0" applyFont="1" applyBorder="1" applyAlignment="1">
      <alignment horizontal="center" vertical="center"/>
    </xf>
    <xf numFmtId="171" fontId="6" fillId="0" borderId="56" xfId="1" applyNumberFormat="1" applyFont="1" applyBorder="1" applyAlignment="1">
      <alignment vertical="center"/>
    </xf>
    <xf numFmtId="0" fontId="6" fillId="0" borderId="57" xfId="0" applyFont="1" applyBorder="1" applyAlignment="1">
      <alignment vertical="center"/>
    </xf>
    <xf numFmtId="43" fontId="85" fillId="0" borderId="0" xfId="1" applyFont="1" applyBorder="1" applyAlignment="1">
      <alignment horizontal="center" vertical="center"/>
    </xf>
    <xf numFmtId="43" fontId="87" fillId="0" borderId="53" xfId="1" applyFont="1" applyFill="1" applyBorder="1" applyAlignment="1">
      <alignment horizontal="center" vertical="center"/>
    </xf>
    <xf numFmtId="43" fontId="79" fillId="0" borderId="53" xfId="1" applyFont="1" applyBorder="1" applyAlignment="1">
      <alignment horizontal="center" vertical="center"/>
    </xf>
    <xf numFmtId="43" fontId="78" fillId="0" borderId="53" xfId="1" applyFont="1" applyBorder="1" applyAlignment="1">
      <alignment horizontal="center" vertical="center"/>
    </xf>
    <xf numFmtId="43" fontId="147" fillId="0" borderId="53" xfId="1" applyFont="1" applyBorder="1" applyAlignment="1">
      <alignment horizontal="center" vertical="center"/>
    </xf>
    <xf numFmtId="43" fontId="89" fillId="6" borderId="53" xfId="1" applyFont="1" applyFill="1" applyBorder="1" applyAlignment="1">
      <alignment horizontal="center" vertical="center"/>
    </xf>
    <xf numFmtId="43" fontId="85" fillId="0" borderId="58" xfId="1" applyFont="1" applyFill="1" applyBorder="1" applyAlignment="1">
      <alignment horizontal="center" vertical="center"/>
    </xf>
    <xf numFmtId="43" fontId="85" fillId="0" borderId="56" xfId="1" applyFont="1" applyFill="1" applyBorder="1" applyAlignment="1">
      <alignment horizontal="center" vertical="center"/>
    </xf>
    <xf numFmtId="43" fontId="86" fillId="0" borderId="0" xfId="1" applyFont="1" applyFill="1" applyAlignment="1">
      <alignment horizontal="center" vertical="center"/>
    </xf>
    <xf numFmtId="43" fontId="86" fillId="0" borderId="0" xfId="1" applyFont="1" applyAlignment="1">
      <alignment horizontal="center" vertical="center"/>
    </xf>
    <xf numFmtId="167" fontId="6" fillId="0" borderId="0" xfId="0" applyNumberFormat="1" applyFont="1" applyAlignment="1">
      <alignment vertical="center" wrapText="1"/>
    </xf>
    <xf numFmtId="0" fontId="86" fillId="0" borderId="0" xfId="0" applyFont="1" applyAlignment="1">
      <alignment horizontal="left" vertical="center"/>
    </xf>
    <xf numFmtId="180" fontId="10" fillId="0" borderId="53" xfId="1" applyNumberFormat="1" applyFont="1" applyFill="1" applyBorder="1" applyAlignment="1">
      <alignment vertical="center"/>
    </xf>
    <xf numFmtId="0" fontId="166" fillId="0" borderId="53" xfId="3" applyFont="1" applyFill="1" applyBorder="1" applyAlignment="1">
      <alignment horizontal="left" vertical="center"/>
    </xf>
    <xf numFmtId="0" fontId="7" fillId="0" borderId="53" xfId="0" applyFont="1" applyFill="1" applyBorder="1" applyAlignment="1">
      <alignment horizontal="center" vertical="center" wrapText="1"/>
    </xf>
    <xf numFmtId="0" fontId="74" fillId="0" borderId="53" xfId="0" applyFont="1" applyBorder="1" applyAlignment="1">
      <alignment horizontal="left" vertical="center" wrapText="1"/>
    </xf>
    <xf numFmtId="171" fontId="73" fillId="0" borderId="53" xfId="1" applyNumberFormat="1" applyFont="1" applyBorder="1" applyAlignment="1">
      <alignment horizontal="left" vertical="center" wrapText="1"/>
    </xf>
    <xf numFmtId="0" fontId="23" fillId="0" borderId="53" xfId="0" applyFont="1" applyFill="1" applyBorder="1" applyAlignment="1">
      <alignment horizontal="center" vertical="center" wrapText="1"/>
    </xf>
    <xf numFmtId="0" fontId="85" fillId="0" borderId="53" xfId="0" applyFont="1" applyFill="1" applyBorder="1" applyAlignment="1">
      <alignment vertical="center" wrapText="1"/>
    </xf>
    <xf numFmtId="0" fontId="7" fillId="0" borderId="53" xfId="0" applyFont="1" applyBorder="1" applyAlignment="1">
      <alignment vertical="center" wrapText="1"/>
    </xf>
    <xf numFmtId="171" fontId="9" fillId="0" borderId="53" xfId="1" applyNumberFormat="1" applyFont="1" applyBorder="1" applyAlignment="1">
      <alignment vertical="center" wrapText="1"/>
    </xf>
    <xf numFmtId="171" fontId="167" fillId="0" borderId="53" xfId="1" applyNumberFormat="1" applyFont="1" applyBorder="1" applyAlignment="1">
      <alignment vertical="center" wrapText="1"/>
    </xf>
    <xf numFmtId="0" fontId="166" fillId="0" borderId="53" xfId="3" applyFont="1" applyFill="1" applyBorder="1" applyAlignment="1">
      <alignment horizontal="center" vertical="center"/>
    </xf>
    <xf numFmtId="165" fontId="77" fillId="2" borderId="53" xfId="0" applyNumberFormat="1" applyFont="1" applyFill="1" applyBorder="1" applyAlignment="1">
      <alignment horizontal="center" vertical="center" wrapText="1"/>
    </xf>
    <xf numFmtId="43" fontId="76" fillId="2" borderId="53" xfId="1" applyFont="1" applyFill="1" applyBorder="1" applyAlignment="1">
      <alignment horizontal="center" vertical="center" wrapText="1"/>
    </xf>
    <xf numFmtId="165" fontId="63" fillId="2" borderId="53" xfId="0" applyNumberFormat="1" applyFont="1" applyFill="1" applyBorder="1" applyAlignment="1">
      <alignment horizontal="center" vertical="center" wrapText="1"/>
    </xf>
    <xf numFmtId="43" fontId="64" fillId="2" borderId="53" xfId="1" applyFont="1" applyFill="1" applyBorder="1" applyAlignment="1">
      <alignment horizontal="center" vertical="center" wrapText="1"/>
    </xf>
    <xf numFmtId="0" fontId="9" fillId="0" borderId="53" xfId="0" applyFont="1" applyBorder="1" applyAlignment="1">
      <alignment vertical="center" wrapText="1"/>
    </xf>
    <xf numFmtId="0" fontId="9" fillId="0" borderId="53" xfId="0" applyFont="1" applyBorder="1" applyAlignment="1">
      <alignment horizontal="center" vertical="center"/>
    </xf>
    <xf numFmtId="171" fontId="9" fillId="0" borderId="53" xfId="1" applyNumberFormat="1" applyFont="1" applyBorder="1" applyAlignment="1">
      <alignment vertical="center"/>
    </xf>
    <xf numFmtId="171" fontId="23" fillId="2" borderId="53" xfId="1" applyNumberFormat="1" applyFont="1" applyFill="1" applyBorder="1" applyAlignment="1">
      <alignment vertical="center" wrapText="1"/>
    </xf>
    <xf numFmtId="171" fontId="86" fillId="0" borderId="0" xfId="1" applyNumberFormat="1" applyFont="1" applyAlignment="1">
      <alignment vertical="center"/>
    </xf>
    <xf numFmtId="171" fontId="85" fillId="0" borderId="0" xfId="1" applyNumberFormat="1" applyFont="1" applyAlignment="1">
      <alignment horizontal="center" vertical="center"/>
    </xf>
    <xf numFmtId="171" fontId="87" fillId="0" borderId="0" xfId="1" applyNumberFormat="1" applyFont="1" applyFill="1" applyAlignment="1">
      <alignment vertical="center"/>
    </xf>
    <xf numFmtId="171" fontId="86" fillId="0" borderId="0" xfId="1" applyNumberFormat="1" applyFont="1" applyFill="1" applyAlignment="1">
      <alignment vertical="center"/>
    </xf>
    <xf numFmtId="171" fontId="85" fillId="0" borderId="0" xfId="1" applyNumberFormat="1" applyFont="1" applyFill="1" applyAlignment="1">
      <alignment vertical="center"/>
    </xf>
    <xf numFmtId="0" fontId="168" fillId="0" borderId="54" xfId="0" applyFont="1" applyBorder="1" applyAlignment="1">
      <alignment vertical="center" wrapText="1"/>
    </xf>
    <xf numFmtId="0" fontId="169" fillId="0" borderId="0" xfId="0" applyFont="1" applyAlignment="1">
      <alignment vertical="center" wrapText="1"/>
    </xf>
    <xf numFmtId="0" fontId="170" fillId="0" borderId="51" xfId="0" applyFont="1" applyBorder="1" applyAlignment="1">
      <alignment vertical="center" wrapText="1"/>
    </xf>
    <xf numFmtId="0" fontId="169" fillId="0" borderId="54" xfId="0" applyFont="1" applyBorder="1" applyAlignment="1">
      <alignment vertical="center" wrapText="1"/>
    </xf>
    <xf numFmtId="0" fontId="171" fillId="6" borderId="54" xfId="0" applyFont="1" applyFill="1" applyBorder="1" applyAlignment="1">
      <alignment vertical="center" wrapText="1"/>
    </xf>
    <xf numFmtId="0" fontId="172" fillId="0" borderId="54" xfId="0" applyFont="1" applyBorder="1" applyAlignment="1">
      <alignment vertical="center" wrapText="1"/>
    </xf>
    <xf numFmtId="164" fontId="169" fillId="0" borderId="54" xfId="0" applyNumberFormat="1" applyFont="1" applyBorder="1" applyAlignment="1">
      <alignment vertical="center" wrapText="1"/>
    </xf>
    <xf numFmtId="0" fontId="171" fillId="0" borderId="54" xfId="0" applyFont="1" applyBorder="1" applyAlignment="1">
      <alignment vertical="center" wrapText="1"/>
    </xf>
    <xf numFmtId="0" fontId="173" fillId="0" borderId="54" xfId="0" applyFont="1" applyFill="1" applyBorder="1" applyAlignment="1">
      <alignment horizontal="left" vertical="center" wrapText="1"/>
    </xf>
    <xf numFmtId="0" fontId="170" fillId="0" borderId="54" xfId="0" applyFont="1" applyBorder="1" applyAlignment="1">
      <alignment vertical="center" wrapText="1"/>
    </xf>
    <xf numFmtId="0" fontId="175" fillId="0" borderId="54" xfId="0" applyFont="1" applyBorder="1" applyAlignment="1">
      <alignment vertical="center" wrapText="1"/>
    </xf>
    <xf numFmtId="0" fontId="176" fillId="0" borderId="54" xfId="0" applyFont="1" applyFill="1" applyBorder="1" applyAlignment="1">
      <alignment vertical="center"/>
    </xf>
    <xf numFmtId="0" fontId="177" fillId="0" borderId="54" xfId="0" applyFont="1" applyBorder="1" applyAlignment="1">
      <alignment vertical="center" wrapText="1"/>
    </xf>
    <xf numFmtId="0" fontId="169" fillId="0" borderId="57" xfId="0" applyFont="1" applyBorder="1" applyAlignment="1">
      <alignment vertical="center" wrapText="1"/>
    </xf>
    <xf numFmtId="171" fontId="85" fillId="0" borderId="0" xfId="0" applyNumberFormat="1" applyFont="1" applyFill="1" applyAlignment="1">
      <alignment vertical="center"/>
    </xf>
    <xf numFmtId="0" fontId="178" fillId="12" borderId="41" xfId="0" applyFont="1" applyFill="1" applyBorder="1" applyAlignment="1">
      <alignment horizontal="center" vertical="center" wrapText="1"/>
    </xf>
    <xf numFmtId="0" fontId="178" fillId="12" borderId="1" xfId="0" applyFont="1" applyFill="1" applyBorder="1" applyAlignment="1">
      <alignment horizontal="center" vertical="center" wrapText="1"/>
    </xf>
    <xf numFmtId="0" fontId="178" fillId="12" borderId="1" xfId="0" applyFont="1" applyFill="1" applyBorder="1" applyAlignment="1">
      <alignment horizontal="left" vertical="center" wrapText="1"/>
    </xf>
    <xf numFmtId="0" fontId="178" fillId="12" borderId="1" xfId="0" applyFont="1" applyFill="1" applyBorder="1" applyAlignment="1">
      <alignment horizontal="right" vertical="center" wrapText="1"/>
    </xf>
    <xf numFmtId="3" fontId="178" fillId="12" borderId="42" xfId="0" applyNumberFormat="1" applyFont="1" applyFill="1" applyBorder="1" applyAlignment="1">
      <alignment vertical="center" wrapText="1"/>
    </xf>
    <xf numFmtId="0" fontId="53" fillId="12" borderId="0" xfId="0" applyFont="1" applyFill="1" applyAlignment="1">
      <alignment horizontal="center" vertical="center" wrapText="1"/>
    </xf>
    <xf numFmtId="0" fontId="178" fillId="12" borderId="0" xfId="0" applyFont="1" applyFill="1" applyAlignment="1">
      <alignment horizontal="center" vertical="center" wrapText="1"/>
    </xf>
    <xf numFmtId="0" fontId="179" fillId="12" borderId="41" xfId="0" applyFont="1" applyFill="1" applyBorder="1" applyAlignment="1">
      <alignment horizontal="center" vertical="center" wrapText="1"/>
    </xf>
    <xf numFmtId="0" fontId="180" fillId="12" borderId="1" xfId="0" applyFont="1" applyFill="1" applyBorder="1" applyAlignment="1">
      <alignment horizontal="center" vertical="center" wrapText="1"/>
    </xf>
    <xf numFmtId="0" fontId="181" fillId="12" borderId="1" xfId="0" applyFont="1" applyFill="1" applyBorder="1" applyAlignment="1">
      <alignment horizontal="left" vertical="center" wrapText="1"/>
    </xf>
    <xf numFmtId="0" fontId="182" fillId="12" borderId="1" xfId="0" applyFont="1" applyFill="1" applyBorder="1" applyAlignment="1">
      <alignment horizontal="center" vertical="center" wrapText="1"/>
    </xf>
    <xf numFmtId="0" fontId="183" fillId="12" borderId="1" xfId="0" applyFont="1" applyFill="1" applyBorder="1" applyAlignment="1">
      <alignment horizontal="right" vertical="center" wrapText="1"/>
    </xf>
    <xf numFmtId="3" fontId="184" fillId="12" borderId="1" xfId="16" applyNumberFormat="1" applyFont="1" applyFill="1" applyBorder="1" applyAlignment="1">
      <alignment horizontal="right" vertical="center" wrapText="1"/>
    </xf>
    <xf numFmtId="3" fontId="185" fillId="12" borderId="42" xfId="1" applyNumberFormat="1" applyFont="1" applyFill="1" applyBorder="1" applyAlignment="1">
      <alignment vertical="center" wrapText="1"/>
    </xf>
    <xf numFmtId="0" fontId="186" fillId="12" borderId="0" xfId="0" applyFont="1" applyFill="1" applyAlignment="1">
      <alignment horizontal="center" vertical="center" wrapText="1"/>
    </xf>
    <xf numFmtId="0" fontId="179" fillId="12" borderId="0" xfId="0" applyFont="1" applyFill="1" applyAlignment="1">
      <alignment horizontal="center" vertical="center" wrapText="1"/>
    </xf>
    <xf numFmtId="4" fontId="12" fillId="12" borderId="41" xfId="5" applyNumberFormat="1" applyFont="1" applyFill="1" applyBorder="1" applyAlignment="1">
      <alignment horizontal="center" vertical="center" wrapText="1"/>
    </xf>
    <xf numFmtId="164" fontId="35" fillId="12" borderId="1" xfId="9" applyFont="1" applyFill="1" applyBorder="1" applyAlignment="1">
      <alignment horizontal="center" vertical="center" wrapText="1"/>
    </xf>
    <xf numFmtId="164" fontId="35" fillId="12" borderId="1" xfId="9" applyFont="1" applyFill="1" applyBorder="1" applyAlignment="1">
      <alignment horizontal="left" vertical="center" wrapText="1"/>
    </xf>
    <xf numFmtId="181" fontId="35" fillId="12" borderId="1" xfId="9" applyNumberFormat="1" applyFont="1" applyFill="1" applyBorder="1" applyAlignment="1">
      <alignment horizontal="right" vertical="center" wrapText="1"/>
    </xf>
    <xf numFmtId="3" fontId="35" fillId="12" borderId="1" xfId="0" applyNumberFormat="1" applyFont="1" applyFill="1" applyBorder="1" applyAlignment="1">
      <alignment horizontal="right" vertical="center" wrapText="1"/>
    </xf>
    <xf numFmtId="3" fontId="35" fillId="12" borderId="42" xfId="0" applyNumberFormat="1" applyFont="1" applyFill="1" applyBorder="1" applyAlignment="1">
      <alignment vertical="center" wrapText="1"/>
    </xf>
    <xf numFmtId="0" fontId="12" fillId="12" borderId="0" xfId="5" applyFont="1" applyFill="1" applyAlignment="1">
      <alignment horizontal="center" vertical="center" wrapText="1"/>
    </xf>
    <xf numFmtId="0" fontId="32" fillId="12" borderId="0" xfId="5" applyFont="1" applyFill="1" applyAlignment="1">
      <alignment horizontal="center" vertical="center" wrapText="1"/>
    </xf>
    <xf numFmtId="4" fontId="15" fillId="12" borderId="41" xfId="5" applyNumberFormat="1" applyFont="1" applyFill="1" applyBorder="1" applyAlignment="1">
      <alignment horizontal="center" vertical="center" wrapText="1"/>
    </xf>
    <xf numFmtId="0" fontId="15" fillId="12" borderId="0" xfId="5" applyFont="1" applyFill="1" applyAlignment="1">
      <alignment horizontal="center" vertical="center" wrapText="1"/>
    </xf>
    <xf numFmtId="0" fontId="66" fillId="12" borderId="0" xfId="5" applyFont="1" applyFill="1" applyAlignment="1">
      <alignment horizontal="center" vertical="center" wrapText="1"/>
    </xf>
    <xf numFmtId="0" fontId="51" fillId="12" borderId="0" xfId="0" applyFont="1" applyFill="1" applyAlignment="1">
      <alignment horizontal="center" vertical="center" wrapText="1"/>
    </xf>
    <xf numFmtId="0" fontId="0" fillId="12" borderId="0" xfId="0" applyFont="1" applyFill="1" applyAlignment="1">
      <alignment horizontal="center" vertical="center" wrapText="1"/>
    </xf>
    <xf numFmtId="0" fontId="0" fillId="12" borderId="0" xfId="0" applyFont="1" applyFill="1" applyAlignment="1">
      <alignment horizontal="left" vertical="center" wrapText="1"/>
    </xf>
    <xf numFmtId="181" fontId="114" fillId="12" borderId="0" xfId="0" applyNumberFormat="1" applyFont="1" applyFill="1" applyAlignment="1">
      <alignment horizontal="right" vertical="center" wrapText="1"/>
    </xf>
    <xf numFmtId="3" fontId="114" fillId="12" borderId="0" xfId="0" applyNumberFormat="1" applyFont="1" applyFill="1" applyAlignment="1">
      <alignment horizontal="right" vertical="center" wrapText="1"/>
    </xf>
    <xf numFmtId="3" fontId="114" fillId="12" borderId="0" xfId="0" applyNumberFormat="1" applyFont="1" applyFill="1" applyAlignment="1">
      <alignment vertical="center" wrapText="1"/>
    </xf>
    <xf numFmtId="4" fontId="114" fillId="12" borderId="0" xfId="0" applyNumberFormat="1" applyFont="1" applyFill="1" applyAlignment="1">
      <alignment horizontal="center" vertical="center" wrapText="1"/>
    </xf>
    <xf numFmtId="0" fontId="85" fillId="6" borderId="77" xfId="0" applyFont="1" applyFill="1" applyBorder="1" applyAlignment="1">
      <alignment horizontal="center" vertical="center"/>
    </xf>
    <xf numFmtId="0" fontId="85" fillId="6" borderId="78" xfId="0" applyFont="1" applyFill="1" applyBorder="1" applyAlignment="1">
      <alignment horizontal="center" vertical="center" wrapText="1"/>
    </xf>
    <xf numFmtId="171" fontId="85" fillId="6" borderId="79" xfId="1" applyNumberFormat="1" applyFont="1" applyFill="1" applyBorder="1" applyAlignment="1">
      <alignment horizontal="center" vertical="center"/>
    </xf>
    <xf numFmtId="0" fontId="154" fillId="6" borderId="80" xfId="0" applyFont="1" applyFill="1" applyBorder="1" applyAlignment="1">
      <alignment horizontal="center" vertical="center"/>
    </xf>
    <xf numFmtId="0" fontId="85" fillId="6" borderId="78" xfId="0" applyFont="1" applyFill="1" applyBorder="1" applyAlignment="1">
      <alignment horizontal="center" vertical="center"/>
    </xf>
    <xf numFmtId="0" fontId="187" fillId="0" borderId="52" xfId="0" applyFont="1" applyFill="1" applyBorder="1" applyAlignment="1">
      <alignment horizontal="center" vertical="center" wrapText="1"/>
    </xf>
    <xf numFmtId="0" fontId="187" fillId="0" borderId="53" xfId="0" applyFont="1" applyFill="1" applyBorder="1" applyAlignment="1">
      <alignment vertical="center" wrapText="1"/>
    </xf>
    <xf numFmtId="0" fontId="187" fillId="0" borderId="53" xfId="0" applyFont="1" applyFill="1" applyBorder="1" applyAlignment="1">
      <alignment horizontal="center" vertical="center" wrapText="1"/>
    </xf>
    <xf numFmtId="171" fontId="187" fillId="0" borderId="53" xfId="1" applyNumberFormat="1" applyFont="1" applyBorder="1" applyAlignment="1">
      <alignment vertical="center" wrapText="1"/>
    </xf>
    <xf numFmtId="0" fontId="188" fillId="0" borderId="54" xfId="0" applyFont="1" applyBorder="1" applyAlignment="1">
      <alignment vertical="center" wrapText="1"/>
    </xf>
    <xf numFmtId="0" fontId="187" fillId="0" borderId="0" xfId="0" applyFont="1" applyAlignment="1">
      <alignment vertical="center" wrapText="1"/>
    </xf>
    <xf numFmtId="0" fontId="6" fillId="0" borderId="52" xfId="0" applyFont="1" applyFill="1" applyBorder="1" applyAlignment="1">
      <alignment horizontal="center" vertical="center" wrapText="1"/>
    </xf>
    <xf numFmtId="0" fontId="6" fillId="0" borderId="53" xfId="0" applyFont="1" applyFill="1" applyBorder="1" applyAlignment="1">
      <alignment horizontal="center" vertical="center" wrapText="1"/>
    </xf>
    <xf numFmtId="0" fontId="6" fillId="0" borderId="53" xfId="0" applyFont="1" applyFill="1" applyBorder="1" applyAlignment="1">
      <alignment vertical="center" wrapText="1"/>
    </xf>
    <xf numFmtId="0" fontId="189" fillId="0" borderId="52" xfId="0" applyFont="1" applyFill="1" applyBorder="1" applyAlignment="1">
      <alignment horizontal="center" vertical="center" wrapText="1"/>
    </xf>
    <xf numFmtId="0" fontId="189" fillId="0" borderId="53" xfId="0" applyFont="1" applyFill="1" applyBorder="1" applyAlignment="1">
      <alignment horizontal="center" vertical="center" wrapText="1"/>
    </xf>
    <xf numFmtId="0" fontId="149" fillId="0" borderId="53" xfId="0" applyFont="1" applyFill="1" applyBorder="1" applyAlignment="1">
      <alignment horizontal="center" vertical="center" wrapText="1"/>
    </xf>
    <xf numFmtId="0" fontId="189" fillId="0" borderId="0" xfId="0" applyFont="1" applyAlignment="1">
      <alignment vertical="center" wrapText="1"/>
    </xf>
    <xf numFmtId="0" fontId="187" fillId="0" borderId="52" xfId="0" applyFont="1" applyBorder="1" applyAlignment="1">
      <alignment horizontal="center" vertical="center" wrapText="1"/>
    </xf>
    <xf numFmtId="0" fontId="187" fillId="0" borderId="53" xfId="0" applyFont="1" applyBorder="1" applyAlignment="1">
      <alignment horizontal="center" vertical="center" wrapText="1"/>
    </xf>
    <xf numFmtId="0" fontId="187" fillId="0" borderId="53" xfId="0" applyFont="1" applyBorder="1" applyAlignment="1">
      <alignment vertical="center" wrapText="1"/>
    </xf>
    <xf numFmtId="4" fontId="28" fillId="12" borderId="0" xfId="0" applyNumberFormat="1" applyFont="1" applyFill="1" applyAlignment="1">
      <alignment horizontal="center" vertical="center" wrapText="1"/>
    </xf>
    <xf numFmtId="0" fontId="28" fillId="12" borderId="0" xfId="0" applyFont="1" applyFill="1" applyAlignment="1">
      <alignment horizontal="center" vertical="center" wrapText="1"/>
    </xf>
    <xf numFmtId="0" fontId="50" fillId="12" borderId="81" xfId="0" applyFont="1" applyFill="1" applyBorder="1" applyAlignment="1">
      <alignment horizontal="center" vertical="center" wrapText="1"/>
    </xf>
    <xf numFmtId="0" fontId="50" fillId="12" borderId="11" xfId="0" applyFont="1" applyFill="1" applyBorder="1" applyAlignment="1">
      <alignment horizontal="center" vertical="center" wrapText="1"/>
    </xf>
    <xf numFmtId="0" fontId="50" fillId="12" borderId="11" xfId="0" applyFont="1" applyFill="1" applyBorder="1" applyAlignment="1">
      <alignment horizontal="left" vertical="center" wrapText="1"/>
    </xf>
    <xf numFmtId="181" fontId="50" fillId="12" borderId="11" xfId="0" applyNumberFormat="1" applyFont="1" applyFill="1" applyBorder="1" applyAlignment="1">
      <alignment horizontal="right" vertical="center" wrapText="1"/>
    </xf>
    <xf numFmtId="3" fontId="50" fillId="12" borderId="11" xfId="0" applyNumberFormat="1" applyFont="1" applyFill="1" applyBorder="1" applyAlignment="1">
      <alignment horizontal="right" vertical="center" wrapText="1"/>
    </xf>
    <xf numFmtId="3" fontId="50" fillId="12" borderId="82" xfId="0" applyNumberFormat="1" applyFont="1" applyFill="1" applyBorder="1" applyAlignment="1">
      <alignment vertical="center" wrapText="1"/>
    </xf>
    <xf numFmtId="0" fontId="50" fillId="12" borderId="0" xfId="0" applyFont="1" applyFill="1" applyAlignment="1">
      <alignment horizontal="center" vertical="center" wrapText="1"/>
    </xf>
    <xf numFmtId="0" fontId="47" fillId="12" borderId="0" xfId="0" applyFont="1" applyFill="1" applyAlignment="1">
      <alignment horizontal="center" vertical="center" wrapText="1"/>
    </xf>
    <xf numFmtId="3" fontId="103" fillId="12" borderId="52" xfId="5" applyNumberFormat="1" applyFont="1" applyFill="1" applyBorder="1" applyAlignment="1">
      <alignment horizontal="center" vertical="center" wrapText="1"/>
    </xf>
    <xf numFmtId="2" fontId="103" fillId="12" borderId="53" xfId="5" applyNumberFormat="1" applyFont="1" applyFill="1" applyBorder="1" applyAlignment="1">
      <alignment horizontal="center" vertical="center" wrapText="1"/>
    </xf>
    <xf numFmtId="2" fontId="103" fillId="12" borderId="53" xfId="5" applyNumberFormat="1" applyFont="1" applyFill="1" applyBorder="1" applyAlignment="1">
      <alignment horizontal="left" vertical="center" wrapText="1"/>
    </xf>
    <xf numFmtId="2" fontId="103" fillId="12" borderId="53" xfId="5" applyNumberFormat="1" applyFont="1" applyFill="1" applyBorder="1" applyAlignment="1">
      <alignment horizontal="right" vertical="center" wrapText="1"/>
    </xf>
    <xf numFmtId="3" fontId="103" fillId="12" borderId="53" xfId="5" applyNumberFormat="1" applyFont="1" applyFill="1" applyBorder="1" applyAlignment="1">
      <alignment horizontal="right" vertical="center" wrapText="1"/>
    </xf>
    <xf numFmtId="3" fontId="103" fillId="12" borderId="54" xfId="5" applyNumberFormat="1" applyFont="1" applyFill="1" applyBorder="1" applyAlignment="1">
      <alignment vertical="center" wrapText="1"/>
    </xf>
    <xf numFmtId="0" fontId="103" fillId="12" borderId="0" xfId="5" applyFont="1" applyFill="1" applyAlignment="1">
      <alignment horizontal="center" vertical="center" wrapText="1"/>
    </xf>
    <xf numFmtId="0" fontId="190" fillId="12" borderId="52" xfId="0" applyFont="1" applyFill="1" applyBorder="1" applyAlignment="1">
      <alignment horizontal="center" vertical="center" wrapText="1"/>
    </xf>
    <xf numFmtId="0" fontId="191" fillId="12" borderId="53" xfId="0" applyFont="1" applyFill="1" applyBorder="1" applyAlignment="1">
      <alignment horizontal="center" vertical="center" wrapText="1"/>
    </xf>
    <xf numFmtId="0" fontId="186" fillId="12" borderId="53" xfId="0" applyFont="1" applyFill="1" applyBorder="1" applyAlignment="1">
      <alignment horizontal="left" vertical="center" wrapText="1"/>
    </xf>
    <xf numFmtId="0" fontId="186" fillId="12" borderId="53" xfId="0" applyFont="1" applyFill="1" applyBorder="1" applyAlignment="1">
      <alignment horizontal="center" vertical="center" wrapText="1"/>
    </xf>
    <xf numFmtId="0" fontId="192" fillId="12" borderId="53" xfId="0" applyFont="1" applyFill="1" applyBorder="1" applyAlignment="1">
      <alignment horizontal="right" vertical="center" wrapText="1"/>
    </xf>
    <xf numFmtId="3" fontId="103" fillId="12" borderId="53" xfId="16" applyNumberFormat="1" applyFont="1" applyFill="1" applyBorder="1" applyAlignment="1">
      <alignment horizontal="right" vertical="center" wrapText="1"/>
    </xf>
    <xf numFmtId="3" fontId="20" fillId="12" borderId="54" xfId="1" applyNumberFormat="1" applyFont="1" applyFill="1" applyBorder="1" applyAlignment="1">
      <alignment vertical="center" wrapText="1"/>
    </xf>
    <xf numFmtId="0" fontId="190" fillId="12" borderId="0" xfId="0" applyFont="1" applyFill="1" applyAlignment="1">
      <alignment horizontal="center" vertical="center" wrapText="1"/>
    </xf>
    <xf numFmtId="3" fontId="12" fillId="12" borderId="52" xfId="5" applyNumberFormat="1" applyFont="1" applyFill="1" applyBorder="1" applyAlignment="1">
      <alignment horizontal="center" vertical="center" wrapText="1"/>
    </xf>
    <xf numFmtId="2" fontId="12" fillId="12" borderId="53" xfId="5" applyNumberFormat="1" applyFont="1" applyFill="1" applyBorder="1" applyAlignment="1">
      <alignment horizontal="center" vertical="center" wrapText="1"/>
    </xf>
    <xf numFmtId="2" fontId="12" fillId="12" borderId="53" xfId="5" applyNumberFormat="1" applyFont="1" applyFill="1" applyBorder="1" applyAlignment="1">
      <alignment horizontal="left" vertical="center" wrapText="1"/>
    </xf>
    <xf numFmtId="2" fontId="12" fillId="12" borderId="53" xfId="5" applyNumberFormat="1" applyFont="1" applyFill="1" applyBorder="1" applyAlignment="1">
      <alignment horizontal="right" vertical="center" wrapText="1"/>
    </xf>
    <xf numFmtId="3" fontId="12" fillId="12" borderId="53" xfId="5" applyNumberFormat="1" applyFont="1" applyFill="1" applyBorder="1" applyAlignment="1">
      <alignment horizontal="right" vertical="center" wrapText="1"/>
    </xf>
    <xf numFmtId="3" fontId="12" fillId="12" borderId="54" xfId="5" applyNumberFormat="1" applyFont="1" applyFill="1" applyBorder="1" applyAlignment="1">
      <alignment vertical="center" wrapText="1"/>
    </xf>
    <xf numFmtId="0" fontId="51" fillId="12" borderId="55" xfId="0" applyFont="1" applyFill="1" applyBorder="1" applyAlignment="1">
      <alignment horizontal="center" vertical="center" wrapText="1"/>
    </xf>
    <xf numFmtId="0" fontId="0" fillId="12" borderId="56" xfId="0" applyFont="1" applyFill="1" applyBorder="1" applyAlignment="1">
      <alignment horizontal="center" vertical="center" wrapText="1"/>
    </xf>
    <xf numFmtId="0" fontId="0" fillId="12" borderId="56" xfId="0" applyFont="1" applyFill="1" applyBorder="1" applyAlignment="1">
      <alignment horizontal="left" vertical="center" wrapText="1"/>
    </xf>
    <xf numFmtId="181" fontId="114" fillId="12" borderId="56" xfId="0" applyNumberFormat="1" applyFont="1" applyFill="1" applyBorder="1" applyAlignment="1">
      <alignment horizontal="right" vertical="center" wrapText="1"/>
    </xf>
    <xf numFmtId="3" fontId="114" fillId="12" borderId="56" xfId="0" applyNumberFormat="1" applyFont="1" applyFill="1" applyBorder="1" applyAlignment="1">
      <alignment horizontal="right" vertical="center" wrapText="1"/>
    </xf>
    <xf numFmtId="3" fontId="114" fillId="12" borderId="57" xfId="0" applyNumberFormat="1" applyFont="1" applyFill="1" applyBorder="1" applyAlignment="1">
      <alignment vertical="center" wrapText="1"/>
    </xf>
    <xf numFmtId="0" fontId="193" fillId="12" borderId="52" xfId="0" applyFont="1" applyFill="1" applyBorder="1" applyAlignment="1">
      <alignment horizontal="center" vertical="center" wrapText="1"/>
    </xf>
    <xf numFmtId="0" fontId="193" fillId="12" borderId="53" xfId="0" applyFont="1" applyFill="1" applyBorder="1" applyAlignment="1">
      <alignment horizontal="center" vertical="center" wrapText="1"/>
    </xf>
    <xf numFmtId="0" fontId="193" fillId="12" borderId="53" xfId="0" applyFont="1" applyFill="1" applyBorder="1" applyAlignment="1">
      <alignment horizontal="left" vertical="center" wrapText="1"/>
    </xf>
    <xf numFmtId="0" fontId="193" fillId="12" borderId="53" xfId="0" applyFont="1" applyFill="1" applyBorder="1" applyAlignment="1">
      <alignment horizontal="right" vertical="center" wrapText="1"/>
    </xf>
    <xf numFmtId="3" fontId="193" fillId="12" borderId="54" xfId="0" applyNumberFormat="1" applyFont="1" applyFill="1" applyBorder="1" applyAlignment="1">
      <alignment vertical="center" wrapText="1"/>
    </xf>
    <xf numFmtId="0" fontId="194" fillId="12" borderId="0" xfId="0" applyFont="1" applyFill="1" applyAlignment="1">
      <alignment horizontal="center" vertical="center" wrapText="1"/>
    </xf>
    <xf numFmtId="0" fontId="193" fillId="12" borderId="0" xfId="0" applyFont="1" applyFill="1" applyAlignment="1">
      <alignment horizontal="center" vertical="center" wrapText="1"/>
    </xf>
    <xf numFmtId="0" fontId="85" fillId="6" borderId="83" xfId="0" applyFont="1" applyFill="1" applyBorder="1" applyAlignment="1">
      <alignment vertical="center" wrapText="1"/>
    </xf>
    <xf numFmtId="0" fontId="85" fillId="6" borderId="84" xfId="0" applyFont="1" applyFill="1" applyBorder="1" applyAlignment="1">
      <alignment vertical="center" wrapText="1"/>
    </xf>
    <xf numFmtId="0" fontId="85" fillId="6" borderId="63" xfId="0" applyFont="1" applyFill="1" applyBorder="1" applyAlignment="1">
      <alignment vertical="center" wrapText="1"/>
    </xf>
    <xf numFmtId="0" fontId="163" fillId="0" borderId="0" xfId="0" applyFont="1" applyBorder="1" applyAlignment="1">
      <alignment horizontal="center" vertical="center"/>
    </xf>
    <xf numFmtId="0" fontId="85" fillId="0" borderId="50" xfId="0" applyFont="1" applyBorder="1" applyAlignment="1">
      <alignment horizontal="center" vertical="center"/>
    </xf>
    <xf numFmtId="0" fontId="85" fillId="0" borderId="0" xfId="0" applyFont="1" applyBorder="1" applyAlignment="1">
      <alignment horizontal="center" vertical="center"/>
    </xf>
    <xf numFmtId="0" fontId="164" fillId="0" borderId="0" xfId="0" applyFont="1" applyAlignment="1">
      <alignment horizontal="center" vertical="center" wrapText="1"/>
    </xf>
    <xf numFmtId="164" fontId="169" fillId="0" borderId="60" xfId="0" applyNumberFormat="1" applyFont="1" applyBorder="1" applyAlignment="1">
      <alignment horizontal="center" vertical="center" wrapText="1"/>
    </xf>
    <xf numFmtId="164" fontId="169" fillId="0" borderId="80" xfId="0" applyNumberFormat="1" applyFont="1" applyBorder="1" applyAlignment="1">
      <alignment horizontal="center" vertical="center" wrapText="1"/>
    </xf>
    <xf numFmtId="0" fontId="46" fillId="0" borderId="0" xfId="4" applyFont="1" applyAlignment="1">
      <alignment horizontal="left" vertical="center" wrapText="1"/>
    </xf>
    <xf numFmtId="0" fontId="25" fillId="0" borderId="0" xfId="4" applyFont="1" applyAlignment="1">
      <alignment horizontal="center" vertical="center" wrapText="1"/>
    </xf>
    <xf numFmtId="0" fontId="26" fillId="0" borderId="0" xfId="4" applyFont="1" applyAlignment="1">
      <alignment horizontal="center" vertical="center" wrapText="1"/>
    </xf>
    <xf numFmtId="0" fontId="28" fillId="0" borderId="0" xfId="5" applyNumberFormat="1" applyFont="1" applyFill="1" applyAlignment="1">
      <alignment horizontal="center" vertical="center" wrapText="1"/>
    </xf>
    <xf numFmtId="0" fontId="33" fillId="0" borderId="8" xfId="6" applyFont="1" applyBorder="1" applyAlignment="1">
      <alignment horizontal="center" vertical="center"/>
    </xf>
    <xf numFmtId="0" fontId="33" fillId="0" borderId="0" xfId="6" applyFont="1" applyBorder="1" applyAlignment="1">
      <alignment horizontal="center" vertical="center"/>
    </xf>
    <xf numFmtId="0" fontId="45" fillId="0" borderId="0" xfId="4" applyFont="1" applyAlignment="1">
      <alignment horizontal="left" vertical="center" wrapText="1"/>
    </xf>
    <xf numFmtId="0" fontId="164" fillId="0" borderId="0" xfId="0" applyFont="1" applyAlignment="1">
      <alignment horizontal="center" vertical="center"/>
    </xf>
    <xf numFmtId="0" fontId="46" fillId="0" borderId="0" xfId="0" quotePrefix="1" applyFont="1" applyAlignment="1">
      <alignment horizontal="left" vertical="center" wrapText="1"/>
    </xf>
    <xf numFmtId="0" fontId="165" fillId="0" borderId="0" xfId="0" applyFont="1" applyAlignment="1">
      <alignment horizontal="center"/>
    </xf>
    <xf numFmtId="0" fontId="49" fillId="0" borderId="0" xfId="0" applyFont="1" applyAlignment="1">
      <alignment horizontal="center"/>
    </xf>
    <xf numFmtId="3" fontId="47" fillId="0" borderId="0" xfId="0" applyNumberFormat="1" applyFont="1" applyBorder="1" applyAlignment="1">
      <alignment horizontal="right"/>
    </xf>
    <xf numFmtId="0" fontId="68" fillId="0" borderId="0" xfId="0" applyFont="1" applyAlignment="1">
      <alignment horizontal="left" vertical="center" wrapText="1"/>
    </xf>
    <xf numFmtId="0" fontId="46" fillId="0" borderId="0" xfId="0" applyFont="1" applyAlignment="1">
      <alignment horizontal="left" vertical="center" wrapText="1"/>
    </xf>
    <xf numFmtId="4" fontId="46" fillId="0" borderId="0" xfId="0" quotePrefix="1" applyNumberFormat="1" applyFont="1" applyAlignment="1">
      <alignment horizontal="left" vertical="center" wrapText="1"/>
    </xf>
    <xf numFmtId="175" fontId="15" fillId="0" borderId="0" xfId="0" applyNumberFormat="1" applyFont="1" applyFill="1" applyAlignment="1" applyProtection="1">
      <alignment horizontal="left" vertical="center" wrapText="1"/>
    </xf>
    <xf numFmtId="0" fontId="50" fillId="0" borderId="0" xfId="0" applyNumberFormat="1" applyFont="1" applyFill="1" applyAlignment="1" applyProtection="1">
      <alignment horizontal="center" vertical="center" wrapText="1"/>
    </xf>
    <xf numFmtId="0" fontId="50" fillId="0" borderId="0" xfId="0" applyFont="1" applyFill="1" applyAlignment="1" applyProtection="1">
      <alignment horizontal="center" vertical="center" wrapText="1"/>
    </xf>
    <xf numFmtId="0" fontId="150" fillId="0" borderId="0" xfId="0" applyNumberFormat="1" applyFont="1" applyFill="1" applyAlignment="1" applyProtection="1">
      <alignment horizontal="left" vertical="center"/>
    </xf>
    <xf numFmtId="0" fontId="45" fillId="0" borderId="0" xfId="0" applyFont="1" applyFill="1" applyAlignment="1" applyProtection="1">
      <alignment horizontal="left" vertical="center"/>
    </xf>
    <xf numFmtId="175" fontId="50" fillId="0" borderId="1" xfId="0" applyNumberFormat="1" applyFont="1" applyFill="1" applyBorder="1" applyAlignment="1" applyProtection="1">
      <alignment horizontal="center" vertical="center" wrapText="1"/>
    </xf>
    <xf numFmtId="0" fontId="50" fillId="0" borderId="1" xfId="0" applyFont="1" applyFill="1" applyBorder="1" applyAlignment="1" applyProtection="1">
      <alignment horizontal="center" vertical="center" wrapText="1"/>
    </xf>
    <xf numFmtId="0" fontId="50" fillId="0" borderId="1" xfId="0" applyNumberFormat="1" applyFont="1" applyFill="1" applyBorder="1" applyAlignment="1" applyProtection="1">
      <alignment horizontal="center" vertical="center" wrapText="1"/>
    </xf>
    <xf numFmtId="176" fontId="50" fillId="0" borderId="1" xfId="0" applyNumberFormat="1" applyFont="1" applyFill="1" applyBorder="1" applyAlignment="1" applyProtection="1">
      <alignment horizontal="center" vertical="center" wrapText="1"/>
    </xf>
    <xf numFmtId="177" fontId="50" fillId="0" borderId="1" xfId="0" applyNumberFormat="1" applyFont="1" applyFill="1" applyBorder="1" applyAlignment="1" applyProtection="1">
      <alignment horizontal="center" vertical="center" wrapText="1"/>
    </xf>
    <xf numFmtId="0" fontId="2" fillId="0" borderId="6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94" fillId="0" borderId="18" xfId="0" applyFont="1" applyFill="1" applyBorder="1" applyAlignment="1">
      <alignment horizontal="center" vertical="center" wrapText="1"/>
    </xf>
    <xf numFmtId="0" fontId="94" fillId="0" borderId="14" xfId="0" applyFont="1" applyFill="1" applyBorder="1" applyAlignment="1">
      <alignment horizontal="center" vertical="center" wrapText="1"/>
    </xf>
    <xf numFmtId="0" fontId="94" fillId="0" borderId="15"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3" fontId="104" fillId="0" borderId="66" xfId="0" applyNumberFormat="1" applyFont="1" applyFill="1" applyBorder="1" applyAlignment="1">
      <alignment horizontal="center" vertical="center"/>
    </xf>
    <xf numFmtId="3" fontId="104" fillId="0" borderId="14" xfId="0" applyNumberFormat="1" applyFont="1" applyFill="1" applyBorder="1" applyAlignment="1">
      <alignment horizontal="center" vertical="center"/>
    </xf>
    <xf numFmtId="3" fontId="12" fillId="0" borderId="14" xfId="0" applyNumberFormat="1" applyFont="1" applyFill="1" applyBorder="1" applyAlignment="1">
      <alignment horizontal="center" vertical="center"/>
    </xf>
    <xf numFmtId="3" fontId="12" fillId="0" borderId="14" xfId="0" applyNumberFormat="1" applyFont="1" applyFill="1" applyBorder="1" applyAlignment="1">
      <alignment horizontal="right" vertical="center"/>
    </xf>
    <xf numFmtId="3" fontId="104" fillId="0" borderId="61" xfId="0" applyNumberFormat="1" applyFont="1" applyFill="1" applyBorder="1" applyAlignment="1">
      <alignment horizontal="center" vertical="center"/>
    </xf>
    <xf numFmtId="3" fontId="47" fillId="0" borderId="66" xfId="0" applyNumberFormat="1" applyFont="1" applyFill="1" applyBorder="1" applyAlignment="1">
      <alignment horizontal="center" vertical="center"/>
    </xf>
    <xf numFmtId="3" fontId="47" fillId="0" borderId="14" xfId="0" applyNumberFormat="1" applyFont="1" applyFill="1" applyBorder="1" applyAlignment="1">
      <alignment horizontal="center" vertical="center"/>
    </xf>
    <xf numFmtId="3" fontId="15" fillId="0" borderId="14" xfId="0" applyNumberFormat="1" applyFont="1" applyFill="1" applyBorder="1" applyAlignment="1">
      <alignment horizontal="center" vertical="center"/>
    </xf>
    <xf numFmtId="3" fontId="15" fillId="0" borderId="14" xfId="0" applyNumberFormat="1" applyFont="1" applyFill="1" applyBorder="1" applyAlignment="1">
      <alignment horizontal="right" vertical="center"/>
    </xf>
    <xf numFmtId="3" fontId="47" fillId="0" borderId="61" xfId="0" applyNumberFormat="1" applyFont="1" applyFill="1" applyBorder="1" applyAlignment="1">
      <alignment horizontal="center" vertical="center"/>
    </xf>
    <xf numFmtId="1" fontId="12" fillId="0" borderId="67" xfId="0" applyNumberFormat="1" applyFont="1" applyFill="1" applyBorder="1" applyAlignment="1">
      <alignment horizontal="center" vertical="center"/>
    </xf>
    <xf numFmtId="1" fontId="12" fillId="0" borderId="70" xfId="0" applyNumberFormat="1" applyFont="1" applyFill="1" applyBorder="1" applyAlignment="1">
      <alignment horizontal="center" vertical="center"/>
    </xf>
    <xf numFmtId="3" fontId="50" fillId="0" borderId="68" xfId="0" applyNumberFormat="1" applyFont="1" applyFill="1" applyBorder="1" applyAlignment="1">
      <alignment horizontal="center" vertical="center"/>
    </xf>
    <xf numFmtId="3" fontId="50" fillId="0" borderId="1" xfId="0" applyNumberFormat="1" applyFont="1" applyFill="1" applyBorder="1" applyAlignment="1">
      <alignment horizontal="center" vertical="center"/>
    </xf>
    <xf numFmtId="3" fontId="12" fillId="0" borderId="68" xfId="0" applyNumberFormat="1" applyFont="1" applyFill="1" applyBorder="1" applyAlignment="1">
      <alignment horizontal="center" vertical="center"/>
    </xf>
    <xf numFmtId="3" fontId="12" fillId="0" borderId="1" xfId="0" applyNumberFormat="1" applyFont="1" applyFill="1" applyBorder="1" applyAlignment="1">
      <alignment horizontal="center" vertical="center"/>
    </xf>
    <xf numFmtId="3" fontId="12" fillId="0" borderId="68" xfId="0" applyNumberFormat="1" applyFont="1" applyFill="1" applyBorder="1" applyAlignment="1">
      <alignment horizontal="center" vertical="center" wrapText="1"/>
    </xf>
    <xf numFmtId="3" fontId="12" fillId="0" borderId="1" xfId="0" applyNumberFormat="1" applyFont="1" applyFill="1" applyBorder="1" applyAlignment="1">
      <alignment horizontal="center" vertical="center" wrapText="1"/>
    </xf>
    <xf numFmtId="3" fontId="50" fillId="0" borderId="68" xfId="0" applyNumberFormat="1" applyFont="1" applyFill="1" applyBorder="1" applyAlignment="1">
      <alignment horizontal="center" vertical="center" wrapText="1"/>
    </xf>
    <xf numFmtId="3" fontId="50" fillId="0" borderId="1" xfId="0" applyNumberFormat="1" applyFont="1" applyFill="1" applyBorder="1" applyAlignment="1">
      <alignment horizontal="center" vertical="center" wrapText="1"/>
    </xf>
    <xf numFmtId="3" fontId="50" fillId="0" borderId="69" xfId="0" applyNumberFormat="1" applyFont="1" applyFill="1" applyBorder="1" applyAlignment="1">
      <alignment horizontal="center" vertical="center"/>
    </xf>
    <xf numFmtId="3" fontId="50" fillId="0" borderId="71" xfId="0" applyNumberFormat="1" applyFont="1" applyFill="1" applyBorder="1" applyAlignment="1">
      <alignment horizontal="center" vertical="center"/>
    </xf>
    <xf numFmtId="3" fontId="109" fillId="0" borderId="71" xfId="0" applyNumberFormat="1" applyFont="1" applyFill="1" applyBorder="1" applyAlignment="1">
      <alignment horizontal="center" vertical="center" wrapText="1"/>
    </xf>
    <xf numFmtId="3" fontId="114" fillId="0" borderId="1" xfId="0" applyNumberFormat="1" applyFont="1" applyFill="1" applyBorder="1" applyAlignment="1">
      <alignment horizontal="left" vertical="center" wrapText="1"/>
    </xf>
    <xf numFmtId="3" fontId="12" fillId="8" borderId="1" xfId="0" applyNumberFormat="1" applyFont="1" applyFill="1" applyBorder="1" applyAlignment="1">
      <alignment horizontal="center" vertical="center" wrapText="1"/>
    </xf>
    <xf numFmtId="3" fontId="12" fillId="8" borderId="71" xfId="0" applyNumberFormat="1" applyFont="1" applyFill="1" applyBorder="1" applyAlignment="1">
      <alignment horizontal="center" vertical="center" wrapText="1"/>
    </xf>
    <xf numFmtId="3" fontId="12" fillId="8" borderId="1" xfId="13" applyNumberFormat="1" applyFont="1" applyFill="1" applyBorder="1" applyAlignment="1">
      <alignment horizontal="center" vertical="center" wrapText="1"/>
    </xf>
    <xf numFmtId="3" fontId="12" fillId="8" borderId="71" xfId="13" applyNumberFormat="1" applyFont="1" applyFill="1" applyBorder="1" applyAlignment="1">
      <alignment horizontal="center" vertical="center" wrapText="1"/>
    </xf>
    <xf numFmtId="3" fontId="12" fillId="0" borderId="1" xfId="0" applyNumberFormat="1" applyFont="1" applyFill="1" applyBorder="1" applyAlignment="1">
      <alignment horizontal="left" vertical="center" wrapText="1"/>
    </xf>
    <xf numFmtId="3" fontId="119" fillId="0" borderId="71" xfId="0" applyNumberFormat="1" applyFont="1" applyFill="1" applyBorder="1" applyAlignment="1">
      <alignment horizontal="center" vertical="center" wrapText="1"/>
    </xf>
    <xf numFmtId="3" fontId="108" fillId="0" borderId="71" xfId="0" applyNumberFormat="1" applyFont="1" applyFill="1" applyBorder="1" applyAlignment="1">
      <alignment horizontal="center" vertical="center" wrapText="1"/>
    </xf>
    <xf numFmtId="0" fontId="123" fillId="0" borderId="1" xfId="0" applyFont="1" applyFill="1" applyBorder="1" applyAlignment="1">
      <alignment horizontal="center" vertical="center" wrapText="1"/>
    </xf>
    <xf numFmtId="3" fontId="112" fillId="9" borderId="1" xfId="0" applyNumberFormat="1" applyFont="1" applyFill="1" applyBorder="1" applyAlignment="1">
      <alignment horizontal="left" vertical="center" wrapText="1"/>
    </xf>
    <xf numFmtId="3" fontId="123" fillId="0" borderId="71" xfId="0" applyNumberFormat="1" applyFont="1" applyFill="1" applyBorder="1" applyAlignment="1">
      <alignment horizontal="center" vertical="center" wrapText="1"/>
    </xf>
    <xf numFmtId="3" fontId="50" fillId="0" borderId="1" xfId="0" applyNumberFormat="1" applyFont="1" applyFill="1" applyBorder="1" applyAlignment="1">
      <alignment horizontal="left" vertical="center" wrapText="1"/>
    </xf>
    <xf numFmtId="3" fontId="112" fillId="0" borderId="1" xfId="0" applyNumberFormat="1" applyFont="1" applyFill="1" applyBorder="1" applyAlignment="1">
      <alignment horizontal="left" vertical="center" wrapText="1"/>
    </xf>
    <xf numFmtId="1" fontId="123" fillId="0" borderId="1" xfId="0" applyNumberFormat="1" applyFont="1" applyFill="1" applyBorder="1" applyAlignment="1">
      <alignment horizontal="left" vertical="center" wrapText="1"/>
    </xf>
    <xf numFmtId="3" fontId="112" fillId="9" borderId="71" xfId="0" applyNumberFormat="1" applyFont="1" applyFill="1" applyBorder="1" applyAlignment="1">
      <alignment horizontal="left" vertical="center" wrapText="1"/>
    </xf>
    <xf numFmtId="0" fontId="123" fillId="0" borderId="1" xfId="0" applyFont="1" applyFill="1" applyBorder="1" applyAlignment="1">
      <alignment horizontal="left" vertical="center" wrapText="1"/>
    </xf>
    <xf numFmtId="0" fontId="123" fillId="0" borderId="1" xfId="0" applyFont="1" applyFill="1" applyBorder="1" applyAlignment="1">
      <alignment horizontal="left" vertical="center"/>
    </xf>
    <xf numFmtId="0" fontId="122" fillId="0" borderId="1" xfId="0" applyFont="1" applyFill="1" applyBorder="1" applyAlignment="1">
      <alignment horizontal="left" vertical="center" wrapText="1"/>
    </xf>
    <xf numFmtId="0" fontId="112" fillId="0" borderId="1" xfId="0" applyFont="1" applyFill="1" applyBorder="1" applyAlignment="1">
      <alignment horizontal="left" vertical="center" wrapText="1"/>
    </xf>
    <xf numFmtId="3" fontId="110" fillId="0" borderId="71" xfId="0" applyNumberFormat="1" applyFont="1" applyFill="1" applyBorder="1" applyAlignment="1">
      <alignment horizontal="center" vertical="center" wrapText="1"/>
    </xf>
    <xf numFmtId="0" fontId="129" fillId="0" borderId="1" xfId="0" applyFont="1" applyFill="1" applyBorder="1" applyAlignment="1">
      <alignment horizontal="left" vertical="center" wrapText="1"/>
    </xf>
    <xf numFmtId="0" fontId="114" fillId="0" borderId="1" xfId="0" applyFont="1" applyFill="1" applyBorder="1" applyAlignment="1">
      <alignment horizontal="left" vertical="center" wrapText="1"/>
    </xf>
    <xf numFmtId="0" fontId="112" fillId="9" borderId="1" xfId="0" applyFont="1" applyFill="1" applyBorder="1" applyAlignment="1">
      <alignment horizontal="left" vertical="center" wrapText="1"/>
    </xf>
    <xf numFmtId="0" fontId="112" fillId="9" borderId="71" xfId="0" applyFont="1" applyFill="1" applyBorder="1" applyAlignment="1">
      <alignment horizontal="left" vertical="center" wrapText="1"/>
    </xf>
    <xf numFmtId="0" fontId="131" fillId="9" borderId="1" xfId="0" applyFont="1" applyFill="1" applyBorder="1" applyAlignment="1">
      <alignment horizontal="left" vertical="center" wrapText="1"/>
    </xf>
    <xf numFmtId="0" fontId="131" fillId="9" borderId="71" xfId="0" applyFont="1" applyFill="1" applyBorder="1" applyAlignment="1">
      <alignment horizontal="left" vertical="center" wrapText="1"/>
    </xf>
    <xf numFmtId="3" fontId="15" fillId="0" borderId="1" xfId="0" applyNumberFormat="1" applyFont="1" applyFill="1" applyBorder="1" applyAlignment="1">
      <alignment horizontal="center" vertical="center" wrapText="1"/>
    </xf>
    <xf numFmtId="3" fontId="123" fillId="0" borderId="1" xfId="0" applyNumberFormat="1" applyFont="1" applyFill="1" applyBorder="1" applyAlignment="1">
      <alignment horizontal="center" vertical="center" wrapText="1"/>
    </xf>
    <xf numFmtId="3" fontId="15" fillId="0" borderId="1" xfId="0" applyNumberFormat="1" applyFont="1" applyFill="1" applyBorder="1" applyAlignment="1">
      <alignment horizontal="left" vertical="center" wrapText="1"/>
    </xf>
    <xf numFmtId="3" fontId="131" fillId="0" borderId="1" xfId="0" applyNumberFormat="1" applyFont="1" applyFill="1" applyBorder="1" applyAlignment="1">
      <alignment horizontal="left" vertical="center" wrapText="1"/>
    </xf>
    <xf numFmtId="3" fontId="106" fillId="0" borderId="1" xfId="0" applyNumberFormat="1" applyFont="1" applyFill="1" applyBorder="1" applyAlignment="1">
      <alignment horizontal="left" vertical="center" wrapText="1"/>
    </xf>
    <xf numFmtId="3" fontId="123" fillId="0" borderId="1" xfId="0" applyNumberFormat="1" applyFont="1" applyFill="1" applyBorder="1" applyAlignment="1">
      <alignment horizontal="left" vertical="center" wrapText="1"/>
    </xf>
    <xf numFmtId="1" fontId="12" fillId="0" borderId="1" xfId="0" applyNumberFormat="1" applyFont="1" applyFill="1" applyBorder="1" applyAlignment="1">
      <alignment horizontal="left" vertical="center" wrapText="1"/>
    </xf>
    <xf numFmtId="173" fontId="12" fillId="0" borderId="1" xfId="0" applyNumberFormat="1" applyFont="1" applyFill="1" applyBorder="1" applyAlignment="1">
      <alignment horizontal="left" vertical="center" readingOrder="1"/>
    </xf>
    <xf numFmtId="174" fontId="15" fillId="0" borderId="1" xfId="0" applyNumberFormat="1" applyFont="1" applyFill="1" applyBorder="1" applyAlignment="1">
      <alignment horizontal="left"/>
    </xf>
    <xf numFmtId="174" fontId="15" fillId="0" borderId="1" xfId="0" applyNumberFormat="1" applyFont="1" applyFill="1" applyBorder="1" applyAlignment="1">
      <alignment horizontal="left" vertical="center" readingOrder="1"/>
    </xf>
    <xf numFmtId="174" fontId="15" fillId="0" borderId="1" xfId="0" applyNumberFormat="1" applyFont="1" applyFill="1" applyBorder="1" applyAlignment="1">
      <alignment horizontal="left" readingOrder="1"/>
    </xf>
    <xf numFmtId="0" fontId="15" fillId="0" borderId="1" xfId="0" applyFont="1" applyFill="1" applyBorder="1" applyAlignment="1">
      <alignment horizontal="left" wrapText="1"/>
    </xf>
    <xf numFmtId="173" fontId="12" fillId="0" borderId="1" xfId="0" applyNumberFormat="1" applyFont="1" applyFill="1" applyBorder="1" applyAlignment="1">
      <alignment vertical="center" readingOrder="1"/>
    </xf>
    <xf numFmtId="0" fontId="15" fillId="0" borderId="1" xfId="0" applyFont="1" applyFill="1" applyBorder="1" applyAlignment="1">
      <alignment horizontal="left" vertical="center" wrapText="1" readingOrder="1"/>
    </xf>
    <xf numFmtId="174" fontId="15" fillId="0" borderId="1" xfId="0" applyNumberFormat="1" applyFont="1" applyFill="1" applyBorder="1" applyAlignment="1">
      <alignment horizontal="left" vertical="center" wrapText="1" readingOrder="1"/>
    </xf>
    <xf numFmtId="0" fontId="123" fillId="0" borderId="1" xfId="0" applyFont="1" applyFill="1" applyBorder="1" applyAlignment="1" applyProtection="1">
      <alignment horizontal="center" vertical="center" wrapText="1"/>
      <protection locked="0"/>
    </xf>
    <xf numFmtId="0" fontId="139" fillId="0" borderId="1" xfId="0" applyFont="1" applyFill="1" applyBorder="1" applyAlignment="1" applyProtection="1">
      <alignment horizontal="center" vertical="center" wrapText="1"/>
      <protection locked="0"/>
    </xf>
    <xf numFmtId="0" fontId="110" fillId="0" borderId="1" xfId="0" applyFont="1" applyFill="1" applyBorder="1" applyAlignment="1" applyProtection="1">
      <alignment horizontal="center" vertical="center" wrapText="1"/>
      <protection locked="0"/>
    </xf>
    <xf numFmtId="0" fontId="140" fillId="0" borderId="1" xfId="0" applyFont="1" applyFill="1" applyBorder="1" applyAlignment="1" applyProtection="1">
      <alignment horizontal="center" vertical="center" wrapText="1"/>
      <protection locked="0"/>
    </xf>
    <xf numFmtId="0" fontId="109" fillId="0" borderId="71" xfId="0" applyFont="1" applyFill="1" applyBorder="1" applyAlignment="1">
      <alignment horizontal="center" vertical="center" wrapText="1"/>
    </xf>
    <xf numFmtId="0" fontId="15" fillId="0" borderId="1" xfId="0" applyFont="1" applyFill="1" applyBorder="1" applyAlignment="1" applyProtection="1">
      <alignment horizontal="center" vertical="center" wrapText="1"/>
      <protection locked="0"/>
    </xf>
    <xf numFmtId="0" fontId="139" fillId="0" borderId="1" xfId="0" applyFont="1" applyFill="1" applyBorder="1" applyAlignment="1" applyProtection="1">
      <alignment horizontal="left" vertical="center" wrapText="1"/>
      <protection locked="0"/>
    </xf>
    <xf numFmtId="0" fontId="109" fillId="0" borderId="1" xfId="0" applyFont="1" applyFill="1" applyBorder="1" applyAlignment="1" applyProtection="1">
      <alignment horizontal="center" vertical="center" wrapText="1"/>
      <protection locked="0"/>
    </xf>
    <xf numFmtId="0" fontId="140" fillId="0" borderId="1" xfId="0" applyFont="1" applyFill="1" applyBorder="1" applyAlignment="1" applyProtection="1">
      <alignment horizontal="left" vertical="center" wrapText="1"/>
      <protection locked="0"/>
    </xf>
    <xf numFmtId="0" fontId="137" fillId="0" borderId="1" xfId="0" applyFont="1" applyFill="1" applyBorder="1" applyAlignment="1" applyProtection="1">
      <alignment horizontal="center" vertical="center" wrapText="1"/>
      <protection locked="0"/>
    </xf>
    <xf numFmtId="3" fontId="139" fillId="0" borderId="71" xfId="0" applyNumberFormat="1" applyFont="1" applyFill="1" applyBorder="1" applyAlignment="1">
      <alignment horizontal="center" vertical="center" wrapText="1"/>
    </xf>
    <xf numFmtId="3" fontId="12" fillId="0" borderId="71" xfId="0" applyNumberFormat="1" applyFont="1" applyFill="1" applyBorder="1" applyAlignment="1">
      <alignment horizontal="center" vertical="center" wrapText="1"/>
    </xf>
    <xf numFmtId="2" fontId="15" fillId="0" borderId="1" xfId="0" applyNumberFormat="1" applyFont="1" applyFill="1" applyBorder="1" applyAlignment="1">
      <alignment horizontal="left" vertical="center" wrapText="1"/>
    </xf>
    <xf numFmtId="2" fontId="50" fillId="0" borderId="1" xfId="0" applyNumberFormat="1" applyFont="1" applyFill="1" applyBorder="1" applyAlignment="1">
      <alignment horizontal="left" vertical="center" wrapText="1"/>
    </xf>
    <xf numFmtId="2" fontId="114" fillId="0" borderId="1" xfId="0" applyNumberFormat="1" applyFont="1" applyFill="1" applyBorder="1" applyAlignment="1">
      <alignment horizontal="left" vertical="center" wrapText="1"/>
    </xf>
    <xf numFmtId="3" fontId="110" fillId="0" borderId="71" xfId="0" applyNumberFormat="1" applyFont="1" applyFill="1" applyBorder="1" applyAlignment="1">
      <alignment horizontal="center" vertical="top" wrapText="1"/>
    </xf>
    <xf numFmtId="3" fontId="109" fillId="0" borderId="74" xfId="0" applyNumberFormat="1" applyFont="1" applyFill="1" applyBorder="1" applyAlignment="1">
      <alignment horizontal="center" vertical="center" wrapText="1"/>
    </xf>
    <xf numFmtId="0" fontId="109" fillId="0" borderId="71" xfId="0" applyFont="1" applyFill="1" applyBorder="1" applyAlignment="1">
      <alignment horizontal="center" vertical="center"/>
    </xf>
    <xf numFmtId="0" fontId="28" fillId="12" borderId="0" xfId="0" applyFont="1" applyFill="1" applyAlignment="1">
      <alignment horizontal="center" vertical="center" wrapText="1"/>
    </xf>
  </cellXfs>
  <cellStyles count="17">
    <cellStyle name="Bình thường" xfId="0" builtinId="0"/>
    <cellStyle name="Comma 2" xfId="9"/>
    <cellStyle name="Comma 21" xfId="7"/>
    <cellStyle name="Dấu phẩy" xfId="1" builtinId="3"/>
    <cellStyle name="Normal 11" xfId="3"/>
    <cellStyle name="Normal 12" xfId="15"/>
    <cellStyle name="Normal 2 3" xfId="16"/>
    <cellStyle name="Normal 20" xfId="4"/>
    <cellStyle name="Normal 6" xfId="10"/>
    <cellStyle name="Normal_Bang gia le cua cac DM cac SF  TMDT" xfId="14"/>
    <cellStyle name="Normal_CA MAY HO  2013" xfId="11"/>
    <cellStyle name="Normal_Gia du thau TKT 2" xfId="6"/>
    <cellStyle name="Normal_Sheet1" xfId="12"/>
    <cellStyle name="Percent 3" xfId="8"/>
    <cellStyle name="Phần trăm" xfId="2" builtinId="5"/>
    <cellStyle name="Style 1 2" xfId="5"/>
    <cellStyle name="Tiền tệ" xfId="13"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UONG%20VIET%20CUONG\AppData\Local\Packages\Microsoft.MicrosoftEdge_8wekyb3d8bbwe\TempState\Downloads\CA%20MAY%20TINH%20CHO%20KHU%20NAH%20MAY%20-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UONG%20VIET%20CUONG\Google%20Drive\1.%20WOKRS\1.%20THUY%20DIEN%20A%20L&#431;&#416;I\2-%20NHA%20MAY%20A%20LUOI\000000.N&#258;M%202018\06.%20XU%20LY%20DUONG%20HAM%20LOT%20THEP\XU%20LY%20GIENG%20DUNG\DT%20GIENG%20DUNG%20COMA%20LAP%202102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UONG%20VIET%20CUONG\Google%20Drive\1.%20WOKRS\1.%20THUY%20DIEN%20A%20L&#431;&#416;I\2-%20NHA%20MAY%20A%20LUOI\000000.N&#258;M%202018\06.%20XU%20LY%20DUONG%20HAM%20LOT%20THEP\XU%20LY%20GIENG%20DUNG\180304%20DT%20GIENG%20DUNG%20DVC%20l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_tính1"/>
      <sheetName val="Luong 2011"/>
      <sheetName val="Gia ca may"/>
      <sheetName val="Gia NL"/>
      <sheetName val="G Dien"/>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 lần 1"/>
      <sheetName val="Trang_tính2"/>
      <sheetName val="Trang_tính1"/>
      <sheetName val="Bảng chào giá"/>
      <sheetName val="KL thép"/>
      <sheetName val="Trang_tính3"/>
      <sheetName val="yêu cầu VT"/>
      <sheetName val="VT cần mua"/>
    </sheetNames>
    <sheetDataSet>
      <sheetData sheetId="0"/>
      <sheetData sheetId="1">
        <row r="15">
          <cell r="N15">
            <v>325054.61538461538</v>
          </cell>
        </row>
      </sheetData>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CT"/>
      <sheetName val="VCTC"/>
      <sheetName val="GVL"/>
      <sheetName val="NC"/>
      <sheetName val="MTC"/>
      <sheetName val="HSo"/>
      <sheetName val="KL thép"/>
      <sheetName val="VCTB"/>
      <sheetName val="Trang_tính8"/>
      <sheetName val="GVL TINH TT-HUE"/>
      <sheetName val="yêu cầu VT"/>
      <sheetName val="VT cần mua"/>
    </sheetNames>
    <sheetDataSet>
      <sheetData sheetId="0"/>
      <sheetData sheetId="1"/>
      <sheetData sheetId="2"/>
      <sheetData sheetId="3"/>
      <sheetData sheetId="4">
        <row r="32">
          <cell r="N32">
            <v>312326.76923076925</v>
          </cell>
        </row>
        <row r="36">
          <cell r="N36">
            <v>378627.27692307689</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9"/>
  <sheetViews>
    <sheetView tabSelected="1" view="pageBreakPreview" zoomScale="85" zoomScaleNormal="85" zoomScaleSheetLayoutView="85" workbookViewId="0">
      <selection activeCell="I7" sqref="I7"/>
    </sheetView>
  </sheetViews>
  <sheetFormatPr defaultColWidth="9" defaultRowHeight="16.5"/>
  <cols>
    <col min="1" max="1" width="5.25" style="351" customWidth="1"/>
    <col min="2" max="2" width="8.25" style="351" bestFit="1" customWidth="1"/>
    <col min="3" max="3" width="34.58203125" style="346" customWidth="1"/>
    <col min="4" max="4" width="9.33203125" style="346" customWidth="1"/>
    <col min="5" max="7" width="7.75" style="346" hidden="1" customWidth="1"/>
    <col min="8" max="8" width="11.83203125" style="346" hidden="1" customWidth="1"/>
    <col min="9" max="9" width="13.33203125" style="884" customWidth="1"/>
    <col min="10" max="10" width="13" style="848" customWidth="1"/>
    <col min="11" max="11" width="20.25" style="412" customWidth="1"/>
    <col min="12" max="12" width="30.75" style="795" customWidth="1"/>
    <col min="13" max="13" width="15.83203125" style="346" customWidth="1"/>
    <col min="14" max="14" width="30.58203125" style="346" bestFit="1" customWidth="1"/>
    <col min="15" max="15" width="18.58203125" style="906" bestFit="1" customWidth="1"/>
    <col min="16" max="16" width="9" style="906"/>
    <col min="17" max="246" width="9" style="346"/>
    <col min="247" max="247" width="5.25" style="346" customWidth="1"/>
    <col min="248" max="248" width="24.33203125" style="346" customWidth="1"/>
    <col min="249" max="249" width="9.33203125" style="346" customWidth="1"/>
    <col min="250" max="252" width="7.75" style="346" customWidth="1"/>
    <col min="253" max="254" width="11.83203125" style="346" customWidth="1"/>
    <col min="255" max="255" width="28.33203125" style="346" customWidth="1"/>
    <col min="256" max="257" width="9" style="346"/>
    <col min="258" max="258" width="12.33203125" style="346" customWidth="1"/>
    <col min="259" max="259" width="9" style="346"/>
    <col min="260" max="260" width="13.75" style="346" bestFit="1" customWidth="1"/>
    <col min="261" max="502" width="9" style="346"/>
    <col min="503" max="503" width="5.25" style="346" customWidth="1"/>
    <col min="504" max="504" width="24.33203125" style="346" customWidth="1"/>
    <col min="505" max="505" width="9.33203125" style="346" customWidth="1"/>
    <col min="506" max="508" width="7.75" style="346" customWidth="1"/>
    <col min="509" max="510" width="11.83203125" style="346" customWidth="1"/>
    <col min="511" max="511" width="28.33203125" style="346" customWidth="1"/>
    <col min="512" max="513" width="9" style="346"/>
    <col min="514" max="514" width="12.33203125" style="346" customWidth="1"/>
    <col min="515" max="515" width="9" style="346"/>
    <col min="516" max="516" width="13.75" style="346" bestFit="1" customWidth="1"/>
    <col min="517" max="758" width="9" style="346"/>
    <col min="759" max="759" width="5.25" style="346" customWidth="1"/>
    <col min="760" max="760" width="24.33203125" style="346" customWidth="1"/>
    <col min="761" max="761" width="9.33203125" style="346" customWidth="1"/>
    <col min="762" max="764" width="7.75" style="346" customWidth="1"/>
    <col min="765" max="766" width="11.83203125" style="346" customWidth="1"/>
    <col min="767" max="767" width="28.33203125" style="346" customWidth="1"/>
    <col min="768" max="769" width="9" style="346"/>
    <col min="770" max="770" width="12.33203125" style="346" customWidth="1"/>
    <col min="771" max="771" width="9" style="346"/>
    <col min="772" max="772" width="13.75" style="346" bestFit="1" customWidth="1"/>
    <col min="773" max="1014" width="9" style="346"/>
    <col min="1015" max="1015" width="5.25" style="346" customWidth="1"/>
    <col min="1016" max="1016" width="24.33203125" style="346" customWidth="1"/>
    <col min="1017" max="1017" width="9.33203125" style="346" customWidth="1"/>
    <col min="1018" max="1020" width="7.75" style="346" customWidth="1"/>
    <col min="1021" max="1022" width="11.83203125" style="346" customWidth="1"/>
    <col min="1023" max="1023" width="28.33203125" style="346" customWidth="1"/>
    <col min="1024" max="1025" width="9" style="346"/>
    <col min="1026" max="1026" width="12.33203125" style="346" customWidth="1"/>
    <col min="1027" max="1027" width="9" style="346"/>
    <col min="1028" max="1028" width="13.75" style="346" bestFit="1" customWidth="1"/>
    <col min="1029" max="1270" width="9" style="346"/>
    <col min="1271" max="1271" width="5.25" style="346" customWidth="1"/>
    <col min="1272" max="1272" width="24.33203125" style="346" customWidth="1"/>
    <col min="1273" max="1273" width="9.33203125" style="346" customWidth="1"/>
    <col min="1274" max="1276" width="7.75" style="346" customWidth="1"/>
    <col min="1277" max="1278" width="11.83203125" style="346" customWidth="1"/>
    <col min="1279" max="1279" width="28.33203125" style="346" customWidth="1"/>
    <col min="1280" max="1281" width="9" style="346"/>
    <col min="1282" max="1282" width="12.33203125" style="346" customWidth="1"/>
    <col min="1283" max="1283" width="9" style="346"/>
    <col min="1284" max="1284" width="13.75" style="346" bestFit="1" customWidth="1"/>
    <col min="1285" max="1526" width="9" style="346"/>
    <col min="1527" max="1527" width="5.25" style="346" customWidth="1"/>
    <col min="1528" max="1528" width="24.33203125" style="346" customWidth="1"/>
    <col min="1529" max="1529" width="9.33203125" style="346" customWidth="1"/>
    <col min="1530" max="1532" width="7.75" style="346" customWidth="1"/>
    <col min="1533" max="1534" width="11.83203125" style="346" customWidth="1"/>
    <col min="1535" max="1535" width="28.33203125" style="346" customWidth="1"/>
    <col min="1536" max="1537" width="9" style="346"/>
    <col min="1538" max="1538" width="12.33203125" style="346" customWidth="1"/>
    <col min="1539" max="1539" width="9" style="346"/>
    <col min="1540" max="1540" width="13.75" style="346" bestFit="1" customWidth="1"/>
    <col min="1541" max="1782" width="9" style="346"/>
    <col min="1783" max="1783" width="5.25" style="346" customWidth="1"/>
    <col min="1784" max="1784" width="24.33203125" style="346" customWidth="1"/>
    <col min="1785" max="1785" width="9.33203125" style="346" customWidth="1"/>
    <col min="1786" max="1788" width="7.75" style="346" customWidth="1"/>
    <col min="1789" max="1790" width="11.83203125" style="346" customWidth="1"/>
    <col min="1791" max="1791" width="28.33203125" style="346" customWidth="1"/>
    <col min="1792" max="1793" width="9" style="346"/>
    <col min="1794" max="1794" width="12.33203125" style="346" customWidth="1"/>
    <col min="1795" max="1795" width="9" style="346"/>
    <col min="1796" max="1796" width="13.75" style="346" bestFit="1" customWidth="1"/>
    <col min="1797" max="2038" width="9" style="346"/>
    <col min="2039" max="2039" width="5.25" style="346" customWidth="1"/>
    <col min="2040" max="2040" width="24.33203125" style="346" customWidth="1"/>
    <col min="2041" max="2041" width="9.33203125" style="346" customWidth="1"/>
    <col min="2042" max="2044" width="7.75" style="346" customWidth="1"/>
    <col min="2045" max="2046" width="11.83203125" style="346" customWidth="1"/>
    <col min="2047" max="2047" width="28.33203125" style="346" customWidth="1"/>
    <col min="2048" max="2049" width="9" style="346"/>
    <col min="2050" max="2050" width="12.33203125" style="346" customWidth="1"/>
    <col min="2051" max="2051" width="9" style="346"/>
    <col min="2052" max="2052" width="13.75" style="346" bestFit="1" customWidth="1"/>
    <col min="2053" max="2294" width="9" style="346"/>
    <col min="2295" max="2295" width="5.25" style="346" customWidth="1"/>
    <col min="2296" max="2296" width="24.33203125" style="346" customWidth="1"/>
    <col min="2297" max="2297" width="9.33203125" style="346" customWidth="1"/>
    <col min="2298" max="2300" width="7.75" style="346" customWidth="1"/>
    <col min="2301" max="2302" width="11.83203125" style="346" customWidth="1"/>
    <col min="2303" max="2303" width="28.33203125" style="346" customWidth="1"/>
    <col min="2304" max="2305" width="9" style="346"/>
    <col min="2306" max="2306" width="12.33203125" style="346" customWidth="1"/>
    <col min="2307" max="2307" width="9" style="346"/>
    <col min="2308" max="2308" width="13.75" style="346" bestFit="1" customWidth="1"/>
    <col min="2309" max="2550" width="9" style="346"/>
    <col min="2551" max="2551" width="5.25" style="346" customWidth="1"/>
    <col min="2552" max="2552" width="24.33203125" style="346" customWidth="1"/>
    <col min="2553" max="2553" width="9.33203125" style="346" customWidth="1"/>
    <col min="2554" max="2556" width="7.75" style="346" customWidth="1"/>
    <col min="2557" max="2558" width="11.83203125" style="346" customWidth="1"/>
    <col min="2559" max="2559" width="28.33203125" style="346" customWidth="1"/>
    <col min="2560" max="2561" width="9" style="346"/>
    <col min="2562" max="2562" width="12.33203125" style="346" customWidth="1"/>
    <col min="2563" max="2563" width="9" style="346"/>
    <col min="2564" max="2564" width="13.75" style="346" bestFit="1" customWidth="1"/>
    <col min="2565" max="2806" width="9" style="346"/>
    <col min="2807" max="2807" width="5.25" style="346" customWidth="1"/>
    <col min="2808" max="2808" width="24.33203125" style="346" customWidth="1"/>
    <col min="2809" max="2809" width="9.33203125" style="346" customWidth="1"/>
    <col min="2810" max="2812" width="7.75" style="346" customWidth="1"/>
    <col min="2813" max="2814" width="11.83203125" style="346" customWidth="1"/>
    <col min="2815" max="2815" width="28.33203125" style="346" customWidth="1"/>
    <col min="2816" max="2817" width="9" style="346"/>
    <col min="2818" max="2818" width="12.33203125" style="346" customWidth="1"/>
    <col min="2819" max="2819" width="9" style="346"/>
    <col min="2820" max="2820" width="13.75" style="346" bestFit="1" customWidth="1"/>
    <col min="2821" max="3062" width="9" style="346"/>
    <col min="3063" max="3063" width="5.25" style="346" customWidth="1"/>
    <col min="3064" max="3064" width="24.33203125" style="346" customWidth="1"/>
    <col min="3065" max="3065" width="9.33203125" style="346" customWidth="1"/>
    <col min="3066" max="3068" width="7.75" style="346" customWidth="1"/>
    <col min="3069" max="3070" width="11.83203125" style="346" customWidth="1"/>
    <col min="3071" max="3071" width="28.33203125" style="346" customWidth="1"/>
    <col min="3072" max="3073" width="9" style="346"/>
    <col min="3074" max="3074" width="12.33203125" style="346" customWidth="1"/>
    <col min="3075" max="3075" width="9" style="346"/>
    <col min="3076" max="3076" width="13.75" style="346" bestFit="1" customWidth="1"/>
    <col min="3077" max="3318" width="9" style="346"/>
    <col min="3319" max="3319" width="5.25" style="346" customWidth="1"/>
    <col min="3320" max="3320" width="24.33203125" style="346" customWidth="1"/>
    <col min="3321" max="3321" width="9.33203125" style="346" customWidth="1"/>
    <col min="3322" max="3324" width="7.75" style="346" customWidth="1"/>
    <col min="3325" max="3326" width="11.83203125" style="346" customWidth="1"/>
    <col min="3327" max="3327" width="28.33203125" style="346" customWidth="1"/>
    <col min="3328" max="3329" width="9" style="346"/>
    <col min="3330" max="3330" width="12.33203125" style="346" customWidth="1"/>
    <col min="3331" max="3331" width="9" style="346"/>
    <col min="3332" max="3332" width="13.75" style="346" bestFit="1" customWidth="1"/>
    <col min="3333" max="3574" width="9" style="346"/>
    <col min="3575" max="3575" width="5.25" style="346" customWidth="1"/>
    <col min="3576" max="3576" width="24.33203125" style="346" customWidth="1"/>
    <col min="3577" max="3577" width="9.33203125" style="346" customWidth="1"/>
    <col min="3578" max="3580" width="7.75" style="346" customWidth="1"/>
    <col min="3581" max="3582" width="11.83203125" style="346" customWidth="1"/>
    <col min="3583" max="3583" width="28.33203125" style="346" customWidth="1"/>
    <col min="3584" max="3585" width="9" style="346"/>
    <col min="3586" max="3586" width="12.33203125" style="346" customWidth="1"/>
    <col min="3587" max="3587" width="9" style="346"/>
    <col min="3588" max="3588" width="13.75" style="346" bestFit="1" customWidth="1"/>
    <col min="3589" max="3830" width="9" style="346"/>
    <col min="3831" max="3831" width="5.25" style="346" customWidth="1"/>
    <col min="3832" max="3832" width="24.33203125" style="346" customWidth="1"/>
    <col min="3833" max="3833" width="9.33203125" style="346" customWidth="1"/>
    <col min="3834" max="3836" width="7.75" style="346" customWidth="1"/>
    <col min="3837" max="3838" width="11.83203125" style="346" customWidth="1"/>
    <col min="3839" max="3839" width="28.33203125" style="346" customWidth="1"/>
    <col min="3840" max="3841" width="9" style="346"/>
    <col min="3842" max="3842" width="12.33203125" style="346" customWidth="1"/>
    <col min="3843" max="3843" width="9" style="346"/>
    <col min="3844" max="3844" width="13.75" style="346" bestFit="1" customWidth="1"/>
    <col min="3845" max="4086" width="9" style="346"/>
    <col min="4087" max="4087" width="5.25" style="346" customWidth="1"/>
    <col min="4088" max="4088" width="24.33203125" style="346" customWidth="1"/>
    <col min="4089" max="4089" width="9.33203125" style="346" customWidth="1"/>
    <col min="4090" max="4092" width="7.75" style="346" customWidth="1"/>
    <col min="4093" max="4094" width="11.83203125" style="346" customWidth="1"/>
    <col min="4095" max="4095" width="28.33203125" style="346" customWidth="1"/>
    <col min="4096" max="4097" width="9" style="346"/>
    <col min="4098" max="4098" width="12.33203125" style="346" customWidth="1"/>
    <col min="4099" max="4099" width="9" style="346"/>
    <col min="4100" max="4100" width="13.75" style="346" bestFit="1" customWidth="1"/>
    <col min="4101" max="4342" width="9" style="346"/>
    <col min="4343" max="4343" width="5.25" style="346" customWidth="1"/>
    <col min="4344" max="4344" width="24.33203125" style="346" customWidth="1"/>
    <col min="4345" max="4345" width="9.33203125" style="346" customWidth="1"/>
    <col min="4346" max="4348" width="7.75" style="346" customWidth="1"/>
    <col min="4349" max="4350" width="11.83203125" style="346" customWidth="1"/>
    <col min="4351" max="4351" width="28.33203125" style="346" customWidth="1"/>
    <col min="4352" max="4353" width="9" style="346"/>
    <col min="4354" max="4354" width="12.33203125" style="346" customWidth="1"/>
    <col min="4355" max="4355" width="9" style="346"/>
    <col min="4356" max="4356" width="13.75" style="346" bestFit="1" customWidth="1"/>
    <col min="4357" max="4598" width="9" style="346"/>
    <col min="4599" max="4599" width="5.25" style="346" customWidth="1"/>
    <col min="4600" max="4600" width="24.33203125" style="346" customWidth="1"/>
    <col min="4601" max="4601" width="9.33203125" style="346" customWidth="1"/>
    <col min="4602" max="4604" width="7.75" style="346" customWidth="1"/>
    <col min="4605" max="4606" width="11.83203125" style="346" customWidth="1"/>
    <col min="4607" max="4607" width="28.33203125" style="346" customWidth="1"/>
    <col min="4608" max="4609" width="9" style="346"/>
    <col min="4610" max="4610" width="12.33203125" style="346" customWidth="1"/>
    <col min="4611" max="4611" width="9" style="346"/>
    <col min="4612" max="4612" width="13.75" style="346" bestFit="1" customWidth="1"/>
    <col min="4613" max="4854" width="9" style="346"/>
    <col min="4855" max="4855" width="5.25" style="346" customWidth="1"/>
    <col min="4856" max="4856" width="24.33203125" style="346" customWidth="1"/>
    <col min="4857" max="4857" width="9.33203125" style="346" customWidth="1"/>
    <col min="4858" max="4860" width="7.75" style="346" customWidth="1"/>
    <col min="4861" max="4862" width="11.83203125" style="346" customWidth="1"/>
    <col min="4863" max="4863" width="28.33203125" style="346" customWidth="1"/>
    <col min="4864" max="4865" width="9" style="346"/>
    <col min="4866" max="4866" width="12.33203125" style="346" customWidth="1"/>
    <col min="4867" max="4867" width="9" style="346"/>
    <col min="4868" max="4868" width="13.75" style="346" bestFit="1" customWidth="1"/>
    <col min="4869" max="5110" width="9" style="346"/>
    <col min="5111" max="5111" width="5.25" style="346" customWidth="1"/>
    <col min="5112" max="5112" width="24.33203125" style="346" customWidth="1"/>
    <col min="5113" max="5113" width="9.33203125" style="346" customWidth="1"/>
    <col min="5114" max="5116" width="7.75" style="346" customWidth="1"/>
    <col min="5117" max="5118" width="11.83203125" style="346" customWidth="1"/>
    <col min="5119" max="5119" width="28.33203125" style="346" customWidth="1"/>
    <col min="5120" max="5121" width="9" style="346"/>
    <col min="5122" max="5122" width="12.33203125" style="346" customWidth="1"/>
    <col min="5123" max="5123" width="9" style="346"/>
    <col min="5124" max="5124" width="13.75" style="346" bestFit="1" customWidth="1"/>
    <col min="5125" max="5366" width="9" style="346"/>
    <col min="5367" max="5367" width="5.25" style="346" customWidth="1"/>
    <col min="5368" max="5368" width="24.33203125" style="346" customWidth="1"/>
    <col min="5369" max="5369" width="9.33203125" style="346" customWidth="1"/>
    <col min="5370" max="5372" width="7.75" style="346" customWidth="1"/>
    <col min="5373" max="5374" width="11.83203125" style="346" customWidth="1"/>
    <col min="5375" max="5375" width="28.33203125" style="346" customWidth="1"/>
    <col min="5376" max="5377" width="9" style="346"/>
    <col min="5378" max="5378" width="12.33203125" style="346" customWidth="1"/>
    <col min="5379" max="5379" width="9" style="346"/>
    <col min="5380" max="5380" width="13.75" style="346" bestFit="1" customWidth="1"/>
    <col min="5381" max="5622" width="9" style="346"/>
    <col min="5623" max="5623" width="5.25" style="346" customWidth="1"/>
    <col min="5624" max="5624" width="24.33203125" style="346" customWidth="1"/>
    <col min="5625" max="5625" width="9.33203125" style="346" customWidth="1"/>
    <col min="5626" max="5628" width="7.75" style="346" customWidth="1"/>
    <col min="5629" max="5630" width="11.83203125" style="346" customWidth="1"/>
    <col min="5631" max="5631" width="28.33203125" style="346" customWidth="1"/>
    <col min="5632" max="5633" width="9" style="346"/>
    <col min="5634" max="5634" width="12.33203125" style="346" customWidth="1"/>
    <col min="5635" max="5635" width="9" style="346"/>
    <col min="5636" max="5636" width="13.75" style="346" bestFit="1" customWidth="1"/>
    <col min="5637" max="5878" width="9" style="346"/>
    <col min="5879" max="5879" width="5.25" style="346" customWidth="1"/>
    <col min="5880" max="5880" width="24.33203125" style="346" customWidth="1"/>
    <col min="5881" max="5881" width="9.33203125" style="346" customWidth="1"/>
    <col min="5882" max="5884" width="7.75" style="346" customWidth="1"/>
    <col min="5885" max="5886" width="11.83203125" style="346" customWidth="1"/>
    <col min="5887" max="5887" width="28.33203125" style="346" customWidth="1"/>
    <col min="5888" max="5889" width="9" style="346"/>
    <col min="5890" max="5890" width="12.33203125" style="346" customWidth="1"/>
    <col min="5891" max="5891" width="9" style="346"/>
    <col min="5892" max="5892" width="13.75" style="346" bestFit="1" customWidth="1"/>
    <col min="5893" max="6134" width="9" style="346"/>
    <col min="6135" max="6135" width="5.25" style="346" customWidth="1"/>
    <col min="6136" max="6136" width="24.33203125" style="346" customWidth="1"/>
    <col min="6137" max="6137" width="9.33203125" style="346" customWidth="1"/>
    <col min="6138" max="6140" width="7.75" style="346" customWidth="1"/>
    <col min="6141" max="6142" width="11.83203125" style="346" customWidth="1"/>
    <col min="6143" max="6143" width="28.33203125" style="346" customWidth="1"/>
    <col min="6144" max="6145" width="9" style="346"/>
    <col min="6146" max="6146" width="12.33203125" style="346" customWidth="1"/>
    <col min="6147" max="6147" width="9" style="346"/>
    <col min="6148" max="6148" width="13.75" style="346" bestFit="1" customWidth="1"/>
    <col min="6149" max="6390" width="9" style="346"/>
    <col min="6391" max="6391" width="5.25" style="346" customWidth="1"/>
    <col min="6392" max="6392" width="24.33203125" style="346" customWidth="1"/>
    <col min="6393" max="6393" width="9.33203125" style="346" customWidth="1"/>
    <col min="6394" max="6396" width="7.75" style="346" customWidth="1"/>
    <col min="6397" max="6398" width="11.83203125" style="346" customWidth="1"/>
    <col min="6399" max="6399" width="28.33203125" style="346" customWidth="1"/>
    <col min="6400" max="6401" width="9" style="346"/>
    <col min="6402" max="6402" width="12.33203125" style="346" customWidth="1"/>
    <col min="6403" max="6403" width="9" style="346"/>
    <col min="6404" max="6404" width="13.75" style="346" bestFit="1" customWidth="1"/>
    <col min="6405" max="6646" width="9" style="346"/>
    <col min="6647" max="6647" width="5.25" style="346" customWidth="1"/>
    <col min="6648" max="6648" width="24.33203125" style="346" customWidth="1"/>
    <col min="6649" max="6649" width="9.33203125" style="346" customWidth="1"/>
    <col min="6650" max="6652" width="7.75" style="346" customWidth="1"/>
    <col min="6653" max="6654" width="11.83203125" style="346" customWidth="1"/>
    <col min="6655" max="6655" width="28.33203125" style="346" customWidth="1"/>
    <col min="6656" max="6657" width="9" style="346"/>
    <col min="6658" max="6658" width="12.33203125" style="346" customWidth="1"/>
    <col min="6659" max="6659" width="9" style="346"/>
    <col min="6660" max="6660" width="13.75" style="346" bestFit="1" customWidth="1"/>
    <col min="6661" max="6902" width="9" style="346"/>
    <col min="6903" max="6903" width="5.25" style="346" customWidth="1"/>
    <col min="6904" max="6904" width="24.33203125" style="346" customWidth="1"/>
    <col min="6905" max="6905" width="9.33203125" style="346" customWidth="1"/>
    <col min="6906" max="6908" width="7.75" style="346" customWidth="1"/>
    <col min="6909" max="6910" width="11.83203125" style="346" customWidth="1"/>
    <col min="6911" max="6911" width="28.33203125" style="346" customWidth="1"/>
    <col min="6912" max="6913" width="9" style="346"/>
    <col min="6914" max="6914" width="12.33203125" style="346" customWidth="1"/>
    <col min="6915" max="6915" width="9" style="346"/>
    <col min="6916" max="6916" width="13.75" style="346" bestFit="1" customWidth="1"/>
    <col min="6917" max="7158" width="9" style="346"/>
    <col min="7159" max="7159" width="5.25" style="346" customWidth="1"/>
    <col min="7160" max="7160" width="24.33203125" style="346" customWidth="1"/>
    <col min="7161" max="7161" width="9.33203125" style="346" customWidth="1"/>
    <col min="7162" max="7164" width="7.75" style="346" customWidth="1"/>
    <col min="7165" max="7166" width="11.83203125" style="346" customWidth="1"/>
    <col min="7167" max="7167" width="28.33203125" style="346" customWidth="1"/>
    <col min="7168" max="7169" width="9" style="346"/>
    <col min="7170" max="7170" width="12.33203125" style="346" customWidth="1"/>
    <col min="7171" max="7171" width="9" style="346"/>
    <col min="7172" max="7172" width="13.75" style="346" bestFit="1" customWidth="1"/>
    <col min="7173" max="7414" width="9" style="346"/>
    <col min="7415" max="7415" width="5.25" style="346" customWidth="1"/>
    <col min="7416" max="7416" width="24.33203125" style="346" customWidth="1"/>
    <col min="7417" max="7417" width="9.33203125" style="346" customWidth="1"/>
    <col min="7418" max="7420" width="7.75" style="346" customWidth="1"/>
    <col min="7421" max="7422" width="11.83203125" style="346" customWidth="1"/>
    <col min="7423" max="7423" width="28.33203125" style="346" customWidth="1"/>
    <col min="7424" max="7425" width="9" style="346"/>
    <col min="7426" max="7426" width="12.33203125" style="346" customWidth="1"/>
    <col min="7427" max="7427" width="9" style="346"/>
    <col min="7428" max="7428" width="13.75" style="346" bestFit="1" customWidth="1"/>
    <col min="7429" max="7670" width="9" style="346"/>
    <col min="7671" max="7671" width="5.25" style="346" customWidth="1"/>
    <col min="7672" max="7672" width="24.33203125" style="346" customWidth="1"/>
    <col min="7673" max="7673" width="9.33203125" style="346" customWidth="1"/>
    <col min="7674" max="7676" width="7.75" style="346" customWidth="1"/>
    <col min="7677" max="7678" width="11.83203125" style="346" customWidth="1"/>
    <col min="7679" max="7679" width="28.33203125" style="346" customWidth="1"/>
    <col min="7680" max="7681" width="9" style="346"/>
    <col min="7682" max="7682" width="12.33203125" style="346" customWidth="1"/>
    <col min="7683" max="7683" width="9" style="346"/>
    <col min="7684" max="7684" width="13.75" style="346" bestFit="1" customWidth="1"/>
    <col min="7685" max="7926" width="9" style="346"/>
    <col min="7927" max="7927" width="5.25" style="346" customWidth="1"/>
    <col min="7928" max="7928" width="24.33203125" style="346" customWidth="1"/>
    <col min="7929" max="7929" width="9.33203125" style="346" customWidth="1"/>
    <col min="7930" max="7932" width="7.75" style="346" customWidth="1"/>
    <col min="7933" max="7934" width="11.83203125" style="346" customWidth="1"/>
    <col min="7935" max="7935" width="28.33203125" style="346" customWidth="1"/>
    <col min="7936" max="7937" width="9" style="346"/>
    <col min="7938" max="7938" width="12.33203125" style="346" customWidth="1"/>
    <col min="7939" max="7939" width="9" style="346"/>
    <col min="7940" max="7940" width="13.75" style="346" bestFit="1" customWidth="1"/>
    <col min="7941" max="8182" width="9" style="346"/>
    <col min="8183" max="8183" width="5.25" style="346" customWidth="1"/>
    <col min="8184" max="8184" width="24.33203125" style="346" customWidth="1"/>
    <col min="8185" max="8185" width="9.33203125" style="346" customWidth="1"/>
    <col min="8186" max="8188" width="7.75" style="346" customWidth="1"/>
    <col min="8189" max="8190" width="11.83203125" style="346" customWidth="1"/>
    <col min="8191" max="8191" width="28.33203125" style="346" customWidth="1"/>
    <col min="8192" max="8193" width="9" style="346"/>
    <col min="8194" max="8194" width="12.33203125" style="346" customWidth="1"/>
    <col min="8195" max="8195" width="9" style="346"/>
    <col min="8196" max="8196" width="13.75" style="346" bestFit="1" customWidth="1"/>
    <col min="8197" max="8438" width="9" style="346"/>
    <col min="8439" max="8439" width="5.25" style="346" customWidth="1"/>
    <col min="8440" max="8440" width="24.33203125" style="346" customWidth="1"/>
    <col min="8441" max="8441" width="9.33203125" style="346" customWidth="1"/>
    <col min="8442" max="8444" width="7.75" style="346" customWidth="1"/>
    <col min="8445" max="8446" width="11.83203125" style="346" customWidth="1"/>
    <col min="8447" max="8447" width="28.33203125" style="346" customWidth="1"/>
    <col min="8448" max="8449" width="9" style="346"/>
    <col min="8450" max="8450" width="12.33203125" style="346" customWidth="1"/>
    <col min="8451" max="8451" width="9" style="346"/>
    <col min="8452" max="8452" width="13.75" style="346" bestFit="1" customWidth="1"/>
    <col min="8453" max="8694" width="9" style="346"/>
    <col min="8695" max="8695" width="5.25" style="346" customWidth="1"/>
    <col min="8696" max="8696" width="24.33203125" style="346" customWidth="1"/>
    <col min="8697" max="8697" width="9.33203125" style="346" customWidth="1"/>
    <col min="8698" max="8700" width="7.75" style="346" customWidth="1"/>
    <col min="8701" max="8702" width="11.83203125" style="346" customWidth="1"/>
    <col min="8703" max="8703" width="28.33203125" style="346" customWidth="1"/>
    <col min="8704" max="8705" width="9" style="346"/>
    <col min="8706" max="8706" width="12.33203125" style="346" customWidth="1"/>
    <col min="8707" max="8707" width="9" style="346"/>
    <col min="8708" max="8708" width="13.75" style="346" bestFit="1" customWidth="1"/>
    <col min="8709" max="8950" width="9" style="346"/>
    <col min="8951" max="8951" width="5.25" style="346" customWidth="1"/>
    <col min="8952" max="8952" width="24.33203125" style="346" customWidth="1"/>
    <col min="8953" max="8953" width="9.33203125" style="346" customWidth="1"/>
    <col min="8954" max="8956" width="7.75" style="346" customWidth="1"/>
    <col min="8957" max="8958" width="11.83203125" style="346" customWidth="1"/>
    <col min="8959" max="8959" width="28.33203125" style="346" customWidth="1"/>
    <col min="8960" max="8961" width="9" style="346"/>
    <col min="8962" max="8962" width="12.33203125" style="346" customWidth="1"/>
    <col min="8963" max="8963" width="9" style="346"/>
    <col min="8964" max="8964" width="13.75" style="346" bestFit="1" customWidth="1"/>
    <col min="8965" max="9206" width="9" style="346"/>
    <col min="9207" max="9207" width="5.25" style="346" customWidth="1"/>
    <col min="9208" max="9208" width="24.33203125" style="346" customWidth="1"/>
    <col min="9209" max="9209" width="9.33203125" style="346" customWidth="1"/>
    <col min="9210" max="9212" width="7.75" style="346" customWidth="1"/>
    <col min="9213" max="9214" width="11.83203125" style="346" customWidth="1"/>
    <col min="9215" max="9215" width="28.33203125" style="346" customWidth="1"/>
    <col min="9216" max="9217" width="9" style="346"/>
    <col min="9218" max="9218" width="12.33203125" style="346" customWidth="1"/>
    <col min="9219" max="9219" width="9" style="346"/>
    <col min="9220" max="9220" width="13.75" style="346" bestFit="1" customWidth="1"/>
    <col min="9221" max="9462" width="9" style="346"/>
    <col min="9463" max="9463" width="5.25" style="346" customWidth="1"/>
    <col min="9464" max="9464" width="24.33203125" style="346" customWidth="1"/>
    <col min="9465" max="9465" width="9.33203125" style="346" customWidth="1"/>
    <col min="9466" max="9468" width="7.75" style="346" customWidth="1"/>
    <col min="9469" max="9470" width="11.83203125" style="346" customWidth="1"/>
    <col min="9471" max="9471" width="28.33203125" style="346" customWidth="1"/>
    <col min="9472" max="9473" width="9" style="346"/>
    <col min="9474" max="9474" width="12.33203125" style="346" customWidth="1"/>
    <col min="9475" max="9475" width="9" style="346"/>
    <col min="9476" max="9476" width="13.75" style="346" bestFit="1" customWidth="1"/>
    <col min="9477" max="9718" width="9" style="346"/>
    <col min="9719" max="9719" width="5.25" style="346" customWidth="1"/>
    <col min="9720" max="9720" width="24.33203125" style="346" customWidth="1"/>
    <col min="9721" max="9721" width="9.33203125" style="346" customWidth="1"/>
    <col min="9722" max="9724" width="7.75" style="346" customWidth="1"/>
    <col min="9725" max="9726" width="11.83203125" style="346" customWidth="1"/>
    <col min="9727" max="9727" width="28.33203125" style="346" customWidth="1"/>
    <col min="9728" max="9729" width="9" style="346"/>
    <col min="9730" max="9730" width="12.33203125" style="346" customWidth="1"/>
    <col min="9731" max="9731" width="9" style="346"/>
    <col min="9732" max="9732" width="13.75" style="346" bestFit="1" customWidth="1"/>
    <col min="9733" max="9974" width="9" style="346"/>
    <col min="9975" max="9975" width="5.25" style="346" customWidth="1"/>
    <col min="9976" max="9976" width="24.33203125" style="346" customWidth="1"/>
    <col min="9977" max="9977" width="9.33203125" style="346" customWidth="1"/>
    <col min="9978" max="9980" width="7.75" style="346" customWidth="1"/>
    <col min="9981" max="9982" width="11.83203125" style="346" customWidth="1"/>
    <col min="9983" max="9983" width="28.33203125" style="346" customWidth="1"/>
    <col min="9984" max="9985" width="9" style="346"/>
    <col min="9986" max="9986" width="12.33203125" style="346" customWidth="1"/>
    <col min="9987" max="9987" width="9" style="346"/>
    <col min="9988" max="9988" width="13.75" style="346" bestFit="1" customWidth="1"/>
    <col min="9989" max="10230" width="9" style="346"/>
    <col min="10231" max="10231" width="5.25" style="346" customWidth="1"/>
    <col min="10232" max="10232" width="24.33203125" style="346" customWidth="1"/>
    <col min="10233" max="10233" width="9.33203125" style="346" customWidth="1"/>
    <col min="10234" max="10236" width="7.75" style="346" customWidth="1"/>
    <col min="10237" max="10238" width="11.83203125" style="346" customWidth="1"/>
    <col min="10239" max="10239" width="28.33203125" style="346" customWidth="1"/>
    <col min="10240" max="10241" width="9" style="346"/>
    <col min="10242" max="10242" width="12.33203125" style="346" customWidth="1"/>
    <col min="10243" max="10243" width="9" style="346"/>
    <col min="10244" max="10244" width="13.75" style="346" bestFit="1" customWidth="1"/>
    <col min="10245" max="10486" width="9" style="346"/>
    <col min="10487" max="10487" width="5.25" style="346" customWidth="1"/>
    <col min="10488" max="10488" width="24.33203125" style="346" customWidth="1"/>
    <col min="10489" max="10489" width="9.33203125" style="346" customWidth="1"/>
    <col min="10490" max="10492" width="7.75" style="346" customWidth="1"/>
    <col min="10493" max="10494" width="11.83203125" style="346" customWidth="1"/>
    <col min="10495" max="10495" width="28.33203125" style="346" customWidth="1"/>
    <col min="10496" max="10497" width="9" style="346"/>
    <col min="10498" max="10498" width="12.33203125" style="346" customWidth="1"/>
    <col min="10499" max="10499" width="9" style="346"/>
    <col min="10500" max="10500" width="13.75" style="346" bestFit="1" customWidth="1"/>
    <col min="10501" max="10742" width="9" style="346"/>
    <col min="10743" max="10743" width="5.25" style="346" customWidth="1"/>
    <col min="10744" max="10744" width="24.33203125" style="346" customWidth="1"/>
    <col min="10745" max="10745" width="9.33203125" style="346" customWidth="1"/>
    <col min="10746" max="10748" width="7.75" style="346" customWidth="1"/>
    <col min="10749" max="10750" width="11.83203125" style="346" customWidth="1"/>
    <col min="10751" max="10751" width="28.33203125" style="346" customWidth="1"/>
    <col min="10752" max="10753" width="9" style="346"/>
    <col min="10754" max="10754" width="12.33203125" style="346" customWidth="1"/>
    <col min="10755" max="10755" width="9" style="346"/>
    <col min="10756" max="10756" width="13.75" style="346" bestFit="1" customWidth="1"/>
    <col min="10757" max="10998" width="9" style="346"/>
    <col min="10999" max="10999" width="5.25" style="346" customWidth="1"/>
    <col min="11000" max="11000" width="24.33203125" style="346" customWidth="1"/>
    <col min="11001" max="11001" width="9.33203125" style="346" customWidth="1"/>
    <col min="11002" max="11004" width="7.75" style="346" customWidth="1"/>
    <col min="11005" max="11006" width="11.83203125" style="346" customWidth="1"/>
    <col min="11007" max="11007" width="28.33203125" style="346" customWidth="1"/>
    <col min="11008" max="11009" width="9" style="346"/>
    <col min="11010" max="11010" width="12.33203125" style="346" customWidth="1"/>
    <col min="11011" max="11011" width="9" style="346"/>
    <col min="11012" max="11012" width="13.75" style="346" bestFit="1" customWidth="1"/>
    <col min="11013" max="11254" width="9" style="346"/>
    <col min="11255" max="11255" width="5.25" style="346" customWidth="1"/>
    <col min="11256" max="11256" width="24.33203125" style="346" customWidth="1"/>
    <col min="11257" max="11257" width="9.33203125" style="346" customWidth="1"/>
    <col min="11258" max="11260" width="7.75" style="346" customWidth="1"/>
    <col min="11261" max="11262" width="11.83203125" style="346" customWidth="1"/>
    <col min="11263" max="11263" width="28.33203125" style="346" customWidth="1"/>
    <col min="11264" max="11265" width="9" style="346"/>
    <col min="11266" max="11266" width="12.33203125" style="346" customWidth="1"/>
    <col min="11267" max="11267" width="9" style="346"/>
    <col min="11268" max="11268" width="13.75" style="346" bestFit="1" customWidth="1"/>
    <col min="11269" max="11510" width="9" style="346"/>
    <col min="11511" max="11511" width="5.25" style="346" customWidth="1"/>
    <col min="11512" max="11512" width="24.33203125" style="346" customWidth="1"/>
    <col min="11513" max="11513" width="9.33203125" style="346" customWidth="1"/>
    <col min="11514" max="11516" width="7.75" style="346" customWidth="1"/>
    <col min="11517" max="11518" width="11.83203125" style="346" customWidth="1"/>
    <col min="11519" max="11519" width="28.33203125" style="346" customWidth="1"/>
    <col min="11520" max="11521" width="9" style="346"/>
    <col min="11522" max="11522" width="12.33203125" style="346" customWidth="1"/>
    <col min="11523" max="11523" width="9" style="346"/>
    <col min="11524" max="11524" width="13.75" style="346" bestFit="1" customWidth="1"/>
    <col min="11525" max="11766" width="9" style="346"/>
    <col min="11767" max="11767" width="5.25" style="346" customWidth="1"/>
    <col min="11768" max="11768" width="24.33203125" style="346" customWidth="1"/>
    <col min="11769" max="11769" width="9.33203125" style="346" customWidth="1"/>
    <col min="11770" max="11772" width="7.75" style="346" customWidth="1"/>
    <col min="11773" max="11774" width="11.83203125" style="346" customWidth="1"/>
    <col min="11775" max="11775" width="28.33203125" style="346" customWidth="1"/>
    <col min="11776" max="11777" width="9" style="346"/>
    <col min="11778" max="11778" width="12.33203125" style="346" customWidth="1"/>
    <col min="11779" max="11779" width="9" style="346"/>
    <col min="11780" max="11780" width="13.75" style="346" bestFit="1" customWidth="1"/>
    <col min="11781" max="12022" width="9" style="346"/>
    <col min="12023" max="12023" width="5.25" style="346" customWidth="1"/>
    <col min="12024" max="12024" width="24.33203125" style="346" customWidth="1"/>
    <col min="12025" max="12025" width="9.33203125" style="346" customWidth="1"/>
    <col min="12026" max="12028" width="7.75" style="346" customWidth="1"/>
    <col min="12029" max="12030" width="11.83203125" style="346" customWidth="1"/>
    <col min="12031" max="12031" width="28.33203125" style="346" customWidth="1"/>
    <col min="12032" max="12033" width="9" style="346"/>
    <col min="12034" max="12034" width="12.33203125" style="346" customWidth="1"/>
    <col min="12035" max="12035" width="9" style="346"/>
    <col min="12036" max="12036" width="13.75" style="346" bestFit="1" customWidth="1"/>
    <col min="12037" max="12278" width="9" style="346"/>
    <col min="12279" max="12279" width="5.25" style="346" customWidth="1"/>
    <col min="12280" max="12280" width="24.33203125" style="346" customWidth="1"/>
    <col min="12281" max="12281" width="9.33203125" style="346" customWidth="1"/>
    <col min="12282" max="12284" width="7.75" style="346" customWidth="1"/>
    <col min="12285" max="12286" width="11.83203125" style="346" customWidth="1"/>
    <col min="12287" max="12287" width="28.33203125" style="346" customWidth="1"/>
    <col min="12288" max="12289" width="9" style="346"/>
    <col min="12290" max="12290" width="12.33203125" style="346" customWidth="1"/>
    <col min="12291" max="12291" width="9" style="346"/>
    <col min="12292" max="12292" width="13.75" style="346" bestFit="1" customWidth="1"/>
    <col min="12293" max="12534" width="9" style="346"/>
    <col min="12535" max="12535" width="5.25" style="346" customWidth="1"/>
    <col min="12536" max="12536" width="24.33203125" style="346" customWidth="1"/>
    <col min="12537" max="12537" width="9.33203125" style="346" customWidth="1"/>
    <col min="12538" max="12540" width="7.75" style="346" customWidth="1"/>
    <col min="12541" max="12542" width="11.83203125" style="346" customWidth="1"/>
    <col min="12543" max="12543" width="28.33203125" style="346" customWidth="1"/>
    <col min="12544" max="12545" width="9" style="346"/>
    <col min="12546" max="12546" width="12.33203125" style="346" customWidth="1"/>
    <col min="12547" max="12547" width="9" style="346"/>
    <col min="12548" max="12548" width="13.75" style="346" bestFit="1" customWidth="1"/>
    <col min="12549" max="12790" width="9" style="346"/>
    <col min="12791" max="12791" width="5.25" style="346" customWidth="1"/>
    <col min="12792" max="12792" width="24.33203125" style="346" customWidth="1"/>
    <col min="12793" max="12793" width="9.33203125" style="346" customWidth="1"/>
    <col min="12794" max="12796" width="7.75" style="346" customWidth="1"/>
    <col min="12797" max="12798" width="11.83203125" style="346" customWidth="1"/>
    <col min="12799" max="12799" width="28.33203125" style="346" customWidth="1"/>
    <col min="12800" max="12801" width="9" style="346"/>
    <col min="12802" max="12802" width="12.33203125" style="346" customWidth="1"/>
    <col min="12803" max="12803" width="9" style="346"/>
    <col min="12804" max="12804" width="13.75" style="346" bestFit="1" customWidth="1"/>
    <col min="12805" max="13046" width="9" style="346"/>
    <col min="13047" max="13047" width="5.25" style="346" customWidth="1"/>
    <col min="13048" max="13048" width="24.33203125" style="346" customWidth="1"/>
    <col min="13049" max="13049" width="9.33203125" style="346" customWidth="1"/>
    <col min="13050" max="13052" width="7.75" style="346" customWidth="1"/>
    <col min="13053" max="13054" width="11.83203125" style="346" customWidth="1"/>
    <col min="13055" max="13055" width="28.33203125" style="346" customWidth="1"/>
    <col min="13056" max="13057" width="9" style="346"/>
    <col min="13058" max="13058" width="12.33203125" style="346" customWidth="1"/>
    <col min="13059" max="13059" width="9" style="346"/>
    <col min="13060" max="13060" width="13.75" style="346" bestFit="1" customWidth="1"/>
    <col min="13061" max="13302" width="9" style="346"/>
    <col min="13303" max="13303" width="5.25" style="346" customWidth="1"/>
    <col min="13304" max="13304" width="24.33203125" style="346" customWidth="1"/>
    <col min="13305" max="13305" width="9.33203125" style="346" customWidth="1"/>
    <col min="13306" max="13308" width="7.75" style="346" customWidth="1"/>
    <col min="13309" max="13310" width="11.83203125" style="346" customWidth="1"/>
    <col min="13311" max="13311" width="28.33203125" style="346" customWidth="1"/>
    <col min="13312" max="13313" width="9" style="346"/>
    <col min="13314" max="13314" width="12.33203125" style="346" customWidth="1"/>
    <col min="13315" max="13315" width="9" style="346"/>
    <col min="13316" max="13316" width="13.75" style="346" bestFit="1" customWidth="1"/>
    <col min="13317" max="13558" width="9" style="346"/>
    <col min="13559" max="13559" width="5.25" style="346" customWidth="1"/>
    <col min="13560" max="13560" width="24.33203125" style="346" customWidth="1"/>
    <col min="13561" max="13561" width="9.33203125" style="346" customWidth="1"/>
    <col min="13562" max="13564" width="7.75" style="346" customWidth="1"/>
    <col min="13565" max="13566" width="11.83203125" style="346" customWidth="1"/>
    <col min="13567" max="13567" width="28.33203125" style="346" customWidth="1"/>
    <col min="13568" max="13569" width="9" style="346"/>
    <col min="13570" max="13570" width="12.33203125" style="346" customWidth="1"/>
    <col min="13571" max="13571" width="9" style="346"/>
    <col min="13572" max="13572" width="13.75" style="346" bestFit="1" customWidth="1"/>
    <col min="13573" max="13814" width="9" style="346"/>
    <col min="13815" max="13815" width="5.25" style="346" customWidth="1"/>
    <col min="13816" max="13816" width="24.33203125" style="346" customWidth="1"/>
    <col min="13817" max="13817" width="9.33203125" style="346" customWidth="1"/>
    <col min="13818" max="13820" width="7.75" style="346" customWidth="1"/>
    <col min="13821" max="13822" width="11.83203125" style="346" customWidth="1"/>
    <col min="13823" max="13823" width="28.33203125" style="346" customWidth="1"/>
    <col min="13824" max="13825" width="9" style="346"/>
    <col min="13826" max="13826" width="12.33203125" style="346" customWidth="1"/>
    <col min="13827" max="13827" width="9" style="346"/>
    <col min="13828" max="13828" width="13.75" style="346" bestFit="1" customWidth="1"/>
    <col min="13829" max="14070" width="9" style="346"/>
    <col min="14071" max="14071" width="5.25" style="346" customWidth="1"/>
    <col min="14072" max="14072" width="24.33203125" style="346" customWidth="1"/>
    <col min="14073" max="14073" width="9.33203125" style="346" customWidth="1"/>
    <col min="14074" max="14076" width="7.75" style="346" customWidth="1"/>
    <col min="14077" max="14078" width="11.83203125" style="346" customWidth="1"/>
    <col min="14079" max="14079" width="28.33203125" style="346" customWidth="1"/>
    <col min="14080" max="14081" width="9" style="346"/>
    <col min="14082" max="14082" width="12.33203125" style="346" customWidth="1"/>
    <col min="14083" max="14083" width="9" style="346"/>
    <col min="14084" max="14084" width="13.75" style="346" bestFit="1" customWidth="1"/>
    <col min="14085" max="14326" width="9" style="346"/>
    <col min="14327" max="14327" width="5.25" style="346" customWidth="1"/>
    <col min="14328" max="14328" width="24.33203125" style="346" customWidth="1"/>
    <col min="14329" max="14329" width="9.33203125" style="346" customWidth="1"/>
    <col min="14330" max="14332" width="7.75" style="346" customWidth="1"/>
    <col min="14333" max="14334" width="11.83203125" style="346" customWidth="1"/>
    <col min="14335" max="14335" width="28.33203125" style="346" customWidth="1"/>
    <col min="14336" max="14337" width="9" style="346"/>
    <col min="14338" max="14338" width="12.33203125" style="346" customWidth="1"/>
    <col min="14339" max="14339" width="9" style="346"/>
    <col min="14340" max="14340" width="13.75" style="346" bestFit="1" customWidth="1"/>
    <col min="14341" max="14582" width="9" style="346"/>
    <col min="14583" max="14583" width="5.25" style="346" customWidth="1"/>
    <col min="14584" max="14584" width="24.33203125" style="346" customWidth="1"/>
    <col min="14585" max="14585" width="9.33203125" style="346" customWidth="1"/>
    <col min="14586" max="14588" width="7.75" style="346" customWidth="1"/>
    <col min="14589" max="14590" width="11.83203125" style="346" customWidth="1"/>
    <col min="14591" max="14591" width="28.33203125" style="346" customWidth="1"/>
    <col min="14592" max="14593" width="9" style="346"/>
    <col min="14594" max="14594" width="12.33203125" style="346" customWidth="1"/>
    <col min="14595" max="14595" width="9" style="346"/>
    <col min="14596" max="14596" width="13.75" style="346" bestFit="1" customWidth="1"/>
    <col min="14597" max="14838" width="9" style="346"/>
    <col min="14839" max="14839" width="5.25" style="346" customWidth="1"/>
    <col min="14840" max="14840" width="24.33203125" style="346" customWidth="1"/>
    <col min="14841" max="14841" width="9.33203125" style="346" customWidth="1"/>
    <col min="14842" max="14844" width="7.75" style="346" customWidth="1"/>
    <col min="14845" max="14846" width="11.83203125" style="346" customWidth="1"/>
    <col min="14847" max="14847" width="28.33203125" style="346" customWidth="1"/>
    <col min="14848" max="14849" width="9" style="346"/>
    <col min="14850" max="14850" width="12.33203125" style="346" customWidth="1"/>
    <col min="14851" max="14851" width="9" style="346"/>
    <col min="14852" max="14852" width="13.75" style="346" bestFit="1" customWidth="1"/>
    <col min="14853" max="15094" width="9" style="346"/>
    <col min="15095" max="15095" width="5.25" style="346" customWidth="1"/>
    <col min="15096" max="15096" width="24.33203125" style="346" customWidth="1"/>
    <col min="15097" max="15097" width="9.33203125" style="346" customWidth="1"/>
    <col min="15098" max="15100" width="7.75" style="346" customWidth="1"/>
    <col min="15101" max="15102" width="11.83203125" style="346" customWidth="1"/>
    <col min="15103" max="15103" width="28.33203125" style="346" customWidth="1"/>
    <col min="15104" max="15105" width="9" style="346"/>
    <col min="15106" max="15106" width="12.33203125" style="346" customWidth="1"/>
    <col min="15107" max="15107" width="9" style="346"/>
    <col min="15108" max="15108" width="13.75" style="346" bestFit="1" customWidth="1"/>
    <col min="15109" max="15350" width="9" style="346"/>
    <col min="15351" max="15351" width="5.25" style="346" customWidth="1"/>
    <col min="15352" max="15352" width="24.33203125" style="346" customWidth="1"/>
    <col min="15353" max="15353" width="9.33203125" style="346" customWidth="1"/>
    <col min="15354" max="15356" width="7.75" style="346" customWidth="1"/>
    <col min="15357" max="15358" width="11.83203125" style="346" customWidth="1"/>
    <col min="15359" max="15359" width="28.33203125" style="346" customWidth="1"/>
    <col min="15360" max="15361" width="9" style="346"/>
    <col min="15362" max="15362" width="12.33203125" style="346" customWidth="1"/>
    <col min="15363" max="15363" width="9" style="346"/>
    <col min="15364" max="15364" width="13.75" style="346" bestFit="1" customWidth="1"/>
    <col min="15365" max="15606" width="9" style="346"/>
    <col min="15607" max="15607" width="5.25" style="346" customWidth="1"/>
    <col min="15608" max="15608" width="24.33203125" style="346" customWidth="1"/>
    <col min="15609" max="15609" width="9.33203125" style="346" customWidth="1"/>
    <col min="15610" max="15612" width="7.75" style="346" customWidth="1"/>
    <col min="15613" max="15614" width="11.83203125" style="346" customWidth="1"/>
    <col min="15615" max="15615" width="28.33203125" style="346" customWidth="1"/>
    <col min="15616" max="15617" width="9" style="346"/>
    <col min="15618" max="15618" width="12.33203125" style="346" customWidth="1"/>
    <col min="15619" max="15619" width="9" style="346"/>
    <col min="15620" max="15620" width="13.75" style="346" bestFit="1" customWidth="1"/>
    <col min="15621" max="15862" width="9" style="346"/>
    <col min="15863" max="15863" width="5.25" style="346" customWidth="1"/>
    <col min="15864" max="15864" width="24.33203125" style="346" customWidth="1"/>
    <col min="15865" max="15865" width="9.33203125" style="346" customWidth="1"/>
    <col min="15866" max="15868" width="7.75" style="346" customWidth="1"/>
    <col min="15869" max="15870" width="11.83203125" style="346" customWidth="1"/>
    <col min="15871" max="15871" width="28.33203125" style="346" customWidth="1"/>
    <col min="15872" max="15873" width="9" style="346"/>
    <col min="15874" max="15874" width="12.33203125" style="346" customWidth="1"/>
    <col min="15875" max="15875" width="9" style="346"/>
    <col min="15876" max="15876" width="13.75" style="346" bestFit="1" customWidth="1"/>
    <col min="15877" max="16118" width="9" style="346"/>
    <col min="16119" max="16119" width="5.25" style="346" customWidth="1"/>
    <col min="16120" max="16120" width="24.33203125" style="346" customWidth="1"/>
    <col min="16121" max="16121" width="9.33203125" style="346" customWidth="1"/>
    <col min="16122" max="16124" width="7.75" style="346" customWidth="1"/>
    <col min="16125" max="16126" width="11.83203125" style="346" customWidth="1"/>
    <col min="16127" max="16127" width="28.33203125" style="346" customWidth="1"/>
    <col min="16128" max="16129" width="9" style="346"/>
    <col min="16130" max="16130" width="12.33203125" style="346" customWidth="1"/>
    <col min="16131" max="16131" width="9" style="346"/>
    <col min="16132" max="16132" width="13.75" style="346" bestFit="1" customWidth="1"/>
    <col min="16133" max="16384" width="9" style="346"/>
  </cols>
  <sheetData>
    <row r="1" spans="1:16">
      <c r="A1" s="886" t="s">
        <v>2405</v>
      </c>
    </row>
    <row r="2" spans="1:16" ht="19">
      <c r="A2" s="1028" t="s">
        <v>2346</v>
      </c>
      <c r="B2" s="1028"/>
      <c r="C2" s="1028"/>
      <c r="D2" s="1028"/>
      <c r="E2" s="1028"/>
      <c r="F2" s="1028"/>
      <c r="G2" s="1028"/>
      <c r="H2" s="1028"/>
      <c r="I2" s="1028"/>
      <c r="J2" s="1028"/>
      <c r="K2" s="1028"/>
      <c r="L2" s="1028"/>
    </row>
    <row r="3" spans="1:16" ht="17" thickBot="1">
      <c r="A3" s="344"/>
      <c r="B3" s="413"/>
      <c r="C3" s="344"/>
      <c r="D3" s="344"/>
      <c r="E3" s="344"/>
      <c r="F3" s="344"/>
      <c r="G3" s="344"/>
      <c r="H3" s="344"/>
      <c r="I3" s="875"/>
      <c r="J3" s="837"/>
      <c r="K3" s="400"/>
      <c r="L3" s="784"/>
    </row>
    <row r="4" spans="1:16" s="345" customFormat="1" ht="36" customHeight="1" thickTop="1">
      <c r="A4" s="352" t="s">
        <v>1</v>
      </c>
      <c r="B4" s="849" t="s">
        <v>427</v>
      </c>
      <c r="C4" s="353" t="s">
        <v>2</v>
      </c>
      <c r="D4" s="353" t="s">
        <v>3</v>
      </c>
      <c r="E4" s="1029" t="s">
        <v>4</v>
      </c>
      <c r="F4" s="1029"/>
      <c r="G4" s="1029"/>
      <c r="H4" s="1029" t="s">
        <v>5</v>
      </c>
      <c r="I4" s="1029"/>
      <c r="J4" s="838" t="s">
        <v>51</v>
      </c>
      <c r="K4" s="401" t="s">
        <v>52</v>
      </c>
      <c r="L4" s="785" t="s">
        <v>6</v>
      </c>
      <c r="O4" s="907"/>
      <c r="P4" s="907"/>
    </row>
    <row r="5" spans="1:16" s="345" customFormat="1" ht="36" customHeight="1">
      <c r="A5" s="960" t="s">
        <v>367</v>
      </c>
      <c r="B5" s="961"/>
      <c r="C5" s="1025" t="s">
        <v>2438</v>
      </c>
      <c r="D5" s="1026"/>
      <c r="E5" s="1026"/>
      <c r="F5" s="1026"/>
      <c r="G5" s="1026"/>
      <c r="H5" s="1026"/>
      <c r="I5" s="1026"/>
      <c r="J5" s="1027"/>
      <c r="K5" s="962">
        <f>SUBTOTAL(9,K6:K28)</f>
        <v>914494652.04116488</v>
      </c>
      <c r="L5" s="963"/>
      <c r="O5" s="907"/>
      <c r="P5" s="907"/>
    </row>
    <row r="6" spans="1:16" s="347" customFormat="1" ht="33">
      <c r="A6" s="355" t="s">
        <v>12</v>
      </c>
      <c r="B6" s="454"/>
      <c r="C6" s="356" t="s">
        <v>316</v>
      </c>
      <c r="D6" s="357"/>
      <c r="E6" s="358"/>
      <c r="F6" s="358"/>
      <c r="G6" s="358"/>
      <c r="H6" s="357"/>
      <c r="I6" s="876"/>
      <c r="J6" s="839"/>
      <c r="K6" s="403"/>
      <c r="L6" s="836"/>
      <c r="O6" s="908"/>
      <c r="P6" s="908"/>
    </row>
    <row r="7" spans="1:16" s="348" customFormat="1" ht="70.5" customHeight="1">
      <c r="A7" s="360">
        <v>1</v>
      </c>
      <c r="B7" s="314" t="s">
        <v>2286</v>
      </c>
      <c r="C7" s="361" t="s">
        <v>2382</v>
      </c>
      <c r="D7" s="362" t="s">
        <v>318</v>
      </c>
      <c r="E7" s="362">
        <v>0.1</v>
      </c>
      <c r="F7" s="362">
        <v>0.1</v>
      </c>
      <c r="G7" s="362"/>
      <c r="H7" s="363">
        <f>E7*F7</f>
        <v>1.0000000000000002E-2</v>
      </c>
      <c r="I7" s="387">
        <f>I8</f>
        <v>163</v>
      </c>
      <c r="J7" s="840">
        <f>VLOOKUP(B7,'2CT'!$A$3:$H$315,7,0)</f>
        <v>638164.08802197105</v>
      </c>
      <c r="K7" s="404">
        <f>J7*I7</f>
        <v>104020746.34758128</v>
      </c>
      <c r="L7" s="787"/>
      <c r="N7" s="348">
        <v>0.01</v>
      </c>
      <c r="O7" s="909"/>
      <c r="P7" s="909"/>
    </row>
    <row r="8" spans="1:16" s="348" customFormat="1" ht="52.5" customHeight="1">
      <c r="A8" s="360">
        <v>2</v>
      </c>
      <c r="B8" s="455" t="s">
        <v>2287</v>
      </c>
      <c r="C8" s="361" t="s">
        <v>428</v>
      </c>
      <c r="D8" s="362" t="s">
        <v>318</v>
      </c>
      <c r="E8" s="362"/>
      <c r="F8" s="362"/>
      <c r="G8" s="362"/>
      <c r="H8" s="363"/>
      <c r="I8" s="387">
        <v>163</v>
      </c>
      <c r="J8" s="840">
        <f>VLOOKUP(B8,'2CT'!$A$3:$H$315,7,0)</f>
        <v>247174.99751999037</v>
      </c>
      <c r="K8" s="404">
        <f>J8*I8</f>
        <v>40289524.595758431</v>
      </c>
      <c r="L8" s="787"/>
      <c r="O8" s="909"/>
      <c r="P8" s="909"/>
    </row>
    <row r="9" spans="1:16" s="348" customFormat="1" ht="54.75" customHeight="1">
      <c r="A9" s="360">
        <v>3</v>
      </c>
      <c r="B9" s="455" t="s">
        <v>2288</v>
      </c>
      <c r="C9" s="361" t="str">
        <f>'2CT'!C46</f>
        <v>Đường hàn kín nước(lỗ khoan bị thấm nước)bằng que hàn dưới nước Broco Underwater</v>
      </c>
      <c r="D9" s="362" t="s">
        <v>318</v>
      </c>
      <c r="E9" s="362" t="s">
        <v>19</v>
      </c>
      <c r="F9" s="362" t="s">
        <v>19</v>
      </c>
      <c r="G9" s="362"/>
      <c r="H9" s="363">
        <v>0.32</v>
      </c>
      <c r="I9" s="387">
        <f>I7</f>
        <v>163</v>
      </c>
      <c r="J9" s="840">
        <f>VLOOKUP(B9,'2CT'!$A$3:$H$315,7,0)</f>
        <v>1880749.3221275189</v>
      </c>
      <c r="K9" s="404">
        <f>J9*I9</f>
        <v>306562139.50678557</v>
      </c>
      <c r="L9" s="787"/>
      <c r="O9" s="909"/>
      <c r="P9" s="909"/>
    </row>
    <row r="10" spans="1:16" s="348" customFormat="1" ht="25.5" customHeight="1">
      <c r="A10" s="360">
        <v>4</v>
      </c>
      <c r="B10" s="455" t="s">
        <v>2289</v>
      </c>
      <c r="C10" s="363" t="s">
        <v>2306</v>
      </c>
      <c r="D10" s="362" t="s">
        <v>318</v>
      </c>
      <c r="E10" s="362"/>
      <c r="F10" s="362"/>
      <c r="G10" s="362"/>
      <c r="H10" s="363"/>
      <c r="I10" s="387">
        <f>I7</f>
        <v>163</v>
      </c>
      <c r="J10" s="840">
        <f>VLOOKUP(B10,'2CT'!$A$3:$H$315,7,0)</f>
        <v>59440.881823899043</v>
      </c>
      <c r="K10" s="404">
        <f>J10*I10</f>
        <v>9688863.7372955438</v>
      </c>
      <c r="L10" s="787"/>
      <c r="M10" s="348" t="s">
        <v>324</v>
      </c>
      <c r="O10" s="909"/>
      <c r="P10" s="909"/>
    </row>
    <row r="11" spans="1:16" s="347" customFormat="1" ht="33">
      <c r="A11" s="355" t="s">
        <v>20</v>
      </c>
      <c r="B11" s="454"/>
      <c r="C11" s="356" t="s">
        <v>325</v>
      </c>
      <c r="D11" s="357"/>
      <c r="E11" s="358"/>
      <c r="F11" s="358"/>
      <c r="G11" s="358"/>
      <c r="H11" s="357"/>
      <c r="I11" s="876"/>
      <c r="J11" s="839"/>
      <c r="K11" s="405"/>
      <c r="L11" s="836"/>
      <c r="O11" s="908"/>
      <c r="P11" s="908"/>
    </row>
    <row r="12" spans="1:16" s="348" customFormat="1" ht="40.5" customHeight="1">
      <c r="A12" s="360">
        <v>1</v>
      </c>
      <c r="B12" s="455" t="s">
        <v>2291</v>
      </c>
      <c r="C12" s="361" t="s">
        <v>319</v>
      </c>
      <c r="D12" s="362" t="s">
        <v>318</v>
      </c>
      <c r="E12" s="362"/>
      <c r="F12" s="362"/>
      <c r="G12" s="362"/>
      <c r="H12" s="363"/>
      <c r="I12" s="387">
        <v>35</v>
      </c>
      <c r="J12" s="840">
        <f>VLOOKUP(B12,'2CT'!$A$3:$H$315,7,0)</f>
        <v>806754.2736213475</v>
      </c>
      <c r="K12" s="404">
        <f t="shared" ref="K12:K17" si="0">J12*I12</f>
        <v>28236399.576747164</v>
      </c>
      <c r="L12" s="787"/>
      <c r="O12" s="909"/>
      <c r="P12" s="909"/>
    </row>
    <row r="13" spans="1:16" s="348" customFormat="1" ht="66">
      <c r="A13" s="360">
        <v>2</v>
      </c>
      <c r="B13" s="455" t="s">
        <v>2286</v>
      </c>
      <c r="C13" s="361" t="s">
        <v>2344</v>
      </c>
      <c r="D13" s="362" t="s">
        <v>318</v>
      </c>
      <c r="E13" s="362">
        <v>0.1</v>
      </c>
      <c r="F13" s="362">
        <v>0.1</v>
      </c>
      <c r="G13" s="362"/>
      <c r="H13" s="363">
        <f>E13*F13</f>
        <v>1.0000000000000002E-2</v>
      </c>
      <c r="I13" s="387">
        <f>I12</f>
        <v>35</v>
      </c>
      <c r="J13" s="840">
        <f>VLOOKUP(B13,'2CT'!$A$3:$H$315,7,0)</f>
        <v>638164.08802197105</v>
      </c>
      <c r="K13" s="404">
        <f t="shared" si="0"/>
        <v>22335743.080768988</v>
      </c>
      <c r="L13" s="787"/>
      <c r="O13" s="909"/>
      <c r="P13" s="909"/>
    </row>
    <row r="14" spans="1:16" s="348" customFormat="1" ht="33">
      <c r="A14" s="360">
        <v>3</v>
      </c>
      <c r="B14" s="455" t="s">
        <v>2290</v>
      </c>
      <c r="C14" s="361" t="s">
        <v>2439</v>
      </c>
      <c r="D14" s="362" t="s">
        <v>318</v>
      </c>
      <c r="E14" s="362" t="s">
        <v>19</v>
      </c>
      <c r="F14" s="362" t="s">
        <v>19</v>
      </c>
      <c r="G14" s="362"/>
      <c r="H14" s="363">
        <v>0.64</v>
      </c>
      <c r="I14" s="387">
        <f>I13</f>
        <v>35</v>
      </c>
      <c r="J14" s="840">
        <f>VLOOKUP(B14,'2CT'!$A$3:$H$315,7,0)</f>
        <v>8267367.2820251295</v>
      </c>
      <c r="K14" s="404">
        <f t="shared" si="0"/>
        <v>289357854.87087953</v>
      </c>
      <c r="L14" s="787"/>
      <c r="M14" s="348">
        <f>+J14*1.5</f>
        <v>12401050.923037695</v>
      </c>
      <c r="O14" s="909"/>
      <c r="P14" s="909"/>
    </row>
    <row r="15" spans="1:16" s="348" customFormat="1" ht="26">
      <c r="A15" s="360">
        <v>4</v>
      </c>
      <c r="B15" s="455" t="s">
        <v>2292</v>
      </c>
      <c r="C15" s="361" t="s">
        <v>2305</v>
      </c>
      <c r="D15" s="362" t="s">
        <v>318</v>
      </c>
      <c r="E15" s="362"/>
      <c r="F15" s="362"/>
      <c r="G15" s="362"/>
      <c r="H15" s="363"/>
      <c r="I15" s="387">
        <v>35</v>
      </c>
      <c r="J15" s="840">
        <f>VLOOKUP(B15,'2CT'!$A$3:$H$315,7,0)</f>
        <v>118881.76364779809</v>
      </c>
      <c r="K15" s="404">
        <f t="shared" si="0"/>
        <v>4160861.7276729331</v>
      </c>
      <c r="L15" s="788" t="s">
        <v>2283</v>
      </c>
      <c r="M15" s="348" t="s">
        <v>324</v>
      </c>
      <c r="O15" s="909"/>
      <c r="P15" s="909"/>
    </row>
    <row r="16" spans="1:16" s="348" customFormat="1" ht="33" hidden="1">
      <c r="A16" s="360">
        <v>4</v>
      </c>
      <c r="B16" s="455" t="s">
        <v>2317</v>
      </c>
      <c r="C16" s="361" t="s">
        <v>384</v>
      </c>
      <c r="D16" s="362" t="s">
        <v>318</v>
      </c>
      <c r="E16" s="362"/>
      <c r="F16" s="362"/>
      <c r="G16" s="362"/>
      <c r="H16" s="363"/>
      <c r="I16" s="387">
        <v>0</v>
      </c>
      <c r="J16" s="840">
        <f>'2CT'!G215</f>
        <v>245858.56588678848</v>
      </c>
      <c r="K16" s="404">
        <f t="shared" si="0"/>
        <v>0</v>
      </c>
      <c r="L16" s="788"/>
      <c r="O16" s="909"/>
      <c r="P16" s="909"/>
    </row>
    <row r="17" spans="1:16" s="348" customFormat="1" ht="78" hidden="1">
      <c r="A17" s="360">
        <v>5</v>
      </c>
      <c r="B17" s="455" t="s">
        <v>2294</v>
      </c>
      <c r="C17" s="361" t="s">
        <v>2331</v>
      </c>
      <c r="D17" s="362" t="s">
        <v>16</v>
      </c>
      <c r="E17" s="362"/>
      <c r="F17" s="362"/>
      <c r="G17" s="362"/>
      <c r="H17" s="363"/>
      <c r="I17" s="387">
        <v>0</v>
      </c>
      <c r="J17" s="840">
        <v>462524</v>
      </c>
      <c r="K17" s="404">
        <f t="shared" si="0"/>
        <v>0</v>
      </c>
      <c r="L17" s="788" t="s">
        <v>2295</v>
      </c>
      <c r="O17" s="909"/>
      <c r="P17" s="909"/>
    </row>
    <row r="18" spans="1:16" s="348" customFormat="1" ht="40.5" customHeight="1">
      <c r="A18" s="355" t="s">
        <v>825</v>
      </c>
      <c r="B18" s="455"/>
      <c r="C18" s="356" t="s">
        <v>28</v>
      </c>
      <c r="D18" s="362"/>
      <c r="E18" s="362"/>
      <c r="F18" s="362"/>
      <c r="G18" s="362"/>
      <c r="H18" s="363"/>
      <c r="I18" s="387" t="s">
        <v>10</v>
      </c>
      <c r="J18" s="840"/>
      <c r="K18" s="404"/>
      <c r="L18" s="788" t="s">
        <v>10</v>
      </c>
      <c r="O18" s="909"/>
      <c r="P18" s="909"/>
    </row>
    <row r="19" spans="1:16" s="348" customFormat="1" ht="45.75" customHeight="1">
      <c r="A19" s="360">
        <v>1</v>
      </c>
      <c r="B19" s="455" t="s">
        <v>2335</v>
      </c>
      <c r="C19" s="361" t="s">
        <v>414</v>
      </c>
      <c r="D19" s="362" t="s">
        <v>318</v>
      </c>
      <c r="E19" s="462">
        <v>1</v>
      </c>
      <c r="F19" s="362">
        <v>0.6</v>
      </c>
      <c r="G19" s="362"/>
      <c r="H19" s="363">
        <f>E19*F19</f>
        <v>0.6</v>
      </c>
      <c r="I19" s="387">
        <v>1</v>
      </c>
      <c r="J19" s="840">
        <f>VLOOKUP(B19,'2CT'!$A$3:$H$315,7,0)</f>
        <v>9214421.4864172842</v>
      </c>
      <c r="K19" s="404">
        <f t="shared" ref="K19:K23" si="1">J19*I19</f>
        <v>9214421.4864172842</v>
      </c>
      <c r="L19" s="788"/>
      <c r="M19" s="348">
        <f>0.06/0.01</f>
        <v>6</v>
      </c>
      <c r="O19" s="909"/>
      <c r="P19" s="909"/>
    </row>
    <row r="20" spans="1:16" s="348" customFormat="1" ht="40.5" customHeight="1">
      <c r="A20" s="360">
        <v>2</v>
      </c>
      <c r="B20" s="455" t="s">
        <v>2371</v>
      </c>
      <c r="C20" s="361" t="s">
        <v>2370</v>
      </c>
      <c r="D20" s="362" t="s">
        <v>318</v>
      </c>
      <c r="E20" s="362"/>
      <c r="F20" s="362"/>
      <c r="G20" s="362"/>
      <c r="H20" s="363"/>
      <c r="I20" s="387">
        <v>1</v>
      </c>
      <c r="J20" s="840">
        <f>VLOOKUP(B20,'2CT'!$A$3:$H$315,7,0)</f>
        <v>2555806.2277493896</v>
      </c>
      <c r="K20" s="404">
        <f>J20*I20</f>
        <v>2555806.2277493896</v>
      </c>
      <c r="L20" s="788"/>
      <c r="O20" s="909"/>
      <c r="P20" s="909"/>
    </row>
    <row r="21" spans="1:16" s="348" customFormat="1" ht="33">
      <c r="A21" s="360">
        <v>3</v>
      </c>
      <c r="B21" s="455" t="s">
        <v>2296</v>
      </c>
      <c r="C21" s="361" t="s">
        <v>2373</v>
      </c>
      <c r="D21" s="362" t="s">
        <v>318</v>
      </c>
      <c r="E21" s="462">
        <v>1</v>
      </c>
      <c r="F21" s="362">
        <v>0.6</v>
      </c>
      <c r="G21" s="362">
        <v>5.0000000000000001E-3</v>
      </c>
      <c r="H21" s="363">
        <f>E21*F21*G21*7850</f>
        <v>23.55</v>
      </c>
      <c r="I21" s="387">
        <v>1</v>
      </c>
      <c r="J21" s="840">
        <f>VLOOKUP(B21,'2CT'!$A$3:$H$315,7,0)</f>
        <v>29668578.552593682</v>
      </c>
      <c r="K21" s="404">
        <f t="shared" si="1"/>
        <v>29668578.552593682</v>
      </c>
      <c r="L21" s="788"/>
      <c r="O21" s="909"/>
      <c r="P21" s="909"/>
    </row>
    <row r="22" spans="1:16" s="348" customFormat="1" ht="33">
      <c r="A22" s="360">
        <v>4</v>
      </c>
      <c r="B22" s="455" t="s">
        <v>2297</v>
      </c>
      <c r="C22" s="361" t="str">
        <f>'2CT'!C172</f>
        <v>Khắc phục vết nứt theo đường sinh tại vị trí Km11+470</v>
      </c>
      <c r="D22" s="362" t="s">
        <v>318</v>
      </c>
      <c r="E22" s="462">
        <v>1</v>
      </c>
      <c r="F22" s="362">
        <v>0.6</v>
      </c>
      <c r="G22" s="362"/>
      <c r="H22" s="363">
        <f>(E22+F22)*2</f>
        <v>3.2</v>
      </c>
      <c r="I22" s="387">
        <v>1</v>
      </c>
      <c r="J22" s="840">
        <f>VLOOKUP(B22,'2CT'!$A$3:$H$315,7,0)</f>
        <v>15013656.232497634</v>
      </c>
      <c r="K22" s="404">
        <f t="shared" si="1"/>
        <v>15013656.232497634</v>
      </c>
      <c r="L22" s="788"/>
      <c r="M22" s="348">
        <f>3.14*3.2</f>
        <v>10.048000000000002</v>
      </c>
      <c r="O22" s="909"/>
      <c r="P22" s="909"/>
    </row>
    <row r="23" spans="1:16" s="348" customFormat="1" ht="72.75" customHeight="1">
      <c r="A23" s="360">
        <v>5</v>
      </c>
      <c r="B23" s="455" t="s">
        <v>2303</v>
      </c>
      <c r="C23" s="361" t="str">
        <f>'2CT'!C193</f>
        <v>Hàn vết nứt chu vi hoặc đường sinh bằng phương pháp hàn theo đường ống (hàn bù trực tiếp)</v>
      </c>
      <c r="D23" s="362" t="s">
        <v>318</v>
      </c>
      <c r="E23" s="462">
        <v>1</v>
      </c>
      <c r="F23" s="362">
        <v>0.3</v>
      </c>
      <c r="G23" s="362"/>
      <c r="H23" s="363">
        <f>E23*F23</f>
        <v>0.3</v>
      </c>
      <c r="I23" s="387">
        <v>1</v>
      </c>
      <c r="J23" s="840">
        <f>VLOOKUP(B23,'2CT'!$A$3:$H$315,7,0)</f>
        <v>15827791.507660333</v>
      </c>
      <c r="K23" s="404">
        <f t="shared" si="1"/>
        <v>15827791.507660333</v>
      </c>
      <c r="L23" s="788"/>
      <c r="O23" s="909"/>
      <c r="P23" s="909"/>
    </row>
    <row r="24" spans="1:16" s="348" customFormat="1">
      <c r="A24" s="360">
        <v>6</v>
      </c>
      <c r="B24" s="455" t="s">
        <v>2307</v>
      </c>
      <c r="C24" s="361" t="s">
        <v>2304</v>
      </c>
      <c r="D24" s="362" t="s">
        <v>318</v>
      </c>
      <c r="E24" s="462">
        <v>4</v>
      </c>
      <c r="F24" s="362"/>
      <c r="G24" s="362"/>
      <c r="H24" s="363"/>
      <c r="I24" s="387">
        <v>1</v>
      </c>
      <c r="J24" s="840">
        <f>VLOOKUP(B24,'2CT'!$A$3:$H$315,7,0)</f>
        <v>265023.03997916769</v>
      </c>
      <c r="K24" s="404">
        <f>J24*I24</f>
        <v>265023.03997916769</v>
      </c>
      <c r="L24" s="788"/>
      <c r="O24" s="909"/>
      <c r="P24" s="909"/>
    </row>
    <row r="25" spans="1:16" s="348" customFormat="1" ht="49.5">
      <c r="A25" s="355" t="s">
        <v>23</v>
      </c>
      <c r="B25" s="455"/>
      <c r="C25" s="356" t="s">
        <v>2440</v>
      </c>
      <c r="D25" s="362"/>
      <c r="E25" s="362"/>
      <c r="F25" s="362"/>
      <c r="G25" s="362"/>
      <c r="H25" s="363"/>
      <c r="I25" s="387"/>
      <c r="J25" s="840"/>
      <c r="K25" s="404"/>
      <c r="L25" s="788"/>
      <c r="O25" s="909"/>
      <c r="P25" s="909"/>
    </row>
    <row r="26" spans="1:16" s="348" customFormat="1" ht="40.5" customHeight="1">
      <c r="A26" s="360">
        <v>1</v>
      </c>
      <c r="B26" s="455" t="s">
        <v>2371</v>
      </c>
      <c r="C26" s="361" t="s">
        <v>2446</v>
      </c>
      <c r="D26" s="362" t="s">
        <v>318</v>
      </c>
      <c r="E26" s="362"/>
      <c r="F26" s="362"/>
      <c r="G26" s="362"/>
      <c r="H26" s="363"/>
      <c r="I26" s="387">
        <v>2</v>
      </c>
      <c r="J26" s="840">
        <f>VLOOKUP(B26,'2CT'!$A$3:$H$315,7,0)</f>
        <v>2555806.2277493896</v>
      </c>
      <c r="K26" s="404">
        <f>J26*I26</f>
        <v>5111612.4554987792</v>
      </c>
      <c r="L26" s="788"/>
      <c r="O26" s="909"/>
      <c r="P26" s="909"/>
    </row>
    <row r="27" spans="1:16" s="348" customFormat="1" ht="49.5">
      <c r="A27" s="360">
        <v>2</v>
      </c>
      <c r="B27" s="455" t="s">
        <v>2303</v>
      </c>
      <c r="C27" s="361" t="s">
        <v>2447</v>
      </c>
      <c r="D27" s="362" t="s">
        <v>318</v>
      </c>
      <c r="E27" s="362">
        <v>0.1</v>
      </c>
      <c r="F27" s="362">
        <f>3.14*3.2</f>
        <v>10.048000000000002</v>
      </c>
      <c r="G27" s="362"/>
      <c r="H27" s="363">
        <f>(E27+F27)*2</f>
        <v>20.296000000000003</v>
      </c>
      <c r="I27" s="387">
        <v>2</v>
      </c>
      <c r="J27" s="840">
        <f>VLOOKUP(B27,'2CT'!$A$3:$H$315,7,0)</f>
        <v>15827791.507660333</v>
      </c>
      <c r="K27" s="404">
        <f>J27*I27</f>
        <v>31655583.015320666</v>
      </c>
      <c r="L27" s="788" t="s">
        <v>2312</v>
      </c>
      <c r="M27" s="348">
        <f>J27/(3.2*3.14)</f>
        <v>1575218.1038674691</v>
      </c>
      <c r="O27" s="909">
        <f>(0.9+0.5*2)*(0.2+0.5*2)</f>
        <v>2.2799999999999998</v>
      </c>
      <c r="P27" s="909"/>
    </row>
    <row r="28" spans="1:16" s="348" customFormat="1">
      <c r="A28" s="360">
        <v>3</v>
      </c>
      <c r="B28" s="455" t="s">
        <v>2307</v>
      </c>
      <c r="C28" s="361" t="s">
        <v>2304</v>
      </c>
      <c r="D28" s="362" t="s">
        <v>318</v>
      </c>
      <c r="E28" s="462">
        <v>4</v>
      </c>
      <c r="F28" s="362"/>
      <c r="G28" s="362"/>
      <c r="H28" s="363"/>
      <c r="I28" s="387">
        <v>2</v>
      </c>
      <c r="J28" s="840">
        <f>VLOOKUP(B28,'2CT'!$A$3:$H$315,7,0)</f>
        <v>265023.03997916769</v>
      </c>
      <c r="K28" s="404">
        <f>J28*I28</f>
        <v>530046.07995833538</v>
      </c>
      <c r="L28" s="788"/>
      <c r="O28" s="909"/>
      <c r="P28" s="909"/>
    </row>
    <row r="29" spans="1:16" s="348" customFormat="1" ht="65.25" hidden="1" customHeight="1">
      <c r="A29" s="360">
        <v>4</v>
      </c>
      <c r="B29" s="455" t="s">
        <v>2317</v>
      </c>
      <c r="C29" s="361" t="s">
        <v>2341</v>
      </c>
      <c r="D29" s="362" t="s">
        <v>318</v>
      </c>
      <c r="E29" s="362"/>
      <c r="F29" s="362"/>
      <c r="G29" s="362"/>
      <c r="H29" s="363"/>
      <c r="I29" s="387">
        <v>0</v>
      </c>
      <c r="J29" s="840">
        <f>'2CT'!G215</f>
        <v>245858.56588678848</v>
      </c>
      <c r="K29" s="404">
        <f>J29*I29</f>
        <v>0</v>
      </c>
      <c r="L29" s="788" t="s">
        <v>2340</v>
      </c>
      <c r="O29" s="909"/>
      <c r="P29" s="909"/>
    </row>
    <row r="30" spans="1:16" s="348" customFormat="1" ht="78" hidden="1">
      <c r="A30" s="360">
        <v>5</v>
      </c>
      <c r="B30" s="455" t="s">
        <v>102</v>
      </c>
      <c r="C30" s="361" t="s">
        <v>2331</v>
      </c>
      <c r="D30" s="362" t="s">
        <v>16</v>
      </c>
      <c r="E30" s="362"/>
      <c r="F30" s="362"/>
      <c r="G30" s="362"/>
      <c r="H30" s="363"/>
      <c r="I30" s="387">
        <v>0</v>
      </c>
      <c r="J30" s="840">
        <v>462524</v>
      </c>
      <c r="K30" s="404">
        <f>J30*I30</f>
        <v>0</v>
      </c>
      <c r="L30" s="788" t="s">
        <v>2378</v>
      </c>
      <c r="O30" s="909"/>
      <c r="P30" s="909"/>
    </row>
    <row r="31" spans="1:16" s="345" customFormat="1" ht="36" customHeight="1">
      <c r="A31" s="960" t="s">
        <v>368</v>
      </c>
      <c r="B31" s="961"/>
      <c r="C31" s="1025" t="s">
        <v>2441</v>
      </c>
      <c r="D31" s="1026"/>
      <c r="E31" s="1026"/>
      <c r="F31" s="1026"/>
      <c r="G31" s="1026"/>
      <c r="H31" s="1026"/>
      <c r="I31" s="1026"/>
      <c r="J31" s="1027"/>
      <c r="K31" s="962">
        <f>SUBTOTAL(9,K32:K45)</f>
        <v>1787845629.6926045</v>
      </c>
      <c r="L31" s="963"/>
      <c r="O31" s="907"/>
      <c r="P31" s="907"/>
    </row>
    <row r="32" spans="1:16" s="347" customFormat="1" ht="33">
      <c r="A32" s="355" t="s">
        <v>12</v>
      </c>
      <c r="B32" s="454"/>
      <c r="C32" s="356" t="s">
        <v>316</v>
      </c>
      <c r="D32" s="357"/>
      <c r="E32" s="358"/>
      <c r="F32" s="358"/>
      <c r="G32" s="358"/>
      <c r="H32" s="357"/>
      <c r="I32" s="876"/>
      <c r="J32" s="839"/>
      <c r="K32" s="403"/>
      <c r="L32" s="836"/>
      <c r="O32" s="908"/>
      <c r="P32" s="908"/>
    </row>
    <row r="33" spans="1:16" s="348" customFormat="1" ht="70.5" customHeight="1">
      <c r="A33" s="360">
        <v>1</v>
      </c>
      <c r="B33" s="314" t="s">
        <v>2286</v>
      </c>
      <c r="C33" s="361" t="s">
        <v>2382</v>
      </c>
      <c r="D33" s="362" t="s">
        <v>318</v>
      </c>
      <c r="E33" s="362">
        <v>0.1</v>
      </c>
      <c r="F33" s="362">
        <v>0.1</v>
      </c>
      <c r="G33" s="362"/>
      <c r="H33" s="363">
        <f>E33*F33</f>
        <v>1.0000000000000002E-2</v>
      </c>
      <c r="I33" s="387">
        <v>247</v>
      </c>
      <c r="J33" s="840">
        <f>VLOOKUP(B33,'2CT'!$A$3:$H$315,7,0)</f>
        <v>638164.08802197105</v>
      </c>
      <c r="K33" s="404">
        <f>J33*I33</f>
        <v>157626529.74142686</v>
      </c>
      <c r="L33" s="787"/>
      <c r="N33" s="348">
        <v>0.01</v>
      </c>
      <c r="O33" s="909"/>
      <c r="P33" s="909"/>
    </row>
    <row r="34" spans="1:16" s="348" customFormat="1" ht="52.5" customHeight="1">
      <c r="A34" s="360">
        <v>2</v>
      </c>
      <c r="B34" s="455" t="s">
        <v>2287</v>
      </c>
      <c r="C34" s="361" t="s">
        <v>428</v>
      </c>
      <c r="D34" s="362" t="s">
        <v>318</v>
      </c>
      <c r="E34" s="362"/>
      <c r="F34" s="362"/>
      <c r="G34" s="362"/>
      <c r="H34" s="363"/>
      <c r="I34" s="387">
        <v>247</v>
      </c>
      <c r="J34" s="840">
        <f>VLOOKUP(B34,'2CT'!$A$3:$H$315,7,0)</f>
        <v>247174.99751999037</v>
      </c>
      <c r="K34" s="404">
        <f>J34*I34</f>
        <v>61052224.387437619</v>
      </c>
      <c r="L34" s="787"/>
      <c r="O34" s="909"/>
      <c r="P34" s="909"/>
    </row>
    <row r="35" spans="1:16" s="348" customFormat="1" ht="54.75" customHeight="1">
      <c r="A35" s="360">
        <v>3</v>
      </c>
      <c r="B35" s="455" t="s">
        <v>2288</v>
      </c>
      <c r="C35" s="361" t="s">
        <v>375</v>
      </c>
      <c r="D35" s="362" t="s">
        <v>318</v>
      </c>
      <c r="E35" s="362" t="s">
        <v>19</v>
      </c>
      <c r="F35" s="362" t="s">
        <v>19</v>
      </c>
      <c r="G35" s="362"/>
      <c r="H35" s="363">
        <v>0.32</v>
      </c>
      <c r="I35" s="387">
        <f>I33</f>
        <v>247</v>
      </c>
      <c r="J35" s="840">
        <f>VLOOKUP(B35,'2CT'!$A$3:$H$315,7,0)</f>
        <v>1880749.3221275189</v>
      </c>
      <c r="K35" s="404">
        <f>J35*I35</f>
        <v>464545082.56549716</v>
      </c>
      <c r="L35" s="787"/>
      <c r="O35" s="909"/>
      <c r="P35" s="909"/>
    </row>
    <row r="36" spans="1:16" s="348" customFormat="1" ht="25.5" customHeight="1">
      <c r="A36" s="360">
        <v>4</v>
      </c>
      <c r="B36" s="455" t="s">
        <v>2289</v>
      </c>
      <c r="C36" s="363" t="s">
        <v>2306</v>
      </c>
      <c r="D36" s="362" t="s">
        <v>318</v>
      </c>
      <c r="E36" s="362"/>
      <c r="F36" s="362"/>
      <c r="G36" s="362"/>
      <c r="H36" s="363"/>
      <c r="I36" s="387">
        <f>I33</f>
        <v>247</v>
      </c>
      <c r="J36" s="840">
        <f>VLOOKUP(B36,'2CT'!$A$3:$H$315,7,0)</f>
        <v>59440.881823899043</v>
      </c>
      <c r="K36" s="404">
        <f>J36*I36</f>
        <v>14681897.810503064</v>
      </c>
      <c r="L36" s="787" t="s">
        <v>2284</v>
      </c>
      <c r="M36" s="348" t="s">
        <v>324</v>
      </c>
      <c r="O36" s="909"/>
      <c r="P36" s="909"/>
    </row>
    <row r="37" spans="1:16" s="347" customFormat="1" ht="33">
      <c r="A37" s="355" t="s">
        <v>20</v>
      </c>
      <c r="B37" s="454"/>
      <c r="C37" s="356" t="s">
        <v>325</v>
      </c>
      <c r="D37" s="357"/>
      <c r="E37" s="358"/>
      <c r="F37" s="358"/>
      <c r="G37" s="358"/>
      <c r="H37" s="357"/>
      <c r="I37" s="876"/>
      <c r="J37" s="839"/>
      <c r="K37" s="405"/>
      <c r="L37" s="836"/>
      <c r="O37" s="908"/>
      <c r="P37" s="908"/>
    </row>
    <row r="38" spans="1:16" s="348" customFormat="1" ht="40.5" customHeight="1">
      <c r="A38" s="360">
        <v>1</v>
      </c>
      <c r="B38" s="455" t="s">
        <v>2291</v>
      </c>
      <c r="C38" s="361" t="s">
        <v>319</v>
      </c>
      <c r="D38" s="362" t="s">
        <v>318</v>
      </c>
      <c r="E38" s="362"/>
      <c r="F38" s="362"/>
      <c r="G38" s="362"/>
      <c r="H38" s="363"/>
      <c r="I38" s="387">
        <v>90</v>
      </c>
      <c r="J38" s="840">
        <f>VLOOKUP(B38,'2CT'!$A$3:$H$315,7,0)</f>
        <v>806754.2736213475</v>
      </c>
      <c r="K38" s="404">
        <f t="shared" ref="K38:K41" si="2">J38*I38</f>
        <v>72607884.625921279</v>
      </c>
      <c r="L38" s="787"/>
      <c r="O38" s="909"/>
      <c r="P38" s="909"/>
    </row>
    <row r="39" spans="1:16" s="348" customFormat="1" ht="66">
      <c r="A39" s="360">
        <v>2</v>
      </c>
      <c r="B39" s="455" t="s">
        <v>2286</v>
      </c>
      <c r="C39" s="361" t="s">
        <v>2344</v>
      </c>
      <c r="D39" s="362" t="s">
        <v>318</v>
      </c>
      <c r="E39" s="362">
        <v>0.1</v>
      </c>
      <c r="F39" s="362">
        <v>0.1</v>
      </c>
      <c r="G39" s="362"/>
      <c r="H39" s="363">
        <f>E39*F39</f>
        <v>1.0000000000000002E-2</v>
      </c>
      <c r="I39" s="387">
        <f>I38</f>
        <v>90</v>
      </c>
      <c r="J39" s="840">
        <f>VLOOKUP(B39,'2CT'!$A$3:$H$315,7,0)</f>
        <v>638164.08802197105</v>
      </c>
      <c r="K39" s="404">
        <f t="shared" si="2"/>
        <v>57434767.921977393</v>
      </c>
      <c r="L39" s="787"/>
      <c r="O39" s="909"/>
      <c r="P39" s="909"/>
    </row>
    <row r="40" spans="1:16" s="348" customFormat="1" ht="33">
      <c r="A40" s="360">
        <v>3</v>
      </c>
      <c r="B40" s="455" t="s">
        <v>2290</v>
      </c>
      <c r="C40" s="361" t="s">
        <v>2439</v>
      </c>
      <c r="D40" s="362" t="s">
        <v>318</v>
      </c>
      <c r="E40" s="362" t="s">
        <v>19</v>
      </c>
      <c r="F40" s="362" t="s">
        <v>19</v>
      </c>
      <c r="G40" s="362"/>
      <c r="H40" s="363">
        <v>0.64</v>
      </c>
      <c r="I40" s="387">
        <f>I39</f>
        <v>90</v>
      </c>
      <c r="J40" s="840">
        <f>VLOOKUP(B40,'2CT'!$A$3:$H$315,7,0)</f>
        <v>8267367.2820251295</v>
      </c>
      <c r="K40" s="404">
        <f t="shared" si="2"/>
        <v>744063055.38226163</v>
      </c>
      <c r="L40" s="787"/>
      <c r="M40" s="348">
        <f>+J40*1.5</f>
        <v>12401050.923037695</v>
      </c>
      <c r="O40" s="909"/>
      <c r="P40" s="909"/>
    </row>
    <row r="41" spans="1:16" s="348" customFormat="1" ht="26">
      <c r="A41" s="360">
        <v>4</v>
      </c>
      <c r="B41" s="455" t="s">
        <v>2292</v>
      </c>
      <c r="C41" s="361" t="s">
        <v>2305</v>
      </c>
      <c r="D41" s="362" t="s">
        <v>318</v>
      </c>
      <c r="E41" s="362"/>
      <c r="F41" s="362"/>
      <c r="G41" s="362"/>
      <c r="H41" s="363"/>
      <c r="I41" s="387">
        <v>90</v>
      </c>
      <c r="J41" s="840">
        <f>VLOOKUP(B41,'2CT'!$A$3:$H$315,7,0)</f>
        <v>118881.76364779809</v>
      </c>
      <c r="K41" s="404">
        <f t="shared" si="2"/>
        <v>10699358.728301827</v>
      </c>
      <c r="L41" s="788" t="s">
        <v>2283</v>
      </c>
      <c r="M41" s="348" t="s">
        <v>324</v>
      </c>
      <c r="O41" s="909"/>
      <c r="P41" s="909"/>
    </row>
    <row r="42" spans="1:16" s="348" customFormat="1" ht="49.5">
      <c r="A42" s="355" t="s">
        <v>23</v>
      </c>
      <c r="B42" s="455"/>
      <c r="C42" s="356" t="s">
        <v>2440</v>
      </c>
      <c r="D42" s="362"/>
      <c r="E42" s="362"/>
      <c r="F42" s="362"/>
      <c r="G42" s="362"/>
      <c r="H42" s="363"/>
      <c r="I42" s="387"/>
      <c r="J42" s="840"/>
      <c r="K42" s="404"/>
      <c r="L42" s="788" t="s">
        <v>2369</v>
      </c>
      <c r="O42" s="909"/>
      <c r="P42" s="909"/>
    </row>
    <row r="43" spans="1:16" s="348" customFormat="1" ht="40.5" customHeight="1">
      <c r="A43" s="360">
        <v>1</v>
      </c>
      <c r="B43" s="455" t="s">
        <v>2371</v>
      </c>
      <c r="C43" s="361" t="s">
        <v>2370</v>
      </c>
      <c r="D43" s="362" t="s">
        <v>318</v>
      </c>
      <c r="E43" s="362"/>
      <c r="F43" s="362"/>
      <c r="G43" s="362"/>
      <c r="H43" s="363"/>
      <c r="I43" s="387">
        <v>11</v>
      </c>
      <c r="J43" s="840">
        <f>VLOOKUP(B43,'2CT'!$A$3:$H$315,7,0)</f>
        <v>2555806.2277493896</v>
      </c>
      <c r="K43" s="404">
        <f>J43*I43</f>
        <v>28113868.505243286</v>
      </c>
      <c r="L43" s="788"/>
      <c r="O43" s="909"/>
      <c r="P43" s="909"/>
    </row>
    <row r="44" spans="1:16" s="348" customFormat="1" ht="66">
      <c r="A44" s="360">
        <v>2</v>
      </c>
      <c r="B44" s="455" t="s">
        <v>2303</v>
      </c>
      <c r="C44" s="361" t="s">
        <v>2302</v>
      </c>
      <c r="D44" s="362" t="s">
        <v>318</v>
      </c>
      <c r="E44" s="362">
        <v>0.1</v>
      </c>
      <c r="F44" s="362">
        <f>3.14*3.2</f>
        <v>10.048000000000002</v>
      </c>
      <c r="G44" s="362"/>
      <c r="H44" s="363">
        <f>(E44+F44)*2</f>
        <v>20.296000000000003</v>
      </c>
      <c r="I44" s="387">
        <f>I43</f>
        <v>11</v>
      </c>
      <c r="J44" s="840">
        <f>VLOOKUP(B44,'2CT'!$A$3:$H$315,7,0)</f>
        <v>15827791.507660333</v>
      </c>
      <c r="K44" s="404">
        <f>J44*I44</f>
        <v>174105706.58426365</v>
      </c>
      <c r="L44" s="788" t="s">
        <v>2312</v>
      </c>
      <c r="M44" s="348">
        <f>J44/(3.2*3.14)</f>
        <v>1575218.1038674691</v>
      </c>
      <c r="O44" s="909">
        <f>(0.9+0.5*2)*(0.2+0.5*2)</f>
        <v>2.2799999999999998</v>
      </c>
      <c r="P44" s="909"/>
    </row>
    <row r="45" spans="1:16" s="348" customFormat="1">
      <c r="A45" s="360">
        <v>3</v>
      </c>
      <c r="B45" s="455" t="s">
        <v>2307</v>
      </c>
      <c r="C45" s="361" t="s">
        <v>2304</v>
      </c>
      <c r="D45" s="362" t="s">
        <v>318</v>
      </c>
      <c r="E45" s="462">
        <v>4</v>
      </c>
      <c r="F45" s="362"/>
      <c r="G45" s="362"/>
      <c r="H45" s="363"/>
      <c r="I45" s="387">
        <f>I44</f>
        <v>11</v>
      </c>
      <c r="J45" s="840">
        <f>VLOOKUP(B45,'2CT'!$A$3:$H$315,7,0)</f>
        <v>265023.03997916769</v>
      </c>
      <c r="K45" s="404">
        <f>J45*I45</f>
        <v>2915253.4397708448</v>
      </c>
      <c r="L45" s="788"/>
      <c r="O45" s="909"/>
      <c r="P45" s="909"/>
    </row>
    <row r="46" spans="1:16" s="345" customFormat="1" ht="30.65" customHeight="1">
      <c r="A46" s="371" t="s">
        <v>369</v>
      </c>
      <c r="B46" s="453"/>
      <c r="C46" s="1025" t="s">
        <v>2448</v>
      </c>
      <c r="D46" s="1026"/>
      <c r="E46" s="1026"/>
      <c r="F46" s="1026"/>
      <c r="G46" s="1026"/>
      <c r="H46" s="1026"/>
      <c r="I46" s="1026"/>
      <c r="J46" s="1027"/>
      <c r="K46" s="402">
        <f>SUBTOTAL(9,K47:K67)</f>
        <v>441335635.7298106</v>
      </c>
      <c r="L46" s="786"/>
      <c r="O46" s="907"/>
      <c r="P46" s="907"/>
    </row>
    <row r="47" spans="1:16" s="394" customFormat="1" ht="35.5" customHeight="1">
      <c r="A47" s="457" t="s">
        <v>12</v>
      </c>
      <c r="B47" s="457"/>
      <c r="C47" s="375" t="s">
        <v>2311</v>
      </c>
      <c r="D47" s="708"/>
      <c r="E47" s="782"/>
      <c r="F47" s="782"/>
      <c r="G47" s="782"/>
      <c r="H47" s="783"/>
      <c r="I47" s="877"/>
      <c r="J47" s="841"/>
      <c r="K47" s="407"/>
      <c r="L47" s="789"/>
      <c r="O47" s="910"/>
      <c r="P47" s="910"/>
    </row>
    <row r="48" spans="1:16" s="348" customFormat="1" ht="65">
      <c r="A48" s="458">
        <v>1</v>
      </c>
      <c r="B48" s="458" t="s">
        <v>2319</v>
      </c>
      <c r="C48" s="378" t="s">
        <v>2179</v>
      </c>
      <c r="D48" s="376" t="s">
        <v>364</v>
      </c>
      <c r="E48" s="362"/>
      <c r="F48" s="362"/>
      <c r="G48" s="362"/>
      <c r="H48" s="363"/>
      <c r="I48" s="878">
        <v>1</v>
      </c>
      <c r="J48" s="840">
        <f>'2CT'!G247</f>
        <v>219566088.52651903</v>
      </c>
      <c r="K48" s="408">
        <f>J48*I48</f>
        <v>219566088.52651903</v>
      </c>
      <c r="L48" s="788" t="s">
        <v>2363</v>
      </c>
      <c r="O48" s="909"/>
      <c r="P48" s="909"/>
    </row>
    <row r="49" spans="1:16" s="348" customFormat="1" ht="33">
      <c r="A49" s="458">
        <v>2</v>
      </c>
      <c r="B49" s="458" t="s">
        <v>2318</v>
      </c>
      <c r="C49" s="378" t="s">
        <v>2213</v>
      </c>
      <c r="D49" s="376" t="s">
        <v>364</v>
      </c>
      <c r="E49" s="362"/>
      <c r="F49" s="362"/>
      <c r="G49" s="362"/>
      <c r="H49" s="363"/>
      <c r="I49" s="878">
        <v>1</v>
      </c>
      <c r="J49" s="840">
        <f>'2CT'!G289</f>
        <v>49077467.393767774</v>
      </c>
      <c r="K49" s="408">
        <f>J49*I49</f>
        <v>49077467.393767774</v>
      </c>
      <c r="L49" s="790"/>
      <c r="O49" s="909"/>
      <c r="P49" s="909"/>
    </row>
    <row r="50" spans="1:16" s="394" customFormat="1">
      <c r="A50" s="457" t="s">
        <v>20</v>
      </c>
      <c r="B50" s="457"/>
      <c r="C50" s="375" t="s">
        <v>2282</v>
      </c>
      <c r="D50" s="708"/>
      <c r="E50" s="782"/>
      <c r="F50" s="782"/>
      <c r="G50" s="782"/>
      <c r="H50" s="783"/>
      <c r="I50" s="877"/>
      <c r="J50" s="841"/>
      <c r="K50" s="407"/>
      <c r="L50" s="789"/>
      <c r="O50" s="910"/>
      <c r="P50" s="910"/>
    </row>
    <row r="51" spans="1:16" s="348" customFormat="1" ht="33">
      <c r="A51" s="458">
        <v>1</v>
      </c>
      <c r="B51" s="458" t="s">
        <v>102</v>
      </c>
      <c r="C51" s="378" t="s">
        <v>2214</v>
      </c>
      <c r="D51" s="376" t="s">
        <v>45</v>
      </c>
      <c r="E51" s="369"/>
      <c r="F51" s="369"/>
      <c r="G51" s="369"/>
      <c r="H51" s="368"/>
      <c r="I51" s="878">
        <v>1</v>
      </c>
      <c r="J51" s="842">
        <f>6900000+(6900000*10%)</f>
        <v>7590000</v>
      </c>
      <c r="K51" s="408">
        <f>J51*I51</f>
        <v>7590000</v>
      </c>
      <c r="L51" s="788" t="s">
        <v>2215</v>
      </c>
      <c r="O51" s="909"/>
      <c r="P51" s="909"/>
    </row>
    <row r="52" spans="1:16" s="349" customFormat="1">
      <c r="A52" s="458">
        <v>2</v>
      </c>
      <c r="B52" s="458" t="s">
        <v>102</v>
      </c>
      <c r="C52" s="378" t="s">
        <v>2279</v>
      </c>
      <c r="D52" s="376" t="s">
        <v>45</v>
      </c>
      <c r="E52" s="369"/>
      <c r="F52" s="369"/>
      <c r="G52" s="369"/>
      <c r="H52" s="368"/>
      <c r="I52" s="878">
        <v>4</v>
      </c>
      <c r="J52" s="842">
        <v>4500000</v>
      </c>
      <c r="K52" s="408">
        <f t="shared" ref="K52:K69" si="3">J52*I52</f>
        <v>18000000</v>
      </c>
      <c r="L52" s="788" t="s">
        <v>2215</v>
      </c>
      <c r="N52" s="689">
        <v>4300000</v>
      </c>
      <c r="O52" s="710" t="s">
        <v>2178</v>
      </c>
      <c r="P52" s="710"/>
    </row>
    <row r="53" spans="1:16" s="349" customFormat="1">
      <c r="A53" s="458">
        <v>3</v>
      </c>
      <c r="B53" s="458" t="s">
        <v>102</v>
      </c>
      <c r="C53" s="378" t="s">
        <v>344</v>
      </c>
      <c r="D53" s="376" t="s">
        <v>18</v>
      </c>
      <c r="E53" s="369"/>
      <c r="F53" s="369"/>
      <c r="G53" s="369"/>
      <c r="H53" s="368"/>
      <c r="I53" s="878">
        <v>100</v>
      </c>
      <c r="J53" s="842">
        <v>35500</v>
      </c>
      <c r="K53" s="408">
        <f t="shared" si="3"/>
        <v>3550000</v>
      </c>
      <c r="L53" s="788" t="s">
        <v>2215</v>
      </c>
      <c r="N53" s="689">
        <v>33000</v>
      </c>
      <c r="O53" s="710"/>
      <c r="P53" s="710"/>
    </row>
    <row r="54" spans="1:16" s="349" customFormat="1">
      <c r="A54" s="458">
        <v>4</v>
      </c>
      <c r="B54" s="458" t="s">
        <v>102</v>
      </c>
      <c r="C54" s="378" t="s">
        <v>2280</v>
      </c>
      <c r="D54" s="376" t="s">
        <v>337</v>
      </c>
      <c r="E54" s="369"/>
      <c r="F54" s="369"/>
      <c r="G54" s="369"/>
      <c r="H54" s="368"/>
      <c r="I54" s="878">
        <v>2</v>
      </c>
      <c r="J54" s="842">
        <v>33000</v>
      </c>
      <c r="K54" s="408">
        <f t="shared" si="3"/>
        <v>66000</v>
      </c>
      <c r="L54" s="788" t="s">
        <v>2215</v>
      </c>
      <c r="O54" s="710"/>
      <c r="P54" s="710"/>
    </row>
    <row r="55" spans="1:16" s="349" customFormat="1" ht="33">
      <c r="A55" s="702" t="s">
        <v>23</v>
      </c>
      <c r="B55" s="702"/>
      <c r="C55" s="703" t="s">
        <v>2180</v>
      </c>
      <c r="D55" s="704"/>
      <c r="E55" s="369"/>
      <c r="F55" s="369"/>
      <c r="G55" s="369"/>
      <c r="H55" s="368"/>
      <c r="I55" s="879"/>
      <c r="J55" s="843"/>
      <c r="K55" s="706"/>
      <c r="L55" s="788"/>
      <c r="O55" s="710"/>
      <c r="P55" s="710"/>
    </row>
    <row r="56" spans="1:16" s="349" customFormat="1" ht="33">
      <c r="A56" s="458">
        <v>1</v>
      </c>
      <c r="B56" s="458" t="s">
        <v>102</v>
      </c>
      <c r="C56" s="378" t="s">
        <v>2336</v>
      </c>
      <c r="D56" s="376" t="s">
        <v>45</v>
      </c>
      <c r="E56" s="369"/>
      <c r="F56" s="369"/>
      <c r="G56" s="369"/>
      <c r="H56" s="368"/>
      <c r="I56" s="878">
        <v>6</v>
      </c>
      <c r="J56" s="842">
        <v>150000</v>
      </c>
      <c r="K56" s="408">
        <f t="shared" si="3"/>
        <v>900000</v>
      </c>
      <c r="L56" s="788" t="s">
        <v>2215</v>
      </c>
      <c r="O56" s="710"/>
      <c r="P56" s="710"/>
    </row>
    <row r="57" spans="1:16" s="349" customFormat="1" ht="33">
      <c r="A57" s="458">
        <v>2</v>
      </c>
      <c r="B57" s="458" t="s">
        <v>102</v>
      </c>
      <c r="C57" s="378" t="s">
        <v>348</v>
      </c>
      <c r="D57" s="376" t="s">
        <v>30</v>
      </c>
      <c r="E57" s="369"/>
      <c r="F57" s="369"/>
      <c r="G57" s="369"/>
      <c r="H57" s="368"/>
      <c r="I57" s="878">
        <v>22.6</v>
      </c>
      <c r="J57" s="842">
        <v>35500</v>
      </c>
      <c r="K57" s="408">
        <f t="shared" si="3"/>
        <v>802300</v>
      </c>
      <c r="L57" s="788" t="s">
        <v>2215</v>
      </c>
      <c r="O57" s="710"/>
      <c r="P57" s="710"/>
    </row>
    <row r="58" spans="1:16" s="349" customFormat="1">
      <c r="A58" s="458">
        <v>3</v>
      </c>
      <c r="B58" s="458" t="s">
        <v>102</v>
      </c>
      <c r="C58" s="378" t="s">
        <v>349</v>
      </c>
      <c r="D58" s="376" t="s">
        <v>30</v>
      </c>
      <c r="E58" s="369"/>
      <c r="F58" s="369"/>
      <c r="G58" s="369"/>
      <c r="H58" s="368"/>
      <c r="I58" s="878">
        <v>188.2</v>
      </c>
      <c r="J58" s="842">
        <v>33500</v>
      </c>
      <c r="K58" s="408">
        <f t="shared" si="3"/>
        <v>6304700</v>
      </c>
      <c r="L58" s="788" t="s">
        <v>2215</v>
      </c>
      <c r="O58" s="710"/>
      <c r="P58" s="710"/>
    </row>
    <row r="59" spans="1:16" s="349" customFormat="1">
      <c r="A59" s="458">
        <v>4</v>
      </c>
      <c r="B59" s="458" t="s">
        <v>102</v>
      </c>
      <c r="C59" s="378" t="s">
        <v>350</v>
      </c>
      <c r="D59" s="376" t="s">
        <v>45</v>
      </c>
      <c r="E59" s="369"/>
      <c r="F59" s="369"/>
      <c r="G59" s="369"/>
      <c r="H59" s="368"/>
      <c r="I59" s="878">
        <v>3</v>
      </c>
      <c r="J59" s="842">
        <f>950000+(950000*10%)</f>
        <v>1045000</v>
      </c>
      <c r="K59" s="408">
        <f t="shared" si="3"/>
        <v>3135000</v>
      </c>
      <c r="L59" s="788" t="s">
        <v>2215</v>
      </c>
      <c r="O59" s="710"/>
      <c r="P59" s="710"/>
    </row>
    <row r="60" spans="1:16" s="349" customFormat="1">
      <c r="A60" s="458">
        <v>5</v>
      </c>
      <c r="B60" s="458" t="s">
        <v>102</v>
      </c>
      <c r="C60" s="378" t="s">
        <v>365</v>
      </c>
      <c r="D60" s="376" t="s">
        <v>30</v>
      </c>
      <c r="E60" s="369"/>
      <c r="F60" s="369"/>
      <c r="G60" s="369"/>
      <c r="H60" s="368"/>
      <c r="I60" s="878">
        <v>188.2</v>
      </c>
      <c r="J60" s="842">
        <v>33500</v>
      </c>
      <c r="K60" s="408">
        <f t="shared" si="3"/>
        <v>6304700</v>
      </c>
      <c r="L60" s="788" t="s">
        <v>2215</v>
      </c>
      <c r="O60" s="710"/>
      <c r="P60" s="710"/>
    </row>
    <row r="61" spans="1:16" s="349" customFormat="1">
      <c r="A61" s="458">
        <v>6</v>
      </c>
      <c r="B61" s="458" t="s">
        <v>102</v>
      </c>
      <c r="C61" s="378" t="s">
        <v>2281</v>
      </c>
      <c r="D61" s="376" t="s">
        <v>30</v>
      </c>
      <c r="E61" s="369"/>
      <c r="F61" s="369"/>
      <c r="G61" s="369"/>
      <c r="H61" s="368"/>
      <c r="I61" s="878">
        <f>80.1*3</f>
        <v>240.29999999999998</v>
      </c>
      <c r="J61" s="842">
        <v>35500</v>
      </c>
      <c r="K61" s="408">
        <f>J61*I61</f>
        <v>8530650</v>
      </c>
      <c r="L61" s="788" t="s">
        <v>2215</v>
      </c>
      <c r="O61" s="710"/>
      <c r="P61" s="710"/>
    </row>
    <row r="62" spans="1:16" s="349" customFormat="1">
      <c r="A62" s="458">
        <v>7</v>
      </c>
      <c r="B62" s="458" t="s">
        <v>102</v>
      </c>
      <c r="C62" s="378" t="s">
        <v>2321</v>
      </c>
      <c r="D62" s="376" t="s">
        <v>2322</v>
      </c>
      <c r="E62" s="369"/>
      <c r="F62" s="369"/>
      <c r="G62" s="369"/>
      <c r="H62" s="368"/>
      <c r="I62" s="878">
        <v>1</v>
      </c>
      <c r="J62" s="842">
        <v>10570000</v>
      </c>
      <c r="K62" s="408">
        <f>J62*I62</f>
        <v>10570000</v>
      </c>
      <c r="L62" s="788" t="s">
        <v>2345</v>
      </c>
      <c r="O62" s="710"/>
      <c r="P62" s="710"/>
    </row>
    <row r="63" spans="1:16" s="349" customFormat="1">
      <c r="A63" s="702" t="s">
        <v>27</v>
      </c>
      <c r="B63" s="702"/>
      <c r="C63" s="703" t="s">
        <v>2181</v>
      </c>
      <c r="D63" s="704"/>
      <c r="E63" s="369"/>
      <c r="F63" s="369"/>
      <c r="G63" s="369"/>
      <c r="H63" s="368"/>
      <c r="I63" s="879"/>
      <c r="J63" s="843"/>
      <c r="K63" s="706"/>
      <c r="L63" s="788"/>
      <c r="O63" s="710"/>
      <c r="P63" s="710"/>
    </row>
    <row r="64" spans="1:16" s="349" customFormat="1" ht="33">
      <c r="A64" s="458">
        <v>1</v>
      </c>
      <c r="B64" s="458" t="s">
        <v>2472</v>
      </c>
      <c r="C64" s="378" t="s">
        <v>2273</v>
      </c>
      <c r="D64" s="376" t="s">
        <v>361</v>
      </c>
      <c r="E64" s="369"/>
      <c r="F64" s="369"/>
      <c r="G64" s="369"/>
      <c r="H64" s="368"/>
      <c r="I64" s="878">
        <v>1</v>
      </c>
      <c r="J64" s="842">
        <f>'6VC TB'!H26</f>
        <v>22430369.80952381</v>
      </c>
      <c r="K64" s="408">
        <f>J64*I64</f>
        <v>22430369.80952381</v>
      </c>
      <c r="L64" s="788" t="s">
        <v>2274</v>
      </c>
      <c r="O64" s="710">
        <f>K72-O65</f>
        <v>2320471630.8415775</v>
      </c>
      <c r="P64" s="710"/>
    </row>
    <row r="65" spans="1:19" s="349" customFormat="1" ht="26">
      <c r="A65" s="458">
        <v>2</v>
      </c>
      <c r="B65" s="458" t="s">
        <v>102</v>
      </c>
      <c r="C65" s="378" t="s">
        <v>362</v>
      </c>
      <c r="D65" s="376" t="s">
        <v>357</v>
      </c>
      <c r="E65" s="369"/>
      <c r="F65" s="369"/>
      <c r="G65" s="369"/>
      <c r="H65" s="368"/>
      <c r="I65" s="878">
        <v>14</v>
      </c>
      <c r="J65" s="842">
        <v>800000</v>
      </c>
      <c r="K65" s="408">
        <f>J65*I65</f>
        <v>11200000</v>
      </c>
      <c r="L65" s="788" t="s">
        <v>2182</v>
      </c>
      <c r="O65" s="710">
        <v>1163527291.3563454</v>
      </c>
      <c r="P65" s="710"/>
    </row>
    <row r="66" spans="1:19" s="349" customFormat="1" ht="33">
      <c r="A66" s="458">
        <v>3</v>
      </c>
      <c r="B66" s="458" t="s">
        <v>2320</v>
      </c>
      <c r="C66" s="378" t="s">
        <v>351</v>
      </c>
      <c r="D66" s="376" t="s">
        <v>166</v>
      </c>
      <c r="E66" s="369"/>
      <c r="F66" s="369"/>
      <c r="G66" s="369"/>
      <c r="H66" s="368"/>
      <c r="I66" s="878">
        <v>1</v>
      </c>
      <c r="J66" s="842">
        <f>1043932*30</f>
        <v>31317960</v>
      </c>
      <c r="K66" s="408">
        <f t="shared" si="3"/>
        <v>31317960</v>
      </c>
      <c r="L66" s="788" t="s">
        <v>2348</v>
      </c>
      <c r="O66" s="710"/>
      <c r="P66" s="710"/>
    </row>
    <row r="67" spans="1:19" s="349" customFormat="1" ht="74.25" customHeight="1">
      <c r="A67" s="458">
        <v>4</v>
      </c>
      <c r="B67" s="458" t="s">
        <v>2320</v>
      </c>
      <c r="C67" s="378" t="s">
        <v>352</v>
      </c>
      <c r="D67" s="376" t="s">
        <v>64</v>
      </c>
      <c r="E67" s="369"/>
      <c r="F67" s="369"/>
      <c r="G67" s="369"/>
      <c r="H67" s="368"/>
      <c r="I67" s="878">
        <f>30*2</f>
        <v>60</v>
      </c>
      <c r="J67" s="381">
        <f>0.45*12*8*16200</f>
        <v>699840</v>
      </c>
      <c r="K67" s="408">
        <f t="shared" si="3"/>
        <v>41990400</v>
      </c>
      <c r="L67" s="788" t="s">
        <v>2349</v>
      </c>
      <c r="N67" s="349" t="s">
        <v>2315</v>
      </c>
      <c r="O67" s="710"/>
      <c r="P67" s="710"/>
      <c r="Q67" s="349">
        <f>0.45*12*8</f>
        <v>43.2</v>
      </c>
    </row>
    <row r="68" spans="1:19" s="345" customFormat="1" ht="36" customHeight="1">
      <c r="A68" s="960" t="s">
        <v>723</v>
      </c>
      <c r="B68" s="964"/>
      <c r="C68" s="1025" t="s">
        <v>2449</v>
      </c>
      <c r="D68" s="1026"/>
      <c r="E68" s="1026"/>
      <c r="F68" s="1026"/>
      <c r="G68" s="1026"/>
      <c r="H68" s="1026"/>
      <c r="I68" s="1026"/>
      <c r="J68" s="1027"/>
      <c r="K68" s="962">
        <f>K69</f>
        <v>11797914.994538985</v>
      </c>
      <c r="L68" s="963"/>
      <c r="O68" s="907"/>
      <c r="P68" s="907"/>
    </row>
    <row r="69" spans="1:19" s="349" customFormat="1" ht="49.5">
      <c r="A69" s="458"/>
      <c r="B69" s="458" t="s">
        <v>2343</v>
      </c>
      <c r="C69" s="378" t="s">
        <v>2450</v>
      </c>
      <c r="D69" s="376" t="s">
        <v>364</v>
      </c>
      <c r="E69" s="369"/>
      <c r="F69" s="369"/>
      <c r="G69" s="369"/>
      <c r="H69" s="368"/>
      <c r="I69" s="878">
        <v>1</v>
      </c>
      <c r="J69" s="840">
        <f>VLOOKUP(B69,'2CT'!$A$3:$H$315,7,0)</f>
        <v>11797914.994538985</v>
      </c>
      <c r="K69" s="408">
        <f t="shared" si="3"/>
        <v>11797914.994538985</v>
      </c>
      <c r="L69" s="788"/>
      <c r="O69" s="710"/>
      <c r="P69" s="710"/>
    </row>
    <row r="70" spans="1:19" s="349" customFormat="1" ht="20.149999999999999" customHeight="1">
      <c r="A70" s="702" t="s">
        <v>369</v>
      </c>
      <c r="B70" s="702"/>
      <c r="C70" s="384" t="s">
        <v>378</v>
      </c>
      <c r="D70" s="384"/>
      <c r="E70" s="385"/>
      <c r="F70" s="385"/>
      <c r="G70" s="385"/>
      <c r="H70" s="384"/>
      <c r="I70" s="880"/>
      <c r="J70" s="844"/>
      <c r="K70" s="409">
        <f>SUBTOTAL(9,K5:K69)</f>
        <v>3167271747.4526572</v>
      </c>
      <c r="L70" s="791"/>
      <c r="N70" s="682">
        <v>110000</v>
      </c>
      <c r="O70" s="860"/>
      <c r="P70" s="860" t="s">
        <v>2278</v>
      </c>
      <c r="Q70" s="682"/>
      <c r="R70" s="682"/>
      <c r="S70" s="682"/>
    </row>
    <row r="71" spans="1:19" s="349" customFormat="1">
      <c r="A71" s="796" t="s">
        <v>723</v>
      </c>
      <c r="B71" s="796"/>
      <c r="C71" s="391" t="s">
        <v>379</v>
      </c>
      <c r="D71" s="391"/>
      <c r="E71" s="391"/>
      <c r="F71" s="391"/>
      <c r="G71" s="391"/>
      <c r="H71" s="391"/>
      <c r="I71" s="881"/>
      <c r="J71" s="845"/>
      <c r="K71" s="399">
        <f>K70*0.1</f>
        <v>316727174.74526572</v>
      </c>
      <c r="L71" s="792"/>
      <c r="N71" s="682">
        <v>205000</v>
      </c>
      <c r="O71" s="860"/>
      <c r="P71" s="860" t="s">
        <v>2277</v>
      </c>
      <c r="Q71" s="682"/>
      <c r="R71" s="682"/>
      <c r="S71" s="682"/>
    </row>
    <row r="72" spans="1:19" s="349" customFormat="1" ht="17" thickBot="1">
      <c r="A72" s="797" t="s">
        <v>761</v>
      </c>
      <c r="B72" s="797"/>
      <c r="C72" s="396" t="s">
        <v>380</v>
      </c>
      <c r="D72" s="396"/>
      <c r="E72" s="396"/>
      <c r="F72" s="396"/>
      <c r="G72" s="396"/>
      <c r="H72" s="396"/>
      <c r="I72" s="882"/>
      <c r="J72" s="846"/>
      <c r="K72" s="410">
        <f>K70+K71</f>
        <v>3483998922.1979227</v>
      </c>
      <c r="L72" s="793"/>
      <c r="N72" s="682">
        <v>180000</v>
      </c>
      <c r="O72" s="860"/>
      <c r="P72" s="860" t="s">
        <v>2275</v>
      </c>
      <c r="Q72" s="682">
        <v>5000</v>
      </c>
      <c r="R72" s="682" t="s">
        <v>2276</v>
      </c>
      <c r="S72" s="682"/>
    </row>
    <row r="73" spans="1:19" s="349" customFormat="1" ht="17" thickTop="1">
      <c r="A73" s="350"/>
      <c r="B73" s="798"/>
      <c r="C73" s="348"/>
      <c r="D73" s="348"/>
      <c r="E73" s="348"/>
      <c r="F73" s="348"/>
      <c r="G73" s="348"/>
      <c r="H73" s="348"/>
      <c r="I73" s="883"/>
      <c r="J73" s="847"/>
      <c r="K73" s="411"/>
      <c r="L73" s="794"/>
      <c r="N73" s="682">
        <v>50000</v>
      </c>
      <c r="O73" s="860"/>
      <c r="P73" s="860"/>
      <c r="Q73" s="682">
        <f>Q72*10</f>
        <v>50000</v>
      </c>
      <c r="R73" s="682"/>
      <c r="S73" s="682"/>
    </row>
    <row r="74" spans="1:19" s="349" customFormat="1">
      <c r="A74" s="350"/>
      <c r="B74" s="798"/>
      <c r="C74" s="348"/>
      <c r="D74" s="348"/>
      <c r="E74" s="348"/>
      <c r="F74" s="348"/>
      <c r="G74" s="348"/>
      <c r="H74" s="348"/>
      <c r="I74" s="883"/>
      <c r="J74" s="847"/>
      <c r="K74" s="411"/>
      <c r="L74" s="794"/>
      <c r="N74" s="682">
        <f>N73+N72+N71+N70</f>
        <v>545000</v>
      </c>
      <c r="O74" s="860"/>
      <c r="P74" s="860"/>
      <c r="Q74" s="682"/>
      <c r="R74" s="682"/>
      <c r="S74" s="682"/>
    </row>
    <row r="75" spans="1:19" s="349" customFormat="1" ht="16" customHeight="1">
      <c r="A75" s="350"/>
      <c r="B75" s="350"/>
      <c r="C75" s="348"/>
      <c r="D75" s="348"/>
      <c r="E75" s="348"/>
      <c r="F75" s="348"/>
      <c r="G75" s="348"/>
      <c r="H75" s="348"/>
      <c r="I75" s="883"/>
      <c r="J75" s="847"/>
      <c r="K75" s="411"/>
      <c r="L75" s="794"/>
      <c r="O75" s="710"/>
      <c r="P75" s="710"/>
    </row>
    <row r="76" spans="1:19" s="349" customFormat="1" ht="16" customHeight="1">
      <c r="A76" s="350"/>
      <c r="B76" s="350"/>
      <c r="C76" s="348"/>
      <c r="D76" s="348"/>
      <c r="E76" s="348"/>
      <c r="F76" s="348"/>
      <c r="G76" s="348"/>
      <c r="H76" s="348"/>
      <c r="I76" s="883"/>
      <c r="J76" s="847"/>
      <c r="K76" s="411"/>
      <c r="L76" s="794"/>
      <c r="M76" s="925">
        <f>K70</f>
        <v>3167271747.4526572</v>
      </c>
      <c r="N76" s="925">
        <f>K71</f>
        <v>316727174.74526572</v>
      </c>
      <c r="O76" s="910">
        <f>K72</f>
        <v>3483998922.1979227</v>
      </c>
      <c r="P76" s="710"/>
    </row>
    <row r="77" spans="1:19" s="349" customFormat="1" ht="16" customHeight="1">
      <c r="A77" s="350"/>
      <c r="B77" s="350"/>
      <c r="C77" s="348"/>
      <c r="D77" s="348"/>
      <c r="E77" s="348"/>
      <c r="F77" s="348"/>
      <c r="G77" s="348"/>
      <c r="H77" s="348"/>
      <c r="I77" s="883"/>
      <c r="J77" s="847"/>
      <c r="K77" s="411"/>
      <c r="L77" s="794"/>
      <c r="O77" s="710"/>
      <c r="P77" s="710"/>
    </row>
    <row r="78" spans="1:19" s="349" customFormat="1" ht="16" customHeight="1">
      <c r="A78" s="350"/>
      <c r="B78" s="350"/>
      <c r="C78" s="348"/>
      <c r="D78" s="348"/>
      <c r="E78" s="348"/>
      <c r="F78" s="348"/>
      <c r="G78" s="348"/>
      <c r="H78" s="348"/>
      <c r="I78" s="883"/>
      <c r="J78" s="847"/>
      <c r="K78" s="411"/>
      <c r="L78" s="794"/>
      <c r="O78" s="710"/>
      <c r="P78" s="710"/>
    </row>
    <row r="79" spans="1:19" s="349" customFormat="1" ht="16" customHeight="1">
      <c r="A79" s="350"/>
      <c r="B79" s="350"/>
      <c r="C79" s="348"/>
      <c r="D79" s="348"/>
      <c r="E79" s="348"/>
      <c r="F79" s="348"/>
      <c r="G79" s="348"/>
      <c r="H79" s="348"/>
      <c r="I79" s="883"/>
      <c r="J79" s="847"/>
      <c r="K79" s="411"/>
      <c r="L79" s="794"/>
      <c r="O79" s="710"/>
      <c r="P79" s="710"/>
    </row>
    <row r="80" spans="1:19" s="349" customFormat="1" ht="16" customHeight="1">
      <c r="A80" s="350"/>
      <c r="B80" s="350"/>
      <c r="C80" s="348"/>
      <c r="D80" s="348"/>
      <c r="E80" s="348"/>
      <c r="F80" s="348"/>
      <c r="G80" s="348"/>
      <c r="H80" s="348"/>
      <c r="I80" s="883"/>
      <c r="J80" s="847"/>
      <c r="K80" s="411"/>
      <c r="L80" s="794"/>
      <c r="O80" s="710"/>
      <c r="P80" s="710"/>
    </row>
    <row r="81" spans="1:16" s="349" customFormat="1" ht="16" customHeight="1">
      <c r="A81" s="350"/>
      <c r="B81" s="350"/>
      <c r="C81" s="348"/>
      <c r="D81" s="348"/>
      <c r="E81" s="348"/>
      <c r="F81" s="348"/>
      <c r="G81" s="348"/>
      <c r="H81" s="348"/>
      <c r="I81" s="883"/>
      <c r="J81" s="847"/>
      <c r="K81" s="411"/>
      <c r="L81" s="794"/>
      <c r="O81" s="710"/>
      <c r="P81" s="710"/>
    </row>
    <row r="82" spans="1:16" s="349" customFormat="1" ht="16" customHeight="1">
      <c r="A82" s="350"/>
      <c r="B82" s="350"/>
      <c r="C82" s="348"/>
      <c r="D82" s="348"/>
      <c r="E82" s="348"/>
      <c r="F82" s="348"/>
      <c r="G82" s="348"/>
      <c r="H82" s="348"/>
      <c r="I82" s="883"/>
      <c r="J82" s="847"/>
      <c r="K82" s="411"/>
      <c r="L82" s="794"/>
      <c r="O82" s="710"/>
      <c r="P82" s="710"/>
    </row>
    <row r="83" spans="1:16" s="349" customFormat="1" ht="16" customHeight="1">
      <c r="A83" s="350"/>
      <c r="B83" s="350"/>
      <c r="C83" s="348"/>
      <c r="D83" s="348"/>
      <c r="E83" s="348"/>
      <c r="F83" s="348"/>
      <c r="G83" s="348"/>
      <c r="H83" s="348"/>
      <c r="I83" s="883"/>
      <c r="J83" s="847"/>
      <c r="K83" s="411"/>
      <c r="L83" s="794"/>
      <c r="O83" s="710"/>
      <c r="P83" s="710"/>
    </row>
    <row r="84" spans="1:16" s="349" customFormat="1" ht="16" customHeight="1">
      <c r="A84" s="350"/>
      <c r="B84" s="350"/>
      <c r="C84" s="348"/>
      <c r="D84" s="348"/>
      <c r="E84" s="348"/>
      <c r="F84" s="348"/>
      <c r="G84" s="348"/>
      <c r="H84" s="348"/>
      <c r="I84" s="883"/>
      <c r="J84" s="847"/>
      <c r="K84" s="411"/>
      <c r="L84" s="794"/>
      <c r="O84" s="710"/>
      <c r="P84" s="710"/>
    </row>
    <row r="85" spans="1:16" s="349" customFormat="1" ht="16" customHeight="1">
      <c r="A85" s="350"/>
      <c r="B85" s="350"/>
      <c r="C85" s="348"/>
      <c r="D85" s="348"/>
      <c r="E85" s="348"/>
      <c r="F85" s="348"/>
      <c r="G85" s="348"/>
      <c r="H85" s="348"/>
      <c r="I85" s="883"/>
      <c r="J85" s="847"/>
      <c r="K85" s="411"/>
      <c r="L85" s="794"/>
      <c r="O85" s="710"/>
      <c r="P85" s="710"/>
    </row>
    <row r="86" spans="1:16" s="349" customFormat="1" ht="16" customHeight="1">
      <c r="A86" s="350"/>
      <c r="B86" s="350"/>
      <c r="C86" s="348"/>
      <c r="D86" s="348"/>
      <c r="E86" s="348"/>
      <c r="F86" s="348"/>
      <c r="G86" s="348"/>
      <c r="H86" s="348"/>
      <c r="I86" s="883"/>
      <c r="J86" s="847"/>
      <c r="K86" s="411"/>
      <c r="L86" s="794"/>
      <c r="O86" s="710"/>
      <c r="P86" s="710"/>
    </row>
    <row r="87" spans="1:16" s="349" customFormat="1" ht="16" customHeight="1">
      <c r="A87" s="351"/>
      <c r="B87" s="351"/>
      <c r="C87" s="346"/>
      <c r="D87" s="346"/>
      <c r="E87" s="346"/>
      <c r="F87" s="346"/>
      <c r="G87" s="346"/>
      <c r="H87" s="346"/>
      <c r="I87" s="884"/>
      <c r="J87" s="848"/>
      <c r="K87" s="412"/>
      <c r="L87" s="795"/>
      <c r="O87" s="710"/>
      <c r="P87" s="710"/>
    </row>
    <row r="88" spans="1:16" s="349" customFormat="1" ht="16" customHeight="1">
      <c r="A88" s="351"/>
      <c r="B88" s="351"/>
      <c r="C88" s="346"/>
      <c r="D88" s="346"/>
      <c r="E88" s="346"/>
      <c r="F88" s="346"/>
      <c r="G88" s="346"/>
      <c r="H88" s="346"/>
      <c r="I88" s="884"/>
      <c r="J88" s="848"/>
      <c r="K88" s="412"/>
      <c r="L88" s="795"/>
      <c r="O88" s="710"/>
      <c r="P88" s="710"/>
    </row>
    <row r="89" spans="1:16" s="348" customFormat="1" ht="16" customHeight="1">
      <c r="A89" s="351"/>
      <c r="B89" s="351"/>
      <c r="C89" s="346"/>
      <c r="D89" s="346"/>
      <c r="E89" s="346"/>
      <c r="F89" s="346"/>
      <c r="G89" s="346"/>
      <c r="H89" s="346"/>
      <c r="I89" s="884"/>
      <c r="J89" s="848"/>
      <c r="K89" s="412"/>
      <c r="L89" s="795"/>
      <c r="O89" s="909"/>
      <c r="P89" s="909"/>
    </row>
    <row r="90" spans="1:16" s="348" customFormat="1" ht="16" customHeight="1">
      <c r="A90" s="351"/>
      <c r="B90" s="351"/>
      <c r="C90" s="346"/>
      <c r="D90" s="346"/>
      <c r="E90" s="346"/>
      <c r="F90" s="346"/>
      <c r="G90" s="346"/>
      <c r="H90" s="346"/>
      <c r="I90" s="884"/>
      <c r="J90" s="848"/>
      <c r="K90" s="412"/>
      <c r="L90" s="795"/>
      <c r="O90" s="909"/>
      <c r="P90" s="909"/>
    </row>
    <row r="91" spans="1:16" s="348" customFormat="1">
      <c r="A91" s="351"/>
      <c r="B91" s="351"/>
      <c r="C91" s="346"/>
      <c r="D91" s="346"/>
      <c r="E91" s="346"/>
      <c r="F91" s="346"/>
      <c r="G91" s="346"/>
      <c r="H91" s="346"/>
      <c r="I91" s="884"/>
      <c r="J91" s="848"/>
      <c r="K91" s="412"/>
      <c r="L91" s="795"/>
      <c r="O91" s="909"/>
      <c r="P91" s="909"/>
    </row>
    <row r="92" spans="1:16" s="348" customFormat="1">
      <c r="A92" s="351"/>
      <c r="B92" s="351"/>
      <c r="C92" s="346"/>
      <c r="D92" s="346"/>
      <c r="E92" s="346"/>
      <c r="F92" s="346"/>
      <c r="G92" s="346"/>
      <c r="H92" s="346"/>
      <c r="I92" s="884"/>
      <c r="J92" s="848"/>
      <c r="K92" s="412"/>
      <c r="L92" s="795"/>
      <c r="O92" s="909"/>
      <c r="P92" s="909"/>
    </row>
    <row r="93" spans="1:16" s="348" customFormat="1">
      <c r="A93" s="351"/>
      <c r="B93" s="351"/>
      <c r="C93" s="346"/>
      <c r="D93" s="346"/>
      <c r="E93" s="346"/>
      <c r="F93" s="346"/>
      <c r="G93" s="346"/>
      <c r="H93" s="346"/>
      <c r="I93" s="884"/>
      <c r="J93" s="848"/>
      <c r="K93" s="412"/>
      <c r="L93" s="795"/>
      <c r="O93" s="909"/>
      <c r="P93" s="909"/>
    </row>
    <row r="94" spans="1:16" s="348" customFormat="1">
      <c r="A94" s="351"/>
      <c r="B94" s="351"/>
      <c r="C94" s="346"/>
      <c r="D94" s="346"/>
      <c r="E94" s="346"/>
      <c r="F94" s="346"/>
      <c r="G94" s="346"/>
      <c r="H94" s="346"/>
      <c r="I94" s="884"/>
      <c r="J94" s="848"/>
      <c r="K94" s="412"/>
      <c r="L94" s="795"/>
      <c r="O94" s="909"/>
      <c r="P94" s="909"/>
    </row>
    <row r="95" spans="1:16" s="348" customFormat="1">
      <c r="A95" s="351"/>
      <c r="B95" s="351"/>
      <c r="C95" s="346"/>
      <c r="D95" s="346"/>
      <c r="E95" s="346"/>
      <c r="F95" s="346"/>
      <c r="G95" s="346"/>
      <c r="H95" s="346"/>
      <c r="I95" s="884"/>
      <c r="J95" s="848"/>
      <c r="K95" s="412"/>
      <c r="L95" s="795"/>
      <c r="O95" s="909"/>
      <c r="P95" s="909"/>
    </row>
    <row r="96" spans="1:16" s="348" customFormat="1">
      <c r="A96" s="351"/>
      <c r="B96" s="351"/>
      <c r="C96" s="346"/>
      <c r="D96" s="346"/>
      <c r="E96" s="346"/>
      <c r="F96" s="346"/>
      <c r="G96" s="346"/>
      <c r="H96" s="346"/>
      <c r="I96" s="884"/>
      <c r="J96" s="848"/>
      <c r="K96" s="412"/>
      <c r="L96" s="795"/>
      <c r="O96" s="909"/>
      <c r="P96" s="909"/>
    </row>
    <row r="97" spans="1:16" s="348" customFormat="1">
      <c r="A97" s="351"/>
      <c r="B97" s="351"/>
      <c r="C97" s="346"/>
      <c r="D97" s="346"/>
      <c r="E97" s="346"/>
      <c r="F97" s="346"/>
      <c r="G97" s="346"/>
      <c r="H97" s="346"/>
      <c r="I97" s="884"/>
      <c r="J97" s="848"/>
      <c r="K97" s="412"/>
      <c r="L97" s="795"/>
      <c r="O97" s="909"/>
      <c r="P97" s="909"/>
    </row>
    <row r="98" spans="1:16" s="348" customFormat="1">
      <c r="A98" s="351"/>
      <c r="B98" s="351"/>
      <c r="C98" s="346"/>
      <c r="D98" s="346"/>
      <c r="E98" s="346"/>
      <c r="F98" s="346"/>
      <c r="G98" s="346"/>
      <c r="H98" s="346"/>
      <c r="I98" s="884"/>
      <c r="J98" s="848"/>
      <c r="K98" s="412"/>
      <c r="L98" s="795"/>
      <c r="O98" s="909"/>
      <c r="P98" s="909"/>
    </row>
    <row r="99" spans="1:16" s="348" customFormat="1">
      <c r="A99" s="351"/>
      <c r="B99" s="351"/>
      <c r="C99" s="346"/>
      <c r="D99" s="346"/>
      <c r="E99" s="346"/>
      <c r="F99" s="346"/>
      <c r="G99" s="346"/>
      <c r="H99" s="346"/>
      <c r="I99" s="884"/>
      <c r="J99" s="848"/>
      <c r="K99" s="412"/>
      <c r="L99" s="795"/>
      <c r="O99" s="909"/>
      <c r="P99" s="909"/>
    </row>
    <row r="100" spans="1:16" s="348" customFormat="1">
      <c r="A100" s="351"/>
      <c r="B100" s="351"/>
      <c r="C100" s="346"/>
      <c r="D100" s="346"/>
      <c r="E100" s="346"/>
      <c r="F100" s="346"/>
      <c r="G100" s="346"/>
      <c r="H100" s="346"/>
      <c r="I100" s="884"/>
      <c r="J100" s="848"/>
      <c r="K100" s="412"/>
      <c r="L100" s="795"/>
      <c r="O100" s="909"/>
      <c r="P100" s="909"/>
    </row>
    <row r="101" spans="1:16" s="348" customFormat="1">
      <c r="A101" s="351"/>
      <c r="B101" s="351"/>
      <c r="C101" s="346"/>
      <c r="D101" s="346"/>
      <c r="E101" s="346"/>
      <c r="F101" s="346"/>
      <c r="G101" s="346"/>
      <c r="H101" s="346"/>
      <c r="I101" s="884"/>
      <c r="J101" s="848"/>
      <c r="K101" s="412"/>
      <c r="L101" s="795"/>
      <c r="O101" s="909"/>
      <c r="P101" s="909"/>
    </row>
    <row r="102" spans="1:16" s="348" customFormat="1">
      <c r="A102" s="351"/>
      <c r="B102" s="351"/>
      <c r="C102" s="346"/>
      <c r="D102" s="346"/>
      <c r="E102" s="346"/>
      <c r="F102" s="346"/>
      <c r="G102" s="346"/>
      <c r="H102" s="346"/>
      <c r="I102" s="884"/>
      <c r="J102" s="848"/>
      <c r="K102" s="412"/>
      <c r="L102" s="795"/>
      <c r="O102" s="909"/>
      <c r="P102" s="909"/>
    </row>
    <row r="103" spans="1:16" s="348" customFormat="1">
      <c r="A103" s="351"/>
      <c r="B103" s="351"/>
      <c r="C103" s="346"/>
      <c r="D103" s="346"/>
      <c r="E103" s="346"/>
      <c r="F103" s="346"/>
      <c r="G103" s="346"/>
      <c r="H103" s="346"/>
      <c r="I103" s="884"/>
      <c r="J103" s="848"/>
      <c r="K103" s="412"/>
      <c r="L103" s="795"/>
      <c r="O103" s="909"/>
      <c r="P103" s="909"/>
    </row>
    <row r="104" spans="1:16" s="394" customFormat="1" ht="22" customHeight="1">
      <c r="A104" s="351"/>
      <c r="B104" s="351"/>
      <c r="C104" s="346"/>
      <c r="D104" s="346"/>
      <c r="E104" s="346"/>
      <c r="F104" s="346"/>
      <c r="G104" s="346"/>
      <c r="H104" s="346"/>
      <c r="I104" s="884"/>
      <c r="J104" s="848"/>
      <c r="K104" s="412"/>
      <c r="L104" s="795"/>
      <c r="O104" s="910"/>
      <c r="P104" s="910"/>
    </row>
    <row r="105" spans="1:16" s="394" customFormat="1">
      <c r="A105" s="351"/>
      <c r="B105" s="351"/>
      <c r="C105" s="346"/>
      <c r="D105" s="346"/>
      <c r="E105" s="346"/>
      <c r="F105" s="346"/>
      <c r="G105" s="346"/>
      <c r="H105" s="346"/>
      <c r="I105" s="884"/>
      <c r="J105" s="848"/>
      <c r="K105" s="412"/>
      <c r="L105" s="795"/>
      <c r="O105" s="910"/>
      <c r="P105" s="910"/>
    </row>
    <row r="106" spans="1:16" s="348" customFormat="1">
      <c r="A106" s="351"/>
      <c r="B106" s="351"/>
      <c r="C106" s="346"/>
      <c r="D106" s="346"/>
      <c r="E106" s="346"/>
      <c r="F106" s="346"/>
      <c r="G106" s="346"/>
      <c r="H106" s="346"/>
      <c r="I106" s="884"/>
      <c r="J106" s="848"/>
      <c r="K106" s="412"/>
      <c r="L106" s="795"/>
      <c r="O106" s="909"/>
      <c r="P106" s="909"/>
    </row>
    <row r="107" spans="1:16" s="348" customFormat="1">
      <c r="A107" s="351"/>
      <c r="B107" s="351"/>
      <c r="C107" s="346"/>
      <c r="D107" s="346"/>
      <c r="E107" s="346"/>
      <c r="F107" s="346"/>
      <c r="G107" s="346"/>
      <c r="H107" s="346"/>
      <c r="I107" s="884"/>
      <c r="J107" s="848"/>
      <c r="K107" s="412"/>
      <c r="L107" s="795"/>
      <c r="O107" s="909"/>
      <c r="P107" s="909"/>
    </row>
    <row r="108" spans="1:16" s="348" customFormat="1">
      <c r="A108" s="351"/>
      <c r="B108" s="351"/>
      <c r="C108" s="346"/>
      <c r="D108" s="346"/>
      <c r="E108" s="346"/>
      <c r="F108" s="346"/>
      <c r="G108" s="346"/>
      <c r="H108" s="346"/>
      <c r="I108" s="884"/>
      <c r="J108" s="848"/>
      <c r="K108" s="412"/>
      <c r="L108" s="795"/>
      <c r="O108" s="909"/>
      <c r="P108" s="909"/>
    </row>
    <row r="109" spans="1:16" s="348" customFormat="1">
      <c r="A109" s="351"/>
      <c r="B109" s="351"/>
      <c r="C109" s="346"/>
      <c r="D109" s="346"/>
      <c r="E109" s="346"/>
      <c r="F109" s="346"/>
      <c r="G109" s="346"/>
      <c r="H109" s="346"/>
      <c r="I109" s="884"/>
      <c r="J109" s="848"/>
      <c r="K109" s="412"/>
      <c r="L109" s="795"/>
      <c r="O109" s="909"/>
      <c r="P109" s="909"/>
    </row>
    <row r="110" spans="1:16" s="348" customFormat="1">
      <c r="A110" s="351"/>
      <c r="B110" s="351"/>
      <c r="C110" s="346"/>
      <c r="D110" s="346"/>
      <c r="E110" s="346"/>
      <c r="F110" s="346"/>
      <c r="G110" s="346"/>
      <c r="H110" s="346"/>
      <c r="I110" s="884"/>
      <c r="J110" s="848"/>
      <c r="K110" s="412"/>
      <c r="L110" s="795"/>
      <c r="O110" s="909"/>
      <c r="P110" s="909"/>
    </row>
    <row r="111" spans="1:16" s="348" customFormat="1">
      <c r="A111" s="351"/>
      <c r="B111" s="351"/>
      <c r="C111" s="346"/>
      <c r="D111" s="346"/>
      <c r="E111" s="346"/>
      <c r="F111" s="346"/>
      <c r="G111" s="346"/>
      <c r="H111" s="346"/>
      <c r="I111" s="884"/>
      <c r="J111" s="848"/>
      <c r="K111" s="412"/>
      <c r="L111" s="795"/>
      <c r="O111" s="909"/>
      <c r="P111" s="909"/>
    </row>
    <row r="112" spans="1:16" s="348" customFormat="1">
      <c r="A112" s="351"/>
      <c r="B112" s="351"/>
      <c r="C112" s="346"/>
      <c r="D112" s="346"/>
      <c r="E112" s="346"/>
      <c r="F112" s="346"/>
      <c r="G112" s="346"/>
      <c r="H112" s="346"/>
      <c r="I112" s="884"/>
      <c r="J112" s="848"/>
      <c r="K112" s="412"/>
      <c r="L112" s="795"/>
      <c r="O112" s="909"/>
      <c r="P112" s="909"/>
    </row>
    <row r="113" spans="1:16" s="348" customFormat="1">
      <c r="A113" s="351"/>
      <c r="B113" s="351"/>
      <c r="C113" s="346"/>
      <c r="D113" s="346"/>
      <c r="E113" s="346"/>
      <c r="F113" s="346"/>
      <c r="G113" s="346"/>
      <c r="H113" s="346"/>
      <c r="I113" s="884"/>
      <c r="J113" s="848"/>
      <c r="K113" s="412"/>
      <c r="L113" s="795"/>
      <c r="O113" s="909"/>
      <c r="P113" s="909"/>
    </row>
    <row r="114" spans="1:16" s="348" customFormat="1">
      <c r="A114" s="351"/>
      <c r="B114" s="351"/>
      <c r="C114" s="346"/>
      <c r="D114" s="346"/>
      <c r="E114" s="346"/>
      <c r="F114" s="346"/>
      <c r="G114" s="346"/>
      <c r="H114" s="346"/>
      <c r="I114" s="884"/>
      <c r="J114" s="848"/>
      <c r="K114" s="412"/>
      <c r="L114" s="795"/>
      <c r="O114" s="909"/>
      <c r="P114" s="909"/>
    </row>
    <row r="115" spans="1:16" s="348" customFormat="1">
      <c r="A115" s="351"/>
      <c r="B115" s="351"/>
      <c r="C115" s="346"/>
      <c r="D115" s="346"/>
      <c r="E115" s="346"/>
      <c r="F115" s="346"/>
      <c r="G115" s="346"/>
      <c r="H115" s="346"/>
      <c r="I115" s="884"/>
      <c r="J115" s="848"/>
      <c r="K115" s="412"/>
      <c r="L115" s="795"/>
      <c r="O115" s="909"/>
      <c r="P115" s="909"/>
    </row>
    <row r="116" spans="1:16" s="348" customFormat="1">
      <c r="A116" s="351"/>
      <c r="B116" s="351"/>
      <c r="C116" s="346"/>
      <c r="D116" s="346"/>
      <c r="E116" s="346"/>
      <c r="F116" s="346"/>
      <c r="G116" s="346"/>
      <c r="H116" s="346"/>
      <c r="I116" s="884"/>
      <c r="J116" s="848"/>
      <c r="K116" s="412"/>
      <c r="L116" s="795"/>
      <c r="O116" s="909"/>
      <c r="P116" s="909"/>
    </row>
    <row r="117" spans="1:16" s="348" customFormat="1">
      <c r="A117" s="351"/>
      <c r="B117" s="351"/>
      <c r="C117" s="346"/>
      <c r="D117" s="346"/>
      <c r="E117" s="346"/>
      <c r="F117" s="346"/>
      <c r="G117" s="346"/>
      <c r="H117" s="346"/>
      <c r="I117" s="884"/>
      <c r="J117" s="848"/>
      <c r="K117" s="412"/>
      <c r="L117" s="795"/>
      <c r="O117" s="909"/>
      <c r="P117" s="909"/>
    </row>
    <row r="118" spans="1:16" s="348" customFormat="1">
      <c r="A118" s="351"/>
      <c r="B118" s="351"/>
      <c r="C118" s="346"/>
      <c r="D118" s="346"/>
      <c r="E118" s="346"/>
      <c r="F118" s="346"/>
      <c r="G118" s="346"/>
      <c r="H118" s="346"/>
      <c r="I118" s="884"/>
      <c r="J118" s="848"/>
      <c r="K118" s="412"/>
      <c r="L118" s="795"/>
      <c r="O118" s="909"/>
      <c r="P118" s="909"/>
    </row>
    <row r="119" spans="1:16" s="348" customFormat="1">
      <c r="A119" s="351"/>
      <c r="B119" s="351"/>
      <c r="C119" s="346"/>
      <c r="D119" s="346"/>
      <c r="E119" s="346"/>
      <c r="F119" s="346"/>
      <c r="G119" s="346"/>
      <c r="H119" s="346"/>
      <c r="I119" s="884"/>
      <c r="J119" s="848"/>
      <c r="K119" s="412"/>
      <c r="L119" s="795"/>
      <c r="O119" s="909"/>
      <c r="P119" s="909"/>
    </row>
  </sheetData>
  <mergeCells count="7">
    <mergeCell ref="C46:J46"/>
    <mergeCell ref="C68:J68"/>
    <mergeCell ref="A2:L2"/>
    <mergeCell ref="E4:G4"/>
    <mergeCell ref="H4:I4"/>
    <mergeCell ref="C5:J5"/>
    <mergeCell ref="C31:J31"/>
  </mergeCells>
  <pageMargins left="0.70866141732283472" right="0.19685039370078741" top="0.39370078740157483" bottom="0.31496062992125984" header="0.31496062992125984" footer="0.15748031496062992"/>
  <pageSetup paperSize="9" scale="6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38"/>
  <sheetViews>
    <sheetView workbookViewId="0">
      <selection activeCell="E856" sqref="E856"/>
    </sheetView>
  </sheetViews>
  <sheetFormatPr defaultColWidth="8.33203125" defaultRowHeight="15.5"/>
  <cols>
    <col min="1" max="1" width="5.25" style="678" customWidth="1"/>
    <col min="2" max="2" width="31.33203125" style="677" customWidth="1"/>
    <col min="3" max="3" width="17.83203125" style="679" customWidth="1"/>
    <col min="4" max="4" width="7.33203125" style="680" customWidth="1"/>
    <col min="5" max="5" width="12.33203125" style="681" customWidth="1"/>
    <col min="6" max="6" width="13.33203125" style="676" customWidth="1"/>
    <col min="7" max="7" width="13.33203125" style="675" customWidth="1"/>
    <col min="8" max="9" width="13.33203125" style="654" customWidth="1"/>
    <col min="10" max="10" width="13.83203125" style="465" customWidth="1"/>
    <col min="11" max="11" width="12.08203125" style="469" bestFit="1" customWidth="1"/>
    <col min="12" max="256" width="8.33203125" style="646"/>
    <col min="257" max="257" width="5.25" style="646" customWidth="1"/>
    <col min="258" max="258" width="31.33203125" style="646" customWidth="1"/>
    <col min="259" max="259" width="17.83203125" style="646" customWidth="1"/>
    <col min="260" max="260" width="7.33203125" style="646" customWidth="1"/>
    <col min="261" max="261" width="12.33203125" style="646" customWidth="1"/>
    <col min="262" max="265" width="13.33203125" style="646" customWidth="1"/>
    <col min="266" max="266" width="13.83203125" style="646" customWidth="1"/>
    <col min="267" max="267" width="12.08203125" style="646" bestFit="1" customWidth="1"/>
    <col min="268" max="512" width="8.33203125" style="646"/>
    <col min="513" max="513" width="5.25" style="646" customWidth="1"/>
    <col min="514" max="514" width="31.33203125" style="646" customWidth="1"/>
    <col min="515" max="515" width="17.83203125" style="646" customWidth="1"/>
    <col min="516" max="516" width="7.33203125" style="646" customWidth="1"/>
    <col min="517" max="517" width="12.33203125" style="646" customWidth="1"/>
    <col min="518" max="521" width="13.33203125" style="646" customWidth="1"/>
    <col min="522" max="522" width="13.83203125" style="646" customWidth="1"/>
    <col min="523" max="523" width="12.08203125" style="646" bestFit="1" customWidth="1"/>
    <col min="524" max="768" width="8.33203125" style="646"/>
    <col min="769" max="769" width="5.25" style="646" customWidth="1"/>
    <col min="770" max="770" width="31.33203125" style="646" customWidth="1"/>
    <col min="771" max="771" width="17.83203125" style="646" customWidth="1"/>
    <col min="772" max="772" width="7.33203125" style="646" customWidth="1"/>
    <col min="773" max="773" width="12.33203125" style="646" customWidth="1"/>
    <col min="774" max="777" width="13.33203125" style="646" customWidth="1"/>
    <col min="778" max="778" width="13.83203125" style="646" customWidth="1"/>
    <col min="779" max="779" width="12.08203125" style="646" bestFit="1" customWidth="1"/>
    <col min="780" max="1024" width="8.33203125" style="646"/>
    <col min="1025" max="1025" width="5.25" style="646" customWidth="1"/>
    <col min="1026" max="1026" width="31.33203125" style="646" customWidth="1"/>
    <col min="1027" max="1027" width="17.83203125" style="646" customWidth="1"/>
    <col min="1028" max="1028" width="7.33203125" style="646" customWidth="1"/>
    <col min="1029" max="1029" width="12.33203125" style="646" customWidth="1"/>
    <col min="1030" max="1033" width="13.33203125" style="646" customWidth="1"/>
    <col min="1034" max="1034" width="13.83203125" style="646" customWidth="1"/>
    <col min="1035" max="1035" width="12.08203125" style="646" bestFit="1" customWidth="1"/>
    <col min="1036" max="1280" width="8.33203125" style="646"/>
    <col min="1281" max="1281" width="5.25" style="646" customWidth="1"/>
    <col min="1282" max="1282" width="31.33203125" style="646" customWidth="1"/>
    <col min="1283" max="1283" width="17.83203125" style="646" customWidth="1"/>
    <col min="1284" max="1284" width="7.33203125" style="646" customWidth="1"/>
    <col min="1285" max="1285" width="12.33203125" style="646" customWidth="1"/>
    <col min="1286" max="1289" width="13.33203125" style="646" customWidth="1"/>
    <col min="1290" max="1290" width="13.83203125" style="646" customWidth="1"/>
    <col min="1291" max="1291" width="12.08203125" style="646" bestFit="1" customWidth="1"/>
    <col min="1292" max="1536" width="8.33203125" style="646"/>
    <col min="1537" max="1537" width="5.25" style="646" customWidth="1"/>
    <col min="1538" max="1538" width="31.33203125" style="646" customWidth="1"/>
    <col min="1539" max="1539" width="17.83203125" style="646" customWidth="1"/>
    <col min="1540" max="1540" width="7.33203125" style="646" customWidth="1"/>
    <col min="1541" max="1541" width="12.33203125" style="646" customWidth="1"/>
    <col min="1542" max="1545" width="13.33203125" style="646" customWidth="1"/>
    <col min="1546" max="1546" width="13.83203125" style="646" customWidth="1"/>
    <col min="1547" max="1547" width="12.08203125" style="646" bestFit="1" customWidth="1"/>
    <col min="1548" max="1792" width="8.33203125" style="646"/>
    <col min="1793" max="1793" width="5.25" style="646" customWidth="1"/>
    <col min="1794" max="1794" width="31.33203125" style="646" customWidth="1"/>
    <col min="1795" max="1795" width="17.83203125" style="646" customWidth="1"/>
    <col min="1796" max="1796" width="7.33203125" style="646" customWidth="1"/>
    <col min="1797" max="1797" width="12.33203125" style="646" customWidth="1"/>
    <col min="1798" max="1801" width="13.33203125" style="646" customWidth="1"/>
    <col min="1802" max="1802" width="13.83203125" style="646" customWidth="1"/>
    <col min="1803" max="1803" width="12.08203125" style="646" bestFit="1" customWidth="1"/>
    <col min="1804" max="2048" width="8.33203125" style="646"/>
    <col min="2049" max="2049" width="5.25" style="646" customWidth="1"/>
    <col min="2050" max="2050" width="31.33203125" style="646" customWidth="1"/>
    <col min="2051" max="2051" width="17.83203125" style="646" customWidth="1"/>
    <col min="2052" max="2052" width="7.33203125" style="646" customWidth="1"/>
    <col min="2053" max="2053" width="12.33203125" style="646" customWidth="1"/>
    <col min="2054" max="2057" width="13.33203125" style="646" customWidth="1"/>
    <col min="2058" max="2058" width="13.83203125" style="646" customWidth="1"/>
    <col min="2059" max="2059" width="12.08203125" style="646" bestFit="1" customWidth="1"/>
    <col min="2060" max="2304" width="8.33203125" style="646"/>
    <col min="2305" max="2305" width="5.25" style="646" customWidth="1"/>
    <col min="2306" max="2306" width="31.33203125" style="646" customWidth="1"/>
    <col min="2307" max="2307" width="17.83203125" style="646" customWidth="1"/>
    <col min="2308" max="2308" width="7.33203125" style="646" customWidth="1"/>
    <col min="2309" max="2309" width="12.33203125" style="646" customWidth="1"/>
    <col min="2310" max="2313" width="13.33203125" style="646" customWidth="1"/>
    <col min="2314" max="2314" width="13.83203125" style="646" customWidth="1"/>
    <col min="2315" max="2315" width="12.08203125" style="646" bestFit="1" customWidth="1"/>
    <col min="2316" max="2560" width="8.33203125" style="646"/>
    <col min="2561" max="2561" width="5.25" style="646" customWidth="1"/>
    <col min="2562" max="2562" width="31.33203125" style="646" customWidth="1"/>
    <col min="2563" max="2563" width="17.83203125" style="646" customWidth="1"/>
    <col min="2564" max="2564" width="7.33203125" style="646" customWidth="1"/>
    <col min="2565" max="2565" width="12.33203125" style="646" customWidth="1"/>
    <col min="2566" max="2569" width="13.33203125" style="646" customWidth="1"/>
    <col min="2570" max="2570" width="13.83203125" style="646" customWidth="1"/>
    <col min="2571" max="2571" width="12.08203125" style="646" bestFit="1" customWidth="1"/>
    <col min="2572" max="2816" width="8.33203125" style="646"/>
    <col min="2817" max="2817" width="5.25" style="646" customWidth="1"/>
    <col min="2818" max="2818" width="31.33203125" style="646" customWidth="1"/>
    <col min="2819" max="2819" width="17.83203125" style="646" customWidth="1"/>
    <col min="2820" max="2820" width="7.33203125" style="646" customWidth="1"/>
    <col min="2821" max="2821" width="12.33203125" style="646" customWidth="1"/>
    <col min="2822" max="2825" width="13.33203125" style="646" customWidth="1"/>
    <col min="2826" max="2826" width="13.83203125" style="646" customWidth="1"/>
    <col min="2827" max="2827" width="12.08203125" style="646" bestFit="1" customWidth="1"/>
    <col min="2828" max="3072" width="8.33203125" style="646"/>
    <col min="3073" max="3073" width="5.25" style="646" customWidth="1"/>
    <col min="3074" max="3074" width="31.33203125" style="646" customWidth="1"/>
    <col min="3075" max="3075" width="17.83203125" style="646" customWidth="1"/>
    <col min="3076" max="3076" width="7.33203125" style="646" customWidth="1"/>
    <col min="3077" max="3077" width="12.33203125" style="646" customWidth="1"/>
    <col min="3078" max="3081" width="13.33203125" style="646" customWidth="1"/>
    <col min="3082" max="3082" width="13.83203125" style="646" customWidth="1"/>
    <col min="3083" max="3083" width="12.08203125" style="646" bestFit="1" customWidth="1"/>
    <col min="3084" max="3328" width="8.33203125" style="646"/>
    <col min="3329" max="3329" width="5.25" style="646" customWidth="1"/>
    <col min="3330" max="3330" width="31.33203125" style="646" customWidth="1"/>
    <col min="3331" max="3331" width="17.83203125" style="646" customWidth="1"/>
    <col min="3332" max="3332" width="7.33203125" style="646" customWidth="1"/>
    <col min="3333" max="3333" width="12.33203125" style="646" customWidth="1"/>
    <col min="3334" max="3337" width="13.33203125" style="646" customWidth="1"/>
    <col min="3338" max="3338" width="13.83203125" style="646" customWidth="1"/>
    <col min="3339" max="3339" width="12.08203125" style="646" bestFit="1" customWidth="1"/>
    <col min="3340" max="3584" width="8.33203125" style="646"/>
    <col min="3585" max="3585" width="5.25" style="646" customWidth="1"/>
    <col min="3586" max="3586" width="31.33203125" style="646" customWidth="1"/>
    <col min="3587" max="3587" width="17.83203125" style="646" customWidth="1"/>
    <col min="3588" max="3588" width="7.33203125" style="646" customWidth="1"/>
    <col min="3589" max="3589" width="12.33203125" style="646" customWidth="1"/>
    <col min="3590" max="3593" width="13.33203125" style="646" customWidth="1"/>
    <col min="3594" max="3594" width="13.83203125" style="646" customWidth="1"/>
    <col min="3595" max="3595" width="12.08203125" style="646" bestFit="1" customWidth="1"/>
    <col min="3596" max="3840" width="8.33203125" style="646"/>
    <col min="3841" max="3841" width="5.25" style="646" customWidth="1"/>
    <col min="3842" max="3842" width="31.33203125" style="646" customWidth="1"/>
    <col min="3843" max="3843" width="17.83203125" style="646" customWidth="1"/>
    <col min="3844" max="3844" width="7.33203125" style="646" customWidth="1"/>
    <col min="3845" max="3845" width="12.33203125" style="646" customWidth="1"/>
    <col min="3846" max="3849" width="13.33203125" style="646" customWidth="1"/>
    <col min="3850" max="3850" width="13.83203125" style="646" customWidth="1"/>
    <col min="3851" max="3851" width="12.08203125" style="646" bestFit="1" customWidth="1"/>
    <col min="3852" max="4096" width="8.33203125" style="646"/>
    <col min="4097" max="4097" width="5.25" style="646" customWidth="1"/>
    <col min="4098" max="4098" width="31.33203125" style="646" customWidth="1"/>
    <col min="4099" max="4099" width="17.83203125" style="646" customWidth="1"/>
    <col min="4100" max="4100" width="7.33203125" style="646" customWidth="1"/>
    <col min="4101" max="4101" width="12.33203125" style="646" customWidth="1"/>
    <col min="4102" max="4105" width="13.33203125" style="646" customWidth="1"/>
    <col min="4106" max="4106" width="13.83203125" style="646" customWidth="1"/>
    <col min="4107" max="4107" width="12.08203125" style="646" bestFit="1" customWidth="1"/>
    <col min="4108" max="4352" width="8.33203125" style="646"/>
    <col min="4353" max="4353" width="5.25" style="646" customWidth="1"/>
    <col min="4354" max="4354" width="31.33203125" style="646" customWidth="1"/>
    <col min="4355" max="4355" width="17.83203125" style="646" customWidth="1"/>
    <col min="4356" max="4356" width="7.33203125" style="646" customWidth="1"/>
    <col min="4357" max="4357" width="12.33203125" style="646" customWidth="1"/>
    <col min="4358" max="4361" width="13.33203125" style="646" customWidth="1"/>
    <col min="4362" max="4362" width="13.83203125" style="646" customWidth="1"/>
    <col min="4363" max="4363" width="12.08203125" style="646" bestFit="1" customWidth="1"/>
    <col min="4364" max="4608" width="8.33203125" style="646"/>
    <col min="4609" max="4609" width="5.25" style="646" customWidth="1"/>
    <col min="4610" max="4610" width="31.33203125" style="646" customWidth="1"/>
    <col min="4611" max="4611" width="17.83203125" style="646" customWidth="1"/>
    <col min="4612" max="4612" width="7.33203125" style="646" customWidth="1"/>
    <col min="4613" max="4613" width="12.33203125" style="646" customWidth="1"/>
    <col min="4614" max="4617" width="13.33203125" style="646" customWidth="1"/>
    <col min="4618" max="4618" width="13.83203125" style="646" customWidth="1"/>
    <col min="4619" max="4619" width="12.08203125" style="646" bestFit="1" customWidth="1"/>
    <col min="4620" max="4864" width="8.33203125" style="646"/>
    <col min="4865" max="4865" width="5.25" style="646" customWidth="1"/>
    <col min="4866" max="4866" width="31.33203125" style="646" customWidth="1"/>
    <col min="4867" max="4867" width="17.83203125" style="646" customWidth="1"/>
    <col min="4868" max="4868" width="7.33203125" style="646" customWidth="1"/>
    <col min="4869" max="4869" width="12.33203125" style="646" customWidth="1"/>
    <col min="4870" max="4873" width="13.33203125" style="646" customWidth="1"/>
    <col min="4874" max="4874" width="13.83203125" style="646" customWidth="1"/>
    <col min="4875" max="4875" width="12.08203125" style="646" bestFit="1" customWidth="1"/>
    <col min="4876" max="5120" width="8.33203125" style="646"/>
    <col min="5121" max="5121" width="5.25" style="646" customWidth="1"/>
    <col min="5122" max="5122" width="31.33203125" style="646" customWidth="1"/>
    <col min="5123" max="5123" width="17.83203125" style="646" customWidth="1"/>
    <col min="5124" max="5124" width="7.33203125" style="646" customWidth="1"/>
    <col min="5125" max="5125" width="12.33203125" style="646" customWidth="1"/>
    <col min="5126" max="5129" width="13.33203125" style="646" customWidth="1"/>
    <col min="5130" max="5130" width="13.83203125" style="646" customWidth="1"/>
    <col min="5131" max="5131" width="12.08203125" style="646" bestFit="1" customWidth="1"/>
    <col min="5132" max="5376" width="8.33203125" style="646"/>
    <col min="5377" max="5377" width="5.25" style="646" customWidth="1"/>
    <col min="5378" max="5378" width="31.33203125" style="646" customWidth="1"/>
    <col min="5379" max="5379" width="17.83203125" style="646" customWidth="1"/>
    <col min="5380" max="5380" width="7.33203125" style="646" customWidth="1"/>
    <col min="5381" max="5381" width="12.33203125" style="646" customWidth="1"/>
    <col min="5382" max="5385" width="13.33203125" style="646" customWidth="1"/>
    <col min="5386" max="5386" width="13.83203125" style="646" customWidth="1"/>
    <col min="5387" max="5387" width="12.08203125" style="646" bestFit="1" customWidth="1"/>
    <col min="5388" max="5632" width="8.33203125" style="646"/>
    <col min="5633" max="5633" width="5.25" style="646" customWidth="1"/>
    <col min="5634" max="5634" width="31.33203125" style="646" customWidth="1"/>
    <col min="5635" max="5635" width="17.83203125" style="646" customWidth="1"/>
    <col min="5636" max="5636" width="7.33203125" style="646" customWidth="1"/>
    <col min="5637" max="5637" width="12.33203125" style="646" customWidth="1"/>
    <col min="5638" max="5641" width="13.33203125" style="646" customWidth="1"/>
    <col min="5642" max="5642" width="13.83203125" style="646" customWidth="1"/>
    <col min="5643" max="5643" width="12.08203125" style="646" bestFit="1" customWidth="1"/>
    <col min="5644" max="5888" width="8.33203125" style="646"/>
    <col min="5889" max="5889" width="5.25" style="646" customWidth="1"/>
    <col min="5890" max="5890" width="31.33203125" style="646" customWidth="1"/>
    <col min="5891" max="5891" width="17.83203125" style="646" customWidth="1"/>
    <col min="5892" max="5892" width="7.33203125" style="646" customWidth="1"/>
    <col min="5893" max="5893" width="12.33203125" style="646" customWidth="1"/>
    <col min="5894" max="5897" width="13.33203125" style="646" customWidth="1"/>
    <col min="5898" max="5898" width="13.83203125" style="646" customWidth="1"/>
    <col min="5899" max="5899" width="12.08203125" style="646" bestFit="1" customWidth="1"/>
    <col min="5900" max="6144" width="8.33203125" style="646"/>
    <col min="6145" max="6145" width="5.25" style="646" customWidth="1"/>
    <col min="6146" max="6146" width="31.33203125" style="646" customWidth="1"/>
    <col min="6147" max="6147" width="17.83203125" style="646" customWidth="1"/>
    <col min="6148" max="6148" width="7.33203125" style="646" customWidth="1"/>
    <col min="6149" max="6149" width="12.33203125" style="646" customWidth="1"/>
    <col min="6150" max="6153" width="13.33203125" style="646" customWidth="1"/>
    <col min="6154" max="6154" width="13.83203125" style="646" customWidth="1"/>
    <col min="6155" max="6155" width="12.08203125" style="646" bestFit="1" customWidth="1"/>
    <col min="6156" max="6400" width="8.33203125" style="646"/>
    <col min="6401" max="6401" width="5.25" style="646" customWidth="1"/>
    <col min="6402" max="6402" width="31.33203125" style="646" customWidth="1"/>
    <col min="6403" max="6403" width="17.83203125" style="646" customWidth="1"/>
    <col min="6404" max="6404" width="7.33203125" style="646" customWidth="1"/>
    <col min="6405" max="6405" width="12.33203125" style="646" customWidth="1"/>
    <col min="6406" max="6409" width="13.33203125" style="646" customWidth="1"/>
    <col min="6410" max="6410" width="13.83203125" style="646" customWidth="1"/>
    <col min="6411" max="6411" width="12.08203125" style="646" bestFit="1" customWidth="1"/>
    <col min="6412" max="6656" width="8.33203125" style="646"/>
    <col min="6657" max="6657" width="5.25" style="646" customWidth="1"/>
    <col min="6658" max="6658" width="31.33203125" style="646" customWidth="1"/>
    <col min="6659" max="6659" width="17.83203125" style="646" customWidth="1"/>
    <col min="6660" max="6660" width="7.33203125" style="646" customWidth="1"/>
    <col min="6661" max="6661" width="12.33203125" style="646" customWidth="1"/>
    <col min="6662" max="6665" width="13.33203125" style="646" customWidth="1"/>
    <col min="6666" max="6666" width="13.83203125" style="646" customWidth="1"/>
    <col min="6667" max="6667" width="12.08203125" style="646" bestFit="1" customWidth="1"/>
    <col min="6668" max="6912" width="8.33203125" style="646"/>
    <col min="6913" max="6913" width="5.25" style="646" customWidth="1"/>
    <col min="6914" max="6914" width="31.33203125" style="646" customWidth="1"/>
    <col min="6915" max="6915" width="17.83203125" style="646" customWidth="1"/>
    <col min="6916" max="6916" width="7.33203125" style="646" customWidth="1"/>
    <col min="6917" max="6917" width="12.33203125" style="646" customWidth="1"/>
    <col min="6918" max="6921" width="13.33203125" style="646" customWidth="1"/>
    <col min="6922" max="6922" width="13.83203125" style="646" customWidth="1"/>
    <col min="6923" max="6923" width="12.08203125" style="646" bestFit="1" customWidth="1"/>
    <col min="6924" max="7168" width="8.33203125" style="646"/>
    <col min="7169" max="7169" width="5.25" style="646" customWidth="1"/>
    <col min="7170" max="7170" width="31.33203125" style="646" customWidth="1"/>
    <col min="7171" max="7171" width="17.83203125" style="646" customWidth="1"/>
    <col min="7172" max="7172" width="7.33203125" style="646" customWidth="1"/>
    <col min="7173" max="7173" width="12.33203125" style="646" customWidth="1"/>
    <col min="7174" max="7177" width="13.33203125" style="646" customWidth="1"/>
    <col min="7178" max="7178" width="13.83203125" style="646" customWidth="1"/>
    <col min="7179" max="7179" width="12.08203125" style="646" bestFit="1" customWidth="1"/>
    <col min="7180" max="7424" width="8.33203125" style="646"/>
    <col min="7425" max="7425" width="5.25" style="646" customWidth="1"/>
    <col min="7426" max="7426" width="31.33203125" style="646" customWidth="1"/>
    <col min="7427" max="7427" width="17.83203125" style="646" customWidth="1"/>
    <col min="7428" max="7428" width="7.33203125" style="646" customWidth="1"/>
    <col min="7429" max="7429" width="12.33203125" style="646" customWidth="1"/>
    <col min="7430" max="7433" width="13.33203125" style="646" customWidth="1"/>
    <col min="7434" max="7434" width="13.83203125" style="646" customWidth="1"/>
    <col min="7435" max="7435" width="12.08203125" style="646" bestFit="1" customWidth="1"/>
    <col min="7436" max="7680" width="8.33203125" style="646"/>
    <col min="7681" max="7681" width="5.25" style="646" customWidth="1"/>
    <col min="7682" max="7682" width="31.33203125" style="646" customWidth="1"/>
    <col min="7683" max="7683" width="17.83203125" style="646" customWidth="1"/>
    <col min="7684" max="7684" width="7.33203125" style="646" customWidth="1"/>
    <col min="7685" max="7685" width="12.33203125" style="646" customWidth="1"/>
    <col min="7686" max="7689" width="13.33203125" style="646" customWidth="1"/>
    <col min="7690" max="7690" width="13.83203125" style="646" customWidth="1"/>
    <col min="7691" max="7691" width="12.08203125" style="646" bestFit="1" customWidth="1"/>
    <col min="7692" max="7936" width="8.33203125" style="646"/>
    <col min="7937" max="7937" width="5.25" style="646" customWidth="1"/>
    <col min="7938" max="7938" width="31.33203125" style="646" customWidth="1"/>
    <col min="7939" max="7939" width="17.83203125" style="646" customWidth="1"/>
    <col min="7940" max="7940" width="7.33203125" style="646" customWidth="1"/>
    <col min="7941" max="7941" width="12.33203125" style="646" customWidth="1"/>
    <col min="7942" max="7945" width="13.33203125" style="646" customWidth="1"/>
    <col min="7946" max="7946" width="13.83203125" style="646" customWidth="1"/>
    <col min="7947" max="7947" width="12.08203125" style="646" bestFit="1" customWidth="1"/>
    <col min="7948" max="8192" width="8.33203125" style="646"/>
    <col min="8193" max="8193" width="5.25" style="646" customWidth="1"/>
    <col min="8194" max="8194" width="31.33203125" style="646" customWidth="1"/>
    <col min="8195" max="8195" width="17.83203125" style="646" customWidth="1"/>
    <col min="8196" max="8196" width="7.33203125" style="646" customWidth="1"/>
    <col min="8197" max="8197" width="12.33203125" style="646" customWidth="1"/>
    <col min="8198" max="8201" width="13.33203125" style="646" customWidth="1"/>
    <col min="8202" max="8202" width="13.83203125" style="646" customWidth="1"/>
    <col min="8203" max="8203" width="12.08203125" style="646" bestFit="1" customWidth="1"/>
    <col min="8204" max="8448" width="8.33203125" style="646"/>
    <col min="8449" max="8449" width="5.25" style="646" customWidth="1"/>
    <col min="8450" max="8450" width="31.33203125" style="646" customWidth="1"/>
    <col min="8451" max="8451" width="17.83203125" style="646" customWidth="1"/>
    <col min="8452" max="8452" width="7.33203125" style="646" customWidth="1"/>
    <col min="8453" max="8453" width="12.33203125" style="646" customWidth="1"/>
    <col min="8454" max="8457" width="13.33203125" style="646" customWidth="1"/>
    <col min="8458" max="8458" width="13.83203125" style="646" customWidth="1"/>
    <col min="8459" max="8459" width="12.08203125" style="646" bestFit="1" customWidth="1"/>
    <col min="8460" max="8704" width="8.33203125" style="646"/>
    <col min="8705" max="8705" width="5.25" style="646" customWidth="1"/>
    <col min="8706" max="8706" width="31.33203125" style="646" customWidth="1"/>
    <col min="8707" max="8707" width="17.83203125" style="646" customWidth="1"/>
    <col min="8708" max="8708" width="7.33203125" style="646" customWidth="1"/>
    <col min="8709" max="8709" width="12.33203125" style="646" customWidth="1"/>
    <col min="8710" max="8713" width="13.33203125" style="646" customWidth="1"/>
    <col min="8714" max="8714" width="13.83203125" style="646" customWidth="1"/>
    <col min="8715" max="8715" width="12.08203125" style="646" bestFit="1" customWidth="1"/>
    <col min="8716" max="8960" width="8.33203125" style="646"/>
    <col min="8961" max="8961" width="5.25" style="646" customWidth="1"/>
    <col min="8962" max="8962" width="31.33203125" style="646" customWidth="1"/>
    <col min="8963" max="8963" width="17.83203125" style="646" customWidth="1"/>
    <col min="8964" max="8964" width="7.33203125" style="646" customWidth="1"/>
    <col min="8965" max="8965" width="12.33203125" style="646" customWidth="1"/>
    <col min="8966" max="8969" width="13.33203125" style="646" customWidth="1"/>
    <col min="8970" max="8970" width="13.83203125" style="646" customWidth="1"/>
    <col min="8971" max="8971" width="12.08203125" style="646" bestFit="1" customWidth="1"/>
    <col min="8972" max="9216" width="8.33203125" style="646"/>
    <col min="9217" max="9217" width="5.25" style="646" customWidth="1"/>
    <col min="9218" max="9218" width="31.33203125" style="646" customWidth="1"/>
    <col min="9219" max="9219" width="17.83203125" style="646" customWidth="1"/>
    <col min="9220" max="9220" width="7.33203125" style="646" customWidth="1"/>
    <col min="9221" max="9221" width="12.33203125" style="646" customWidth="1"/>
    <col min="9222" max="9225" width="13.33203125" style="646" customWidth="1"/>
    <col min="9226" max="9226" width="13.83203125" style="646" customWidth="1"/>
    <col min="9227" max="9227" width="12.08203125" style="646" bestFit="1" customWidth="1"/>
    <col min="9228" max="9472" width="8.33203125" style="646"/>
    <col min="9473" max="9473" width="5.25" style="646" customWidth="1"/>
    <col min="9474" max="9474" width="31.33203125" style="646" customWidth="1"/>
    <col min="9475" max="9475" width="17.83203125" style="646" customWidth="1"/>
    <col min="9476" max="9476" width="7.33203125" style="646" customWidth="1"/>
    <col min="9477" max="9477" width="12.33203125" style="646" customWidth="1"/>
    <col min="9478" max="9481" width="13.33203125" style="646" customWidth="1"/>
    <col min="9482" max="9482" width="13.83203125" style="646" customWidth="1"/>
    <col min="9483" max="9483" width="12.08203125" style="646" bestFit="1" customWidth="1"/>
    <col min="9484" max="9728" width="8.33203125" style="646"/>
    <col min="9729" max="9729" width="5.25" style="646" customWidth="1"/>
    <col min="9730" max="9730" width="31.33203125" style="646" customWidth="1"/>
    <col min="9731" max="9731" width="17.83203125" style="646" customWidth="1"/>
    <col min="9732" max="9732" width="7.33203125" style="646" customWidth="1"/>
    <col min="9733" max="9733" width="12.33203125" style="646" customWidth="1"/>
    <col min="9734" max="9737" width="13.33203125" style="646" customWidth="1"/>
    <col min="9738" max="9738" width="13.83203125" style="646" customWidth="1"/>
    <col min="9739" max="9739" width="12.08203125" style="646" bestFit="1" customWidth="1"/>
    <col min="9740" max="9984" width="8.33203125" style="646"/>
    <col min="9985" max="9985" width="5.25" style="646" customWidth="1"/>
    <col min="9986" max="9986" width="31.33203125" style="646" customWidth="1"/>
    <col min="9987" max="9987" width="17.83203125" style="646" customWidth="1"/>
    <col min="9988" max="9988" width="7.33203125" style="646" customWidth="1"/>
    <col min="9989" max="9989" width="12.33203125" style="646" customWidth="1"/>
    <col min="9990" max="9993" width="13.33203125" style="646" customWidth="1"/>
    <col min="9994" max="9994" width="13.83203125" style="646" customWidth="1"/>
    <col min="9995" max="9995" width="12.08203125" style="646" bestFit="1" customWidth="1"/>
    <col min="9996" max="10240" width="8.33203125" style="646"/>
    <col min="10241" max="10241" width="5.25" style="646" customWidth="1"/>
    <col min="10242" max="10242" width="31.33203125" style="646" customWidth="1"/>
    <col min="10243" max="10243" width="17.83203125" style="646" customWidth="1"/>
    <col min="10244" max="10244" width="7.33203125" style="646" customWidth="1"/>
    <col min="10245" max="10245" width="12.33203125" style="646" customWidth="1"/>
    <col min="10246" max="10249" width="13.33203125" style="646" customWidth="1"/>
    <col min="10250" max="10250" width="13.83203125" style="646" customWidth="1"/>
    <col min="10251" max="10251" width="12.08203125" style="646" bestFit="1" customWidth="1"/>
    <col min="10252" max="10496" width="8.33203125" style="646"/>
    <col min="10497" max="10497" width="5.25" style="646" customWidth="1"/>
    <col min="10498" max="10498" width="31.33203125" style="646" customWidth="1"/>
    <col min="10499" max="10499" width="17.83203125" style="646" customWidth="1"/>
    <col min="10500" max="10500" width="7.33203125" style="646" customWidth="1"/>
    <col min="10501" max="10501" width="12.33203125" style="646" customWidth="1"/>
    <col min="10502" max="10505" width="13.33203125" style="646" customWidth="1"/>
    <col min="10506" max="10506" width="13.83203125" style="646" customWidth="1"/>
    <col min="10507" max="10507" width="12.08203125" style="646" bestFit="1" customWidth="1"/>
    <col min="10508" max="10752" width="8.33203125" style="646"/>
    <col min="10753" max="10753" width="5.25" style="646" customWidth="1"/>
    <col min="10754" max="10754" width="31.33203125" style="646" customWidth="1"/>
    <col min="10755" max="10755" width="17.83203125" style="646" customWidth="1"/>
    <col min="10756" max="10756" width="7.33203125" style="646" customWidth="1"/>
    <col min="10757" max="10757" width="12.33203125" style="646" customWidth="1"/>
    <col min="10758" max="10761" width="13.33203125" style="646" customWidth="1"/>
    <col min="10762" max="10762" width="13.83203125" style="646" customWidth="1"/>
    <col min="10763" max="10763" width="12.08203125" style="646" bestFit="1" customWidth="1"/>
    <col min="10764" max="11008" width="8.33203125" style="646"/>
    <col min="11009" max="11009" width="5.25" style="646" customWidth="1"/>
    <col min="11010" max="11010" width="31.33203125" style="646" customWidth="1"/>
    <col min="11011" max="11011" width="17.83203125" style="646" customWidth="1"/>
    <col min="11012" max="11012" width="7.33203125" style="646" customWidth="1"/>
    <col min="11013" max="11013" width="12.33203125" style="646" customWidth="1"/>
    <col min="11014" max="11017" width="13.33203125" style="646" customWidth="1"/>
    <col min="11018" max="11018" width="13.83203125" style="646" customWidth="1"/>
    <col min="11019" max="11019" width="12.08203125" style="646" bestFit="1" customWidth="1"/>
    <col min="11020" max="11264" width="8.33203125" style="646"/>
    <col min="11265" max="11265" width="5.25" style="646" customWidth="1"/>
    <col min="11266" max="11266" width="31.33203125" style="646" customWidth="1"/>
    <col min="11267" max="11267" width="17.83203125" style="646" customWidth="1"/>
    <col min="11268" max="11268" width="7.33203125" style="646" customWidth="1"/>
    <col min="11269" max="11269" width="12.33203125" style="646" customWidth="1"/>
    <col min="11270" max="11273" width="13.33203125" style="646" customWidth="1"/>
    <col min="11274" max="11274" width="13.83203125" style="646" customWidth="1"/>
    <col min="11275" max="11275" width="12.08203125" style="646" bestFit="1" customWidth="1"/>
    <col min="11276" max="11520" width="8.33203125" style="646"/>
    <col min="11521" max="11521" width="5.25" style="646" customWidth="1"/>
    <col min="11522" max="11522" width="31.33203125" style="646" customWidth="1"/>
    <col min="11523" max="11523" width="17.83203125" style="646" customWidth="1"/>
    <col min="11524" max="11524" width="7.33203125" style="646" customWidth="1"/>
    <col min="11525" max="11525" width="12.33203125" style="646" customWidth="1"/>
    <col min="11526" max="11529" width="13.33203125" style="646" customWidth="1"/>
    <col min="11530" max="11530" width="13.83203125" style="646" customWidth="1"/>
    <col min="11531" max="11531" width="12.08203125" style="646" bestFit="1" customWidth="1"/>
    <col min="11532" max="11776" width="8.33203125" style="646"/>
    <col min="11777" max="11777" width="5.25" style="646" customWidth="1"/>
    <col min="11778" max="11778" width="31.33203125" style="646" customWidth="1"/>
    <col min="11779" max="11779" width="17.83203125" style="646" customWidth="1"/>
    <col min="11780" max="11780" width="7.33203125" style="646" customWidth="1"/>
    <col min="11781" max="11781" width="12.33203125" style="646" customWidth="1"/>
    <col min="11782" max="11785" width="13.33203125" style="646" customWidth="1"/>
    <col min="11786" max="11786" width="13.83203125" style="646" customWidth="1"/>
    <col min="11787" max="11787" width="12.08203125" style="646" bestFit="1" customWidth="1"/>
    <col min="11788" max="12032" width="8.33203125" style="646"/>
    <col min="12033" max="12033" width="5.25" style="646" customWidth="1"/>
    <col min="12034" max="12034" width="31.33203125" style="646" customWidth="1"/>
    <col min="12035" max="12035" width="17.83203125" style="646" customWidth="1"/>
    <col min="12036" max="12036" width="7.33203125" style="646" customWidth="1"/>
    <col min="12037" max="12037" width="12.33203125" style="646" customWidth="1"/>
    <col min="12038" max="12041" width="13.33203125" style="646" customWidth="1"/>
    <col min="12042" max="12042" width="13.83203125" style="646" customWidth="1"/>
    <col min="12043" max="12043" width="12.08203125" style="646" bestFit="1" customWidth="1"/>
    <col min="12044" max="12288" width="8.33203125" style="646"/>
    <col min="12289" max="12289" width="5.25" style="646" customWidth="1"/>
    <col min="12290" max="12290" width="31.33203125" style="646" customWidth="1"/>
    <col min="12291" max="12291" width="17.83203125" style="646" customWidth="1"/>
    <col min="12292" max="12292" width="7.33203125" style="646" customWidth="1"/>
    <col min="12293" max="12293" width="12.33203125" style="646" customWidth="1"/>
    <col min="12294" max="12297" width="13.33203125" style="646" customWidth="1"/>
    <col min="12298" max="12298" width="13.83203125" style="646" customWidth="1"/>
    <col min="12299" max="12299" width="12.08203125" style="646" bestFit="1" customWidth="1"/>
    <col min="12300" max="12544" width="8.33203125" style="646"/>
    <col min="12545" max="12545" width="5.25" style="646" customWidth="1"/>
    <col min="12546" max="12546" width="31.33203125" style="646" customWidth="1"/>
    <col min="12547" max="12547" width="17.83203125" style="646" customWidth="1"/>
    <col min="12548" max="12548" width="7.33203125" style="646" customWidth="1"/>
    <col min="12549" max="12549" width="12.33203125" style="646" customWidth="1"/>
    <col min="12550" max="12553" width="13.33203125" style="646" customWidth="1"/>
    <col min="12554" max="12554" width="13.83203125" style="646" customWidth="1"/>
    <col min="12555" max="12555" width="12.08203125" style="646" bestFit="1" customWidth="1"/>
    <col min="12556" max="12800" width="8.33203125" style="646"/>
    <col min="12801" max="12801" width="5.25" style="646" customWidth="1"/>
    <col min="12802" max="12802" width="31.33203125" style="646" customWidth="1"/>
    <col min="12803" max="12803" width="17.83203125" style="646" customWidth="1"/>
    <col min="12804" max="12804" width="7.33203125" style="646" customWidth="1"/>
    <col min="12805" max="12805" width="12.33203125" style="646" customWidth="1"/>
    <col min="12806" max="12809" width="13.33203125" style="646" customWidth="1"/>
    <col min="12810" max="12810" width="13.83203125" style="646" customWidth="1"/>
    <col min="12811" max="12811" width="12.08203125" style="646" bestFit="1" customWidth="1"/>
    <col min="12812" max="13056" width="8.33203125" style="646"/>
    <col min="13057" max="13057" width="5.25" style="646" customWidth="1"/>
    <col min="13058" max="13058" width="31.33203125" style="646" customWidth="1"/>
    <col min="13059" max="13059" width="17.83203125" style="646" customWidth="1"/>
    <col min="13060" max="13060" width="7.33203125" style="646" customWidth="1"/>
    <col min="13061" max="13061" width="12.33203125" style="646" customWidth="1"/>
    <col min="13062" max="13065" width="13.33203125" style="646" customWidth="1"/>
    <col min="13066" max="13066" width="13.83203125" style="646" customWidth="1"/>
    <col min="13067" max="13067" width="12.08203125" style="646" bestFit="1" customWidth="1"/>
    <col min="13068" max="13312" width="8.33203125" style="646"/>
    <col min="13313" max="13313" width="5.25" style="646" customWidth="1"/>
    <col min="13314" max="13314" width="31.33203125" style="646" customWidth="1"/>
    <col min="13315" max="13315" width="17.83203125" style="646" customWidth="1"/>
    <col min="13316" max="13316" width="7.33203125" style="646" customWidth="1"/>
    <col min="13317" max="13317" width="12.33203125" style="646" customWidth="1"/>
    <col min="13318" max="13321" width="13.33203125" style="646" customWidth="1"/>
    <col min="13322" max="13322" width="13.83203125" style="646" customWidth="1"/>
    <col min="13323" max="13323" width="12.08203125" style="646" bestFit="1" customWidth="1"/>
    <col min="13324" max="13568" width="8.33203125" style="646"/>
    <col min="13569" max="13569" width="5.25" style="646" customWidth="1"/>
    <col min="13570" max="13570" width="31.33203125" style="646" customWidth="1"/>
    <col min="13571" max="13571" width="17.83203125" style="646" customWidth="1"/>
    <col min="13572" max="13572" width="7.33203125" style="646" customWidth="1"/>
    <col min="13573" max="13573" width="12.33203125" style="646" customWidth="1"/>
    <col min="13574" max="13577" width="13.33203125" style="646" customWidth="1"/>
    <col min="13578" max="13578" width="13.83203125" style="646" customWidth="1"/>
    <col min="13579" max="13579" width="12.08203125" style="646" bestFit="1" customWidth="1"/>
    <col min="13580" max="13824" width="8.33203125" style="646"/>
    <col min="13825" max="13825" width="5.25" style="646" customWidth="1"/>
    <col min="13826" max="13826" width="31.33203125" style="646" customWidth="1"/>
    <col min="13827" max="13827" width="17.83203125" style="646" customWidth="1"/>
    <col min="13828" max="13828" width="7.33203125" style="646" customWidth="1"/>
    <col min="13829" max="13829" width="12.33203125" style="646" customWidth="1"/>
    <col min="13830" max="13833" width="13.33203125" style="646" customWidth="1"/>
    <col min="13834" max="13834" width="13.83203125" style="646" customWidth="1"/>
    <col min="13835" max="13835" width="12.08203125" style="646" bestFit="1" customWidth="1"/>
    <col min="13836" max="14080" width="8.33203125" style="646"/>
    <col min="14081" max="14081" width="5.25" style="646" customWidth="1"/>
    <col min="14082" max="14082" width="31.33203125" style="646" customWidth="1"/>
    <col min="14083" max="14083" width="17.83203125" style="646" customWidth="1"/>
    <col min="14084" max="14084" width="7.33203125" style="646" customWidth="1"/>
    <col min="14085" max="14085" width="12.33203125" style="646" customWidth="1"/>
    <col min="14086" max="14089" width="13.33203125" style="646" customWidth="1"/>
    <col min="14090" max="14090" width="13.83203125" style="646" customWidth="1"/>
    <col min="14091" max="14091" width="12.08203125" style="646" bestFit="1" customWidth="1"/>
    <col min="14092" max="14336" width="8.33203125" style="646"/>
    <col min="14337" max="14337" width="5.25" style="646" customWidth="1"/>
    <col min="14338" max="14338" width="31.33203125" style="646" customWidth="1"/>
    <col min="14339" max="14339" width="17.83203125" style="646" customWidth="1"/>
    <col min="14340" max="14340" width="7.33203125" style="646" customWidth="1"/>
    <col min="14341" max="14341" width="12.33203125" style="646" customWidth="1"/>
    <col min="14342" max="14345" width="13.33203125" style="646" customWidth="1"/>
    <col min="14346" max="14346" width="13.83203125" style="646" customWidth="1"/>
    <col min="14347" max="14347" width="12.08203125" style="646" bestFit="1" customWidth="1"/>
    <col min="14348" max="14592" width="8.33203125" style="646"/>
    <col min="14593" max="14593" width="5.25" style="646" customWidth="1"/>
    <col min="14594" max="14594" width="31.33203125" style="646" customWidth="1"/>
    <col min="14595" max="14595" width="17.83203125" style="646" customWidth="1"/>
    <col min="14596" max="14596" width="7.33203125" style="646" customWidth="1"/>
    <col min="14597" max="14597" width="12.33203125" style="646" customWidth="1"/>
    <col min="14598" max="14601" width="13.33203125" style="646" customWidth="1"/>
    <col min="14602" max="14602" width="13.83203125" style="646" customWidth="1"/>
    <col min="14603" max="14603" width="12.08203125" style="646" bestFit="1" customWidth="1"/>
    <col min="14604" max="14848" width="8.33203125" style="646"/>
    <col min="14849" max="14849" width="5.25" style="646" customWidth="1"/>
    <col min="14850" max="14850" width="31.33203125" style="646" customWidth="1"/>
    <col min="14851" max="14851" width="17.83203125" style="646" customWidth="1"/>
    <col min="14852" max="14852" width="7.33203125" style="646" customWidth="1"/>
    <col min="14853" max="14853" width="12.33203125" style="646" customWidth="1"/>
    <col min="14854" max="14857" width="13.33203125" style="646" customWidth="1"/>
    <col min="14858" max="14858" width="13.83203125" style="646" customWidth="1"/>
    <col min="14859" max="14859" width="12.08203125" style="646" bestFit="1" customWidth="1"/>
    <col min="14860" max="15104" width="8.33203125" style="646"/>
    <col min="15105" max="15105" width="5.25" style="646" customWidth="1"/>
    <col min="15106" max="15106" width="31.33203125" style="646" customWidth="1"/>
    <col min="15107" max="15107" width="17.83203125" style="646" customWidth="1"/>
    <col min="15108" max="15108" width="7.33203125" style="646" customWidth="1"/>
    <col min="15109" max="15109" width="12.33203125" style="646" customWidth="1"/>
    <col min="15110" max="15113" width="13.33203125" style="646" customWidth="1"/>
    <col min="15114" max="15114" width="13.83203125" style="646" customWidth="1"/>
    <col min="15115" max="15115" width="12.08203125" style="646" bestFit="1" customWidth="1"/>
    <col min="15116" max="15360" width="8.33203125" style="646"/>
    <col min="15361" max="15361" width="5.25" style="646" customWidth="1"/>
    <col min="15362" max="15362" width="31.33203125" style="646" customWidth="1"/>
    <col min="15363" max="15363" width="17.83203125" style="646" customWidth="1"/>
    <col min="15364" max="15364" width="7.33203125" style="646" customWidth="1"/>
    <col min="15365" max="15365" width="12.33203125" style="646" customWidth="1"/>
    <col min="15366" max="15369" width="13.33203125" style="646" customWidth="1"/>
    <col min="15370" max="15370" width="13.83203125" style="646" customWidth="1"/>
    <col min="15371" max="15371" width="12.08203125" style="646" bestFit="1" customWidth="1"/>
    <col min="15372" max="15616" width="8.33203125" style="646"/>
    <col min="15617" max="15617" width="5.25" style="646" customWidth="1"/>
    <col min="15618" max="15618" width="31.33203125" style="646" customWidth="1"/>
    <col min="15619" max="15619" width="17.83203125" style="646" customWidth="1"/>
    <col min="15620" max="15620" width="7.33203125" style="646" customWidth="1"/>
    <col min="15621" max="15621" width="12.33203125" style="646" customWidth="1"/>
    <col min="15622" max="15625" width="13.33203125" style="646" customWidth="1"/>
    <col min="15626" max="15626" width="13.83203125" style="646" customWidth="1"/>
    <col min="15627" max="15627" width="12.08203125" style="646" bestFit="1" customWidth="1"/>
    <col min="15628" max="15872" width="8.33203125" style="646"/>
    <col min="15873" max="15873" width="5.25" style="646" customWidth="1"/>
    <col min="15874" max="15874" width="31.33203125" style="646" customWidth="1"/>
    <col min="15875" max="15875" width="17.83203125" style="646" customWidth="1"/>
    <col min="15876" max="15876" width="7.33203125" style="646" customWidth="1"/>
    <col min="15877" max="15877" width="12.33203125" style="646" customWidth="1"/>
    <col min="15878" max="15881" width="13.33203125" style="646" customWidth="1"/>
    <col min="15882" max="15882" width="13.83203125" style="646" customWidth="1"/>
    <col min="15883" max="15883" width="12.08203125" style="646" bestFit="1" customWidth="1"/>
    <col min="15884" max="16128" width="8.33203125" style="646"/>
    <col min="16129" max="16129" width="5.25" style="646" customWidth="1"/>
    <col min="16130" max="16130" width="31.33203125" style="646" customWidth="1"/>
    <col min="16131" max="16131" width="17.83203125" style="646" customWidth="1"/>
    <col min="16132" max="16132" width="7.33203125" style="646" customWidth="1"/>
    <col min="16133" max="16133" width="12.33203125" style="646" customWidth="1"/>
    <col min="16134" max="16137" width="13.33203125" style="646" customWidth="1"/>
    <col min="16138" max="16138" width="13.83203125" style="646" customWidth="1"/>
    <col min="16139" max="16139" width="12.08203125" style="646" bestFit="1" customWidth="1"/>
    <col min="16140" max="16384" width="8.33203125" style="646"/>
  </cols>
  <sheetData>
    <row r="1" spans="1:11" s="467" customFormat="1" ht="17.5">
      <c r="A1" s="1066" t="s">
        <v>430</v>
      </c>
      <c r="B1" s="1067"/>
      <c r="C1" s="1067"/>
      <c r="D1" s="1068"/>
      <c r="E1" s="1069"/>
      <c r="F1" s="1070"/>
      <c r="G1" s="463"/>
      <c r="H1" s="464"/>
      <c r="I1" s="464"/>
      <c r="J1" s="465"/>
      <c r="K1" s="466"/>
    </row>
    <row r="2" spans="1:11" s="469" customFormat="1">
      <c r="A2" s="1071" t="s">
        <v>431</v>
      </c>
      <c r="B2" s="1072"/>
      <c r="C2" s="1072"/>
      <c r="D2" s="1073"/>
      <c r="E2" s="1074"/>
      <c r="F2" s="1075"/>
      <c r="G2" s="463"/>
      <c r="H2" s="468"/>
      <c r="I2" s="468"/>
      <c r="J2" s="465"/>
    </row>
    <row r="3" spans="1:11" s="469" customFormat="1">
      <c r="A3" s="1071" t="s">
        <v>432</v>
      </c>
      <c r="B3" s="1072"/>
      <c r="C3" s="1072"/>
      <c r="D3" s="1073"/>
      <c r="E3" s="1074"/>
      <c r="F3" s="1075"/>
      <c r="G3" s="463"/>
      <c r="H3" s="468"/>
      <c r="I3" s="468"/>
      <c r="J3" s="465"/>
    </row>
    <row r="4" spans="1:11" s="469" customFormat="1" ht="16" thickBot="1">
      <c r="A4" s="1071" t="s">
        <v>433</v>
      </c>
      <c r="B4" s="1072"/>
      <c r="C4" s="1072"/>
      <c r="D4" s="1073"/>
      <c r="E4" s="1074"/>
      <c r="F4" s="1075"/>
      <c r="G4" s="463"/>
      <c r="H4" s="468"/>
      <c r="I4" s="468"/>
      <c r="J4" s="465"/>
    </row>
    <row r="5" spans="1:11" s="469" customFormat="1" ht="15.75" customHeight="1">
      <c r="A5" s="1076" t="s">
        <v>1</v>
      </c>
      <c r="B5" s="1078" t="s">
        <v>434</v>
      </c>
      <c r="C5" s="1080" t="s">
        <v>435</v>
      </c>
      <c r="D5" s="1082" t="s">
        <v>67</v>
      </c>
      <c r="E5" s="1084" t="s">
        <v>51</v>
      </c>
      <c r="F5" s="1086" t="s">
        <v>6</v>
      </c>
      <c r="G5" s="468"/>
      <c r="H5" s="464"/>
      <c r="I5" s="464"/>
      <c r="J5" s="465"/>
    </row>
    <row r="6" spans="1:11" s="469" customFormat="1">
      <c r="A6" s="1077"/>
      <c r="B6" s="1079"/>
      <c r="C6" s="1081"/>
      <c r="D6" s="1083"/>
      <c r="E6" s="1085"/>
      <c r="F6" s="1087"/>
      <c r="G6" s="468"/>
      <c r="H6" s="464"/>
      <c r="I6" s="464"/>
      <c r="J6" s="465"/>
    </row>
    <row r="7" spans="1:11" s="469" customFormat="1">
      <c r="A7" s="470"/>
      <c r="B7" s="471"/>
      <c r="C7" s="472"/>
      <c r="D7" s="473"/>
      <c r="E7" s="474"/>
      <c r="F7" s="475"/>
      <c r="G7" s="468"/>
      <c r="H7" s="464"/>
      <c r="I7" s="464"/>
      <c r="J7" s="465"/>
    </row>
    <row r="8" spans="1:11" s="478" customFormat="1" ht="15.75" customHeight="1">
      <c r="A8" s="476" t="s">
        <v>12</v>
      </c>
      <c r="B8" s="1090" t="s">
        <v>436</v>
      </c>
      <c r="C8" s="1090"/>
      <c r="D8" s="1090"/>
      <c r="E8" s="1090"/>
      <c r="F8" s="1091"/>
      <c r="G8" s="477"/>
      <c r="H8" s="477"/>
      <c r="I8" s="477"/>
    </row>
    <row r="9" spans="1:11" s="478" customFormat="1" ht="19.5" customHeight="1">
      <c r="A9" s="479">
        <v>1</v>
      </c>
      <c r="B9" s="480" t="s">
        <v>437</v>
      </c>
      <c r="C9" s="481" t="s">
        <v>438</v>
      </c>
      <c r="D9" s="481" t="s">
        <v>439</v>
      </c>
      <c r="E9" s="482">
        <v>1225</v>
      </c>
      <c r="F9" s="483" t="s">
        <v>440</v>
      </c>
      <c r="G9" s="477"/>
      <c r="H9" s="484"/>
      <c r="I9" s="484"/>
      <c r="J9" s="485"/>
      <c r="K9" s="485"/>
    </row>
    <row r="10" spans="1:11" s="478" customFormat="1" ht="15.75" customHeight="1">
      <c r="A10" s="479">
        <v>2</v>
      </c>
      <c r="B10" s="486" t="s">
        <v>441</v>
      </c>
      <c r="C10" s="487" t="s">
        <v>438</v>
      </c>
      <c r="D10" s="487" t="s">
        <v>439</v>
      </c>
      <c r="E10" s="474">
        <v>1375</v>
      </c>
      <c r="F10" s="1088" t="s">
        <v>442</v>
      </c>
      <c r="G10" s="484"/>
      <c r="H10" s="484"/>
      <c r="I10" s="484"/>
      <c r="J10" s="485"/>
      <c r="K10" s="485"/>
    </row>
    <row r="11" spans="1:11" s="478" customFormat="1">
      <c r="A11" s="479">
        <v>3</v>
      </c>
      <c r="B11" s="486" t="s">
        <v>441</v>
      </c>
      <c r="C11" s="487" t="s">
        <v>443</v>
      </c>
      <c r="D11" s="487" t="s">
        <v>439</v>
      </c>
      <c r="E11" s="474">
        <v>1440</v>
      </c>
      <c r="F11" s="1088"/>
      <c r="G11" s="484"/>
      <c r="H11" s="484"/>
      <c r="I11" s="484"/>
      <c r="J11" s="485"/>
      <c r="K11" s="485"/>
    </row>
    <row r="12" spans="1:11" s="478" customFormat="1">
      <c r="A12" s="479">
        <v>4</v>
      </c>
      <c r="B12" s="486" t="s">
        <v>444</v>
      </c>
      <c r="C12" s="487" t="s">
        <v>445</v>
      </c>
      <c r="D12" s="487" t="s">
        <v>439</v>
      </c>
      <c r="E12" s="474">
        <v>1450</v>
      </c>
      <c r="F12" s="1088"/>
      <c r="G12" s="484"/>
      <c r="H12" s="484"/>
      <c r="I12" s="484"/>
      <c r="J12" s="485"/>
      <c r="K12" s="485"/>
    </row>
    <row r="13" spans="1:11" s="478" customFormat="1">
      <c r="A13" s="479">
        <v>5</v>
      </c>
      <c r="B13" s="486" t="s">
        <v>444</v>
      </c>
      <c r="C13" s="487" t="s">
        <v>446</v>
      </c>
      <c r="D13" s="487" t="s">
        <v>439</v>
      </c>
      <c r="E13" s="474">
        <v>1500</v>
      </c>
      <c r="F13" s="1088"/>
      <c r="G13" s="484"/>
      <c r="H13" s="488"/>
      <c r="I13" s="484"/>
      <c r="J13" s="485"/>
      <c r="K13" s="485"/>
    </row>
    <row r="14" spans="1:11" s="478" customFormat="1">
      <c r="A14" s="479">
        <v>6</v>
      </c>
      <c r="B14" s="486" t="s">
        <v>447</v>
      </c>
      <c r="C14" s="487" t="s">
        <v>438</v>
      </c>
      <c r="D14" s="487" t="s">
        <v>439</v>
      </c>
      <c r="E14" s="474">
        <v>1240</v>
      </c>
      <c r="F14" s="1088" t="s">
        <v>448</v>
      </c>
      <c r="G14" s="484"/>
      <c r="H14" s="484"/>
      <c r="I14" s="484"/>
      <c r="J14" s="485"/>
      <c r="K14" s="485"/>
    </row>
    <row r="15" spans="1:11" s="478" customFormat="1">
      <c r="A15" s="479">
        <v>7</v>
      </c>
      <c r="B15" s="486" t="s">
        <v>447</v>
      </c>
      <c r="C15" s="487" t="s">
        <v>443</v>
      </c>
      <c r="D15" s="487" t="s">
        <v>439</v>
      </c>
      <c r="E15" s="474">
        <v>1470</v>
      </c>
      <c r="F15" s="1088"/>
      <c r="G15" s="484"/>
      <c r="H15" s="484"/>
      <c r="I15" s="484"/>
      <c r="J15" s="485"/>
      <c r="K15" s="485"/>
    </row>
    <row r="16" spans="1:11" s="478" customFormat="1">
      <c r="A16" s="479">
        <v>8</v>
      </c>
      <c r="B16" s="486" t="s">
        <v>449</v>
      </c>
      <c r="C16" s="487" t="s">
        <v>443</v>
      </c>
      <c r="D16" s="487" t="s">
        <v>439</v>
      </c>
      <c r="E16" s="474">
        <v>1450</v>
      </c>
      <c r="F16" s="1088" t="s">
        <v>450</v>
      </c>
      <c r="G16" s="484"/>
      <c r="H16" s="484"/>
      <c r="I16" s="484"/>
      <c r="J16" s="485"/>
      <c r="K16" s="485"/>
    </row>
    <row r="17" spans="1:11" s="478" customFormat="1">
      <c r="A17" s="479">
        <v>9</v>
      </c>
      <c r="B17" s="486" t="s">
        <v>449</v>
      </c>
      <c r="C17" s="487" t="s">
        <v>451</v>
      </c>
      <c r="D17" s="487" t="s">
        <v>439</v>
      </c>
      <c r="E17" s="474">
        <v>1500</v>
      </c>
      <c r="F17" s="1088"/>
      <c r="G17" s="484"/>
      <c r="H17" s="484"/>
      <c r="I17" s="484"/>
      <c r="J17" s="485"/>
      <c r="K17" s="485"/>
    </row>
    <row r="18" spans="1:11" s="478" customFormat="1">
      <c r="A18" s="479">
        <v>10</v>
      </c>
      <c r="B18" s="489" t="s">
        <v>452</v>
      </c>
      <c r="C18" s="487" t="s">
        <v>453</v>
      </c>
      <c r="D18" s="487" t="s">
        <v>439</v>
      </c>
      <c r="E18" s="474">
        <v>5000</v>
      </c>
      <c r="F18" s="1088"/>
      <c r="G18" s="484"/>
      <c r="H18" s="484"/>
      <c r="I18" s="484"/>
      <c r="J18" s="485"/>
      <c r="K18" s="485"/>
    </row>
    <row r="19" spans="1:11" s="478" customFormat="1" ht="15.75" customHeight="1">
      <c r="A19" s="476" t="s">
        <v>20</v>
      </c>
      <c r="B19" s="1092" t="s">
        <v>454</v>
      </c>
      <c r="C19" s="1092"/>
      <c r="D19" s="1092"/>
      <c r="E19" s="1092"/>
      <c r="F19" s="1093"/>
      <c r="G19" s="490"/>
      <c r="H19" s="490"/>
      <c r="I19" s="490"/>
      <c r="J19" s="485"/>
    </row>
    <row r="20" spans="1:11" s="494" customFormat="1" ht="20.25" customHeight="1">
      <c r="A20" s="479">
        <v>11</v>
      </c>
      <c r="B20" s="491" t="s">
        <v>455</v>
      </c>
      <c r="C20" s="481" t="s">
        <v>456</v>
      </c>
      <c r="D20" s="481" t="s">
        <v>439</v>
      </c>
      <c r="E20" s="482">
        <v>9500</v>
      </c>
      <c r="F20" s="492" t="s">
        <v>457</v>
      </c>
      <c r="G20" s="484"/>
      <c r="H20" s="484"/>
      <c r="I20" s="484"/>
      <c r="J20" s="493"/>
      <c r="K20" s="493"/>
    </row>
    <row r="21" spans="1:11" s="478" customFormat="1" ht="31.5" customHeight="1">
      <c r="A21" s="479">
        <v>12</v>
      </c>
      <c r="B21" s="486" t="s">
        <v>458</v>
      </c>
      <c r="C21" s="487" t="s">
        <v>459</v>
      </c>
      <c r="D21" s="487" t="s">
        <v>439</v>
      </c>
      <c r="E21" s="474">
        <v>11900</v>
      </c>
      <c r="F21" s="492" t="s">
        <v>460</v>
      </c>
      <c r="G21" s="484"/>
      <c r="H21" s="484"/>
      <c r="I21" s="484"/>
      <c r="J21" s="485"/>
      <c r="K21" s="485"/>
    </row>
    <row r="22" spans="1:11" s="478" customFormat="1" ht="27">
      <c r="A22" s="479">
        <v>13</v>
      </c>
      <c r="B22" s="486" t="s">
        <v>461</v>
      </c>
      <c r="C22" s="487" t="s">
        <v>462</v>
      </c>
      <c r="D22" s="487" t="s">
        <v>463</v>
      </c>
      <c r="E22" s="474">
        <v>3894</v>
      </c>
      <c r="F22" s="492" t="s">
        <v>464</v>
      </c>
      <c r="G22" s="484"/>
      <c r="H22" s="484"/>
      <c r="I22" s="484"/>
      <c r="J22" s="485"/>
      <c r="K22" s="485"/>
    </row>
    <row r="23" spans="1:11" s="478" customFormat="1" ht="15.75" customHeight="1">
      <c r="A23" s="476" t="s">
        <v>23</v>
      </c>
      <c r="B23" s="1090" t="s">
        <v>465</v>
      </c>
      <c r="C23" s="1090"/>
      <c r="D23" s="1090"/>
      <c r="E23" s="1090"/>
      <c r="F23" s="1091"/>
      <c r="G23" s="477"/>
      <c r="H23" s="477"/>
      <c r="I23" s="477"/>
      <c r="J23" s="485"/>
    </row>
    <row r="24" spans="1:11" s="478" customFormat="1" ht="15.75" customHeight="1">
      <c r="A24" s="495" t="s">
        <v>367</v>
      </c>
      <c r="B24" s="496" t="s">
        <v>466</v>
      </c>
      <c r="C24" s="497"/>
      <c r="D24" s="497"/>
      <c r="E24" s="498"/>
      <c r="F24" s="499"/>
      <c r="G24" s="477"/>
      <c r="H24" s="477"/>
      <c r="I24" s="477"/>
      <c r="J24" s="485"/>
    </row>
    <row r="25" spans="1:11" s="478" customFormat="1">
      <c r="A25" s="479">
        <v>14</v>
      </c>
      <c r="B25" s="500" t="s">
        <v>467</v>
      </c>
      <c r="C25" s="481"/>
      <c r="D25" s="481" t="s">
        <v>468</v>
      </c>
      <c r="E25" s="482">
        <v>78000</v>
      </c>
      <c r="F25" s="1088" t="s">
        <v>469</v>
      </c>
      <c r="G25" s="484"/>
      <c r="H25" s="484"/>
      <c r="I25" s="484"/>
      <c r="J25" s="501"/>
      <c r="K25" s="485"/>
    </row>
    <row r="26" spans="1:11" s="494" customFormat="1" ht="15.75" customHeight="1">
      <c r="A26" s="479">
        <v>15</v>
      </c>
      <c r="B26" s="491" t="s">
        <v>470</v>
      </c>
      <c r="C26" s="481"/>
      <c r="D26" s="481" t="s">
        <v>468</v>
      </c>
      <c r="E26" s="482">
        <v>94000</v>
      </c>
      <c r="F26" s="1088"/>
      <c r="G26" s="484"/>
      <c r="H26" s="484"/>
      <c r="I26" s="484"/>
      <c r="J26" s="502"/>
      <c r="K26" s="493"/>
    </row>
    <row r="27" spans="1:11" s="494" customFormat="1" ht="15.75" customHeight="1">
      <c r="A27" s="479">
        <v>16</v>
      </c>
      <c r="B27" s="491" t="s">
        <v>471</v>
      </c>
      <c r="C27" s="481"/>
      <c r="D27" s="481" t="s">
        <v>468</v>
      </c>
      <c r="E27" s="482">
        <v>108000</v>
      </c>
      <c r="F27" s="1088"/>
      <c r="G27" s="484"/>
      <c r="H27" s="484"/>
      <c r="I27" s="484"/>
      <c r="J27" s="502"/>
      <c r="K27" s="493"/>
    </row>
    <row r="28" spans="1:11" s="478" customFormat="1">
      <c r="A28" s="479">
        <v>17</v>
      </c>
      <c r="B28" s="486" t="s">
        <v>472</v>
      </c>
      <c r="C28" s="487" t="s">
        <v>473</v>
      </c>
      <c r="D28" s="487" t="s">
        <v>468</v>
      </c>
      <c r="E28" s="474">
        <v>235000</v>
      </c>
      <c r="F28" s="1088"/>
      <c r="G28" s="484"/>
      <c r="H28" s="484"/>
      <c r="I28" s="484"/>
      <c r="J28" s="501"/>
      <c r="K28" s="485"/>
    </row>
    <row r="29" spans="1:11" s="478" customFormat="1">
      <c r="A29" s="479">
        <v>18</v>
      </c>
      <c r="B29" s="486" t="s">
        <v>472</v>
      </c>
      <c r="C29" s="487" t="s">
        <v>474</v>
      </c>
      <c r="D29" s="487" t="s">
        <v>468</v>
      </c>
      <c r="E29" s="474">
        <v>235000</v>
      </c>
      <c r="F29" s="1088"/>
      <c r="G29" s="484"/>
      <c r="H29" s="484"/>
      <c r="I29" s="484"/>
      <c r="J29" s="501"/>
      <c r="K29" s="485"/>
    </row>
    <row r="30" spans="1:11" s="478" customFormat="1">
      <c r="A30" s="479">
        <v>19</v>
      </c>
      <c r="B30" s="486" t="s">
        <v>475</v>
      </c>
      <c r="C30" s="487" t="s">
        <v>476</v>
      </c>
      <c r="D30" s="487" t="s">
        <v>468</v>
      </c>
      <c r="E30" s="474">
        <v>220000</v>
      </c>
      <c r="F30" s="1088"/>
      <c r="G30" s="484"/>
      <c r="H30" s="484"/>
      <c r="I30" s="484"/>
      <c r="J30" s="501"/>
      <c r="K30" s="485"/>
    </row>
    <row r="31" spans="1:11" s="478" customFormat="1" ht="15.75" customHeight="1">
      <c r="A31" s="479">
        <v>20</v>
      </c>
      <c r="B31" s="486" t="s">
        <v>477</v>
      </c>
      <c r="C31" s="487"/>
      <c r="D31" s="487" t="s">
        <v>468</v>
      </c>
      <c r="E31" s="474">
        <v>300000</v>
      </c>
      <c r="F31" s="1088" t="s">
        <v>478</v>
      </c>
      <c r="G31" s="484"/>
      <c r="H31" s="484"/>
      <c r="I31" s="484"/>
      <c r="J31" s="501"/>
      <c r="K31" s="485"/>
    </row>
    <row r="32" spans="1:11" s="494" customFormat="1" ht="15.75" customHeight="1">
      <c r="A32" s="479">
        <v>21</v>
      </c>
      <c r="B32" s="491" t="s">
        <v>479</v>
      </c>
      <c r="C32" s="481"/>
      <c r="D32" s="481" t="s">
        <v>468</v>
      </c>
      <c r="E32" s="482">
        <v>300000</v>
      </c>
      <c r="F32" s="1088"/>
      <c r="G32" s="484"/>
      <c r="H32" s="484"/>
      <c r="I32" s="484"/>
      <c r="J32" s="493"/>
      <c r="K32" s="493"/>
    </row>
    <row r="33" spans="1:11" s="494" customFormat="1" ht="15.75" customHeight="1">
      <c r="A33" s="479">
        <v>22</v>
      </c>
      <c r="B33" s="491" t="s">
        <v>480</v>
      </c>
      <c r="C33" s="481"/>
      <c r="D33" s="481" t="s">
        <v>468</v>
      </c>
      <c r="E33" s="482">
        <v>290000</v>
      </c>
      <c r="F33" s="1088"/>
      <c r="G33" s="484"/>
      <c r="H33" s="484"/>
      <c r="I33" s="484"/>
      <c r="J33" s="493"/>
      <c r="K33" s="493"/>
    </row>
    <row r="34" spans="1:11" s="494" customFormat="1" ht="15.75" customHeight="1">
      <c r="A34" s="479">
        <v>23</v>
      </c>
      <c r="B34" s="491" t="s">
        <v>481</v>
      </c>
      <c r="C34" s="481"/>
      <c r="D34" s="481" t="s">
        <v>468</v>
      </c>
      <c r="E34" s="482">
        <v>240000</v>
      </c>
      <c r="F34" s="1088"/>
      <c r="G34" s="484"/>
      <c r="H34" s="484"/>
      <c r="I34" s="484"/>
      <c r="J34" s="493"/>
      <c r="K34" s="493"/>
    </row>
    <row r="35" spans="1:11" s="478" customFormat="1">
      <c r="A35" s="479">
        <v>24</v>
      </c>
      <c r="B35" s="486" t="s">
        <v>482</v>
      </c>
      <c r="C35" s="487"/>
      <c r="D35" s="487" t="s">
        <v>468</v>
      </c>
      <c r="E35" s="474">
        <v>180000</v>
      </c>
      <c r="F35" s="1088"/>
      <c r="G35" s="484"/>
      <c r="H35" s="484"/>
      <c r="I35" s="484"/>
      <c r="J35" s="493"/>
      <c r="K35" s="485"/>
    </row>
    <row r="36" spans="1:11" s="478" customFormat="1">
      <c r="A36" s="479">
        <v>25</v>
      </c>
      <c r="B36" s="486" t="s">
        <v>483</v>
      </c>
      <c r="C36" s="487"/>
      <c r="D36" s="487" t="s">
        <v>468</v>
      </c>
      <c r="E36" s="474">
        <v>160000</v>
      </c>
      <c r="F36" s="1088"/>
      <c r="G36" s="484"/>
      <c r="H36" s="484"/>
      <c r="I36" s="484"/>
      <c r="J36" s="493"/>
      <c r="K36" s="485"/>
    </row>
    <row r="37" spans="1:11" s="478" customFormat="1">
      <c r="A37" s="479">
        <v>26</v>
      </c>
      <c r="B37" s="486" t="s">
        <v>484</v>
      </c>
      <c r="C37" s="487"/>
      <c r="D37" s="487" t="s">
        <v>468</v>
      </c>
      <c r="E37" s="474">
        <v>200000</v>
      </c>
      <c r="F37" s="1088"/>
      <c r="G37" s="484"/>
      <c r="H37" s="484"/>
      <c r="I37" s="484"/>
      <c r="J37" s="485"/>
      <c r="K37" s="485"/>
    </row>
    <row r="38" spans="1:11" s="478" customFormat="1">
      <c r="A38" s="479">
        <v>27</v>
      </c>
      <c r="B38" s="486" t="s">
        <v>485</v>
      </c>
      <c r="C38" s="473"/>
      <c r="D38" s="487" t="s">
        <v>468</v>
      </c>
      <c r="E38" s="474">
        <v>100000</v>
      </c>
      <c r="F38" s="1088"/>
      <c r="G38" s="484"/>
      <c r="H38" s="484"/>
      <c r="I38" s="484"/>
      <c r="J38" s="493"/>
      <c r="K38" s="485"/>
    </row>
    <row r="39" spans="1:11" s="494" customFormat="1" ht="15.75" customHeight="1">
      <c r="A39" s="479">
        <v>28</v>
      </c>
      <c r="B39" s="491" t="s">
        <v>486</v>
      </c>
      <c r="C39" s="481"/>
      <c r="D39" s="481" t="s">
        <v>468</v>
      </c>
      <c r="E39" s="482">
        <v>170000</v>
      </c>
      <c r="F39" s="1088"/>
      <c r="G39" s="484"/>
      <c r="H39" s="484"/>
      <c r="I39" s="484"/>
      <c r="J39" s="493"/>
      <c r="K39" s="493"/>
    </row>
    <row r="40" spans="1:11" s="478" customFormat="1">
      <c r="A40" s="479">
        <v>29</v>
      </c>
      <c r="B40" s="486" t="s">
        <v>487</v>
      </c>
      <c r="C40" s="487"/>
      <c r="D40" s="487" t="s">
        <v>468</v>
      </c>
      <c r="E40" s="474">
        <v>310000</v>
      </c>
      <c r="F40" s="1088" t="s">
        <v>488</v>
      </c>
      <c r="G40" s="484"/>
      <c r="H40" s="484"/>
      <c r="I40" s="484"/>
      <c r="J40" s="485"/>
      <c r="K40" s="485"/>
    </row>
    <row r="41" spans="1:11" s="478" customFormat="1">
      <c r="A41" s="479">
        <v>30</v>
      </c>
      <c r="B41" s="486" t="s">
        <v>489</v>
      </c>
      <c r="C41" s="487"/>
      <c r="D41" s="487" t="s">
        <v>468</v>
      </c>
      <c r="E41" s="474">
        <v>200000</v>
      </c>
      <c r="F41" s="1088"/>
      <c r="G41" s="484"/>
      <c r="H41" s="484"/>
      <c r="I41" s="484"/>
      <c r="J41" s="485"/>
      <c r="K41" s="485"/>
    </row>
    <row r="42" spans="1:11" s="478" customFormat="1">
      <c r="A42" s="479">
        <v>31</v>
      </c>
      <c r="B42" s="486" t="s">
        <v>490</v>
      </c>
      <c r="C42" s="487"/>
      <c r="D42" s="487" t="s">
        <v>468</v>
      </c>
      <c r="E42" s="474">
        <v>350000</v>
      </c>
      <c r="F42" s="1088"/>
      <c r="G42" s="484"/>
      <c r="H42" s="484"/>
      <c r="I42" s="484"/>
      <c r="J42" s="485"/>
      <c r="K42" s="485"/>
    </row>
    <row r="43" spans="1:11" s="478" customFormat="1">
      <c r="A43" s="479">
        <v>32</v>
      </c>
      <c r="B43" s="486" t="s">
        <v>491</v>
      </c>
      <c r="C43" s="487"/>
      <c r="D43" s="487" t="s">
        <v>468</v>
      </c>
      <c r="E43" s="474">
        <v>270000</v>
      </c>
      <c r="F43" s="1088"/>
      <c r="G43" s="484"/>
      <c r="H43" s="484"/>
      <c r="I43" s="484"/>
      <c r="J43" s="485"/>
      <c r="K43" s="485"/>
    </row>
    <row r="44" spans="1:11" s="478" customFormat="1">
      <c r="A44" s="479">
        <v>33</v>
      </c>
      <c r="B44" s="486" t="s">
        <v>492</v>
      </c>
      <c r="C44" s="473"/>
      <c r="D44" s="487" t="s">
        <v>468</v>
      </c>
      <c r="E44" s="474">
        <v>410000</v>
      </c>
      <c r="F44" s="1088"/>
      <c r="G44" s="484"/>
      <c r="H44" s="484"/>
      <c r="I44" s="484"/>
      <c r="J44" s="485"/>
      <c r="K44" s="485"/>
    </row>
    <row r="45" spans="1:11" s="478" customFormat="1">
      <c r="A45" s="479">
        <v>34</v>
      </c>
      <c r="B45" s="486" t="s">
        <v>493</v>
      </c>
      <c r="C45" s="473"/>
      <c r="D45" s="487" t="s">
        <v>468</v>
      </c>
      <c r="E45" s="474">
        <v>350000</v>
      </c>
      <c r="F45" s="1088"/>
      <c r="G45" s="484"/>
      <c r="H45" s="484"/>
      <c r="I45" s="484"/>
      <c r="J45" s="485"/>
      <c r="K45" s="485"/>
    </row>
    <row r="46" spans="1:11" s="478" customFormat="1" ht="15.75" customHeight="1">
      <c r="A46" s="479">
        <v>35</v>
      </c>
      <c r="B46" s="486" t="s">
        <v>494</v>
      </c>
      <c r="C46" s="473"/>
      <c r="D46" s="487" t="s">
        <v>468</v>
      </c>
      <c r="E46" s="474">
        <v>220000</v>
      </c>
      <c r="F46" s="1088"/>
      <c r="G46" s="484"/>
      <c r="H46" s="484"/>
      <c r="I46" s="484"/>
      <c r="J46" s="485"/>
      <c r="K46" s="485"/>
    </row>
    <row r="47" spans="1:11" s="478" customFormat="1" ht="21">
      <c r="A47" s="479">
        <v>36</v>
      </c>
      <c r="B47" s="486" t="s">
        <v>495</v>
      </c>
      <c r="C47" s="473"/>
      <c r="D47" s="487" t="s">
        <v>468</v>
      </c>
      <c r="E47" s="474">
        <v>250000</v>
      </c>
      <c r="F47" s="503" t="s">
        <v>496</v>
      </c>
      <c r="G47" s="484"/>
      <c r="H47" s="484"/>
      <c r="I47" s="484"/>
      <c r="J47" s="485"/>
      <c r="K47" s="485"/>
    </row>
    <row r="48" spans="1:11" s="478" customFormat="1" ht="67.5" customHeight="1">
      <c r="A48" s="479">
        <v>37</v>
      </c>
      <c r="B48" s="1089" t="s">
        <v>497</v>
      </c>
      <c r="C48" s="1089"/>
      <c r="D48" s="487" t="s">
        <v>468</v>
      </c>
      <c r="E48" s="474">
        <v>22000</v>
      </c>
      <c r="F48" s="504" t="s">
        <v>498</v>
      </c>
      <c r="G48" s="484"/>
      <c r="H48" s="484"/>
      <c r="I48" s="484"/>
      <c r="J48" s="485"/>
      <c r="K48" s="485"/>
    </row>
    <row r="49" spans="1:11" s="508" customFormat="1" ht="15.75" customHeight="1">
      <c r="A49" s="495" t="s">
        <v>368</v>
      </c>
      <c r="B49" s="505" t="s">
        <v>499</v>
      </c>
      <c r="C49" s="506"/>
      <c r="D49" s="497"/>
      <c r="E49" s="506"/>
      <c r="F49" s="507"/>
      <c r="G49" s="477"/>
      <c r="H49" s="477"/>
      <c r="I49" s="477"/>
      <c r="J49" s="485"/>
      <c r="K49" s="478"/>
    </row>
    <row r="50" spans="1:11" s="508" customFormat="1" ht="15.75" customHeight="1">
      <c r="A50" s="509">
        <v>1</v>
      </c>
      <c r="B50" s="510" t="s">
        <v>500</v>
      </c>
      <c r="C50" s="510"/>
      <c r="D50" s="510"/>
      <c r="E50" s="511"/>
      <c r="F50" s="504"/>
      <c r="G50" s="484"/>
      <c r="H50" s="484"/>
      <c r="I50" s="484"/>
      <c r="J50" s="485"/>
      <c r="K50" s="478"/>
    </row>
    <row r="51" spans="1:11" s="512" customFormat="1" ht="15.75" customHeight="1">
      <c r="A51" s="479">
        <v>38</v>
      </c>
      <c r="B51" s="491" t="s">
        <v>501</v>
      </c>
      <c r="C51" s="481" t="s">
        <v>502</v>
      </c>
      <c r="D51" s="481" t="s">
        <v>503</v>
      </c>
      <c r="E51" s="482">
        <v>2070</v>
      </c>
      <c r="F51" s="1088" t="s">
        <v>504</v>
      </c>
      <c r="G51" s="484"/>
      <c r="H51" s="484"/>
      <c r="I51" s="484"/>
      <c r="J51" s="493"/>
      <c r="K51" s="493"/>
    </row>
    <row r="52" spans="1:11" s="512" customFormat="1" ht="15.75" customHeight="1">
      <c r="A52" s="479">
        <v>39</v>
      </c>
      <c r="B52" s="491" t="s">
        <v>505</v>
      </c>
      <c r="C52" s="481" t="s">
        <v>506</v>
      </c>
      <c r="D52" s="481" t="s">
        <v>503</v>
      </c>
      <c r="E52" s="482">
        <v>1870</v>
      </c>
      <c r="F52" s="1088"/>
      <c r="G52" s="484"/>
      <c r="H52" s="484"/>
      <c r="I52" s="484"/>
      <c r="J52" s="493"/>
      <c r="K52" s="493"/>
    </row>
    <row r="53" spans="1:11" s="508" customFormat="1">
      <c r="A53" s="479">
        <v>40</v>
      </c>
      <c r="B53" s="486" t="s">
        <v>507</v>
      </c>
      <c r="C53" s="487" t="s">
        <v>502</v>
      </c>
      <c r="D53" s="487" t="s">
        <v>503</v>
      </c>
      <c r="E53" s="474">
        <v>1400</v>
      </c>
      <c r="F53" s="1088"/>
      <c r="G53" s="484"/>
      <c r="H53" s="484"/>
      <c r="I53" s="484"/>
      <c r="J53" s="485"/>
      <c r="K53" s="485"/>
    </row>
    <row r="54" spans="1:11" s="508" customFormat="1">
      <c r="A54" s="479">
        <v>41</v>
      </c>
      <c r="B54" s="486" t="s">
        <v>508</v>
      </c>
      <c r="C54" s="487" t="s">
        <v>509</v>
      </c>
      <c r="D54" s="487" t="s">
        <v>503</v>
      </c>
      <c r="E54" s="474">
        <v>1760</v>
      </c>
      <c r="F54" s="1088"/>
      <c r="G54" s="484"/>
      <c r="H54" s="484"/>
      <c r="I54" s="484"/>
      <c r="J54" s="485"/>
      <c r="K54" s="485"/>
    </row>
    <row r="55" spans="1:11" s="512" customFormat="1" ht="15.75" customHeight="1">
      <c r="A55" s="479">
        <v>42</v>
      </c>
      <c r="B55" s="491" t="s">
        <v>510</v>
      </c>
      <c r="C55" s="481" t="s">
        <v>511</v>
      </c>
      <c r="D55" s="481" t="s">
        <v>503</v>
      </c>
      <c r="E55" s="482">
        <v>2150</v>
      </c>
      <c r="F55" s="1088"/>
      <c r="G55" s="484"/>
      <c r="H55" s="484"/>
      <c r="I55" s="484"/>
      <c r="J55" s="493"/>
      <c r="K55" s="493"/>
    </row>
    <row r="56" spans="1:11" s="508" customFormat="1">
      <c r="A56" s="479">
        <v>43</v>
      </c>
      <c r="B56" s="486" t="s">
        <v>512</v>
      </c>
      <c r="C56" s="487" t="s">
        <v>513</v>
      </c>
      <c r="D56" s="487" t="s">
        <v>503</v>
      </c>
      <c r="E56" s="474">
        <v>1400</v>
      </c>
      <c r="F56" s="1088"/>
      <c r="G56" s="484"/>
      <c r="H56" s="484"/>
      <c r="I56" s="484"/>
      <c r="J56" s="485"/>
      <c r="K56" s="485"/>
    </row>
    <row r="57" spans="1:11" s="512" customFormat="1" ht="15.75" customHeight="1">
      <c r="A57" s="479">
        <v>44</v>
      </c>
      <c r="B57" s="491" t="s">
        <v>514</v>
      </c>
      <c r="C57" s="481" t="s">
        <v>515</v>
      </c>
      <c r="D57" s="481" t="s">
        <v>503</v>
      </c>
      <c r="E57" s="482">
        <v>2500</v>
      </c>
      <c r="F57" s="1088"/>
      <c r="G57" s="484"/>
      <c r="H57" s="484"/>
      <c r="I57" s="484"/>
      <c r="J57" s="493"/>
      <c r="K57" s="493"/>
    </row>
    <row r="58" spans="1:11" s="508" customFormat="1">
      <c r="A58" s="479">
        <v>45</v>
      </c>
      <c r="B58" s="486" t="s">
        <v>516</v>
      </c>
      <c r="C58" s="487" t="s">
        <v>517</v>
      </c>
      <c r="D58" s="487" t="s">
        <v>503</v>
      </c>
      <c r="E58" s="474">
        <v>1600</v>
      </c>
      <c r="F58" s="1088"/>
      <c r="G58" s="484"/>
      <c r="H58" s="484"/>
      <c r="I58" s="484"/>
      <c r="J58" s="485"/>
      <c r="K58" s="485"/>
    </row>
    <row r="59" spans="1:11" s="514" customFormat="1" ht="15.75" customHeight="1">
      <c r="A59" s="509">
        <v>2</v>
      </c>
      <c r="B59" s="510" t="s">
        <v>518</v>
      </c>
      <c r="C59" s="473"/>
      <c r="D59" s="473"/>
      <c r="E59" s="474"/>
      <c r="F59" s="513"/>
      <c r="G59" s="477"/>
      <c r="H59" s="477"/>
      <c r="I59" s="477"/>
      <c r="J59" s="501"/>
      <c r="K59" s="501"/>
    </row>
    <row r="60" spans="1:11" s="508" customFormat="1" ht="15.75" customHeight="1">
      <c r="A60" s="509" t="s">
        <v>519</v>
      </c>
      <c r="B60" s="510" t="s">
        <v>520</v>
      </c>
      <c r="C60" s="487"/>
      <c r="D60" s="487"/>
      <c r="E60" s="511"/>
      <c r="F60" s="503"/>
      <c r="G60" s="484"/>
      <c r="H60" s="484"/>
      <c r="I60" s="484"/>
      <c r="J60" s="485"/>
      <c r="K60" s="478"/>
    </row>
    <row r="61" spans="1:11" s="508" customFormat="1" ht="15.75" customHeight="1">
      <c r="A61" s="479">
        <v>46</v>
      </c>
      <c r="B61" s="486" t="s">
        <v>521</v>
      </c>
      <c r="C61" s="487" t="s">
        <v>522</v>
      </c>
      <c r="D61" s="487" t="s">
        <v>503</v>
      </c>
      <c r="E61" s="474">
        <v>4400</v>
      </c>
      <c r="F61" s="1088" t="s">
        <v>523</v>
      </c>
      <c r="G61" s="477"/>
      <c r="H61" s="484"/>
      <c r="I61" s="484"/>
      <c r="J61" s="515"/>
      <c r="K61" s="485"/>
    </row>
    <row r="62" spans="1:11" s="508" customFormat="1">
      <c r="A62" s="479">
        <v>47</v>
      </c>
      <c r="B62" s="486" t="s">
        <v>524</v>
      </c>
      <c r="C62" s="487" t="s">
        <v>525</v>
      </c>
      <c r="D62" s="487" t="s">
        <v>503</v>
      </c>
      <c r="E62" s="474">
        <v>4600</v>
      </c>
      <c r="F62" s="1088"/>
      <c r="G62" s="477"/>
      <c r="H62" s="484"/>
      <c r="I62" s="484"/>
      <c r="J62" s="515"/>
      <c r="K62" s="485"/>
    </row>
    <row r="63" spans="1:11" s="508" customFormat="1">
      <c r="A63" s="479">
        <v>48</v>
      </c>
      <c r="B63" s="486" t="s">
        <v>526</v>
      </c>
      <c r="C63" s="487" t="s">
        <v>527</v>
      </c>
      <c r="D63" s="487" t="s">
        <v>503</v>
      </c>
      <c r="E63" s="474">
        <v>5300</v>
      </c>
      <c r="F63" s="1088"/>
      <c r="G63" s="477"/>
      <c r="H63" s="484"/>
      <c r="I63" s="484"/>
      <c r="J63" s="515"/>
      <c r="K63" s="485"/>
    </row>
    <row r="64" spans="1:11" s="508" customFormat="1">
      <c r="A64" s="479">
        <v>49</v>
      </c>
      <c r="B64" s="486" t="s">
        <v>528</v>
      </c>
      <c r="C64" s="487" t="s">
        <v>529</v>
      </c>
      <c r="D64" s="487" t="s">
        <v>503</v>
      </c>
      <c r="E64" s="474">
        <v>3700</v>
      </c>
      <c r="F64" s="1088"/>
      <c r="G64" s="484"/>
      <c r="H64" s="484"/>
      <c r="I64" s="484"/>
      <c r="J64" s="515"/>
      <c r="K64" s="485"/>
    </row>
    <row r="65" spans="1:11" s="508" customFormat="1">
      <c r="A65" s="479">
        <v>50</v>
      </c>
      <c r="B65" s="486" t="s">
        <v>530</v>
      </c>
      <c r="C65" s="487" t="s">
        <v>531</v>
      </c>
      <c r="D65" s="487" t="s">
        <v>503</v>
      </c>
      <c r="E65" s="474">
        <v>8400</v>
      </c>
      <c r="F65" s="1088"/>
      <c r="G65" s="484"/>
      <c r="H65" s="484"/>
      <c r="I65" s="484"/>
      <c r="J65" s="515"/>
      <c r="K65" s="485"/>
    </row>
    <row r="66" spans="1:11" s="508" customFormat="1">
      <c r="A66" s="479">
        <v>51</v>
      </c>
      <c r="B66" s="486" t="s">
        <v>532</v>
      </c>
      <c r="C66" s="487" t="s">
        <v>533</v>
      </c>
      <c r="D66" s="487" t="s">
        <v>503</v>
      </c>
      <c r="E66" s="474">
        <v>2400</v>
      </c>
      <c r="F66" s="1088"/>
      <c r="G66" s="477"/>
      <c r="H66" s="484"/>
      <c r="I66" s="484"/>
      <c r="J66" s="515"/>
      <c r="K66" s="485"/>
    </row>
    <row r="67" spans="1:11" s="508" customFormat="1">
      <c r="A67" s="479">
        <v>52</v>
      </c>
      <c r="B67" s="486" t="s">
        <v>534</v>
      </c>
      <c r="C67" s="487" t="s">
        <v>506</v>
      </c>
      <c r="D67" s="487" t="s">
        <v>503</v>
      </c>
      <c r="E67" s="474">
        <v>1150</v>
      </c>
      <c r="F67" s="1088"/>
      <c r="G67" s="484"/>
      <c r="H67" s="484"/>
      <c r="I67" s="484"/>
      <c r="J67" s="515"/>
      <c r="K67" s="485"/>
    </row>
    <row r="68" spans="1:11" s="508" customFormat="1">
      <c r="A68" s="479">
        <v>53</v>
      </c>
      <c r="B68" s="486" t="s">
        <v>535</v>
      </c>
      <c r="C68" s="487" t="s">
        <v>511</v>
      </c>
      <c r="D68" s="487" t="s">
        <v>503</v>
      </c>
      <c r="E68" s="474">
        <v>2200</v>
      </c>
      <c r="F68" s="1088"/>
      <c r="G68" s="477"/>
      <c r="H68" s="484"/>
      <c r="I68" s="484"/>
      <c r="J68" s="515"/>
      <c r="K68" s="485"/>
    </row>
    <row r="69" spans="1:11" s="508" customFormat="1" ht="15.75" customHeight="1">
      <c r="A69" s="509" t="s">
        <v>536</v>
      </c>
      <c r="B69" s="510" t="s">
        <v>537</v>
      </c>
      <c r="C69" s="487"/>
      <c r="D69" s="487"/>
      <c r="E69" s="511"/>
      <c r="F69" s="1088" t="s">
        <v>538</v>
      </c>
      <c r="G69" s="484"/>
      <c r="H69" s="484"/>
      <c r="I69" s="484"/>
      <c r="J69" s="485"/>
      <c r="K69" s="478"/>
    </row>
    <row r="70" spans="1:11" s="508" customFormat="1" ht="15.75" customHeight="1">
      <c r="A70" s="479">
        <v>54</v>
      </c>
      <c r="B70" s="486" t="s">
        <v>539</v>
      </c>
      <c r="C70" s="487" t="s">
        <v>511</v>
      </c>
      <c r="D70" s="487" t="s">
        <v>503</v>
      </c>
      <c r="E70" s="474">
        <v>2200</v>
      </c>
      <c r="F70" s="1088"/>
      <c r="G70" s="484"/>
      <c r="H70" s="484"/>
      <c r="I70" s="484"/>
      <c r="J70" s="485"/>
      <c r="K70" s="485"/>
    </row>
    <row r="71" spans="1:11" s="508" customFormat="1" ht="15.75" customHeight="1">
      <c r="A71" s="479">
        <v>55</v>
      </c>
      <c r="B71" s="486" t="s">
        <v>540</v>
      </c>
      <c r="C71" s="487" t="s">
        <v>506</v>
      </c>
      <c r="D71" s="487" t="s">
        <v>503</v>
      </c>
      <c r="E71" s="474">
        <v>1800</v>
      </c>
      <c r="F71" s="1088"/>
      <c r="G71" s="484"/>
      <c r="H71" s="484"/>
      <c r="I71" s="484"/>
      <c r="J71" s="485"/>
      <c r="K71" s="485"/>
    </row>
    <row r="72" spans="1:11" s="508" customFormat="1" ht="15.75" customHeight="1">
      <c r="A72" s="479">
        <v>56</v>
      </c>
      <c r="B72" s="486" t="s">
        <v>541</v>
      </c>
      <c r="C72" s="487" t="s">
        <v>506</v>
      </c>
      <c r="D72" s="487" t="s">
        <v>503</v>
      </c>
      <c r="E72" s="474">
        <v>1150</v>
      </c>
      <c r="F72" s="1088"/>
      <c r="G72" s="484"/>
      <c r="H72" s="484"/>
      <c r="I72" s="484"/>
      <c r="J72" s="485"/>
      <c r="K72" s="485"/>
    </row>
    <row r="73" spans="1:11" s="508" customFormat="1" ht="15.75" customHeight="1">
      <c r="A73" s="479">
        <v>57</v>
      </c>
      <c r="B73" s="486" t="s">
        <v>542</v>
      </c>
      <c r="C73" s="487" t="s">
        <v>522</v>
      </c>
      <c r="D73" s="487" t="s">
        <v>503</v>
      </c>
      <c r="E73" s="474">
        <v>4400</v>
      </c>
      <c r="F73" s="1088"/>
      <c r="G73" s="484"/>
      <c r="H73" s="484"/>
      <c r="I73" s="484"/>
      <c r="J73" s="485"/>
      <c r="K73" s="485"/>
    </row>
    <row r="74" spans="1:11" s="508" customFormat="1" ht="15.75" customHeight="1">
      <c r="A74" s="479">
        <v>58</v>
      </c>
      <c r="B74" s="516" t="s">
        <v>543</v>
      </c>
      <c r="C74" s="487" t="s">
        <v>544</v>
      </c>
      <c r="D74" s="487" t="s">
        <v>503</v>
      </c>
      <c r="E74" s="474">
        <v>5800</v>
      </c>
      <c r="F74" s="1088"/>
      <c r="G74" s="484"/>
      <c r="H74" s="484"/>
      <c r="I74" s="484"/>
      <c r="J74" s="485"/>
      <c r="K74" s="485"/>
    </row>
    <row r="75" spans="1:11" s="508" customFormat="1" ht="15.75" customHeight="1">
      <c r="A75" s="479">
        <v>59</v>
      </c>
      <c r="B75" s="517" t="s">
        <v>545</v>
      </c>
      <c r="C75" s="487" t="s">
        <v>546</v>
      </c>
      <c r="D75" s="487" t="s">
        <v>503</v>
      </c>
      <c r="E75" s="474">
        <v>7900</v>
      </c>
      <c r="F75" s="1088"/>
      <c r="G75" s="484"/>
      <c r="H75" s="484"/>
      <c r="I75" s="484"/>
      <c r="J75" s="485"/>
      <c r="K75" s="485"/>
    </row>
    <row r="76" spans="1:11" s="508" customFormat="1" ht="15.75" customHeight="1">
      <c r="A76" s="479">
        <v>60</v>
      </c>
      <c r="B76" s="517" t="s">
        <v>547</v>
      </c>
      <c r="C76" s="487" t="s">
        <v>548</v>
      </c>
      <c r="D76" s="487" t="s">
        <v>503</v>
      </c>
      <c r="E76" s="474">
        <v>5200</v>
      </c>
      <c r="F76" s="1088"/>
      <c r="G76" s="484"/>
      <c r="H76" s="484"/>
      <c r="I76" s="484"/>
      <c r="J76" s="485"/>
      <c r="K76" s="485"/>
    </row>
    <row r="77" spans="1:11" s="508" customFormat="1" ht="15.75" customHeight="1">
      <c r="A77" s="479">
        <v>61</v>
      </c>
      <c r="B77" s="517" t="s">
        <v>549</v>
      </c>
      <c r="C77" s="487" t="s">
        <v>531</v>
      </c>
      <c r="D77" s="487" t="s">
        <v>503</v>
      </c>
      <c r="E77" s="474">
        <v>8500</v>
      </c>
      <c r="F77" s="1088"/>
      <c r="G77" s="484"/>
      <c r="H77" s="484"/>
      <c r="I77" s="484"/>
      <c r="J77" s="485"/>
      <c r="K77" s="485"/>
    </row>
    <row r="78" spans="1:11" s="508" customFormat="1" ht="15.75" customHeight="1">
      <c r="A78" s="509" t="s">
        <v>550</v>
      </c>
      <c r="B78" s="510" t="s">
        <v>551</v>
      </c>
      <c r="C78" s="487"/>
      <c r="D78" s="487"/>
      <c r="E78" s="511"/>
      <c r="F78" s="1088" t="s">
        <v>552</v>
      </c>
      <c r="G78" s="484"/>
      <c r="H78" s="484"/>
      <c r="I78" s="484"/>
      <c r="J78" s="485"/>
      <c r="K78" s="478"/>
    </row>
    <row r="79" spans="1:11" s="508" customFormat="1" ht="15.75" customHeight="1">
      <c r="A79" s="479">
        <v>62</v>
      </c>
      <c r="B79" s="486" t="s">
        <v>553</v>
      </c>
      <c r="C79" s="487" t="s">
        <v>554</v>
      </c>
      <c r="D79" s="487" t="s">
        <v>503</v>
      </c>
      <c r="E79" s="474">
        <v>15840.000000000002</v>
      </c>
      <c r="F79" s="1088"/>
      <c r="G79" s="484"/>
      <c r="H79" s="484"/>
      <c r="I79" s="484"/>
      <c r="J79" s="485"/>
      <c r="K79" s="485"/>
    </row>
    <row r="80" spans="1:11" s="508" customFormat="1" ht="15.75" customHeight="1">
      <c r="A80" s="479">
        <v>63</v>
      </c>
      <c r="B80" s="486" t="s">
        <v>553</v>
      </c>
      <c r="C80" s="487" t="s">
        <v>555</v>
      </c>
      <c r="D80" s="487" t="s">
        <v>503</v>
      </c>
      <c r="E80" s="474">
        <v>10560</v>
      </c>
      <c r="F80" s="1088"/>
      <c r="G80" s="484"/>
      <c r="H80" s="484"/>
      <c r="I80" s="484"/>
      <c r="J80" s="485"/>
      <c r="K80" s="485"/>
    </row>
    <row r="81" spans="1:11" s="508" customFormat="1" ht="15.75" customHeight="1">
      <c r="A81" s="479">
        <v>64</v>
      </c>
      <c r="B81" s="486" t="s">
        <v>553</v>
      </c>
      <c r="C81" s="487" t="s">
        <v>556</v>
      </c>
      <c r="D81" s="487" t="s">
        <v>503</v>
      </c>
      <c r="E81" s="474">
        <v>8131.2000000000007</v>
      </c>
      <c r="F81" s="1088"/>
      <c r="G81" s="484"/>
      <c r="H81" s="484"/>
      <c r="I81" s="484"/>
      <c r="J81" s="485"/>
      <c r="K81" s="485"/>
    </row>
    <row r="82" spans="1:11" s="508" customFormat="1" ht="15.75" customHeight="1">
      <c r="A82" s="479">
        <v>65</v>
      </c>
      <c r="B82" s="486" t="s">
        <v>553</v>
      </c>
      <c r="C82" s="487" t="s">
        <v>557</v>
      </c>
      <c r="D82" s="487" t="s">
        <v>503</v>
      </c>
      <c r="E82" s="474">
        <v>10560</v>
      </c>
      <c r="F82" s="1088"/>
      <c r="G82" s="484"/>
      <c r="H82" s="484"/>
      <c r="I82" s="484"/>
      <c r="J82" s="485"/>
      <c r="K82" s="485"/>
    </row>
    <row r="83" spans="1:11" s="508" customFormat="1" ht="15.75" customHeight="1">
      <c r="A83" s="479">
        <v>66</v>
      </c>
      <c r="B83" s="486" t="s">
        <v>553</v>
      </c>
      <c r="C83" s="487" t="s">
        <v>558</v>
      </c>
      <c r="D83" s="487" t="s">
        <v>503</v>
      </c>
      <c r="E83" s="474">
        <v>7040.0000000000009</v>
      </c>
      <c r="F83" s="1088"/>
      <c r="G83" s="484"/>
      <c r="H83" s="484"/>
      <c r="I83" s="484"/>
      <c r="J83" s="485"/>
      <c r="K83" s="485"/>
    </row>
    <row r="84" spans="1:11" s="508" customFormat="1" ht="15.75" customHeight="1">
      <c r="A84" s="509" t="s">
        <v>559</v>
      </c>
      <c r="B84" s="510" t="s">
        <v>560</v>
      </c>
      <c r="C84" s="487"/>
      <c r="D84" s="487"/>
      <c r="E84" s="511"/>
      <c r="F84" s="1095" t="s">
        <v>561</v>
      </c>
      <c r="G84" s="484"/>
      <c r="H84" s="484"/>
      <c r="I84" s="484"/>
      <c r="J84" s="485"/>
      <c r="K84" s="478"/>
    </row>
    <row r="85" spans="1:11" s="508" customFormat="1" ht="16.5" customHeight="1">
      <c r="A85" s="479">
        <v>67</v>
      </c>
      <c r="B85" s="486" t="s">
        <v>562</v>
      </c>
      <c r="C85" s="487" t="s">
        <v>506</v>
      </c>
      <c r="D85" s="487" t="s">
        <v>503</v>
      </c>
      <c r="E85" s="474">
        <v>1150</v>
      </c>
      <c r="F85" s="1095"/>
      <c r="G85" s="484"/>
      <c r="H85" s="484"/>
      <c r="I85" s="484"/>
      <c r="J85" s="485"/>
      <c r="K85" s="485"/>
    </row>
    <row r="86" spans="1:11" s="508" customFormat="1" ht="15.75" customHeight="1">
      <c r="A86" s="479">
        <v>68</v>
      </c>
      <c r="B86" s="486" t="s">
        <v>563</v>
      </c>
      <c r="C86" s="487" t="s">
        <v>558</v>
      </c>
      <c r="D86" s="487" t="s">
        <v>503</v>
      </c>
      <c r="E86" s="474">
        <v>4200</v>
      </c>
      <c r="F86" s="1095"/>
      <c r="G86" s="484"/>
      <c r="H86" s="484"/>
      <c r="I86" s="484"/>
      <c r="J86" s="485"/>
      <c r="K86" s="485"/>
    </row>
    <row r="87" spans="1:11" s="508" customFormat="1" ht="15.75" customHeight="1">
      <c r="A87" s="479">
        <v>69</v>
      </c>
      <c r="B87" s="486" t="s">
        <v>563</v>
      </c>
      <c r="C87" s="487" t="s">
        <v>564</v>
      </c>
      <c r="D87" s="487" t="s">
        <v>503</v>
      </c>
      <c r="E87" s="474">
        <v>8200</v>
      </c>
      <c r="F87" s="1095"/>
      <c r="G87" s="484"/>
      <c r="H87" s="484"/>
      <c r="I87" s="484"/>
      <c r="J87" s="485"/>
      <c r="K87" s="485"/>
    </row>
    <row r="88" spans="1:11" s="508" customFormat="1" ht="18" customHeight="1">
      <c r="A88" s="479">
        <v>70</v>
      </c>
      <c r="B88" s="486" t="s">
        <v>565</v>
      </c>
      <c r="C88" s="487" t="s">
        <v>566</v>
      </c>
      <c r="D88" s="487" t="s">
        <v>503</v>
      </c>
      <c r="E88" s="474">
        <v>2200</v>
      </c>
      <c r="F88" s="1095"/>
      <c r="G88" s="484"/>
      <c r="H88" s="484"/>
      <c r="I88" s="484"/>
      <c r="J88" s="485"/>
      <c r="K88" s="485"/>
    </row>
    <row r="89" spans="1:11" s="508" customFormat="1" ht="15.75" customHeight="1">
      <c r="A89" s="509" t="s">
        <v>567</v>
      </c>
      <c r="B89" s="510" t="s">
        <v>568</v>
      </c>
      <c r="C89" s="487"/>
      <c r="D89" s="487"/>
      <c r="E89" s="511"/>
      <c r="F89" s="1095" t="s">
        <v>569</v>
      </c>
      <c r="G89" s="484"/>
      <c r="H89" s="484"/>
      <c r="I89" s="484"/>
      <c r="J89" s="485"/>
      <c r="K89" s="478"/>
    </row>
    <row r="90" spans="1:11" s="508" customFormat="1" ht="15.75" customHeight="1">
      <c r="A90" s="479">
        <v>71</v>
      </c>
      <c r="B90" s="486" t="s">
        <v>570</v>
      </c>
      <c r="C90" s="487" t="s">
        <v>546</v>
      </c>
      <c r="D90" s="487" t="s">
        <v>503</v>
      </c>
      <c r="E90" s="474">
        <v>8600</v>
      </c>
      <c r="F90" s="1095"/>
      <c r="G90" s="484"/>
      <c r="H90" s="484"/>
      <c r="I90" s="484"/>
      <c r="J90" s="485"/>
      <c r="K90" s="485"/>
    </row>
    <row r="91" spans="1:11" s="508" customFormat="1" ht="15.75" customHeight="1">
      <c r="A91" s="479">
        <v>72</v>
      </c>
      <c r="B91" s="486" t="s">
        <v>571</v>
      </c>
      <c r="C91" s="487" t="s">
        <v>572</v>
      </c>
      <c r="D91" s="487" t="s">
        <v>503</v>
      </c>
      <c r="E91" s="474">
        <v>9500</v>
      </c>
      <c r="F91" s="1095"/>
      <c r="G91" s="484"/>
      <c r="H91" s="484"/>
      <c r="I91" s="484"/>
      <c r="J91" s="485"/>
      <c r="K91" s="485"/>
    </row>
    <row r="92" spans="1:11" s="508" customFormat="1" ht="15.75" customHeight="1">
      <c r="A92" s="479">
        <v>73</v>
      </c>
      <c r="B92" s="486" t="s">
        <v>570</v>
      </c>
      <c r="C92" s="487" t="s">
        <v>573</v>
      </c>
      <c r="D92" s="487" t="s">
        <v>503</v>
      </c>
      <c r="E92" s="474">
        <v>5500</v>
      </c>
      <c r="F92" s="1095"/>
      <c r="G92" s="484"/>
      <c r="H92" s="484"/>
      <c r="I92" s="484"/>
      <c r="J92" s="485"/>
      <c r="K92" s="485"/>
    </row>
    <row r="93" spans="1:11" s="508" customFormat="1" ht="15.75" customHeight="1">
      <c r="A93" s="479">
        <v>74</v>
      </c>
      <c r="B93" s="486" t="s">
        <v>574</v>
      </c>
      <c r="C93" s="487" t="s">
        <v>575</v>
      </c>
      <c r="D93" s="487" t="s">
        <v>503</v>
      </c>
      <c r="E93" s="474">
        <v>2500</v>
      </c>
      <c r="F93" s="1095"/>
      <c r="G93" s="484"/>
      <c r="H93" s="484"/>
      <c r="I93" s="484"/>
      <c r="J93" s="485"/>
      <c r="K93" s="485"/>
    </row>
    <row r="94" spans="1:11" s="508" customFormat="1" ht="15.75" customHeight="1">
      <c r="A94" s="479">
        <v>75</v>
      </c>
      <c r="B94" s="486" t="s">
        <v>576</v>
      </c>
      <c r="C94" s="487" t="s">
        <v>575</v>
      </c>
      <c r="D94" s="487" t="s">
        <v>503</v>
      </c>
      <c r="E94" s="474">
        <v>2200</v>
      </c>
      <c r="F94" s="1095"/>
      <c r="G94" s="484"/>
      <c r="H94" s="484"/>
      <c r="I94" s="484"/>
      <c r="J94" s="485"/>
      <c r="K94" s="485"/>
    </row>
    <row r="95" spans="1:11" s="508" customFormat="1" ht="15.75" customHeight="1">
      <c r="A95" s="479">
        <v>76</v>
      </c>
      <c r="B95" s="486" t="s">
        <v>577</v>
      </c>
      <c r="C95" s="487" t="s">
        <v>578</v>
      </c>
      <c r="D95" s="487" t="s">
        <v>503</v>
      </c>
      <c r="E95" s="474">
        <v>1200</v>
      </c>
      <c r="F95" s="1095"/>
      <c r="G95" s="484"/>
      <c r="H95" s="484"/>
      <c r="I95" s="484"/>
      <c r="J95" s="485"/>
      <c r="K95" s="485"/>
    </row>
    <row r="96" spans="1:11" s="508" customFormat="1" ht="15.75" customHeight="1">
      <c r="A96" s="479">
        <v>77</v>
      </c>
      <c r="B96" s="486" t="s">
        <v>579</v>
      </c>
      <c r="C96" s="487" t="s">
        <v>578</v>
      </c>
      <c r="D96" s="487" t="s">
        <v>503</v>
      </c>
      <c r="E96" s="474">
        <v>1600</v>
      </c>
      <c r="F96" s="1095"/>
      <c r="G96" s="484"/>
      <c r="H96" s="484"/>
      <c r="I96" s="484"/>
      <c r="J96" s="485"/>
      <c r="K96" s="485"/>
    </row>
    <row r="97" spans="1:11" s="508" customFormat="1" ht="15.75" customHeight="1">
      <c r="A97" s="509">
        <v>3</v>
      </c>
      <c r="B97" s="510" t="s">
        <v>580</v>
      </c>
      <c r="C97" s="510"/>
      <c r="D97" s="510"/>
      <c r="E97" s="510"/>
      <c r="F97" s="503"/>
      <c r="G97" s="484"/>
      <c r="H97" s="484"/>
      <c r="I97" s="484"/>
      <c r="J97" s="485"/>
      <c r="K97" s="478"/>
    </row>
    <row r="98" spans="1:11" s="514" customFormat="1" ht="15.75" customHeight="1">
      <c r="A98" s="509" t="s">
        <v>519</v>
      </c>
      <c r="B98" s="510" t="s">
        <v>581</v>
      </c>
      <c r="C98" s="473"/>
      <c r="D98" s="473"/>
      <c r="E98" s="511"/>
      <c r="F98" s="1088" t="s">
        <v>582</v>
      </c>
      <c r="G98" s="484"/>
      <c r="H98" s="484"/>
      <c r="I98" s="484"/>
      <c r="J98" s="485"/>
      <c r="K98" s="518"/>
    </row>
    <row r="99" spans="1:11" s="514" customFormat="1" ht="16" customHeight="1">
      <c r="A99" s="479">
        <v>78</v>
      </c>
      <c r="B99" s="486" t="s">
        <v>583</v>
      </c>
      <c r="C99" s="487" t="s">
        <v>584</v>
      </c>
      <c r="D99" s="487" t="s">
        <v>585</v>
      </c>
      <c r="E99" s="474">
        <v>110000</v>
      </c>
      <c r="F99" s="1088"/>
      <c r="G99" s="484"/>
      <c r="H99" s="484"/>
      <c r="I99" s="484"/>
      <c r="J99" s="485"/>
      <c r="K99" s="485"/>
    </row>
    <row r="100" spans="1:11" s="514" customFormat="1">
      <c r="A100" s="479">
        <v>79</v>
      </c>
      <c r="B100" s="486" t="s">
        <v>586</v>
      </c>
      <c r="C100" s="487" t="s">
        <v>584</v>
      </c>
      <c r="D100" s="487" t="s">
        <v>585</v>
      </c>
      <c r="E100" s="474">
        <v>120000</v>
      </c>
      <c r="F100" s="1088"/>
      <c r="G100" s="484"/>
      <c r="H100" s="484"/>
      <c r="I100" s="484"/>
      <c r="J100" s="485"/>
      <c r="K100" s="485"/>
    </row>
    <row r="101" spans="1:11" s="514" customFormat="1" ht="28">
      <c r="A101" s="479">
        <v>80</v>
      </c>
      <c r="B101" s="486" t="s">
        <v>587</v>
      </c>
      <c r="C101" s="487" t="s">
        <v>584</v>
      </c>
      <c r="D101" s="487" t="s">
        <v>585</v>
      </c>
      <c r="E101" s="474">
        <v>150000</v>
      </c>
      <c r="F101" s="1088"/>
      <c r="G101" s="484"/>
      <c r="H101" s="484"/>
      <c r="I101" s="484"/>
      <c r="J101" s="485"/>
      <c r="K101" s="485"/>
    </row>
    <row r="102" spans="1:11" s="508" customFormat="1" ht="16" customHeight="1">
      <c r="A102" s="479">
        <v>81</v>
      </c>
      <c r="B102" s="486" t="s">
        <v>588</v>
      </c>
      <c r="C102" s="487" t="s">
        <v>584</v>
      </c>
      <c r="D102" s="487" t="s">
        <v>585</v>
      </c>
      <c r="E102" s="474">
        <v>130000</v>
      </c>
      <c r="F102" s="1088"/>
      <c r="G102" s="484"/>
      <c r="H102" s="484"/>
      <c r="I102" s="484"/>
      <c r="J102" s="519"/>
      <c r="K102" s="485"/>
    </row>
    <row r="103" spans="1:11" s="508" customFormat="1">
      <c r="A103" s="479">
        <v>82</v>
      </c>
      <c r="B103" s="486" t="s">
        <v>589</v>
      </c>
      <c r="C103" s="487" t="s">
        <v>584</v>
      </c>
      <c r="D103" s="487" t="s">
        <v>585</v>
      </c>
      <c r="E103" s="474">
        <v>140000</v>
      </c>
      <c r="F103" s="1088"/>
      <c r="G103" s="484"/>
      <c r="H103" s="484"/>
      <c r="I103" s="484"/>
      <c r="J103" s="519"/>
      <c r="K103" s="485"/>
    </row>
    <row r="104" spans="1:11" s="508" customFormat="1" ht="28">
      <c r="A104" s="479">
        <v>83</v>
      </c>
      <c r="B104" s="486" t="s">
        <v>590</v>
      </c>
      <c r="C104" s="487" t="s">
        <v>584</v>
      </c>
      <c r="D104" s="487" t="s">
        <v>585</v>
      </c>
      <c r="E104" s="474">
        <v>150000</v>
      </c>
      <c r="F104" s="1088"/>
      <c r="G104" s="484"/>
      <c r="H104" s="484"/>
      <c r="I104" s="484"/>
      <c r="J104" s="485"/>
      <c r="K104" s="485"/>
    </row>
    <row r="105" spans="1:11" s="508" customFormat="1">
      <c r="A105" s="479">
        <v>84</v>
      </c>
      <c r="B105" s="520" t="s">
        <v>591</v>
      </c>
      <c r="C105" s="487" t="s">
        <v>584</v>
      </c>
      <c r="D105" s="487" t="s">
        <v>585</v>
      </c>
      <c r="E105" s="474">
        <v>130000</v>
      </c>
      <c r="F105" s="1088"/>
      <c r="G105" s="484"/>
      <c r="H105" s="484"/>
      <c r="I105" s="484"/>
      <c r="J105" s="485"/>
      <c r="K105" s="485"/>
    </row>
    <row r="106" spans="1:11" s="508" customFormat="1">
      <c r="A106" s="479">
        <v>85</v>
      </c>
      <c r="B106" s="486" t="s">
        <v>592</v>
      </c>
      <c r="C106" s="487" t="s">
        <v>584</v>
      </c>
      <c r="D106" s="487" t="s">
        <v>585</v>
      </c>
      <c r="E106" s="474">
        <v>140000</v>
      </c>
      <c r="F106" s="1088"/>
      <c r="G106" s="484"/>
      <c r="H106" s="484"/>
      <c r="I106" s="484"/>
      <c r="J106" s="485"/>
      <c r="K106" s="485"/>
    </row>
    <row r="107" spans="1:11" s="508" customFormat="1" ht="28">
      <c r="A107" s="479">
        <v>86</v>
      </c>
      <c r="B107" s="486" t="s">
        <v>593</v>
      </c>
      <c r="C107" s="487" t="s">
        <v>584</v>
      </c>
      <c r="D107" s="487" t="s">
        <v>585</v>
      </c>
      <c r="E107" s="474">
        <v>150000</v>
      </c>
      <c r="F107" s="1088"/>
      <c r="G107" s="484"/>
      <c r="H107" s="484"/>
      <c r="I107" s="484"/>
      <c r="J107" s="485"/>
      <c r="K107" s="485"/>
    </row>
    <row r="108" spans="1:11" s="508" customFormat="1" ht="15.75" customHeight="1">
      <c r="A108" s="509" t="s">
        <v>536</v>
      </c>
      <c r="B108" s="510" t="s">
        <v>594</v>
      </c>
      <c r="C108" s="487"/>
      <c r="D108" s="487"/>
      <c r="E108" s="511"/>
      <c r="F108" s="1088"/>
      <c r="G108" s="484"/>
      <c r="H108" s="484"/>
      <c r="I108" s="484"/>
      <c r="J108" s="485"/>
      <c r="K108" s="478"/>
    </row>
    <row r="109" spans="1:11" s="508" customFormat="1">
      <c r="A109" s="479">
        <v>87</v>
      </c>
      <c r="B109" s="486" t="s">
        <v>595</v>
      </c>
      <c r="C109" s="487" t="s">
        <v>596</v>
      </c>
      <c r="D109" s="487" t="s">
        <v>597</v>
      </c>
      <c r="E109" s="474">
        <v>65000</v>
      </c>
      <c r="F109" s="1088"/>
      <c r="G109" s="484"/>
      <c r="H109" s="484"/>
      <c r="I109" s="484"/>
      <c r="J109" s="485"/>
      <c r="K109" s="485"/>
    </row>
    <row r="110" spans="1:11" s="508" customFormat="1">
      <c r="A110" s="479">
        <v>88</v>
      </c>
      <c r="B110" s="486" t="s">
        <v>598</v>
      </c>
      <c r="C110" s="487" t="s">
        <v>596</v>
      </c>
      <c r="D110" s="487" t="s">
        <v>597</v>
      </c>
      <c r="E110" s="474">
        <v>75000</v>
      </c>
      <c r="F110" s="1088"/>
      <c r="G110" s="484"/>
      <c r="H110" s="484"/>
      <c r="I110" s="484"/>
      <c r="J110" s="485"/>
      <c r="K110" s="485"/>
    </row>
    <row r="111" spans="1:11" s="508" customFormat="1">
      <c r="A111" s="479">
        <v>89</v>
      </c>
      <c r="B111" s="486" t="s">
        <v>599</v>
      </c>
      <c r="C111" s="487" t="s">
        <v>596</v>
      </c>
      <c r="D111" s="487" t="s">
        <v>597</v>
      </c>
      <c r="E111" s="474">
        <v>85000</v>
      </c>
      <c r="F111" s="1088"/>
      <c r="G111" s="484"/>
      <c r="H111" s="484"/>
      <c r="I111" s="484"/>
      <c r="J111" s="485"/>
      <c r="K111" s="485"/>
    </row>
    <row r="112" spans="1:11" s="508" customFormat="1" ht="15.75" customHeight="1">
      <c r="A112" s="509" t="s">
        <v>550</v>
      </c>
      <c r="B112" s="510" t="s">
        <v>600</v>
      </c>
      <c r="C112" s="487"/>
      <c r="D112" s="487"/>
      <c r="E112" s="511"/>
      <c r="F112" s="1088" t="s">
        <v>601</v>
      </c>
      <c r="G112" s="484"/>
      <c r="H112" s="484"/>
      <c r="I112" s="484"/>
      <c r="J112" s="485"/>
      <c r="K112" s="478"/>
    </row>
    <row r="113" spans="1:11" s="508" customFormat="1" ht="15.75" customHeight="1">
      <c r="A113" s="479">
        <v>90</v>
      </c>
      <c r="B113" s="486" t="s">
        <v>602</v>
      </c>
      <c r="C113" s="487" t="s">
        <v>603</v>
      </c>
      <c r="D113" s="487" t="s">
        <v>503</v>
      </c>
      <c r="E113" s="474">
        <v>13700</v>
      </c>
      <c r="F113" s="1088"/>
      <c r="G113" s="484"/>
      <c r="H113" s="484"/>
      <c r="I113" s="484"/>
      <c r="J113" s="485"/>
      <c r="K113" s="485"/>
    </row>
    <row r="114" spans="1:11" s="508" customFormat="1">
      <c r="A114" s="479">
        <v>91</v>
      </c>
      <c r="B114" s="486" t="s">
        <v>604</v>
      </c>
      <c r="C114" s="487"/>
      <c r="D114" s="487" t="s">
        <v>503</v>
      </c>
      <c r="E114" s="474">
        <v>21500</v>
      </c>
      <c r="F114" s="1088"/>
      <c r="G114" s="484"/>
      <c r="H114" s="484"/>
      <c r="I114" s="484"/>
      <c r="J114" s="485"/>
      <c r="K114" s="485"/>
    </row>
    <row r="115" spans="1:11" s="508" customFormat="1">
      <c r="A115" s="479">
        <v>92</v>
      </c>
      <c r="B115" s="486" t="s">
        <v>605</v>
      </c>
      <c r="C115" s="487"/>
      <c r="D115" s="487" t="s">
        <v>503</v>
      </c>
      <c r="E115" s="474">
        <v>26500</v>
      </c>
      <c r="F115" s="1088"/>
      <c r="G115" s="484"/>
      <c r="H115" s="484"/>
      <c r="I115" s="484"/>
      <c r="J115" s="485"/>
      <c r="K115" s="485"/>
    </row>
    <row r="116" spans="1:11" s="508" customFormat="1" ht="15.75" customHeight="1">
      <c r="A116" s="509" t="s">
        <v>559</v>
      </c>
      <c r="B116" s="510" t="s">
        <v>606</v>
      </c>
      <c r="C116" s="487"/>
      <c r="D116" s="487"/>
      <c r="E116" s="511"/>
      <c r="F116" s="1088"/>
      <c r="G116" s="484"/>
      <c r="H116" s="484"/>
      <c r="I116" s="484"/>
      <c r="J116" s="485"/>
      <c r="K116" s="478"/>
    </row>
    <row r="117" spans="1:11" s="508" customFormat="1">
      <c r="A117" s="479">
        <v>93</v>
      </c>
      <c r="B117" s="486" t="s">
        <v>607</v>
      </c>
      <c r="C117" s="487" t="s">
        <v>608</v>
      </c>
      <c r="D117" s="487" t="s">
        <v>503</v>
      </c>
      <c r="E117" s="474">
        <v>8400</v>
      </c>
      <c r="F117" s="1088"/>
      <c r="G117" s="477"/>
      <c r="H117" s="484"/>
      <c r="I117" s="484"/>
      <c r="J117" s="485"/>
      <c r="K117" s="485"/>
    </row>
    <row r="118" spans="1:11" s="508" customFormat="1">
      <c r="A118" s="479">
        <v>94</v>
      </c>
      <c r="B118" s="486" t="s">
        <v>609</v>
      </c>
      <c r="C118" s="487" t="s">
        <v>608</v>
      </c>
      <c r="D118" s="487" t="s">
        <v>503</v>
      </c>
      <c r="E118" s="474">
        <v>9900</v>
      </c>
      <c r="F118" s="1088"/>
      <c r="G118" s="477"/>
      <c r="H118" s="484"/>
      <c r="I118" s="484"/>
      <c r="J118" s="485"/>
      <c r="K118" s="485"/>
    </row>
    <row r="119" spans="1:11" s="508" customFormat="1">
      <c r="A119" s="479">
        <v>95</v>
      </c>
      <c r="B119" s="486" t="s">
        <v>610</v>
      </c>
      <c r="C119" s="487" t="s">
        <v>608</v>
      </c>
      <c r="D119" s="487" t="s">
        <v>503</v>
      </c>
      <c r="E119" s="474">
        <v>9200</v>
      </c>
      <c r="F119" s="1088"/>
      <c r="G119" s="477"/>
      <c r="H119" s="484"/>
      <c r="I119" s="484"/>
      <c r="J119" s="485"/>
      <c r="K119" s="485"/>
    </row>
    <row r="120" spans="1:11" s="508" customFormat="1" ht="15.75" customHeight="1">
      <c r="A120" s="509" t="s">
        <v>567</v>
      </c>
      <c r="B120" s="510" t="s">
        <v>611</v>
      </c>
      <c r="C120" s="487"/>
      <c r="D120" s="487"/>
      <c r="E120" s="511"/>
      <c r="F120" s="1088"/>
      <c r="G120" s="484"/>
      <c r="H120" s="484"/>
      <c r="I120" s="484"/>
      <c r="J120" s="485"/>
      <c r="K120" s="478"/>
    </row>
    <row r="121" spans="1:11" s="508" customFormat="1">
      <c r="A121" s="479">
        <v>96</v>
      </c>
      <c r="B121" s="486" t="s">
        <v>612</v>
      </c>
      <c r="C121" s="487" t="s">
        <v>613</v>
      </c>
      <c r="D121" s="487" t="s">
        <v>597</v>
      </c>
      <c r="E121" s="474">
        <v>11000</v>
      </c>
      <c r="F121" s="1088"/>
      <c r="G121" s="484"/>
      <c r="H121" s="484"/>
      <c r="I121" s="484"/>
      <c r="J121" s="485"/>
      <c r="K121" s="485"/>
    </row>
    <row r="122" spans="1:11" s="508" customFormat="1">
      <c r="A122" s="479">
        <v>97</v>
      </c>
      <c r="B122" s="486" t="s">
        <v>614</v>
      </c>
      <c r="C122" s="487" t="s">
        <v>615</v>
      </c>
      <c r="D122" s="487" t="s">
        <v>597</v>
      </c>
      <c r="E122" s="474">
        <v>32500</v>
      </c>
      <c r="F122" s="1088"/>
      <c r="G122" s="484"/>
      <c r="H122" s="484"/>
      <c r="I122" s="484"/>
      <c r="J122" s="485"/>
      <c r="K122" s="485"/>
    </row>
    <row r="123" spans="1:11" s="508" customFormat="1">
      <c r="A123" s="479">
        <v>98</v>
      </c>
      <c r="B123" s="486" t="s">
        <v>614</v>
      </c>
      <c r="C123" s="487" t="s">
        <v>616</v>
      </c>
      <c r="D123" s="487" t="s">
        <v>597</v>
      </c>
      <c r="E123" s="474">
        <v>38500</v>
      </c>
      <c r="F123" s="1088"/>
      <c r="G123" s="484"/>
      <c r="H123" s="484"/>
      <c r="I123" s="484"/>
      <c r="J123" s="485"/>
      <c r="K123" s="485"/>
    </row>
    <row r="124" spans="1:11" s="508" customFormat="1">
      <c r="A124" s="479">
        <v>99</v>
      </c>
      <c r="B124" s="486" t="s">
        <v>614</v>
      </c>
      <c r="C124" s="487" t="s">
        <v>617</v>
      </c>
      <c r="D124" s="487" t="s">
        <v>597</v>
      </c>
      <c r="E124" s="474">
        <v>44500</v>
      </c>
      <c r="F124" s="1088"/>
      <c r="G124" s="484"/>
      <c r="H124" s="484"/>
      <c r="I124" s="484"/>
      <c r="J124" s="485"/>
      <c r="K124" s="485"/>
    </row>
    <row r="125" spans="1:11" s="514" customFormat="1" ht="15.75" customHeight="1">
      <c r="A125" s="509" t="s">
        <v>618</v>
      </c>
      <c r="B125" s="510" t="s">
        <v>619</v>
      </c>
      <c r="C125" s="473"/>
      <c r="D125" s="473"/>
      <c r="E125" s="474"/>
      <c r="F125" s="1088" t="s">
        <v>538</v>
      </c>
      <c r="G125" s="484"/>
      <c r="H125" s="484"/>
      <c r="I125" s="484"/>
      <c r="J125" s="501"/>
      <c r="K125" s="501"/>
    </row>
    <row r="126" spans="1:11" s="508" customFormat="1">
      <c r="A126" s="479">
        <v>100</v>
      </c>
      <c r="B126" s="486" t="s">
        <v>607</v>
      </c>
      <c r="C126" s="487" t="s">
        <v>620</v>
      </c>
      <c r="D126" s="487" t="s">
        <v>585</v>
      </c>
      <c r="E126" s="474">
        <v>86900</v>
      </c>
      <c r="F126" s="1088"/>
      <c r="G126" s="484"/>
      <c r="H126" s="484"/>
      <c r="I126" s="484"/>
      <c r="J126" s="485"/>
      <c r="K126" s="485"/>
    </row>
    <row r="127" spans="1:11" s="514" customFormat="1" ht="15">
      <c r="A127" s="479">
        <v>101</v>
      </c>
      <c r="B127" s="486" t="s">
        <v>609</v>
      </c>
      <c r="C127" s="487" t="s">
        <v>620</v>
      </c>
      <c r="D127" s="487" t="s">
        <v>585</v>
      </c>
      <c r="E127" s="474">
        <v>105600</v>
      </c>
      <c r="F127" s="1088"/>
      <c r="G127" s="484"/>
      <c r="H127" s="484"/>
      <c r="I127" s="484"/>
      <c r="J127" s="501"/>
      <c r="K127" s="501"/>
    </row>
    <row r="128" spans="1:11" s="514" customFormat="1" ht="15">
      <c r="A128" s="479">
        <v>102</v>
      </c>
      <c r="B128" s="486" t="s">
        <v>610</v>
      </c>
      <c r="C128" s="487" t="s">
        <v>620</v>
      </c>
      <c r="D128" s="487" t="s">
        <v>585</v>
      </c>
      <c r="E128" s="474">
        <v>97900</v>
      </c>
      <c r="F128" s="1088"/>
      <c r="G128" s="484"/>
      <c r="H128" s="484"/>
      <c r="I128" s="484"/>
      <c r="J128" s="501"/>
      <c r="K128" s="501"/>
    </row>
    <row r="129" spans="1:11" s="514" customFormat="1" ht="15.75" customHeight="1">
      <c r="A129" s="509" t="s">
        <v>621</v>
      </c>
      <c r="B129" s="510" t="s">
        <v>622</v>
      </c>
      <c r="C129" s="473"/>
      <c r="D129" s="473"/>
      <c r="E129" s="474"/>
      <c r="F129" s="1088"/>
      <c r="G129" s="484"/>
      <c r="H129" s="484"/>
      <c r="I129" s="484"/>
      <c r="J129" s="501"/>
      <c r="K129" s="501"/>
    </row>
    <row r="130" spans="1:11" s="508" customFormat="1">
      <c r="A130" s="479">
        <v>103</v>
      </c>
      <c r="B130" s="486" t="s">
        <v>623</v>
      </c>
      <c r="C130" s="487"/>
      <c r="D130" s="487" t="s">
        <v>585</v>
      </c>
      <c r="E130" s="474">
        <v>110000</v>
      </c>
      <c r="F130" s="1088"/>
      <c r="G130" s="484"/>
      <c r="H130" s="484"/>
      <c r="I130" s="484"/>
      <c r="J130" s="485"/>
      <c r="K130" s="485"/>
    </row>
    <row r="131" spans="1:11" s="508" customFormat="1">
      <c r="A131" s="479">
        <v>104</v>
      </c>
      <c r="B131" s="486" t="s">
        <v>624</v>
      </c>
      <c r="C131" s="487"/>
      <c r="D131" s="487" t="s">
        <v>585</v>
      </c>
      <c r="E131" s="474">
        <v>154000</v>
      </c>
      <c r="F131" s="1088"/>
      <c r="G131" s="484"/>
      <c r="H131" s="484"/>
      <c r="I131" s="484"/>
      <c r="J131" s="485"/>
      <c r="K131" s="485"/>
    </row>
    <row r="132" spans="1:11" s="508" customFormat="1">
      <c r="A132" s="479">
        <v>105</v>
      </c>
      <c r="B132" s="486" t="s">
        <v>625</v>
      </c>
      <c r="C132" s="487"/>
      <c r="D132" s="487" t="s">
        <v>585</v>
      </c>
      <c r="E132" s="474">
        <v>121000</v>
      </c>
      <c r="F132" s="1088"/>
      <c r="G132" s="484"/>
      <c r="H132" s="484"/>
      <c r="I132" s="484"/>
      <c r="J132" s="485"/>
      <c r="K132" s="485"/>
    </row>
    <row r="133" spans="1:11" s="508" customFormat="1">
      <c r="A133" s="479">
        <v>106</v>
      </c>
      <c r="B133" s="486" t="s">
        <v>626</v>
      </c>
      <c r="C133" s="487" t="s">
        <v>627</v>
      </c>
      <c r="D133" s="487" t="s">
        <v>585</v>
      </c>
      <c r="E133" s="474">
        <v>110000</v>
      </c>
      <c r="F133" s="1088"/>
      <c r="G133" s="484"/>
      <c r="H133" s="484"/>
      <c r="I133" s="484"/>
      <c r="J133" s="485"/>
      <c r="K133" s="485"/>
    </row>
    <row r="134" spans="1:11" s="508" customFormat="1" ht="15" customHeight="1">
      <c r="A134" s="479">
        <v>107</v>
      </c>
      <c r="B134" s="486" t="s">
        <v>628</v>
      </c>
      <c r="C134" s="487" t="s">
        <v>627</v>
      </c>
      <c r="D134" s="487" t="s">
        <v>585</v>
      </c>
      <c r="E134" s="474">
        <v>154000</v>
      </c>
      <c r="F134" s="1088"/>
      <c r="G134" s="484"/>
      <c r="H134" s="484"/>
      <c r="I134" s="484"/>
      <c r="J134" s="485"/>
      <c r="K134" s="485"/>
    </row>
    <row r="135" spans="1:11" s="508" customFormat="1">
      <c r="A135" s="479">
        <v>108</v>
      </c>
      <c r="B135" s="486" t="s">
        <v>629</v>
      </c>
      <c r="C135" s="487" t="s">
        <v>627</v>
      </c>
      <c r="D135" s="487" t="s">
        <v>585</v>
      </c>
      <c r="E135" s="474">
        <v>121000</v>
      </c>
      <c r="F135" s="1088"/>
      <c r="G135" s="484"/>
      <c r="H135" s="484"/>
      <c r="I135" s="484"/>
      <c r="J135" s="485"/>
      <c r="K135" s="485"/>
    </row>
    <row r="136" spans="1:11" s="514" customFormat="1" ht="15.75" customHeight="1">
      <c r="A136" s="509" t="s">
        <v>630</v>
      </c>
      <c r="B136" s="510" t="s">
        <v>631</v>
      </c>
      <c r="C136" s="473"/>
      <c r="D136" s="473"/>
      <c r="E136" s="474"/>
      <c r="F136" s="1088" t="s">
        <v>632</v>
      </c>
      <c r="G136" s="484"/>
      <c r="H136" s="484"/>
      <c r="I136" s="484"/>
      <c r="J136" s="501"/>
      <c r="K136" s="501"/>
    </row>
    <row r="137" spans="1:11" s="508" customFormat="1" ht="15.75" customHeight="1">
      <c r="A137" s="479">
        <v>109</v>
      </c>
      <c r="B137" s="486" t="s">
        <v>607</v>
      </c>
      <c r="C137" s="487" t="s">
        <v>620</v>
      </c>
      <c r="D137" s="487" t="s">
        <v>585</v>
      </c>
      <c r="E137" s="474">
        <v>85200</v>
      </c>
      <c r="F137" s="1088"/>
      <c r="G137" s="484"/>
      <c r="H137" s="484"/>
      <c r="I137" s="484"/>
      <c r="J137" s="485"/>
      <c r="K137" s="485"/>
    </row>
    <row r="138" spans="1:11" s="514" customFormat="1" ht="15">
      <c r="A138" s="479">
        <v>110</v>
      </c>
      <c r="B138" s="486" t="s">
        <v>633</v>
      </c>
      <c r="C138" s="487" t="s">
        <v>620</v>
      </c>
      <c r="D138" s="487" t="s">
        <v>585</v>
      </c>
      <c r="E138" s="474">
        <v>95700</v>
      </c>
      <c r="F138" s="1088"/>
      <c r="G138" s="484"/>
      <c r="H138" s="484"/>
      <c r="I138" s="484"/>
      <c r="J138" s="501"/>
      <c r="K138" s="501"/>
    </row>
    <row r="139" spans="1:11" s="514" customFormat="1" ht="15">
      <c r="A139" s="479">
        <v>111</v>
      </c>
      <c r="B139" s="486" t="s">
        <v>609</v>
      </c>
      <c r="C139" s="487" t="s">
        <v>620</v>
      </c>
      <c r="D139" s="487" t="s">
        <v>585</v>
      </c>
      <c r="E139" s="474">
        <v>104000</v>
      </c>
      <c r="F139" s="1088"/>
      <c r="G139" s="484"/>
      <c r="H139" s="484"/>
      <c r="I139" s="484"/>
      <c r="J139" s="501"/>
      <c r="K139" s="501"/>
    </row>
    <row r="140" spans="1:11" s="514" customFormat="1" ht="15.75" customHeight="1">
      <c r="A140" s="509" t="s">
        <v>634</v>
      </c>
      <c r="B140" s="510" t="s">
        <v>635</v>
      </c>
      <c r="C140" s="473"/>
      <c r="D140" s="473"/>
      <c r="E140" s="474"/>
      <c r="F140" s="1088" t="s">
        <v>636</v>
      </c>
      <c r="G140" s="484"/>
      <c r="H140" s="484"/>
      <c r="I140" s="484"/>
      <c r="J140" s="501"/>
      <c r="K140" s="501"/>
    </row>
    <row r="141" spans="1:11" s="508" customFormat="1" ht="15.75" customHeight="1">
      <c r="A141" s="479">
        <v>112</v>
      </c>
      <c r="B141" s="486" t="s">
        <v>607</v>
      </c>
      <c r="C141" s="487" t="s">
        <v>620</v>
      </c>
      <c r="D141" s="487" t="s">
        <v>503</v>
      </c>
      <c r="E141" s="474">
        <v>7700</v>
      </c>
      <c r="F141" s="1088"/>
      <c r="G141" s="484"/>
      <c r="H141" s="484"/>
      <c r="I141" s="484"/>
      <c r="J141" s="485"/>
      <c r="K141" s="485"/>
    </row>
    <row r="142" spans="1:11" s="514" customFormat="1" ht="15">
      <c r="A142" s="479">
        <v>113</v>
      </c>
      <c r="B142" s="486" t="s">
        <v>633</v>
      </c>
      <c r="C142" s="487" t="s">
        <v>620</v>
      </c>
      <c r="D142" s="487" t="s">
        <v>503</v>
      </c>
      <c r="E142" s="474">
        <v>8700</v>
      </c>
      <c r="F142" s="1088"/>
      <c r="G142" s="484"/>
      <c r="H142" s="484"/>
      <c r="I142" s="484"/>
      <c r="J142" s="501"/>
      <c r="K142" s="501"/>
    </row>
    <row r="143" spans="1:11" s="514" customFormat="1" ht="15">
      <c r="A143" s="479">
        <v>114</v>
      </c>
      <c r="B143" s="486" t="s">
        <v>609</v>
      </c>
      <c r="C143" s="487" t="s">
        <v>620</v>
      </c>
      <c r="D143" s="487" t="s">
        <v>503</v>
      </c>
      <c r="E143" s="474">
        <v>9400</v>
      </c>
      <c r="F143" s="1088"/>
      <c r="G143" s="484"/>
      <c r="H143" s="484"/>
      <c r="I143" s="484"/>
      <c r="J143" s="501"/>
      <c r="K143" s="501"/>
    </row>
    <row r="144" spans="1:11" s="508" customFormat="1" ht="15.75" customHeight="1">
      <c r="A144" s="479">
        <v>115</v>
      </c>
      <c r="B144" s="486" t="s">
        <v>607</v>
      </c>
      <c r="C144" s="487" t="s">
        <v>637</v>
      </c>
      <c r="D144" s="487" t="s">
        <v>503</v>
      </c>
      <c r="E144" s="474">
        <v>15500</v>
      </c>
      <c r="F144" s="1088"/>
      <c r="G144" s="484"/>
      <c r="H144" s="484"/>
      <c r="I144" s="484"/>
      <c r="J144" s="485"/>
      <c r="K144" s="485"/>
    </row>
    <row r="145" spans="1:11" s="514" customFormat="1" ht="15">
      <c r="A145" s="479">
        <v>116</v>
      </c>
      <c r="B145" s="486" t="s">
        <v>633</v>
      </c>
      <c r="C145" s="487" t="s">
        <v>637</v>
      </c>
      <c r="D145" s="487" t="s">
        <v>503</v>
      </c>
      <c r="E145" s="474">
        <v>16500</v>
      </c>
      <c r="F145" s="1088"/>
      <c r="G145" s="484"/>
      <c r="H145" s="484"/>
      <c r="I145" s="484"/>
      <c r="J145" s="501"/>
      <c r="K145" s="501"/>
    </row>
    <row r="146" spans="1:11" s="514" customFormat="1" ht="15">
      <c r="A146" s="479">
        <v>117</v>
      </c>
      <c r="B146" s="486" t="s">
        <v>609</v>
      </c>
      <c r="C146" s="487" t="s">
        <v>637</v>
      </c>
      <c r="D146" s="487" t="s">
        <v>503</v>
      </c>
      <c r="E146" s="474">
        <v>18500</v>
      </c>
      <c r="F146" s="1088"/>
      <c r="G146" s="484"/>
      <c r="H146" s="484"/>
      <c r="I146" s="484"/>
      <c r="J146" s="501"/>
      <c r="K146" s="501"/>
    </row>
    <row r="147" spans="1:11" s="508" customFormat="1" ht="15.75" customHeight="1">
      <c r="A147" s="509">
        <v>4</v>
      </c>
      <c r="B147" s="510" t="s">
        <v>638</v>
      </c>
      <c r="C147" s="510"/>
      <c r="D147" s="510"/>
      <c r="E147" s="511"/>
      <c r="F147" s="504"/>
      <c r="G147" s="484"/>
      <c r="H147" s="484"/>
      <c r="I147" s="484"/>
      <c r="J147" s="485"/>
      <c r="K147" s="478"/>
    </row>
    <row r="148" spans="1:11" s="508" customFormat="1" ht="15.75" customHeight="1">
      <c r="A148" s="509" t="s">
        <v>519</v>
      </c>
      <c r="B148" s="1094" t="s">
        <v>639</v>
      </c>
      <c r="C148" s="1094"/>
      <c r="D148" s="1094"/>
      <c r="E148" s="511"/>
      <c r="F148" s="1088" t="s">
        <v>640</v>
      </c>
      <c r="G148" s="484"/>
      <c r="H148" s="484"/>
      <c r="I148" s="484"/>
      <c r="J148" s="485"/>
      <c r="K148" s="478"/>
    </row>
    <row r="149" spans="1:11" s="508" customFormat="1">
      <c r="A149" s="479">
        <v>118</v>
      </c>
      <c r="B149" s="489" t="s">
        <v>641</v>
      </c>
      <c r="C149" s="487" t="s">
        <v>642</v>
      </c>
      <c r="D149" s="487" t="s">
        <v>585</v>
      </c>
      <c r="E149" s="474">
        <v>179000</v>
      </c>
      <c r="F149" s="1088"/>
      <c r="G149" s="484"/>
      <c r="H149" s="484"/>
      <c r="I149" s="484"/>
      <c r="J149" s="485"/>
      <c r="K149" s="478"/>
    </row>
    <row r="150" spans="1:11" s="508" customFormat="1" ht="29.25" customHeight="1">
      <c r="A150" s="479">
        <v>119</v>
      </c>
      <c r="B150" s="489" t="s">
        <v>643</v>
      </c>
      <c r="C150" s="487" t="s">
        <v>644</v>
      </c>
      <c r="D150" s="487" t="s">
        <v>585</v>
      </c>
      <c r="E150" s="474">
        <v>200000</v>
      </c>
      <c r="F150" s="1088"/>
      <c r="G150" s="484"/>
      <c r="H150" s="484"/>
      <c r="I150" s="484"/>
      <c r="J150" s="485"/>
      <c r="K150" s="478"/>
    </row>
    <row r="151" spans="1:11" s="508" customFormat="1" ht="28">
      <c r="A151" s="479">
        <v>120</v>
      </c>
      <c r="B151" s="489" t="s">
        <v>645</v>
      </c>
      <c r="C151" s="487" t="s">
        <v>646</v>
      </c>
      <c r="D151" s="487" t="s">
        <v>585</v>
      </c>
      <c r="E151" s="474">
        <v>189000</v>
      </c>
      <c r="F151" s="1088"/>
      <c r="G151" s="484"/>
      <c r="H151" s="484"/>
      <c r="I151" s="484"/>
      <c r="J151" s="485"/>
      <c r="K151" s="478"/>
    </row>
    <row r="152" spans="1:11" s="508" customFormat="1" ht="56">
      <c r="A152" s="479">
        <v>121</v>
      </c>
      <c r="B152" s="489" t="s">
        <v>647</v>
      </c>
      <c r="C152" s="487" t="s">
        <v>648</v>
      </c>
      <c r="D152" s="487" t="s">
        <v>585</v>
      </c>
      <c r="E152" s="474">
        <v>200000</v>
      </c>
      <c r="F152" s="1088"/>
      <c r="G152" s="484"/>
      <c r="H152" s="484"/>
      <c r="I152" s="484"/>
      <c r="J152" s="485"/>
      <c r="K152" s="478"/>
    </row>
    <row r="153" spans="1:11" s="508" customFormat="1" ht="15.75" customHeight="1">
      <c r="A153" s="479">
        <v>122</v>
      </c>
      <c r="B153" s="489" t="s">
        <v>649</v>
      </c>
      <c r="C153" s="487" t="s">
        <v>650</v>
      </c>
      <c r="D153" s="487" t="s">
        <v>585</v>
      </c>
      <c r="E153" s="474">
        <v>179000</v>
      </c>
      <c r="F153" s="1088"/>
      <c r="G153" s="484"/>
      <c r="H153" s="484"/>
      <c r="I153" s="484"/>
      <c r="J153" s="485"/>
      <c r="K153" s="478"/>
    </row>
    <row r="154" spans="1:11" s="508" customFormat="1" ht="15.75" customHeight="1">
      <c r="A154" s="479">
        <v>123</v>
      </c>
      <c r="B154" s="489" t="s">
        <v>651</v>
      </c>
      <c r="C154" s="487" t="s">
        <v>652</v>
      </c>
      <c r="D154" s="487" t="s">
        <v>585</v>
      </c>
      <c r="E154" s="474">
        <v>235000</v>
      </c>
      <c r="F154" s="1088"/>
      <c r="G154" s="484"/>
      <c r="H154" s="484"/>
      <c r="I154" s="484"/>
      <c r="J154" s="485"/>
      <c r="K154" s="478"/>
    </row>
    <row r="155" spans="1:11" s="508" customFormat="1">
      <c r="A155" s="479">
        <v>124</v>
      </c>
      <c r="B155" s="489" t="s">
        <v>653</v>
      </c>
      <c r="C155" s="487" t="s">
        <v>654</v>
      </c>
      <c r="D155" s="487" t="s">
        <v>585</v>
      </c>
      <c r="E155" s="474">
        <v>260000</v>
      </c>
      <c r="F155" s="1088"/>
      <c r="G155" s="484"/>
      <c r="H155" s="484"/>
      <c r="I155" s="484"/>
      <c r="J155" s="485"/>
      <c r="K155" s="478"/>
    </row>
    <row r="156" spans="1:11" s="508" customFormat="1" ht="15.75" customHeight="1">
      <c r="A156" s="479">
        <v>125</v>
      </c>
      <c r="B156" s="489" t="s">
        <v>655</v>
      </c>
      <c r="C156" s="487" t="s">
        <v>652</v>
      </c>
      <c r="D156" s="487" t="s">
        <v>585</v>
      </c>
      <c r="E156" s="474">
        <v>235000</v>
      </c>
      <c r="F156" s="1088"/>
      <c r="G156" s="484"/>
      <c r="H156" s="484"/>
      <c r="I156" s="484"/>
      <c r="J156" s="485"/>
      <c r="K156" s="478"/>
    </row>
    <row r="157" spans="1:11" s="508" customFormat="1">
      <c r="A157" s="479">
        <v>126</v>
      </c>
      <c r="B157" s="489" t="s">
        <v>656</v>
      </c>
      <c r="C157" s="487" t="s">
        <v>654</v>
      </c>
      <c r="D157" s="487" t="s">
        <v>585</v>
      </c>
      <c r="E157" s="474">
        <v>260000</v>
      </c>
      <c r="F157" s="1088"/>
      <c r="G157" s="484"/>
      <c r="H157" s="484"/>
      <c r="I157" s="484"/>
      <c r="J157" s="485"/>
      <c r="K157" s="478"/>
    </row>
    <row r="158" spans="1:11" s="508" customFormat="1" ht="15.75" customHeight="1">
      <c r="A158" s="479">
        <v>127</v>
      </c>
      <c r="B158" s="489" t="s">
        <v>657</v>
      </c>
      <c r="C158" s="487" t="s">
        <v>652</v>
      </c>
      <c r="D158" s="487" t="s">
        <v>585</v>
      </c>
      <c r="E158" s="474">
        <v>295000</v>
      </c>
      <c r="F158" s="1088"/>
      <c r="G158" s="484"/>
      <c r="H158" s="484"/>
      <c r="I158" s="484"/>
      <c r="J158" s="485"/>
      <c r="K158" s="478"/>
    </row>
    <row r="159" spans="1:11" s="508" customFormat="1">
      <c r="A159" s="479">
        <v>128</v>
      </c>
      <c r="B159" s="489" t="s">
        <v>658</v>
      </c>
      <c r="C159" s="487" t="s">
        <v>654</v>
      </c>
      <c r="D159" s="487" t="s">
        <v>585</v>
      </c>
      <c r="E159" s="474">
        <v>360000</v>
      </c>
      <c r="F159" s="1088"/>
      <c r="G159" s="484"/>
      <c r="H159" s="484"/>
      <c r="I159" s="484"/>
      <c r="J159" s="485"/>
      <c r="K159" s="478"/>
    </row>
    <row r="160" spans="1:11" s="508" customFormat="1" ht="15.75" customHeight="1">
      <c r="A160" s="479">
        <v>129</v>
      </c>
      <c r="B160" s="489" t="s">
        <v>659</v>
      </c>
      <c r="C160" s="487" t="s">
        <v>660</v>
      </c>
      <c r="D160" s="487" t="s">
        <v>585</v>
      </c>
      <c r="E160" s="474">
        <v>235000</v>
      </c>
      <c r="F160" s="1088"/>
      <c r="G160" s="484"/>
      <c r="H160" s="484"/>
      <c r="I160" s="484"/>
      <c r="J160" s="485"/>
      <c r="K160" s="478"/>
    </row>
    <row r="161" spans="1:11" s="508" customFormat="1">
      <c r="A161" s="479">
        <v>130</v>
      </c>
      <c r="B161" s="489" t="s">
        <v>661</v>
      </c>
      <c r="C161" s="487" t="s">
        <v>660</v>
      </c>
      <c r="D161" s="487" t="s">
        <v>585</v>
      </c>
      <c r="E161" s="474">
        <v>309000</v>
      </c>
      <c r="F161" s="1088"/>
      <c r="G161" s="484"/>
      <c r="H161" s="484"/>
      <c r="I161" s="484"/>
      <c r="J161" s="485"/>
      <c r="K161" s="478"/>
    </row>
    <row r="162" spans="1:11" s="508" customFormat="1" ht="21" customHeight="1">
      <c r="A162" s="509" t="s">
        <v>536</v>
      </c>
      <c r="B162" s="510" t="s">
        <v>662</v>
      </c>
      <c r="C162" s="521"/>
      <c r="D162" s="510"/>
      <c r="E162" s="511"/>
      <c r="F162" s="1088" t="s">
        <v>663</v>
      </c>
      <c r="G162" s="484"/>
      <c r="H162" s="484"/>
      <c r="I162" s="484"/>
      <c r="J162" s="485"/>
      <c r="K162" s="478"/>
    </row>
    <row r="163" spans="1:11" s="508" customFormat="1" ht="15.75" customHeight="1">
      <c r="A163" s="479">
        <v>131</v>
      </c>
      <c r="B163" s="486" t="s">
        <v>664</v>
      </c>
      <c r="C163" s="522" t="s">
        <v>665</v>
      </c>
      <c r="D163" s="487" t="s">
        <v>585</v>
      </c>
      <c r="E163" s="474">
        <v>179000</v>
      </c>
      <c r="F163" s="1088"/>
      <c r="G163" s="484"/>
      <c r="H163" s="484"/>
      <c r="I163" s="484"/>
      <c r="J163" s="485"/>
      <c r="K163" s="485"/>
    </row>
    <row r="164" spans="1:11" s="508" customFormat="1" ht="15.75" customHeight="1">
      <c r="A164" s="479">
        <v>132</v>
      </c>
      <c r="B164" s="486" t="s">
        <v>666</v>
      </c>
      <c r="C164" s="522" t="s">
        <v>667</v>
      </c>
      <c r="D164" s="487" t="s">
        <v>585</v>
      </c>
      <c r="E164" s="474">
        <v>253000</v>
      </c>
      <c r="F164" s="1088"/>
      <c r="G164" s="484"/>
      <c r="H164" s="484"/>
      <c r="I164" s="484"/>
      <c r="J164" s="485"/>
      <c r="K164" s="485"/>
    </row>
    <row r="165" spans="1:11" s="508" customFormat="1" ht="17.25" customHeight="1">
      <c r="A165" s="479">
        <v>133</v>
      </c>
      <c r="B165" s="486" t="s">
        <v>668</v>
      </c>
      <c r="C165" s="523" t="s">
        <v>669</v>
      </c>
      <c r="D165" s="487" t="s">
        <v>585</v>
      </c>
      <c r="E165" s="474">
        <v>289000</v>
      </c>
      <c r="F165" s="1088"/>
      <c r="G165" s="484"/>
      <c r="H165" s="484"/>
      <c r="I165" s="484"/>
      <c r="J165" s="485"/>
      <c r="K165" s="485"/>
    </row>
    <row r="166" spans="1:11" s="508" customFormat="1">
      <c r="A166" s="479">
        <v>134</v>
      </c>
      <c r="B166" s="486" t="s">
        <v>670</v>
      </c>
      <c r="C166" s="523" t="s">
        <v>671</v>
      </c>
      <c r="D166" s="487" t="s">
        <v>585</v>
      </c>
      <c r="E166" s="474">
        <v>145000</v>
      </c>
      <c r="F166" s="1088"/>
      <c r="G166" s="484"/>
      <c r="H166" s="484"/>
      <c r="I166" s="484"/>
      <c r="J166" s="485"/>
      <c r="K166" s="485"/>
    </row>
    <row r="167" spans="1:11" s="508" customFormat="1">
      <c r="A167" s="479">
        <v>135</v>
      </c>
      <c r="B167" s="486" t="s">
        <v>672</v>
      </c>
      <c r="C167" s="524" t="s">
        <v>673</v>
      </c>
      <c r="D167" s="487" t="s">
        <v>585</v>
      </c>
      <c r="E167" s="474">
        <v>163000</v>
      </c>
      <c r="F167" s="1088"/>
      <c r="G167" s="484"/>
      <c r="H167" s="484"/>
      <c r="I167" s="484"/>
      <c r="J167" s="485"/>
      <c r="K167" s="485"/>
    </row>
    <row r="168" spans="1:11" s="508" customFormat="1" ht="21">
      <c r="A168" s="479">
        <v>136</v>
      </c>
      <c r="B168" s="486" t="s">
        <v>674</v>
      </c>
      <c r="C168" s="525" t="s">
        <v>675</v>
      </c>
      <c r="D168" s="487" t="s">
        <v>585</v>
      </c>
      <c r="E168" s="474">
        <v>141000</v>
      </c>
      <c r="F168" s="1088"/>
      <c r="G168" s="484"/>
      <c r="H168" s="484"/>
      <c r="I168" s="484"/>
      <c r="J168" s="485"/>
      <c r="K168" s="485"/>
    </row>
    <row r="169" spans="1:11" s="508" customFormat="1">
      <c r="A169" s="479">
        <v>137</v>
      </c>
      <c r="B169" s="486" t="s">
        <v>676</v>
      </c>
      <c r="C169" s="524" t="s">
        <v>677</v>
      </c>
      <c r="D169" s="487" t="s">
        <v>585</v>
      </c>
      <c r="E169" s="474">
        <v>140000</v>
      </c>
      <c r="F169" s="1088"/>
      <c r="G169" s="484"/>
      <c r="H169" s="484"/>
      <c r="I169" s="484"/>
      <c r="J169" s="485"/>
      <c r="K169" s="485"/>
    </row>
    <row r="170" spans="1:11" s="508" customFormat="1">
      <c r="A170" s="479">
        <v>138</v>
      </c>
      <c r="B170" s="486" t="s">
        <v>678</v>
      </c>
      <c r="C170" s="523" t="s">
        <v>679</v>
      </c>
      <c r="D170" s="487" t="s">
        <v>585</v>
      </c>
      <c r="E170" s="474">
        <v>254000</v>
      </c>
      <c r="F170" s="1088"/>
      <c r="G170" s="484"/>
      <c r="H170" s="484"/>
      <c r="I170" s="484"/>
      <c r="J170" s="485"/>
      <c r="K170" s="485"/>
    </row>
    <row r="171" spans="1:11" s="508" customFormat="1" ht="21">
      <c r="A171" s="479">
        <v>139</v>
      </c>
      <c r="B171" s="486" t="s">
        <v>680</v>
      </c>
      <c r="C171" s="525" t="s">
        <v>681</v>
      </c>
      <c r="D171" s="487" t="s">
        <v>585</v>
      </c>
      <c r="E171" s="474">
        <v>184000</v>
      </c>
      <c r="F171" s="1088"/>
      <c r="G171" s="484"/>
      <c r="H171" s="484"/>
      <c r="I171" s="484"/>
      <c r="J171" s="485"/>
      <c r="K171" s="485"/>
    </row>
    <row r="172" spans="1:11" s="512" customFormat="1" ht="22.5" customHeight="1">
      <c r="A172" s="479">
        <v>140</v>
      </c>
      <c r="B172" s="491" t="s">
        <v>682</v>
      </c>
      <c r="C172" s="526" t="s">
        <v>683</v>
      </c>
      <c r="D172" s="481" t="s">
        <v>585</v>
      </c>
      <c r="E172" s="482">
        <v>141000</v>
      </c>
      <c r="F172" s="1088"/>
      <c r="G172" s="484"/>
      <c r="H172" s="484"/>
      <c r="I172" s="484"/>
      <c r="J172" s="493"/>
      <c r="K172" s="493"/>
    </row>
    <row r="173" spans="1:11" s="508" customFormat="1">
      <c r="A173" s="479">
        <v>141</v>
      </c>
      <c r="B173" s="486" t="s">
        <v>684</v>
      </c>
      <c r="C173" s="524" t="s">
        <v>685</v>
      </c>
      <c r="D173" s="487" t="s">
        <v>585</v>
      </c>
      <c r="E173" s="474">
        <v>140000</v>
      </c>
      <c r="F173" s="1088"/>
      <c r="G173" s="484"/>
      <c r="H173" s="484"/>
      <c r="I173" s="484"/>
      <c r="J173" s="485"/>
      <c r="K173" s="485"/>
    </row>
    <row r="174" spans="1:11" s="508" customFormat="1" ht="23.25" customHeight="1">
      <c r="A174" s="479">
        <v>142</v>
      </c>
      <c r="B174" s="486" t="s">
        <v>686</v>
      </c>
      <c r="C174" s="525" t="s">
        <v>687</v>
      </c>
      <c r="D174" s="487" t="s">
        <v>688</v>
      </c>
      <c r="E174" s="474">
        <v>283000</v>
      </c>
      <c r="F174" s="1088"/>
      <c r="G174" s="484"/>
      <c r="H174" s="484"/>
      <c r="I174" s="484"/>
      <c r="J174" s="485"/>
      <c r="K174" s="485"/>
    </row>
    <row r="175" spans="1:11" s="508" customFormat="1">
      <c r="A175" s="479">
        <v>143</v>
      </c>
      <c r="B175" s="486" t="s">
        <v>689</v>
      </c>
      <c r="C175" s="524" t="s">
        <v>690</v>
      </c>
      <c r="D175" s="487" t="s">
        <v>688</v>
      </c>
      <c r="E175" s="474">
        <v>294030</v>
      </c>
      <c r="F175" s="1088"/>
      <c r="G175" s="484"/>
      <c r="H175" s="484"/>
      <c r="I175" s="484"/>
      <c r="J175" s="485"/>
      <c r="K175" s="485"/>
    </row>
    <row r="176" spans="1:11" s="508" customFormat="1" ht="15.75" customHeight="1">
      <c r="A176" s="476" t="s">
        <v>27</v>
      </c>
      <c r="B176" s="1090" t="s">
        <v>691</v>
      </c>
      <c r="C176" s="1090"/>
      <c r="D176" s="1090"/>
      <c r="E176" s="1090"/>
      <c r="F176" s="1091"/>
      <c r="G176" s="477"/>
      <c r="H176" s="477"/>
      <c r="I176" s="477"/>
      <c r="J176" s="485"/>
      <c r="K176" s="478"/>
    </row>
    <row r="177" spans="1:11" s="508" customFormat="1" ht="15.75" customHeight="1">
      <c r="A177" s="495" t="s">
        <v>367</v>
      </c>
      <c r="B177" s="505" t="s">
        <v>692</v>
      </c>
      <c r="C177" s="506"/>
      <c r="D177" s="527"/>
      <c r="E177" s="498"/>
      <c r="F177" s="528"/>
      <c r="G177" s="484"/>
      <c r="H177" s="484"/>
      <c r="I177" s="484"/>
      <c r="J177" s="485"/>
      <c r="K177" s="478"/>
    </row>
    <row r="178" spans="1:11" s="508" customFormat="1">
      <c r="A178" s="479">
        <v>144</v>
      </c>
      <c r="B178" s="489" t="s">
        <v>693</v>
      </c>
      <c r="C178" s="487"/>
      <c r="D178" s="487" t="s">
        <v>439</v>
      </c>
      <c r="E178" s="474">
        <v>17000</v>
      </c>
      <c r="F178" s="504" t="s">
        <v>450</v>
      </c>
      <c r="G178" s="484"/>
      <c r="H178" s="484"/>
      <c r="I178" s="484"/>
      <c r="J178" s="485"/>
      <c r="K178" s="485"/>
    </row>
    <row r="179" spans="1:11" s="508" customFormat="1" ht="15.75" customHeight="1">
      <c r="A179" s="495" t="s">
        <v>368</v>
      </c>
      <c r="B179" s="1098" t="s">
        <v>694</v>
      </c>
      <c r="C179" s="1098"/>
      <c r="D179" s="527"/>
      <c r="E179" s="498"/>
      <c r="F179" s="528"/>
      <c r="G179" s="484"/>
      <c r="H179" s="484"/>
      <c r="I179" s="484"/>
      <c r="J179" s="485"/>
      <c r="K179" s="478"/>
    </row>
    <row r="180" spans="1:11" s="508" customFormat="1" ht="15.75" customHeight="1">
      <c r="A180" s="509">
        <v>1</v>
      </c>
      <c r="B180" s="1094" t="s">
        <v>695</v>
      </c>
      <c r="C180" s="1094"/>
      <c r="D180" s="1094"/>
      <c r="E180" s="1094"/>
      <c r="F180" s="1088" t="s">
        <v>696</v>
      </c>
      <c r="G180" s="484"/>
      <c r="H180" s="484"/>
      <c r="I180" s="484"/>
      <c r="J180" s="485"/>
      <c r="K180" s="478"/>
    </row>
    <row r="181" spans="1:11" s="508" customFormat="1">
      <c r="A181" s="479">
        <v>145</v>
      </c>
      <c r="B181" s="489" t="s">
        <v>697</v>
      </c>
      <c r="C181" s="487" t="s">
        <v>698</v>
      </c>
      <c r="D181" s="487" t="s">
        <v>699</v>
      </c>
      <c r="E181" s="474">
        <v>59000</v>
      </c>
      <c r="F181" s="1088"/>
      <c r="G181" s="477"/>
      <c r="H181" s="484"/>
      <c r="I181" s="484"/>
      <c r="J181" s="485"/>
    </row>
    <row r="182" spans="1:11" s="508" customFormat="1">
      <c r="A182" s="479">
        <v>146</v>
      </c>
      <c r="B182" s="489" t="s">
        <v>700</v>
      </c>
      <c r="C182" s="487" t="s">
        <v>701</v>
      </c>
      <c r="D182" s="487" t="s">
        <v>699</v>
      </c>
      <c r="E182" s="474">
        <v>68000</v>
      </c>
      <c r="F182" s="1088"/>
      <c r="G182" s="477"/>
      <c r="H182" s="484"/>
      <c r="I182" s="484"/>
      <c r="J182" s="485"/>
    </row>
    <row r="183" spans="1:11" s="508" customFormat="1">
      <c r="A183" s="479">
        <v>147</v>
      </c>
      <c r="B183" s="489" t="s">
        <v>700</v>
      </c>
      <c r="C183" s="487" t="s">
        <v>702</v>
      </c>
      <c r="D183" s="487" t="s">
        <v>699</v>
      </c>
      <c r="E183" s="474">
        <v>75000</v>
      </c>
      <c r="F183" s="1088"/>
      <c r="G183" s="477"/>
      <c r="H183" s="484"/>
      <c r="I183" s="484"/>
      <c r="J183" s="485"/>
    </row>
    <row r="184" spans="1:11" s="512" customFormat="1" ht="15.75" customHeight="1">
      <c r="A184" s="479">
        <v>148</v>
      </c>
      <c r="B184" s="500" t="s">
        <v>700</v>
      </c>
      <c r="C184" s="481" t="s">
        <v>703</v>
      </c>
      <c r="D184" s="481" t="s">
        <v>699</v>
      </c>
      <c r="E184" s="482">
        <v>88000</v>
      </c>
      <c r="F184" s="1088"/>
      <c r="G184" s="529"/>
      <c r="H184" s="484"/>
      <c r="I184" s="484"/>
      <c r="J184" s="493"/>
    </row>
    <row r="185" spans="1:11" s="508" customFormat="1">
      <c r="A185" s="479">
        <v>149</v>
      </c>
      <c r="B185" s="489" t="s">
        <v>700</v>
      </c>
      <c r="C185" s="487" t="s">
        <v>704</v>
      </c>
      <c r="D185" s="487" t="s">
        <v>699</v>
      </c>
      <c r="E185" s="474">
        <v>96000</v>
      </c>
      <c r="F185" s="1088"/>
      <c r="G185" s="477">
        <v>97000</v>
      </c>
      <c r="H185" s="484"/>
      <c r="I185" s="484"/>
      <c r="J185" s="485"/>
    </row>
    <row r="186" spans="1:11" s="508" customFormat="1" ht="20.25" customHeight="1">
      <c r="A186" s="479">
        <v>150</v>
      </c>
      <c r="B186" s="489" t="s">
        <v>700</v>
      </c>
      <c r="C186" s="487" t="s">
        <v>705</v>
      </c>
      <c r="D186" s="487" t="s">
        <v>699</v>
      </c>
      <c r="E186" s="474">
        <v>103000</v>
      </c>
      <c r="F186" s="1088"/>
      <c r="G186" s="477">
        <v>104000</v>
      </c>
      <c r="H186" s="484"/>
      <c r="I186" s="484"/>
      <c r="J186" s="485"/>
    </row>
    <row r="187" spans="1:11" s="508" customFormat="1" ht="15.75" customHeight="1">
      <c r="A187" s="509">
        <v>2</v>
      </c>
      <c r="B187" s="1094" t="s">
        <v>706</v>
      </c>
      <c r="C187" s="1094"/>
      <c r="D187" s="487"/>
      <c r="E187" s="511"/>
      <c r="F187" s="1088"/>
      <c r="G187" s="484"/>
      <c r="H187" s="484"/>
      <c r="I187" s="484"/>
      <c r="J187" s="485"/>
      <c r="K187" s="478"/>
    </row>
    <row r="188" spans="1:11" s="508" customFormat="1" ht="20.25" customHeight="1">
      <c r="A188" s="479">
        <v>151</v>
      </c>
      <c r="B188" s="489" t="s">
        <v>700</v>
      </c>
      <c r="C188" s="487" t="s">
        <v>707</v>
      </c>
      <c r="D188" s="487" t="s">
        <v>699</v>
      </c>
      <c r="E188" s="474">
        <v>61000</v>
      </c>
      <c r="F188" s="1088"/>
      <c r="G188" s="477">
        <v>70000</v>
      </c>
      <c r="H188" s="484"/>
      <c r="I188" s="484"/>
      <c r="J188" s="485"/>
      <c r="K188" s="485"/>
    </row>
    <row r="189" spans="1:11" s="508" customFormat="1">
      <c r="A189" s="479">
        <v>152</v>
      </c>
      <c r="B189" s="489" t="s">
        <v>700</v>
      </c>
      <c r="C189" s="487" t="s">
        <v>708</v>
      </c>
      <c r="D189" s="487" t="s">
        <v>699</v>
      </c>
      <c r="E189" s="474">
        <v>70000</v>
      </c>
      <c r="F189" s="1088"/>
      <c r="G189" s="477">
        <v>77000</v>
      </c>
      <c r="H189" s="484"/>
      <c r="I189" s="484"/>
      <c r="J189" s="485"/>
      <c r="K189" s="485"/>
    </row>
    <row r="190" spans="1:11" s="508" customFormat="1">
      <c r="A190" s="479">
        <v>153</v>
      </c>
      <c r="B190" s="489" t="s">
        <v>700</v>
      </c>
      <c r="C190" s="487" t="s">
        <v>709</v>
      </c>
      <c r="D190" s="487" t="s">
        <v>699</v>
      </c>
      <c r="E190" s="474">
        <v>77000</v>
      </c>
      <c r="F190" s="1088"/>
      <c r="G190" s="477">
        <v>90000</v>
      </c>
      <c r="H190" s="484"/>
      <c r="I190" s="484"/>
      <c r="J190" s="485"/>
      <c r="K190" s="485"/>
    </row>
    <row r="191" spans="1:11" s="508" customFormat="1">
      <c r="A191" s="479">
        <v>154</v>
      </c>
      <c r="B191" s="489" t="s">
        <v>700</v>
      </c>
      <c r="C191" s="487" t="s">
        <v>710</v>
      </c>
      <c r="D191" s="487" t="s">
        <v>699</v>
      </c>
      <c r="E191" s="474">
        <v>90000</v>
      </c>
      <c r="F191" s="1088"/>
      <c r="G191" s="477">
        <v>99000</v>
      </c>
      <c r="H191" s="484"/>
      <c r="I191" s="484"/>
      <c r="J191" s="485"/>
      <c r="K191" s="485"/>
    </row>
    <row r="192" spans="1:11" s="508" customFormat="1">
      <c r="A192" s="479">
        <v>155</v>
      </c>
      <c r="B192" s="489" t="s">
        <v>700</v>
      </c>
      <c r="C192" s="487" t="s">
        <v>711</v>
      </c>
      <c r="D192" s="487" t="s">
        <v>699</v>
      </c>
      <c r="E192" s="474">
        <v>105000</v>
      </c>
      <c r="F192" s="1088"/>
      <c r="G192" s="477">
        <v>106000</v>
      </c>
      <c r="H192" s="484"/>
      <c r="I192" s="484"/>
      <c r="J192" s="485"/>
      <c r="K192" s="485"/>
    </row>
    <row r="193" spans="1:11" s="508" customFormat="1" ht="15.75" customHeight="1">
      <c r="A193" s="509">
        <v>3</v>
      </c>
      <c r="B193" s="530" t="s">
        <v>712</v>
      </c>
      <c r="C193" s="487"/>
      <c r="D193" s="487"/>
      <c r="E193" s="511"/>
      <c r="F193" s="1088"/>
      <c r="G193" s="484"/>
      <c r="H193" s="484"/>
      <c r="I193" s="484"/>
      <c r="J193" s="485"/>
      <c r="K193" s="478"/>
    </row>
    <row r="194" spans="1:11" s="508" customFormat="1">
      <c r="A194" s="479">
        <v>156</v>
      </c>
      <c r="B194" s="489" t="s">
        <v>713</v>
      </c>
      <c r="C194" s="487" t="s">
        <v>714</v>
      </c>
      <c r="D194" s="487" t="s">
        <v>699</v>
      </c>
      <c r="E194" s="474">
        <v>57000</v>
      </c>
      <c r="F194" s="1088"/>
      <c r="G194" s="477"/>
      <c r="H194" s="484"/>
      <c r="I194" s="484"/>
      <c r="J194" s="477"/>
      <c r="K194" s="485"/>
    </row>
    <row r="195" spans="1:11" s="508" customFormat="1">
      <c r="A195" s="479">
        <v>157</v>
      </c>
      <c r="B195" s="489" t="s">
        <v>715</v>
      </c>
      <c r="C195" s="487" t="s">
        <v>716</v>
      </c>
      <c r="D195" s="487" t="s">
        <v>699</v>
      </c>
      <c r="E195" s="474">
        <v>65000</v>
      </c>
      <c r="F195" s="1088"/>
      <c r="G195" s="477"/>
      <c r="H195" s="484"/>
      <c r="I195" s="484"/>
      <c r="J195" s="485"/>
    </row>
    <row r="196" spans="1:11" s="508" customFormat="1">
      <c r="A196" s="479">
        <v>158</v>
      </c>
      <c r="B196" s="489" t="s">
        <v>715</v>
      </c>
      <c r="C196" s="487" t="s">
        <v>717</v>
      </c>
      <c r="D196" s="487" t="s">
        <v>699</v>
      </c>
      <c r="E196" s="474">
        <v>74000</v>
      </c>
      <c r="F196" s="1088"/>
      <c r="G196" s="477"/>
      <c r="H196" s="484"/>
      <c r="I196" s="484"/>
      <c r="J196" s="485"/>
    </row>
    <row r="197" spans="1:11" s="508" customFormat="1">
      <c r="A197" s="479">
        <v>159</v>
      </c>
      <c r="B197" s="489" t="s">
        <v>715</v>
      </c>
      <c r="C197" s="487" t="s">
        <v>718</v>
      </c>
      <c r="D197" s="487" t="s">
        <v>699</v>
      </c>
      <c r="E197" s="474">
        <v>82000</v>
      </c>
      <c r="F197" s="1088"/>
      <c r="G197" s="477">
        <v>81000</v>
      </c>
      <c r="H197" s="484"/>
      <c r="I197" s="484"/>
      <c r="J197" s="485"/>
    </row>
    <row r="198" spans="1:11" s="508" customFormat="1">
      <c r="A198" s="479">
        <v>160</v>
      </c>
      <c r="B198" s="489" t="s">
        <v>715</v>
      </c>
      <c r="C198" s="487" t="s">
        <v>719</v>
      </c>
      <c r="D198" s="487" t="s">
        <v>699</v>
      </c>
      <c r="E198" s="474">
        <v>90000</v>
      </c>
      <c r="F198" s="1088"/>
      <c r="G198" s="477"/>
      <c r="H198" s="484"/>
      <c r="I198" s="484"/>
      <c r="J198" s="485"/>
    </row>
    <row r="199" spans="1:11" s="508" customFormat="1" ht="15.75" customHeight="1">
      <c r="A199" s="495" t="s">
        <v>369</v>
      </c>
      <c r="B199" s="496" t="s">
        <v>720</v>
      </c>
      <c r="C199" s="527"/>
      <c r="D199" s="527"/>
      <c r="E199" s="527"/>
      <c r="F199" s="1088"/>
      <c r="G199" s="484"/>
      <c r="H199" s="484"/>
      <c r="I199" s="484"/>
      <c r="J199" s="485"/>
      <c r="K199" s="478"/>
    </row>
    <row r="200" spans="1:11" s="508" customFormat="1">
      <c r="A200" s="479">
        <v>161</v>
      </c>
      <c r="B200" s="489" t="s">
        <v>721</v>
      </c>
      <c r="C200" s="487"/>
      <c r="D200" s="487" t="s">
        <v>33</v>
      </c>
      <c r="E200" s="474">
        <v>22000</v>
      </c>
      <c r="F200" s="1088"/>
      <c r="G200" s="484"/>
      <c r="H200" s="484"/>
      <c r="I200" s="484"/>
      <c r="J200" s="485"/>
      <c r="K200" s="485"/>
    </row>
    <row r="201" spans="1:11" s="508" customFormat="1" ht="18" customHeight="1">
      <c r="A201" s="479">
        <v>162</v>
      </c>
      <c r="B201" s="489" t="s">
        <v>722</v>
      </c>
      <c r="C201" s="487"/>
      <c r="D201" s="487" t="s">
        <v>33</v>
      </c>
      <c r="E201" s="474">
        <v>22000</v>
      </c>
      <c r="F201" s="1088"/>
      <c r="G201" s="484"/>
      <c r="H201" s="484"/>
      <c r="I201" s="484"/>
      <c r="J201" s="485"/>
      <c r="K201" s="485"/>
    </row>
    <row r="202" spans="1:11" s="508" customFormat="1" ht="17.5" customHeight="1">
      <c r="A202" s="495" t="s">
        <v>723</v>
      </c>
      <c r="B202" s="496" t="s">
        <v>724</v>
      </c>
      <c r="C202" s="527"/>
      <c r="D202" s="527"/>
      <c r="E202" s="498"/>
      <c r="F202" s="504"/>
      <c r="G202" s="484"/>
      <c r="H202" s="484"/>
      <c r="I202" s="484"/>
      <c r="J202" s="485"/>
      <c r="K202" s="478"/>
    </row>
    <row r="203" spans="1:11" s="508" customFormat="1" ht="15.75" customHeight="1">
      <c r="A203" s="509">
        <v>1</v>
      </c>
      <c r="B203" s="531" t="s">
        <v>725</v>
      </c>
      <c r="C203" s="487"/>
      <c r="D203" s="487"/>
      <c r="E203" s="511"/>
      <c r="F203" s="1099" t="s">
        <v>726</v>
      </c>
      <c r="G203" s="484"/>
      <c r="H203" s="484"/>
      <c r="I203" s="484"/>
      <c r="J203" s="532"/>
      <c r="K203" s="532"/>
    </row>
    <row r="204" spans="1:11" s="508" customFormat="1">
      <c r="A204" s="509"/>
      <c r="B204" s="1100" t="s">
        <v>727</v>
      </c>
      <c r="C204" s="1100"/>
      <c r="D204" s="487"/>
      <c r="E204" s="511"/>
      <c r="F204" s="1099"/>
      <c r="G204" s="484"/>
      <c r="H204" s="484"/>
      <c r="I204" s="484"/>
      <c r="J204" s="532"/>
      <c r="K204" s="532"/>
    </row>
    <row r="205" spans="1:11" s="508" customFormat="1" ht="15.75" customHeight="1">
      <c r="A205" s="479">
        <v>163</v>
      </c>
      <c r="B205" s="533" t="s">
        <v>728</v>
      </c>
      <c r="C205" s="487" t="s">
        <v>729</v>
      </c>
      <c r="D205" s="487" t="s">
        <v>699</v>
      </c>
      <c r="E205" s="474">
        <v>83444.900000000009</v>
      </c>
      <c r="F205" s="1099"/>
      <c r="G205" s="484"/>
      <c r="H205" s="484"/>
      <c r="I205" s="484"/>
      <c r="J205" s="532"/>
      <c r="K205" s="532"/>
    </row>
    <row r="206" spans="1:11" s="508" customFormat="1" ht="15.75" customHeight="1">
      <c r="A206" s="479">
        <v>164</v>
      </c>
      <c r="B206" s="533" t="s">
        <v>730</v>
      </c>
      <c r="C206" s="487" t="s">
        <v>703</v>
      </c>
      <c r="D206" s="487" t="s">
        <v>699</v>
      </c>
      <c r="E206" s="474">
        <v>98785.500000000015</v>
      </c>
      <c r="F206" s="1099"/>
      <c r="G206" s="484"/>
      <c r="H206" s="484"/>
      <c r="I206" s="484"/>
      <c r="J206" s="532"/>
      <c r="K206" s="532"/>
    </row>
    <row r="207" spans="1:11" s="508" customFormat="1" ht="15.75" customHeight="1">
      <c r="A207" s="479">
        <v>165</v>
      </c>
      <c r="B207" s="533" t="s">
        <v>731</v>
      </c>
      <c r="C207" s="487" t="s">
        <v>732</v>
      </c>
      <c r="D207" s="487" t="s">
        <v>699</v>
      </c>
      <c r="E207" s="474">
        <v>103316.40000000001</v>
      </c>
      <c r="F207" s="1099"/>
      <c r="G207" s="484"/>
      <c r="H207" s="484"/>
      <c r="I207" s="484"/>
      <c r="J207" s="532"/>
      <c r="K207" s="532"/>
    </row>
    <row r="208" spans="1:11" s="508" customFormat="1" ht="14.25" customHeight="1">
      <c r="A208" s="479">
        <v>166</v>
      </c>
      <c r="B208" s="533" t="s">
        <v>733</v>
      </c>
      <c r="C208" s="487" t="s">
        <v>734</v>
      </c>
      <c r="D208" s="487" t="s">
        <v>699</v>
      </c>
      <c r="E208" s="474">
        <v>110286.00000000001</v>
      </c>
      <c r="F208" s="1099"/>
      <c r="G208" s="484"/>
      <c r="H208" s="484"/>
      <c r="I208" s="484"/>
      <c r="J208" s="532"/>
      <c r="K208" s="532"/>
    </row>
    <row r="209" spans="1:11" s="508" customFormat="1" ht="14.25" customHeight="1">
      <c r="A209" s="479">
        <v>167</v>
      </c>
      <c r="B209" s="533" t="s">
        <v>735</v>
      </c>
      <c r="C209" s="487" t="s">
        <v>736</v>
      </c>
      <c r="D209" s="487" t="s">
        <v>699</v>
      </c>
      <c r="E209" s="474">
        <v>114977.50000000001</v>
      </c>
      <c r="F209" s="1099"/>
      <c r="G209" s="484"/>
      <c r="H209" s="484"/>
      <c r="I209" s="484"/>
      <c r="J209" s="532"/>
      <c r="K209" s="532"/>
    </row>
    <row r="210" spans="1:11" s="508" customFormat="1" ht="15.75" customHeight="1">
      <c r="A210" s="479">
        <v>168</v>
      </c>
      <c r="B210" s="533" t="s">
        <v>737</v>
      </c>
      <c r="C210" s="487" t="s">
        <v>705</v>
      </c>
      <c r="D210" s="487" t="s">
        <v>699</v>
      </c>
      <c r="E210" s="474">
        <v>122009.8</v>
      </c>
      <c r="F210" s="1099"/>
      <c r="G210" s="484"/>
      <c r="H210" s="484"/>
      <c r="I210" s="484"/>
      <c r="J210" s="532"/>
      <c r="K210" s="532"/>
    </row>
    <row r="211" spans="1:11" s="508" customFormat="1" ht="15.75" customHeight="1">
      <c r="A211" s="479">
        <v>169</v>
      </c>
      <c r="B211" s="533" t="s">
        <v>738</v>
      </c>
      <c r="C211" s="487" t="s">
        <v>739</v>
      </c>
      <c r="D211" s="487" t="s">
        <v>699</v>
      </c>
      <c r="E211" s="474">
        <v>125316.40000000001</v>
      </c>
      <c r="F211" s="1099"/>
      <c r="G211" s="484"/>
      <c r="H211" s="484"/>
      <c r="I211" s="484"/>
      <c r="J211" s="532"/>
      <c r="K211" s="532"/>
    </row>
    <row r="212" spans="1:11" s="508" customFormat="1" ht="15.75" customHeight="1">
      <c r="A212" s="479">
        <v>170</v>
      </c>
      <c r="B212" s="533" t="s">
        <v>740</v>
      </c>
      <c r="C212" s="487" t="s">
        <v>741</v>
      </c>
      <c r="D212" s="487" t="s">
        <v>699</v>
      </c>
      <c r="E212" s="474">
        <v>131885.6</v>
      </c>
      <c r="F212" s="1099"/>
      <c r="G212" s="484"/>
      <c r="H212" s="484"/>
      <c r="I212" s="484"/>
      <c r="J212" s="532"/>
      <c r="K212" s="532"/>
    </row>
    <row r="213" spans="1:11" s="508" customFormat="1" ht="15.75" customHeight="1">
      <c r="A213" s="479"/>
      <c r="B213" s="531" t="s">
        <v>742</v>
      </c>
      <c r="C213" s="487"/>
      <c r="D213" s="487"/>
      <c r="E213" s="474"/>
      <c r="F213" s="1099"/>
      <c r="G213" s="484"/>
      <c r="H213" s="484"/>
      <c r="I213" s="484"/>
      <c r="J213" s="532"/>
      <c r="K213" s="532"/>
    </row>
    <row r="214" spans="1:11" s="508" customFormat="1" ht="15.75" customHeight="1">
      <c r="A214" s="479">
        <v>171</v>
      </c>
      <c r="B214" s="533" t="s">
        <v>743</v>
      </c>
      <c r="C214" s="487" t="s">
        <v>744</v>
      </c>
      <c r="D214" s="487" t="s">
        <v>699</v>
      </c>
      <c r="E214" s="474">
        <v>136285.6</v>
      </c>
      <c r="F214" s="1099"/>
      <c r="G214" s="484"/>
      <c r="H214" s="484"/>
      <c r="I214" s="484"/>
      <c r="J214" s="532"/>
      <c r="K214" s="532"/>
    </row>
    <row r="215" spans="1:11" s="508" customFormat="1" ht="15.75" customHeight="1">
      <c r="A215" s="479">
        <v>172</v>
      </c>
      <c r="B215" s="533" t="s">
        <v>745</v>
      </c>
      <c r="C215" s="487" t="s">
        <v>746</v>
      </c>
      <c r="D215" s="487" t="s">
        <v>699</v>
      </c>
      <c r="E215" s="474">
        <v>140978.20000000001</v>
      </c>
      <c r="F215" s="1099"/>
      <c r="G215" s="484"/>
      <c r="H215" s="484"/>
      <c r="I215" s="484"/>
      <c r="J215" s="532"/>
      <c r="K215" s="532"/>
    </row>
    <row r="216" spans="1:11" s="508" customFormat="1" ht="15.75" customHeight="1">
      <c r="A216" s="479">
        <v>173</v>
      </c>
      <c r="B216" s="533" t="s">
        <v>747</v>
      </c>
      <c r="C216" s="487" t="s">
        <v>748</v>
      </c>
      <c r="D216" s="487" t="s">
        <v>699</v>
      </c>
      <c r="E216" s="474">
        <v>148009.40000000002</v>
      </c>
      <c r="F216" s="1099"/>
      <c r="G216" s="484"/>
      <c r="H216" s="484"/>
      <c r="I216" s="484"/>
      <c r="J216" s="532"/>
      <c r="K216" s="532"/>
    </row>
    <row r="217" spans="1:11" s="508" customFormat="1" ht="15.75" customHeight="1">
      <c r="A217" s="479">
        <v>174</v>
      </c>
      <c r="B217" s="533" t="s">
        <v>749</v>
      </c>
      <c r="C217" s="487" t="s">
        <v>750</v>
      </c>
      <c r="D217" s="487" t="s">
        <v>699</v>
      </c>
      <c r="E217" s="474">
        <v>151316</v>
      </c>
      <c r="F217" s="1099"/>
      <c r="G217" s="484"/>
      <c r="H217" s="484"/>
      <c r="I217" s="484"/>
      <c r="J217" s="532"/>
      <c r="K217" s="532"/>
    </row>
    <row r="218" spans="1:11" s="508" customFormat="1" ht="15.75" customHeight="1">
      <c r="A218" s="479">
        <v>175</v>
      </c>
      <c r="B218" s="533" t="s">
        <v>751</v>
      </c>
      <c r="C218" s="487" t="s">
        <v>752</v>
      </c>
      <c r="D218" s="487" t="s">
        <v>699</v>
      </c>
      <c r="E218" s="474">
        <v>157885.20000000001</v>
      </c>
      <c r="F218" s="1099"/>
      <c r="G218" s="484"/>
      <c r="H218" s="484"/>
      <c r="I218" s="484"/>
      <c r="J218" s="532"/>
      <c r="K218" s="532"/>
    </row>
    <row r="219" spans="1:11" s="508" customFormat="1" ht="15.75" customHeight="1">
      <c r="A219" s="479">
        <v>176</v>
      </c>
      <c r="B219" s="533" t="s">
        <v>753</v>
      </c>
      <c r="C219" s="487" t="s">
        <v>754</v>
      </c>
      <c r="D219" s="487" t="s">
        <v>699</v>
      </c>
      <c r="E219" s="474">
        <v>184037.7</v>
      </c>
      <c r="F219" s="1099"/>
      <c r="G219" s="484"/>
      <c r="H219" s="484"/>
      <c r="I219" s="484"/>
      <c r="J219" s="532"/>
      <c r="K219" s="532"/>
    </row>
    <row r="220" spans="1:11" s="508" customFormat="1" ht="17.5" customHeight="1">
      <c r="A220" s="534">
        <v>2</v>
      </c>
      <c r="B220" s="531" t="s">
        <v>755</v>
      </c>
      <c r="C220" s="487"/>
      <c r="D220" s="487"/>
      <c r="E220" s="511"/>
      <c r="F220" s="1099"/>
      <c r="G220" s="484"/>
      <c r="H220" s="484"/>
      <c r="I220" s="484"/>
      <c r="J220" s="485"/>
      <c r="K220" s="478"/>
    </row>
    <row r="221" spans="1:11" s="508" customFormat="1" ht="18" customHeight="1">
      <c r="A221" s="479">
        <v>177</v>
      </c>
      <c r="B221" s="533" t="s">
        <v>756</v>
      </c>
      <c r="C221" s="535" t="s">
        <v>757</v>
      </c>
      <c r="D221" s="487" t="s">
        <v>18</v>
      </c>
      <c r="E221" s="486">
        <v>33812.9</v>
      </c>
      <c r="F221" s="1099"/>
      <c r="G221" s="484"/>
      <c r="H221" s="484"/>
      <c r="I221" s="484"/>
      <c r="J221" s="485"/>
      <c r="K221" s="485"/>
    </row>
    <row r="222" spans="1:11" s="508" customFormat="1" ht="18" customHeight="1">
      <c r="A222" s="479">
        <v>178</v>
      </c>
      <c r="B222" s="533" t="s">
        <v>756</v>
      </c>
      <c r="C222" s="535" t="s">
        <v>758</v>
      </c>
      <c r="D222" s="487" t="s">
        <v>18</v>
      </c>
      <c r="E222" s="486">
        <v>45150.600000000006</v>
      </c>
      <c r="F222" s="1099"/>
      <c r="G222" s="484"/>
      <c r="H222" s="484"/>
      <c r="I222" s="484"/>
      <c r="J222" s="485"/>
      <c r="K222" s="485"/>
    </row>
    <row r="223" spans="1:11" s="508" customFormat="1" ht="18" customHeight="1">
      <c r="A223" s="479">
        <v>179</v>
      </c>
      <c r="B223" s="533" t="s">
        <v>756</v>
      </c>
      <c r="C223" s="535" t="s">
        <v>759</v>
      </c>
      <c r="D223" s="487" t="s">
        <v>18</v>
      </c>
      <c r="E223" s="486">
        <v>67626.900000000009</v>
      </c>
      <c r="F223" s="1099"/>
      <c r="G223" s="484"/>
      <c r="H223" s="484"/>
      <c r="I223" s="484"/>
      <c r="J223" s="485"/>
      <c r="K223" s="485"/>
    </row>
    <row r="224" spans="1:11" s="508" customFormat="1" ht="18" customHeight="1">
      <c r="A224" s="479">
        <v>180</v>
      </c>
      <c r="B224" s="533" t="s">
        <v>756</v>
      </c>
      <c r="C224" s="535" t="s">
        <v>760</v>
      </c>
      <c r="D224" s="487" t="s">
        <v>18</v>
      </c>
      <c r="E224" s="486">
        <v>135252.70000000001</v>
      </c>
      <c r="F224" s="1099"/>
      <c r="G224" s="484"/>
      <c r="H224" s="484"/>
      <c r="I224" s="484"/>
      <c r="J224" s="485"/>
      <c r="K224" s="485"/>
    </row>
    <row r="225" spans="1:11" s="508" customFormat="1" ht="15.75" customHeight="1">
      <c r="A225" s="495" t="s">
        <v>761</v>
      </c>
      <c r="B225" s="496" t="s">
        <v>762</v>
      </c>
      <c r="C225" s="527"/>
      <c r="D225" s="527"/>
      <c r="E225" s="498"/>
      <c r="F225" s="536"/>
      <c r="G225" s="477"/>
      <c r="H225" s="477"/>
      <c r="I225" s="477"/>
      <c r="J225" s="485"/>
      <c r="K225" s="478"/>
    </row>
    <row r="226" spans="1:11" s="508" customFormat="1" ht="15.75" customHeight="1">
      <c r="A226" s="509">
        <v>1</v>
      </c>
      <c r="B226" s="530" t="s">
        <v>763</v>
      </c>
      <c r="C226" s="487"/>
      <c r="D226" s="487"/>
      <c r="E226" s="511"/>
      <c r="F226" s="504"/>
      <c r="G226" s="484"/>
      <c r="H226" s="484"/>
      <c r="I226" s="484"/>
      <c r="J226" s="485"/>
      <c r="K226" s="478"/>
    </row>
    <row r="227" spans="1:11" s="512" customFormat="1" ht="15.75" customHeight="1">
      <c r="A227" s="479">
        <v>181</v>
      </c>
      <c r="B227" s="500" t="s">
        <v>764</v>
      </c>
      <c r="C227" s="481"/>
      <c r="D227" s="481" t="s">
        <v>439</v>
      </c>
      <c r="E227" s="482">
        <v>14063</v>
      </c>
      <c r="F227" s="1096" t="s">
        <v>450</v>
      </c>
      <c r="G227" s="537"/>
      <c r="H227" s="538"/>
      <c r="I227" s="538"/>
      <c r="J227" s="493"/>
      <c r="K227" s="494"/>
    </row>
    <row r="228" spans="1:11" s="512" customFormat="1" ht="15.75" customHeight="1">
      <c r="A228" s="479">
        <v>182</v>
      </c>
      <c r="B228" s="500" t="s">
        <v>765</v>
      </c>
      <c r="C228" s="481"/>
      <c r="D228" s="481" t="s">
        <v>439</v>
      </c>
      <c r="E228" s="482">
        <v>13407</v>
      </c>
      <c r="F228" s="1096"/>
      <c r="G228" s="537"/>
      <c r="H228" s="538"/>
      <c r="I228" s="538"/>
      <c r="J228" s="493"/>
      <c r="K228" s="494"/>
    </row>
    <row r="229" spans="1:11" s="512" customFormat="1" ht="15.75" customHeight="1">
      <c r="A229" s="479">
        <v>183</v>
      </c>
      <c r="B229" s="500" t="s">
        <v>766</v>
      </c>
      <c r="C229" s="481"/>
      <c r="D229" s="481" t="s">
        <v>439</v>
      </c>
      <c r="E229" s="482">
        <v>14300</v>
      </c>
      <c r="F229" s="1096"/>
      <c r="G229" s="537"/>
      <c r="H229" s="538"/>
      <c r="I229" s="538"/>
      <c r="J229" s="493"/>
      <c r="K229" s="494"/>
    </row>
    <row r="230" spans="1:11" s="512" customFormat="1" ht="15.75" customHeight="1">
      <c r="A230" s="479">
        <v>184</v>
      </c>
      <c r="B230" s="500" t="s">
        <v>767</v>
      </c>
      <c r="C230" s="481"/>
      <c r="D230" s="481" t="s">
        <v>439</v>
      </c>
      <c r="E230" s="482">
        <v>17999</v>
      </c>
      <c r="F230" s="1096"/>
      <c r="G230" s="537"/>
      <c r="H230" s="538"/>
      <c r="I230" s="538"/>
      <c r="J230" s="493"/>
      <c r="K230" s="494"/>
    </row>
    <row r="231" spans="1:11" s="508" customFormat="1" ht="15.75" customHeight="1">
      <c r="A231" s="509">
        <v>3</v>
      </c>
      <c r="B231" s="530" t="s">
        <v>768</v>
      </c>
      <c r="C231" s="487"/>
      <c r="D231" s="487"/>
      <c r="E231" s="511"/>
      <c r="F231" s="504"/>
      <c r="G231" s="484"/>
      <c r="H231" s="484"/>
      <c r="I231" s="484"/>
      <c r="J231" s="485"/>
      <c r="K231" s="478"/>
    </row>
    <row r="232" spans="1:11" s="508" customFormat="1">
      <c r="A232" s="479">
        <v>185</v>
      </c>
      <c r="B232" s="489" t="s">
        <v>769</v>
      </c>
      <c r="C232" s="487" t="s">
        <v>770</v>
      </c>
      <c r="D232" s="487" t="s">
        <v>439</v>
      </c>
      <c r="E232" s="474">
        <v>17000</v>
      </c>
      <c r="F232" s="504" t="s">
        <v>450</v>
      </c>
      <c r="G232" s="484"/>
      <c r="H232" s="484"/>
      <c r="I232" s="484"/>
      <c r="J232" s="485"/>
      <c r="K232" s="485"/>
    </row>
    <row r="233" spans="1:11" s="508" customFormat="1" ht="14.15" customHeight="1">
      <c r="A233" s="509">
        <v>4</v>
      </c>
      <c r="B233" s="530" t="s">
        <v>771</v>
      </c>
      <c r="C233" s="487"/>
      <c r="D233" s="487"/>
      <c r="E233" s="511"/>
      <c r="F233" s="1088" t="s">
        <v>772</v>
      </c>
      <c r="G233" s="484"/>
      <c r="H233" s="484"/>
      <c r="I233" s="484"/>
      <c r="J233" s="485"/>
      <c r="K233" s="478"/>
    </row>
    <row r="234" spans="1:11" s="508" customFormat="1">
      <c r="A234" s="479">
        <v>186</v>
      </c>
      <c r="B234" s="486" t="s">
        <v>773</v>
      </c>
      <c r="C234" s="487" t="s">
        <v>774</v>
      </c>
      <c r="D234" s="487" t="s">
        <v>439</v>
      </c>
      <c r="E234" s="474">
        <v>13090</v>
      </c>
      <c r="F234" s="1088"/>
      <c r="G234" s="484"/>
      <c r="H234" s="484"/>
      <c r="I234" s="484"/>
      <c r="J234" s="485"/>
      <c r="K234" s="485"/>
    </row>
    <row r="235" spans="1:11" s="508" customFormat="1">
      <c r="A235" s="479">
        <v>187</v>
      </c>
      <c r="B235" s="486" t="s">
        <v>775</v>
      </c>
      <c r="C235" s="487" t="s">
        <v>776</v>
      </c>
      <c r="D235" s="487" t="s">
        <v>439</v>
      </c>
      <c r="E235" s="474">
        <v>13240</v>
      </c>
      <c r="F235" s="1088"/>
      <c r="G235" s="484"/>
      <c r="H235" s="484"/>
      <c r="I235" s="484"/>
      <c r="J235" s="485"/>
      <c r="K235" s="485"/>
    </row>
    <row r="236" spans="1:11" s="508" customFormat="1">
      <c r="A236" s="479">
        <v>188</v>
      </c>
      <c r="B236" s="486" t="s">
        <v>777</v>
      </c>
      <c r="C236" s="487" t="s">
        <v>778</v>
      </c>
      <c r="D236" s="487" t="s">
        <v>439</v>
      </c>
      <c r="E236" s="474">
        <v>13090</v>
      </c>
      <c r="F236" s="1088"/>
      <c r="G236" s="484"/>
      <c r="H236" s="484"/>
      <c r="I236" s="484"/>
      <c r="J236" s="485"/>
      <c r="K236" s="485"/>
    </row>
    <row r="237" spans="1:11" s="508" customFormat="1">
      <c r="A237" s="479">
        <v>189</v>
      </c>
      <c r="B237" s="486" t="s">
        <v>779</v>
      </c>
      <c r="C237" s="487" t="s">
        <v>780</v>
      </c>
      <c r="D237" s="487" t="s">
        <v>439</v>
      </c>
      <c r="E237" s="474">
        <v>13090</v>
      </c>
      <c r="F237" s="1088"/>
      <c r="G237" s="484"/>
      <c r="H237" s="484"/>
      <c r="I237" s="484"/>
      <c r="J237" s="485"/>
      <c r="K237" s="485"/>
    </row>
    <row r="238" spans="1:11" s="508" customFormat="1">
      <c r="A238" s="479">
        <v>190</v>
      </c>
      <c r="B238" s="486" t="s">
        <v>775</v>
      </c>
      <c r="C238" s="487" t="s">
        <v>781</v>
      </c>
      <c r="D238" s="487" t="s">
        <v>439</v>
      </c>
      <c r="E238" s="474">
        <v>13365</v>
      </c>
      <c r="F238" s="1088"/>
      <c r="G238" s="484"/>
      <c r="H238" s="484"/>
      <c r="I238" s="484"/>
      <c r="J238" s="485"/>
      <c r="K238" s="485"/>
    </row>
    <row r="239" spans="1:11" s="508" customFormat="1">
      <c r="A239" s="479">
        <v>191</v>
      </c>
      <c r="B239" s="486" t="s">
        <v>779</v>
      </c>
      <c r="C239" s="487" t="s">
        <v>781</v>
      </c>
      <c r="D239" s="487" t="s">
        <v>439</v>
      </c>
      <c r="E239" s="474">
        <v>13200</v>
      </c>
      <c r="F239" s="1088"/>
      <c r="G239" s="484"/>
      <c r="H239" s="484"/>
      <c r="I239" s="484"/>
      <c r="J239" s="485"/>
      <c r="K239" s="485"/>
    </row>
    <row r="240" spans="1:11" s="508" customFormat="1" ht="14.15" customHeight="1">
      <c r="A240" s="509">
        <v>5</v>
      </c>
      <c r="B240" s="530" t="s">
        <v>782</v>
      </c>
      <c r="C240" s="487"/>
      <c r="D240" s="487"/>
      <c r="E240" s="474"/>
      <c r="F240" s="503"/>
      <c r="G240" s="484"/>
      <c r="H240" s="484"/>
      <c r="I240" s="484"/>
      <c r="J240" s="485"/>
      <c r="K240" s="478"/>
    </row>
    <row r="241" spans="1:11" s="512" customFormat="1" ht="14.15" customHeight="1">
      <c r="A241" s="479">
        <v>192</v>
      </c>
      <c r="B241" s="500" t="s">
        <v>783</v>
      </c>
      <c r="C241" s="481" t="s">
        <v>784</v>
      </c>
      <c r="D241" s="481" t="s">
        <v>439</v>
      </c>
      <c r="E241" s="482">
        <v>14100</v>
      </c>
      <c r="F241" s="1095" t="s">
        <v>696</v>
      </c>
      <c r="G241" s="477">
        <v>14750</v>
      </c>
      <c r="H241" s="484"/>
      <c r="I241" s="484"/>
      <c r="J241" s="529"/>
      <c r="K241" s="493"/>
    </row>
    <row r="242" spans="1:11" s="512" customFormat="1" ht="15.75" customHeight="1">
      <c r="A242" s="479">
        <v>193</v>
      </c>
      <c r="B242" s="500" t="s">
        <v>785</v>
      </c>
      <c r="C242" s="481" t="s">
        <v>786</v>
      </c>
      <c r="D242" s="481" t="s">
        <v>439</v>
      </c>
      <c r="E242" s="482">
        <v>14050</v>
      </c>
      <c r="F242" s="1095"/>
      <c r="G242" s="477">
        <v>14450</v>
      </c>
      <c r="H242" s="484"/>
      <c r="I242" s="484"/>
      <c r="J242" s="529"/>
      <c r="K242" s="493"/>
    </row>
    <row r="243" spans="1:11" s="512" customFormat="1" ht="15.75" customHeight="1">
      <c r="A243" s="479">
        <v>194</v>
      </c>
      <c r="B243" s="500" t="s">
        <v>785</v>
      </c>
      <c r="C243" s="481" t="s">
        <v>780</v>
      </c>
      <c r="D243" s="481" t="s">
        <v>439</v>
      </c>
      <c r="E243" s="482">
        <v>14435</v>
      </c>
      <c r="F243" s="1095"/>
      <c r="G243" s="477">
        <v>15275</v>
      </c>
      <c r="H243" s="484"/>
      <c r="I243" s="484"/>
      <c r="J243" s="529"/>
      <c r="K243" s="493"/>
    </row>
    <row r="244" spans="1:11" s="512" customFormat="1" ht="15.75" customHeight="1">
      <c r="A244" s="479">
        <v>195</v>
      </c>
      <c r="B244" s="500" t="s">
        <v>787</v>
      </c>
      <c r="C244" s="481" t="s">
        <v>778</v>
      </c>
      <c r="D244" s="481" t="s">
        <v>439</v>
      </c>
      <c r="E244" s="482">
        <v>14000</v>
      </c>
      <c r="F244" s="1095"/>
      <c r="G244" s="477">
        <v>14300</v>
      </c>
      <c r="H244" s="484"/>
      <c r="I244" s="484"/>
      <c r="J244" s="529"/>
      <c r="K244" s="493"/>
    </row>
    <row r="245" spans="1:11" s="512" customFormat="1" ht="15.75" customHeight="1">
      <c r="A245" s="479">
        <v>196</v>
      </c>
      <c r="B245" s="500" t="s">
        <v>787</v>
      </c>
      <c r="C245" s="481" t="s">
        <v>780</v>
      </c>
      <c r="D245" s="481" t="s">
        <v>439</v>
      </c>
      <c r="E245" s="539">
        <v>14385</v>
      </c>
      <c r="F245" s="1095"/>
      <c r="G245" s="477">
        <v>15125</v>
      </c>
      <c r="H245" s="484"/>
      <c r="I245" s="484"/>
      <c r="J245" s="529"/>
      <c r="K245" s="493"/>
    </row>
    <row r="246" spans="1:11" s="512" customFormat="1" ht="15.75" customHeight="1">
      <c r="A246" s="479">
        <v>197</v>
      </c>
      <c r="B246" s="500" t="s">
        <v>788</v>
      </c>
      <c r="C246" s="481" t="s">
        <v>778</v>
      </c>
      <c r="D246" s="481" t="s">
        <v>439</v>
      </c>
      <c r="E246" s="482">
        <v>13900</v>
      </c>
      <c r="F246" s="1095"/>
      <c r="G246" s="477">
        <v>14200</v>
      </c>
      <c r="H246" s="484"/>
      <c r="I246" s="484"/>
      <c r="J246" s="529"/>
      <c r="K246" s="493"/>
    </row>
    <row r="247" spans="1:11" s="508" customFormat="1">
      <c r="A247" s="479">
        <v>198</v>
      </c>
      <c r="B247" s="489" t="s">
        <v>789</v>
      </c>
      <c r="C247" s="487" t="s">
        <v>780</v>
      </c>
      <c r="D247" s="487" t="s">
        <v>439</v>
      </c>
      <c r="E247" s="474">
        <v>14285</v>
      </c>
      <c r="F247" s="1095"/>
      <c r="G247" s="477">
        <v>15025</v>
      </c>
      <c r="H247" s="484"/>
      <c r="I247" s="484"/>
      <c r="J247" s="477"/>
      <c r="K247" s="485"/>
    </row>
    <row r="248" spans="1:11" s="508" customFormat="1" ht="15.75" customHeight="1">
      <c r="A248" s="495" t="s">
        <v>790</v>
      </c>
      <c r="B248" s="496" t="s">
        <v>791</v>
      </c>
      <c r="C248" s="527"/>
      <c r="D248" s="527"/>
      <c r="E248" s="527"/>
      <c r="F248" s="1095"/>
      <c r="G248" s="484"/>
      <c r="H248" s="484"/>
      <c r="I248" s="484"/>
      <c r="J248" s="485"/>
      <c r="K248" s="478"/>
    </row>
    <row r="249" spans="1:11" s="508" customFormat="1" ht="15.75" customHeight="1">
      <c r="A249" s="479">
        <v>199</v>
      </c>
      <c r="B249" s="486" t="s">
        <v>792</v>
      </c>
      <c r="C249" s="487" t="s">
        <v>793</v>
      </c>
      <c r="D249" s="487" t="s">
        <v>699</v>
      </c>
      <c r="E249" s="474">
        <v>47000</v>
      </c>
      <c r="F249" s="1095"/>
      <c r="G249" s="477"/>
      <c r="H249" s="484"/>
      <c r="I249" s="484"/>
      <c r="J249" s="485"/>
      <c r="K249" s="485"/>
    </row>
    <row r="250" spans="1:11" s="508" customFormat="1">
      <c r="A250" s="479">
        <v>200</v>
      </c>
      <c r="B250" s="486" t="s">
        <v>794</v>
      </c>
      <c r="C250" s="487" t="s">
        <v>793</v>
      </c>
      <c r="D250" s="487" t="s">
        <v>699</v>
      </c>
      <c r="E250" s="474">
        <v>52000</v>
      </c>
      <c r="F250" s="1095"/>
      <c r="G250" s="477"/>
      <c r="H250" s="484"/>
      <c r="I250" s="484"/>
      <c r="J250" s="485"/>
      <c r="K250" s="485"/>
    </row>
    <row r="251" spans="1:11" s="508" customFormat="1">
      <c r="A251" s="479">
        <v>201</v>
      </c>
      <c r="B251" s="486" t="s">
        <v>795</v>
      </c>
      <c r="C251" s="487" t="s">
        <v>793</v>
      </c>
      <c r="D251" s="487" t="s">
        <v>699</v>
      </c>
      <c r="E251" s="474">
        <v>52000</v>
      </c>
      <c r="F251" s="1095"/>
      <c r="G251" s="477"/>
      <c r="H251" s="484"/>
      <c r="I251" s="484"/>
      <c r="J251" s="485"/>
      <c r="K251" s="485"/>
    </row>
    <row r="252" spans="1:11" s="508" customFormat="1" ht="17.25" customHeight="1">
      <c r="A252" s="479">
        <v>202</v>
      </c>
      <c r="B252" s="486" t="s">
        <v>796</v>
      </c>
      <c r="C252" s="487" t="s">
        <v>793</v>
      </c>
      <c r="D252" s="487" t="s">
        <v>699</v>
      </c>
      <c r="E252" s="474">
        <v>55000</v>
      </c>
      <c r="F252" s="1095"/>
      <c r="G252" s="477"/>
      <c r="H252" s="484"/>
      <c r="I252" s="484"/>
      <c r="J252" s="485"/>
      <c r="K252" s="485"/>
    </row>
    <row r="253" spans="1:11" s="508" customFormat="1">
      <c r="A253" s="479">
        <v>203</v>
      </c>
      <c r="B253" s="486" t="s">
        <v>797</v>
      </c>
      <c r="C253" s="487" t="s">
        <v>793</v>
      </c>
      <c r="D253" s="487" t="s">
        <v>699</v>
      </c>
      <c r="E253" s="474">
        <v>62000</v>
      </c>
      <c r="F253" s="1095"/>
      <c r="G253" s="477"/>
      <c r="H253" s="540"/>
      <c r="I253" s="484"/>
      <c r="J253" s="485"/>
      <c r="K253" s="485"/>
    </row>
    <row r="254" spans="1:11" s="508" customFormat="1" ht="17.25" customHeight="1">
      <c r="A254" s="479">
        <v>204</v>
      </c>
      <c r="B254" s="486" t="s">
        <v>798</v>
      </c>
      <c r="C254" s="487" t="s">
        <v>793</v>
      </c>
      <c r="D254" s="487" t="s">
        <v>699</v>
      </c>
      <c r="E254" s="474">
        <v>64000</v>
      </c>
      <c r="F254" s="1095"/>
      <c r="G254" s="477"/>
      <c r="H254" s="540"/>
      <c r="I254" s="484"/>
      <c r="J254" s="485"/>
      <c r="K254" s="485"/>
    </row>
    <row r="255" spans="1:11" s="508" customFormat="1" ht="18" customHeight="1">
      <c r="A255" s="479">
        <v>205</v>
      </c>
      <c r="B255" s="486" t="s">
        <v>799</v>
      </c>
      <c r="C255" s="487" t="s">
        <v>793</v>
      </c>
      <c r="D255" s="487" t="s">
        <v>699</v>
      </c>
      <c r="E255" s="474">
        <v>68000</v>
      </c>
      <c r="F255" s="1095"/>
      <c r="G255" s="477"/>
      <c r="H255" s="540"/>
      <c r="I255" s="484"/>
      <c r="J255" s="485"/>
      <c r="K255" s="485"/>
    </row>
    <row r="256" spans="1:11" s="508" customFormat="1" ht="13.5" customHeight="1">
      <c r="A256" s="479">
        <v>206</v>
      </c>
      <c r="B256" s="486" t="s">
        <v>800</v>
      </c>
      <c r="C256" s="487" t="s">
        <v>793</v>
      </c>
      <c r="D256" s="487" t="s">
        <v>699</v>
      </c>
      <c r="E256" s="474">
        <v>76000</v>
      </c>
      <c r="F256" s="1095"/>
      <c r="G256" s="477"/>
      <c r="H256" s="540"/>
      <c r="I256" s="484"/>
      <c r="J256" s="485"/>
      <c r="K256" s="485"/>
    </row>
    <row r="257" spans="1:11" s="508" customFormat="1">
      <c r="A257" s="479">
        <v>207</v>
      </c>
      <c r="B257" s="486" t="s">
        <v>801</v>
      </c>
      <c r="C257" s="487" t="s">
        <v>793</v>
      </c>
      <c r="D257" s="487" t="s">
        <v>699</v>
      </c>
      <c r="E257" s="474">
        <v>79000</v>
      </c>
      <c r="F257" s="1095"/>
      <c r="G257" s="477"/>
      <c r="H257" s="540"/>
      <c r="I257" s="484"/>
      <c r="J257" s="485"/>
      <c r="K257" s="485"/>
    </row>
    <row r="258" spans="1:11" s="508" customFormat="1">
      <c r="A258" s="479">
        <v>208</v>
      </c>
      <c r="B258" s="486" t="s">
        <v>802</v>
      </c>
      <c r="C258" s="487" t="s">
        <v>793</v>
      </c>
      <c r="D258" s="487" t="s">
        <v>699</v>
      </c>
      <c r="E258" s="474">
        <v>104000</v>
      </c>
      <c r="F258" s="1095"/>
      <c r="G258" s="477"/>
      <c r="H258" s="540"/>
      <c r="I258" s="484"/>
      <c r="J258" s="485"/>
      <c r="K258" s="485"/>
    </row>
    <row r="259" spans="1:11" s="542" customFormat="1" ht="15.75" customHeight="1">
      <c r="A259" s="495" t="s">
        <v>803</v>
      </c>
      <c r="B259" s="505" t="s">
        <v>804</v>
      </c>
      <c r="C259" s="527"/>
      <c r="D259" s="527"/>
      <c r="E259" s="527"/>
      <c r="F259" s="1095"/>
      <c r="G259" s="484"/>
      <c r="H259" s="484"/>
      <c r="I259" s="484"/>
      <c r="J259" s="485"/>
      <c r="K259" s="541"/>
    </row>
    <row r="260" spans="1:11" s="542" customFormat="1">
      <c r="A260" s="479">
        <v>209</v>
      </c>
      <c r="B260" s="486" t="s">
        <v>805</v>
      </c>
      <c r="C260" s="487" t="s">
        <v>806</v>
      </c>
      <c r="D260" s="487" t="s">
        <v>439</v>
      </c>
      <c r="E260" s="474">
        <v>18800</v>
      </c>
      <c r="F260" s="1095"/>
      <c r="G260" s="477"/>
      <c r="H260" s="484"/>
      <c r="I260" s="484"/>
      <c r="J260" s="485"/>
      <c r="K260" s="485"/>
    </row>
    <row r="261" spans="1:11" s="542" customFormat="1">
      <c r="A261" s="479">
        <v>210</v>
      </c>
      <c r="B261" s="486" t="s">
        <v>807</v>
      </c>
      <c r="C261" s="487" t="s">
        <v>806</v>
      </c>
      <c r="D261" s="487" t="s">
        <v>439</v>
      </c>
      <c r="E261" s="474">
        <v>19000</v>
      </c>
      <c r="F261" s="1095"/>
      <c r="G261" s="477">
        <v>18700</v>
      </c>
      <c r="H261" s="484"/>
      <c r="I261" s="484"/>
      <c r="J261" s="485"/>
      <c r="K261" s="485"/>
    </row>
    <row r="262" spans="1:11" s="547" customFormat="1" ht="15.75" customHeight="1">
      <c r="A262" s="495" t="s">
        <v>808</v>
      </c>
      <c r="B262" s="543" t="s">
        <v>809</v>
      </c>
      <c r="C262" s="544"/>
      <c r="D262" s="545"/>
      <c r="E262" s="546"/>
      <c r="F262" s="499"/>
      <c r="G262" s="477"/>
      <c r="H262" s="477"/>
      <c r="I262" s="477"/>
      <c r="J262" s="501"/>
      <c r="K262" s="485"/>
    </row>
    <row r="263" spans="1:11" s="542" customFormat="1" ht="39.75" customHeight="1">
      <c r="A263" s="479">
        <v>211</v>
      </c>
      <c r="B263" s="548" t="s">
        <v>810</v>
      </c>
      <c r="C263" s="1097" t="s">
        <v>811</v>
      </c>
      <c r="D263" s="549" t="s">
        <v>439</v>
      </c>
      <c r="E263" s="474">
        <v>19580</v>
      </c>
      <c r="F263" s="1088" t="s">
        <v>812</v>
      </c>
      <c r="G263" s="477">
        <v>19140</v>
      </c>
      <c r="H263" s="477"/>
      <c r="I263" s="484">
        <v>1.1000000000000001</v>
      </c>
      <c r="J263" s="477">
        <v>17800</v>
      </c>
      <c r="K263" s="485"/>
    </row>
    <row r="264" spans="1:11" s="542" customFormat="1" ht="39.75" customHeight="1">
      <c r="A264" s="479">
        <v>212</v>
      </c>
      <c r="B264" s="548" t="s">
        <v>813</v>
      </c>
      <c r="C264" s="1097"/>
      <c r="D264" s="549" t="s">
        <v>439</v>
      </c>
      <c r="E264" s="474">
        <v>19580</v>
      </c>
      <c r="F264" s="1088"/>
      <c r="G264" s="477">
        <v>19140</v>
      </c>
      <c r="H264" s="477"/>
      <c r="I264" s="484"/>
      <c r="J264" s="477">
        <v>17800</v>
      </c>
      <c r="K264" s="485"/>
    </row>
    <row r="265" spans="1:11" s="542" customFormat="1" ht="39.75" customHeight="1">
      <c r="A265" s="479">
        <v>213</v>
      </c>
      <c r="B265" s="548" t="s">
        <v>814</v>
      </c>
      <c r="C265" s="1097"/>
      <c r="D265" s="549" t="s">
        <v>439</v>
      </c>
      <c r="E265" s="474">
        <v>19250</v>
      </c>
      <c r="F265" s="1088"/>
      <c r="G265" s="477">
        <v>18810</v>
      </c>
      <c r="H265" s="477"/>
      <c r="I265" s="484"/>
      <c r="J265" s="477">
        <v>17500</v>
      </c>
      <c r="K265" s="485"/>
    </row>
    <row r="266" spans="1:11" s="542" customFormat="1" ht="30" customHeight="1">
      <c r="A266" s="479">
        <v>214</v>
      </c>
      <c r="B266" s="548" t="s">
        <v>815</v>
      </c>
      <c r="C266" s="1097"/>
      <c r="D266" s="549" t="s">
        <v>439</v>
      </c>
      <c r="E266" s="474">
        <v>19250</v>
      </c>
      <c r="F266" s="1088"/>
      <c r="G266" s="477">
        <v>18810</v>
      </c>
      <c r="H266" s="477"/>
      <c r="I266" s="484"/>
      <c r="J266" s="477">
        <v>17500</v>
      </c>
      <c r="K266" s="485"/>
    </row>
    <row r="267" spans="1:11" s="542" customFormat="1" ht="27">
      <c r="A267" s="479">
        <v>215</v>
      </c>
      <c r="B267" s="548" t="s">
        <v>816</v>
      </c>
      <c r="C267" s="1097"/>
      <c r="D267" s="549" t="s">
        <v>439</v>
      </c>
      <c r="E267" s="474">
        <v>20350</v>
      </c>
      <c r="F267" s="1088"/>
      <c r="G267" s="477">
        <v>19910</v>
      </c>
      <c r="H267" s="477"/>
      <c r="I267" s="484"/>
      <c r="J267" s="477">
        <v>18500</v>
      </c>
      <c r="K267" s="485"/>
    </row>
    <row r="268" spans="1:11" s="547" customFormat="1" ht="15.75" customHeight="1">
      <c r="A268" s="495" t="s">
        <v>12</v>
      </c>
      <c r="B268" s="543" t="s">
        <v>817</v>
      </c>
      <c r="C268" s="544"/>
      <c r="D268" s="545"/>
      <c r="E268" s="546"/>
      <c r="F268" s="499"/>
      <c r="G268" s="477"/>
      <c r="H268" s="477"/>
      <c r="I268" s="477"/>
      <c r="J268" s="501"/>
      <c r="K268" s="485"/>
    </row>
    <row r="269" spans="1:11" s="542" customFormat="1">
      <c r="A269" s="479">
        <v>216</v>
      </c>
      <c r="B269" s="548" t="s">
        <v>818</v>
      </c>
      <c r="C269" s="550"/>
      <c r="D269" s="549" t="s">
        <v>819</v>
      </c>
      <c r="E269" s="474">
        <v>7000</v>
      </c>
      <c r="F269" s="1088" t="s">
        <v>450</v>
      </c>
      <c r="G269" s="477"/>
      <c r="H269" s="477"/>
      <c r="I269" s="484"/>
      <c r="J269" s="477"/>
      <c r="K269" s="485"/>
    </row>
    <row r="270" spans="1:11" s="542" customFormat="1">
      <c r="A270" s="479">
        <v>217</v>
      </c>
      <c r="B270" s="548" t="s">
        <v>820</v>
      </c>
      <c r="C270" s="550"/>
      <c r="D270" s="549" t="s">
        <v>819</v>
      </c>
      <c r="E270" s="474">
        <v>8000</v>
      </c>
      <c r="F270" s="1088"/>
      <c r="G270" s="477"/>
      <c r="H270" s="477"/>
      <c r="I270" s="484"/>
      <c r="J270" s="477"/>
      <c r="K270" s="485"/>
    </row>
    <row r="271" spans="1:11" s="542" customFormat="1">
      <c r="A271" s="479">
        <v>218</v>
      </c>
      <c r="B271" s="548" t="s">
        <v>821</v>
      </c>
      <c r="C271" s="551"/>
      <c r="D271" s="549" t="s">
        <v>819</v>
      </c>
      <c r="E271" s="474">
        <v>12000</v>
      </c>
      <c r="F271" s="1088"/>
      <c r="G271" s="477"/>
      <c r="H271" s="477"/>
      <c r="I271" s="484"/>
      <c r="J271" s="477"/>
      <c r="K271" s="485"/>
    </row>
    <row r="272" spans="1:11" s="542" customFormat="1">
      <c r="A272" s="479">
        <v>219</v>
      </c>
      <c r="B272" s="548" t="s">
        <v>822</v>
      </c>
      <c r="C272" s="551"/>
      <c r="D272" s="549" t="s">
        <v>819</v>
      </c>
      <c r="E272" s="474">
        <v>14000</v>
      </c>
      <c r="F272" s="1088"/>
      <c r="G272" s="477"/>
      <c r="H272" s="477"/>
      <c r="I272" s="484"/>
      <c r="J272" s="477"/>
      <c r="K272" s="485"/>
    </row>
    <row r="273" spans="1:11" s="542" customFormat="1">
      <c r="A273" s="479">
        <v>220</v>
      </c>
      <c r="B273" s="548" t="s">
        <v>823</v>
      </c>
      <c r="C273" s="551"/>
      <c r="D273" s="549" t="s">
        <v>819</v>
      </c>
      <c r="E273" s="474">
        <v>30000</v>
      </c>
      <c r="F273" s="1088"/>
      <c r="G273" s="477"/>
      <c r="H273" s="477"/>
      <c r="I273" s="484"/>
      <c r="J273" s="477"/>
      <c r="K273" s="485"/>
    </row>
    <row r="274" spans="1:11" s="542" customFormat="1">
      <c r="A274" s="479">
        <v>221</v>
      </c>
      <c r="B274" s="548" t="s">
        <v>824</v>
      </c>
      <c r="C274" s="551"/>
      <c r="D274" s="549" t="s">
        <v>819</v>
      </c>
      <c r="E274" s="474">
        <v>35000</v>
      </c>
      <c r="F274" s="1088"/>
      <c r="G274" s="477"/>
      <c r="H274" s="477"/>
      <c r="I274" s="484"/>
      <c r="J274" s="477"/>
      <c r="K274" s="485"/>
    </row>
    <row r="275" spans="1:11" s="542" customFormat="1" ht="15.75" customHeight="1">
      <c r="A275" s="476" t="s">
        <v>825</v>
      </c>
      <c r="B275" s="1090" t="s">
        <v>826</v>
      </c>
      <c r="C275" s="1090"/>
      <c r="D275" s="1090"/>
      <c r="E275" s="1090"/>
      <c r="F275" s="1091"/>
      <c r="G275" s="477"/>
      <c r="H275" s="477"/>
      <c r="I275" s="477"/>
      <c r="J275" s="485"/>
      <c r="K275" s="541"/>
    </row>
    <row r="276" spans="1:11" s="542" customFormat="1" ht="15" customHeight="1">
      <c r="A276" s="495" t="s">
        <v>367</v>
      </c>
      <c r="B276" s="1098" t="s">
        <v>827</v>
      </c>
      <c r="C276" s="1098"/>
      <c r="D276" s="1098"/>
      <c r="E276" s="1098"/>
      <c r="F276" s="1103"/>
      <c r="G276" s="477"/>
      <c r="H276" s="477"/>
      <c r="I276" s="477"/>
      <c r="J276" s="485"/>
      <c r="K276" s="541"/>
    </row>
    <row r="277" spans="1:11" s="542" customFormat="1" ht="23.25" customHeight="1">
      <c r="A277" s="534" t="s">
        <v>12</v>
      </c>
      <c r="B277" s="1101" t="s">
        <v>828</v>
      </c>
      <c r="C277" s="1101"/>
      <c r="D277" s="1101"/>
      <c r="E277" s="1101"/>
      <c r="F277" s="1095" t="s">
        <v>829</v>
      </c>
      <c r="G277" s="477"/>
      <c r="H277" s="477"/>
      <c r="I277" s="477"/>
      <c r="J277" s="485"/>
      <c r="K277" s="541"/>
    </row>
    <row r="278" spans="1:11" s="542" customFormat="1" ht="15.75" customHeight="1">
      <c r="A278" s="479">
        <v>222</v>
      </c>
      <c r="B278" s="1102" t="s">
        <v>830</v>
      </c>
      <c r="C278" s="1102"/>
      <c r="D278" s="549" t="s">
        <v>585</v>
      </c>
      <c r="E278" s="474">
        <v>2018000</v>
      </c>
      <c r="F278" s="1095"/>
      <c r="G278" s="484"/>
      <c r="H278" s="484"/>
      <c r="I278" s="484"/>
      <c r="J278" s="485"/>
      <c r="K278" s="485"/>
    </row>
    <row r="279" spans="1:11" s="542" customFormat="1" ht="26.25" customHeight="1">
      <c r="A279" s="479">
        <v>223</v>
      </c>
      <c r="B279" s="1102" t="s">
        <v>831</v>
      </c>
      <c r="C279" s="1102"/>
      <c r="D279" s="549" t="s">
        <v>585</v>
      </c>
      <c r="E279" s="474">
        <v>2879000</v>
      </c>
      <c r="F279" s="1095"/>
      <c r="G279" s="484"/>
      <c r="H279" s="484"/>
      <c r="I279" s="484"/>
      <c r="J279" s="485"/>
      <c r="K279" s="485"/>
    </row>
    <row r="280" spans="1:11" s="542" customFormat="1" ht="34.5" customHeight="1">
      <c r="A280" s="479">
        <v>224</v>
      </c>
      <c r="B280" s="1102" t="s">
        <v>832</v>
      </c>
      <c r="C280" s="1102"/>
      <c r="D280" s="549" t="s">
        <v>585</v>
      </c>
      <c r="E280" s="474">
        <v>2904000</v>
      </c>
      <c r="F280" s="1095"/>
      <c r="G280" s="484"/>
      <c r="H280" s="484"/>
      <c r="I280" s="484"/>
      <c r="J280" s="485"/>
      <c r="K280" s="485"/>
    </row>
    <row r="281" spans="1:11" s="542" customFormat="1" ht="26.25" customHeight="1">
      <c r="A281" s="479">
        <v>225</v>
      </c>
      <c r="B281" s="1102" t="s">
        <v>833</v>
      </c>
      <c r="C281" s="1102"/>
      <c r="D281" s="549" t="s">
        <v>585</v>
      </c>
      <c r="E281" s="474">
        <v>2950000</v>
      </c>
      <c r="F281" s="1095"/>
      <c r="G281" s="484"/>
      <c r="H281" s="484"/>
      <c r="I281" s="484"/>
      <c r="J281" s="485"/>
      <c r="K281" s="541"/>
    </row>
    <row r="282" spans="1:11" s="542" customFormat="1" ht="27.75" customHeight="1">
      <c r="A282" s="479">
        <v>226</v>
      </c>
      <c r="B282" s="1102" t="s">
        <v>834</v>
      </c>
      <c r="C282" s="1102"/>
      <c r="D282" s="549" t="s">
        <v>585</v>
      </c>
      <c r="E282" s="474">
        <v>2980000</v>
      </c>
      <c r="F282" s="1095"/>
      <c r="G282" s="484"/>
      <c r="H282" s="484"/>
      <c r="I282" s="484"/>
      <c r="J282" s="485"/>
      <c r="K282" s="485"/>
    </row>
    <row r="283" spans="1:11" s="542" customFormat="1" ht="37.5" customHeight="1">
      <c r="A283" s="479">
        <v>227</v>
      </c>
      <c r="B283" s="1102" t="s">
        <v>835</v>
      </c>
      <c r="C283" s="1102"/>
      <c r="D283" s="549" t="s">
        <v>585</v>
      </c>
      <c r="E283" s="474">
        <v>2991000</v>
      </c>
      <c r="F283" s="1095"/>
      <c r="G283" s="484"/>
      <c r="H283" s="484"/>
      <c r="I283" s="484"/>
      <c r="J283" s="485"/>
      <c r="K283" s="485"/>
    </row>
    <row r="284" spans="1:11" s="542" customFormat="1" ht="24" customHeight="1">
      <c r="A284" s="509" t="s">
        <v>20</v>
      </c>
      <c r="B284" s="1101" t="s">
        <v>836</v>
      </c>
      <c r="C284" s="1101"/>
      <c r="D284" s="1101"/>
      <c r="E284" s="1101"/>
      <c r="F284" s="1095"/>
      <c r="G284" s="484"/>
      <c r="H284" s="484"/>
      <c r="I284" s="484"/>
      <c r="J284" s="485"/>
      <c r="K284" s="485"/>
    </row>
    <row r="285" spans="1:11" s="542" customFormat="1" ht="22.5" customHeight="1">
      <c r="A285" s="479">
        <v>228</v>
      </c>
      <c r="B285" s="1102" t="s">
        <v>837</v>
      </c>
      <c r="C285" s="1102"/>
      <c r="D285" s="549" t="s">
        <v>585</v>
      </c>
      <c r="E285" s="474">
        <v>2349920</v>
      </c>
      <c r="F285" s="1095"/>
      <c r="G285" s="484"/>
      <c r="H285" s="484"/>
      <c r="I285" s="484"/>
      <c r="J285" s="485"/>
      <c r="K285" s="485"/>
    </row>
    <row r="286" spans="1:11" s="542" customFormat="1" ht="46.5" customHeight="1">
      <c r="A286" s="479">
        <v>229</v>
      </c>
      <c r="B286" s="1102" t="s">
        <v>838</v>
      </c>
      <c r="C286" s="1102"/>
      <c r="D286" s="549" t="s">
        <v>585</v>
      </c>
      <c r="E286" s="474">
        <v>2984000</v>
      </c>
      <c r="F286" s="1095"/>
      <c r="G286" s="484"/>
      <c r="H286" s="484"/>
      <c r="I286" s="484"/>
      <c r="J286" s="485"/>
      <c r="K286" s="485"/>
    </row>
    <row r="287" spans="1:11" s="542" customFormat="1" ht="56.25" customHeight="1">
      <c r="A287" s="479">
        <v>230</v>
      </c>
      <c r="B287" s="1102" t="s">
        <v>839</v>
      </c>
      <c r="C287" s="1102"/>
      <c r="D287" s="549" t="s">
        <v>585</v>
      </c>
      <c r="E287" s="474">
        <v>2995000</v>
      </c>
      <c r="F287" s="1095"/>
      <c r="G287" s="484"/>
      <c r="H287" s="484"/>
      <c r="I287" s="484"/>
      <c r="J287" s="485"/>
      <c r="K287" s="485"/>
    </row>
    <row r="288" spans="1:11" s="542" customFormat="1" ht="26.25" customHeight="1">
      <c r="A288" s="479">
        <v>231</v>
      </c>
      <c r="B288" s="1102" t="s">
        <v>840</v>
      </c>
      <c r="C288" s="1102"/>
      <c r="D288" s="549" t="s">
        <v>585</v>
      </c>
      <c r="E288" s="474">
        <v>3328200</v>
      </c>
      <c r="F288" s="1095"/>
      <c r="G288" s="484"/>
      <c r="H288" s="484"/>
      <c r="I288" s="484"/>
      <c r="J288" s="485"/>
      <c r="K288" s="485"/>
    </row>
    <row r="289" spans="1:11" s="542" customFormat="1" ht="35.25" customHeight="1">
      <c r="A289" s="479">
        <v>232</v>
      </c>
      <c r="B289" s="1102" t="s">
        <v>841</v>
      </c>
      <c r="C289" s="1102"/>
      <c r="D289" s="549" t="s">
        <v>585</v>
      </c>
      <c r="E289" s="474">
        <v>3376296</v>
      </c>
      <c r="F289" s="1095"/>
      <c r="G289" s="484"/>
      <c r="H289" s="484"/>
      <c r="I289" s="484"/>
      <c r="J289" s="485"/>
      <c r="K289" s="485"/>
    </row>
    <row r="290" spans="1:11" s="542" customFormat="1" ht="35.25" customHeight="1">
      <c r="A290" s="479">
        <v>233</v>
      </c>
      <c r="B290" s="1102" t="s">
        <v>842</v>
      </c>
      <c r="C290" s="1102"/>
      <c r="D290" s="549" t="s">
        <v>585</v>
      </c>
      <c r="E290" s="474">
        <v>3423600</v>
      </c>
      <c r="F290" s="1095"/>
      <c r="G290" s="484"/>
      <c r="H290" s="484"/>
      <c r="I290" s="484"/>
      <c r="J290" s="485"/>
      <c r="K290" s="485"/>
    </row>
    <row r="291" spans="1:11" s="542" customFormat="1" ht="37.5" customHeight="1">
      <c r="A291" s="479">
        <v>234</v>
      </c>
      <c r="B291" s="1102" t="s">
        <v>843</v>
      </c>
      <c r="C291" s="1102"/>
      <c r="D291" s="549" t="s">
        <v>585</v>
      </c>
      <c r="E291" s="474">
        <v>3471300</v>
      </c>
      <c r="F291" s="1095"/>
      <c r="G291" s="484"/>
      <c r="H291" s="484"/>
      <c r="I291" s="484"/>
      <c r="J291" s="485"/>
      <c r="K291" s="485"/>
    </row>
    <row r="292" spans="1:11" s="542" customFormat="1" ht="30" customHeight="1">
      <c r="A292" s="479">
        <v>235</v>
      </c>
      <c r="B292" s="1102" t="s">
        <v>844</v>
      </c>
      <c r="C292" s="1102"/>
      <c r="D292" s="549" t="s">
        <v>585</v>
      </c>
      <c r="E292" s="474">
        <v>3391500</v>
      </c>
      <c r="F292" s="1095"/>
      <c r="G292" s="484"/>
      <c r="H292" s="484"/>
      <c r="I292" s="484"/>
      <c r="J292" s="485"/>
      <c r="K292" s="485"/>
    </row>
    <row r="293" spans="1:11" s="508" customFormat="1" ht="27.75" customHeight="1">
      <c r="A293" s="552" t="s">
        <v>368</v>
      </c>
      <c r="B293" s="1098" t="s">
        <v>845</v>
      </c>
      <c r="C293" s="1098"/>
      <c r="D293" s="1098"/>
      <c r="E293" s="1098"/>
      <c r="F293" s="1103"/>
      <c r="G293" s="477"/>
      <c r="H293" s="477"/>
      <c r="I293" s="477"/>
      <c r="J293" s="485"/>
      <c r="K293" s="485"/>
    </row>
    <row r="294" spans="1:11" s="508" customFormat="1" ht="15.75" customHeight="1">
      <c r="A294" s="479">
        <v>236</v>
      </c>
      <c r="B294" s="1105" t="s">
        <v>846</v>
      </c>
      <c r="C294" s="1105"/>
      <c r="D294" s="549" t="s">
        <v>585</v>
      </c>
      <c r="E294" s="474">
        <v>1805000</v>
      </c>
      <c r="F294" s="1088" t="s">
        <v>847</v>
      </c>
      <c r="G294" s="484"/>
      <c r="H294" s="484"/>
      <c r="I294" s="484"/>
      <c r="J294" s="485"/>
      <c r="K294" s="485"/>
    </row>
    <row r="295" spans="1:11" s="508" customFormat="1">
      <c r="A295" s="479">
        <v>237</v>
      </c>
      <c r="B295" s="1105" t="s">
        <v>848</v>
      </c>
      <c r="C295" s="1105"/>
      <c r="D295" s="549" t="s">
        <v>585</v>
      </c>
      <c r="E295" s="474">
        <v>2800000</v>
      </c>
      <c r="F295" s="1088"/>
      <c r="G295" s="484"/>
      <c r="H295" s="484"/>
      <c r="I295" s="484"/>
      <c r="J295" s="485"/>
      <c r="K295" s="485"/>
    </row>
    <row r="296" spans="1:11" s="508" customFormat="1" ht="33.75" customHeight="1">
      <c r="A296" s="479">
        <v>238</v>
      </c>
      <c r="B296" s="1104" t="s">
        <v>849</v>
      </c>
      <c r="C296" s="1104"/>
      <c r="D296" s="549" t="s">
        <v>585</v>
      </c>
      <c r="E296" s="474">
        <v>2200000</v>
      </c>
      <c r="F296" s="1088"/>
      <c r="G296" s="484"/>
      <c r="H296" s="484"/>
      <c r="I296" s="484"/>
      <c r="J296" s="485"/>
      <c r="K296" s="485"/>
    </row>
    <row r="297" spans="1:11" s="508" customFormat="1" ht="21.75" customHeight="1">
      <c r="A297" s="479">
        <v>239</v>
      </c>
      <c r="B297" s="1104" t="s">
        <v>850</v>
      </c>
      <c r="C297" s="1104"/>
      <c r="D297" s="549" t="s">
        <v>585</v>
      </c>
      <c r="E297" s="474">
        <v>2650000</v>
      </c>
      <c r="F297" s="1088"/>
      <c r="G297" s="484"/>
      <c r="H297" s="484"/>
      <c r="I297" s="484"/>
      <c r="J297" s="485"/>
      <c r="K297" s="485"/>
    </row>
    <row r="298" spans="1:11" s="508" customFormat="1" ht="24.75" customHeight="1">
      <c r="A298" s="479">
        <v>240</v>
      </c>
      <c r="B298" s="1104" t="s">
        <v>851</v>
      </c>
      <c r="C298" s="1104"/>
      <c r="D298" s="549" t="s">
        <v>585</v>
      </c>
      <c r="E298" s="474">
        <v>2650000</v>
      </c>
      <c r="F298" s="1088"/>
      <c r="G298" s="484"/>
      <c r="H298" s="484"/>
      <c r="I298" s="484"/>
      <c r="J298" s="485"/>
      <c r="K298" s="485"/>
    </row>
    <row r="299" spans="1:11" s="508" customFormat="1" ht="33.75" customHeight="1">
      <c r="A299" s="479">
        <v>241</v>
      </c>
      <c r="B299" s="1104" t="s">
        <v>852</v>
      </c>
      <c r="C299" s="1104"/>
      <c r="D299" s="549" t="s">
        <v>585</v>
      </c>
      <c r="E299" s="474">
        <v>2650000</v>
      </c>
      <c r="F299" s="1088"/>
      <c r="G299" s="484"/>
      <c r="H299" s="484"/>
      <c r="I299" s="484"/>
      <c r="J299" s="485"/>
      <c r="K299" s="485"/>
    </row>
    <row r="300" spans="1:11" s="508" customFormat="1" ht="34.5" customHeight="1">
      <c r="A300" s="479">
        <v>242</v>
      </c>
      <c r="B300" s="1104" t="s">
        <v>853</v>
      </c>
      <c r="C300" s="1104"/>
      <c r="D300" s="549" t="s">
        <v>585</v>
      </c>
      <c r="E300" s="474">
        <v>2650000</v>
      </c>
      <c r="F300" s="1088"/>
      <c r="G300" s="484"/>
      <c r="H300" s="484"/>
      <c r="I300" s="484"/>
      <c r="J300" s="485"/>
      <c r="K300" s="485"/>
    </row>
    <row r="301" spans="1:11" s="508" customFormat="1" ht="36.75" customHeight="1">
      <c r="A301" s="479">
        <v>243</v>
      </c>
      <c r="B301" s="1104" t="s">
        <v>854</v>
      </c>
      <c r="C301" s="1104"/>
      <c r="D301" s="549" t="s">
        <v>585</v>
      </c>
      <c r="E301" s="474">
        <v>2650000</v>
      </c>
      <c r="F301" s="1088"/>
      <c r="G301" s="484"/>
      <c r="H301" s="484"/>
      <c r="I301" s="484"/>
      <c r="J301" s="485"/>
      <c r="K301" s="485"/>
    </row>
    <row r="302" spans="1:11" s="508" customFormat="1" ht="33.75" customHeight="1">
      <c r="A302" s="479">
        <v>244</v>
      </c>
      <c r="B302" s="1104" t="s">
        <v>855</v>
      </c>
      <c r="C302" s="1104"/>
      <c r="D302" s="549" t="s">
        <v>585</v>
      </c>
      <c r="E302" s="474">
        <v>2650000</v>
      </c>
      <c r="F302" s="1088"/>
      <c r="G302" s="484"/>
      <c r="H302" s="484"/>
      <c r="I302" s="484"/>
      <c r="J302" s="485"/>
      <c r="K302" s="485"/>
    </row>
    <row r="303" spans="1:11" s="508" customFormat="1" ht="24.75" customHeight="1">
      <c r="A303" s="479">
        <v>245</v>
      </c>
      <c r="B303" s="1104" t="s">
        <v>856</v>
      </c>
      <c r="C303" s="1104"/>
      <c r="D303" s="549" t="s">
        <v>585</v>
      </c>
      <c r="E303" s="474">
        <v>2650000</v>
      </c>
      <c r="F303" s="1088"/>
      <c r="G303" s="484"/>
      <c r="H303" s="484"/>
      <c r="I303" s="484"/>
      <c r="J303" s="485"/>
      <c r="K303" s="485"/>
    </row>
    <row r="304" spans="1:11" s="508" customFormat="1" ht="35.25" customHeight="1">
      <c r="A304" s="479">
        <v>246</v>
      </c>
      <c r="B304" s="1104" t="s">
        <v>857</v>
      </c>
      <c r="C304" s="1104"/>
      <c r="D304" s="549" t="s">
        <v>585</v>
      </c>
      <c r="E304" s="474">
        <v>2650000</v>
      </c>
      <c r="F304" s="1088"/>
      <c r="G304" s="484"/>
      <c r="H304" s="484"/>
      <c r="I304" s="484"/>
      <c r="J304" s="485"/>
      <c r="K304" s="485"/>
    </row>
    <row r="305" spans="1:46" s="508" customFormat="1" ht="33.75" customHeight="1">
      <c r="A305" s="479">
        <v>247</v>
      </c>
      <c r="B305" s="1104" t="s">
        <v>858</v>
      </c>
      <c r="C305" s="1104"/>
      <c r="D305" s="549" t="s">
        <v>585</v>
      </c>
      <c r="E305" s="474">
        <v>3650000</v>
      </c>
      <c r="F305" s="1088"/>
      <c r="G305" s="484"/>
      <c r="H305" s="484"/>
      <c r="I305" s="484"/>
      <c r="J305" s="485"/>
      <c r="K305" s="485"/>
    </row>
    <row r="306" spans="1:46" s="508" customFormat="1" ht="15.75" customHeight="1">
      <c r="A306" s="552" t="s">
        <v>369</v>
      </c>
      <c r="B306" s="1098" t="s">
        <v>859</v>
      </c>
      <c r="C306" s="1098"/>
      <c r="D306" s="1098"/>
      <c r="E306" s="1098"/>
      <c r="F306" s="1103"/>
      <c r="G306" s="477"/>
      <c r="H306" s="477"/>
      <c r="I306" s="477"/>
      <c r="J306" s="485"/>
      <c r="K306" s="478"/>
    </row>
    <row r="307" spans="1:46" s="554" customFormat="1" ht="25.5" customHeight="1">
      <c r="A307" s="534" t="s">
        <v>12</v>
      </c>
      <c r="B307" s="1107" t="s">
        <v>860</v>
      </c>
      <c r="C307" s="1107"/>
      <c r="D307" s="1107"/>
      <c r="E307" s="1107"/>
      <c r="F307" s="1108" t="s">
        <v>861</v>
      </c>
      <c r="G307" s="484"/>
      <c r="H307" s="484"/>
      <c r="I307" s="484"/>
      <c r="J307" s="464"/>
      <c r="K307" s="553"/>
      <c r="L307" s="553"/>
      <c r="M307" s="553"/>
      <c r="N307" s="553"/>
      <c r="O307" s="553"/>
      <c r="P307" s="553"/>
      <c r="Q307" s="553"/>
      <c r="R307" s="553"/>
      <c r="S307" s="553"/>
      <c r="T307" s="553"/>
      <c r="U307" s="553"/>
      <c r="V307" s="553"/>
      <c r="W307" s="553"/>
      <c r="X307" s="553"/>
      <c r="Y307" s="553"/>
      <c r="Z307" s="553"/>
      <c r="AA307" s="553"/>
      <c r="AB307" s="553"/>
      <c r="AC307" s="553"/>
      <c r="AD307" s="553"/>
      <c r="AE307" s="553"/>
      <c r="AF307" s="553"/>
      <c r="AG307" s="553"/>
      <c r="AH307" s="553"/>
      <c r="AI307" s="553"/>
      <c r="AJ307" s="553"/>
      <c r="AK307" s="553"/>
      <c r="AL307" s="553"/>
      <c r="AM307" s="553"/>
      <c r="AN307" s="553"/>
      <c r="AO307" s="553"/>
      <c r="AP307" s="553"/>
      <c r="AQ307" s="553"/>
      <c r="AR307" s="553"/>
      <c r="AS307" s="553"/>
      <c r="AT307" s="553"/>
    </row>
    <row r="308" spans="1:46" s="554" customFormat="1" ht="15" customHeight="1">
      <c r="A308" s="479">
        <v>248</v>
      </c>
      <c r="B308" s="1104" t="s">
        <v>862</v>
      </c>
      <c r="C308" s="1104"/>
      <c r="D308" s="555" t="s">
        <v>585</v>
      </c>
      <c r="E308" s="556">
        <v>2307000</v>
      </c>
      <c r="F308" s="1108"/>
      <c r="G308" s="484"/>
      <c r="H308" s="484"/>
      <c r="I308" s="484"/>
      <c r="J308" s="464"/>
      <c r="K308" s="557"/>
      <c r="L308" s="553"/>
      <c r="M308" s="553"/>
      <c r="N308" s="553"/>
      <c r="O308" s="553"/>
      <c r="P308" s="553"/>
      <c r="Q308" s="553"/>
      <c r="R308" s="553"/>
      <c r="S308" s="553"/>
      <c r="T308" s="553"/>
      <c r="U308" s="553"/>
      <c r="V308" s="553"/>
      <c r="W308" s="553"/>
      <c r="X308" s="553"/>
      <c r="Y308" s="553"/>
      <c r="Z308" s="553"/>
      <c r="AA308" s="553"/>
      <c r="AB308" s="553"/>
      <c r="AC308" s="553"/>
      <c r="AD308" s="553"/>
      <c r="AE308" s="553"/>
      <c r="AF308" s="553"/>
      <c r="AG308" s="553"/>
      <c r="AH308" s="553"/>
      <c r="AI308" s="553"/>
      <c r="AJ308" s="553"/>
      <c r="AK308" s="553"/>
      <c r="AL308" s="553"/>
      <c r="AM308" s="553"/>
      <c r="AN308" s="553"/>
      <c r="AO308" s="553"/>
      <c r="AP308" s="553"/>
      <c r="AQ308" s="553"/>
      <c r="AR308" s="553"/>
      <c r="AS308" s="553"/>
      <c r="AT308" s="553"/>
    </row>
    <row r="309" spans="1:46" s="554" customFormat="1" ht="33" customHeight="1">
      <c r="A309" s="479">
        <v>249</v>
      </c>
      <c r="B309" s="1104" t="s">
        <v>863</v>
      </c>
      <c r="C309" s="1104"/>
      <c r="D309" s="555" t="s">
        <v>585</v>
      </c>
      <c r="E309" s="556">
        <v>2669000</v>
      </c>
      <c r="F309" s="1108"/>
      <c r="G309" s="484"/>
      <c r="H309" s="484"/>
      <c r="I309" s="484"/>
      <c r="J309" s="464"/>
      <c r="K309" s="557"/>
      <c r="L309" s="553"/>
      <c r="M309" s="553"/>
      <c r="N309" s="553"/>
      <c r="O309" s="553"/>
      <c r="P309" s="553"/>
      <c r="Q309" s="553"/>
      <c r="R309" s="553"/>
      <c r="S309" s="553"/>
      <c r="T309" s="553"/>
      <c r="U309" s="553"/>
      <c r="V309" s="553"/>
      <c r="W309" s="553"/>
      <c r="X309" s="553"/>
      <c r="Y309" s="553"/>
      <c r="Z309" s="553"/>
      <c r="AA309" s="553"/>
      <c r="AB309" s="553"/>
      <c r="AC309" s="553"/>
      <c r="AD309" s="553"/>
      <c r="AE309" s="553"/>
      <c r="AF309" s="553"/>
      <c r="AG309" s="553"/>
      <c r="AH309" s="553"/>
      <c r="AI309" s="553"/>
      <c r="AJ309" s="553"/>
      <c r="AK309" s="553"/>
      <c r="AL309" s="553"/>
      <c r="AM309" s="553"/>
      <c r="AN309" s="553"/>
      <c r="AO309" s="553"/>
      <c r="AP309" s="553"/>
      <c r="AQ309" s="553"/>
      <c r="AR309" s="553"/>
      <c r="AS309" s="553"/>
      <c r="AT309" s="553"/>
    </row>
    <row r="310" spans="1:46" s="554" customFormat="1" ht="35.25" customHeight="1">
      <c r="A310" s="479">
        <v>250</v>
      </c>
      <c r="B310" s="1104" t="s">
        <v>864</v>
      </c>
      <c r="C310" s="1104"/>
      <c r="D310" s="555" t="s">
        <v>585</v>
      </c>
      <c r="E310" s="556">
        <v>2822000</v>
      </c>
      <c r="F310" s="1108"/>
      <c r="G310" s="484"/>
      <c r="H310" s="484"/>
      <c r="I310" s="484"/>
      <c r="J310" s="464"/>
      <c r="K310" s="557"/>
      <c r="L310" s="553"/>
      <c r="M310" s="553"/>
      <c r="N310" s="553"/>
      <c r="O310" s="553"/>
      <c r="P310" s="553"/>
      <c r="Q310" s="553"/>
      <c r="R310" s="553"/>
      <c r="S310" s="553"/>
      <c r="T310" s="553"/>
      <c r="U310" s="553"/>
      <c r="V310" s="553"/>
      <c r="W310" s="553"/>
      <c r="X310" s="553"/>
      <c r="Y310" s="553"/>
      <c r="Z310" s="553"/>
      <c r="AA310" s="553"/>
      <c r="AB310" s="553"/>
      <c r="AC310" s="553"/>
      <c r="AD310" s="553"/>
      <c r="AE310" s="553"/>
      <c r="AF310" s="553"/>
      <c r="AG310" s="553"/>
      <c r="AH310" s="553"/>
      <c r="AI310" s="553"/>
      <c r="AJ310" s="553"/>
      <c r="AK310" s="553"/>
      <c r="AL310" s="553"/>
      <c r="AM310" s="553"/>
      <c r="AN310" s="553"/>
      <c r="AO310" s="553"/>
      <c r="AP310" s="553"/>
      <c r="AQ310" s="553"/>
      <c r="AR310" s="553"/>
      <c r="AS310" s="553"/>
      <c r="AT310" s="553"/>
    </row>
    <row r="311" spans="1:46" s="554" customFormat="1" ht="25.5" customHeight="1">
      <c r="A311" s="479">
        <v>251</v>
      </c>
      <c r="B311" s="1104" t="s">
        <v>865</v>
      </c>
      <c r="C311" s="1104"/>
      <c r="D311" s="555" t="s">
        <v>585</v>
      </c>
      <c r="E311" s="556">
        <v>3082000</v>
      </c>
      <c r="F311" s="1108"/>
      <c r="G311" s="484"/>
      <c r="H311" s="484"/>
      <c r="I311" s="484"/>
      <c r="J311" s="464"/>
      <c r="K311" s="557"/>
      <c r="L311" s="553"/>
      <c r="M311" s="553"/>
      <c r="N311" s="553"/>
      <c r="O311" s="553"/>
      <c r="P311" s="553"/>
      <c r="Q311" s="553"/>
      <c r="R311" s="553"/>
      <c r="S311" s="553"/>
      <c r="T311" s="553"/>
      <c r="U311" s="553"/>
      <c r="V311" s="553"/>
      <c r="W311" s="553"/>
      <c r="X311" s="553"/>
      <c r="Y311" s="553"/>
      <c r="Z311" s="553"/>
      <c r="AA311" s="553"/>
      <c r="AB311" s="553"/>
      <c r="AC311" s="553"/>
      <c r="AD311" s="553"/>
      <c r="AE311" s="553"/>
      <c r="AF311" s="553"/>
      <c r="AG311" s="553"/>
      <c r="AH311" s="553"/>
      <c r="AI311" s="553"/>
      <c r="AJ311" s="553"/>
      <c r="AK311" s="553"/>
      <c r="AL311" s="553"/>
      <c r="AM311" s="553"/>
      <c r="AN311" s="553"/>
      <c r="AO311" s="553"/>
      <c r="AP311" s="553"/>
      <c r="AQ311" s="553"/>
      <c r="AR311" s="553"/>
      <c r="AS311" s="553"/>
      <c r="AT311" s="553"/>
    </row>
    <row r="312" spans="1:46" s="554" customFormat="1" ht="35.25" customHeight="1">
      <c r="A312" s="479">
        <v>252</v>
      </c>
      <c r="B312" s="1109" t="s">
        <v>866</v>
      </c>
      <c r="C312" s="1109"/>
      <c r="D312" s="555" t="s">
        <v>585</v>
      </c>
      <c r="E312" s="556">
        <v>3380000</v>
      </c>
      <c r="F312" s="1108"/>
      <c r="G312" s="484"/>
      <c r="H312" s="484"/>
      <c r="I312" s="484"/>
      <c r="J312" s="464"/>
      <c r="K312" s="557"/>
      <c r="L312" s="553"/>
      <c r="M312" s="553"/>
      <c r="N312" s="553"/>
      <c r="O312" s="553"/>
      <c r="P312" s="553"/>
      <c r="Q312" s="553"/>
      <c r="R312" s="553"/>
      <c r="S312" s="553"/>
      <c r="T312" s="553"/>
      <c r="U312" s="553"/>
      <c r="V312" s="553"/>
      <c r="W312" s="553"/>
      <c r="X312" s="553"/>
      <c r="Y312" s="553"/>
      <c r="Z312" s="553"/>
      <c r="AA312" s="553"/>
      <c r="AB312" s="553"/>
      <c r="AC312" s="553"/>
      <c r="AD312" s="553"/>
      <c r="AE312" s="553"/>
      <c r="AF312" s="553"/>
      <c r="AG312" s="553"/>
      <c r="AH312" s="553"/>
      <c r="AI312" s="553"/>
      <c r="AJ312" s="553"/>
      <c r="AK312" s="553"/>
      <c r="AL312" s="553"/>
      <c r="AM312" s="553"/>
      <c r="AN312" s="553"/>
      <c r="AO312" s="553"/>
      <c r="AP312" s="553"/>
      <c r="AQ312" s="553"/>
      <c r="AR312" s="553"/>
      <c r="AS312" s="553"/>
      <c r="AT312" s="553"/>
    </row>
    <row r="313" spans="1:46" s="554" customFormat="1" ht="36" customHeight="1">
      <c r="A313" s="479">
        <v>253</v>
      </c>
      <c r="B313" s="1104" t="s">
        <v>867</v>
      </c>
      <c r="C313" s="1104"/>
      <c r="D313" s="555" t="s">
        <v>585</v>
      </c>
      <c r="E313" s="556">
        <v>3540000</v>
      </c>
      <c r="F313" s="1108"/>
      <c r="G313" s="484"/>
      <c r="H313" s="484"/>
      <c r="I313" s="484"/>
      <c r="J313" s="464"/>
      <c r="K313" s="557"/>
      <c r="L313" s="553"/>
      <c r="M313" s="553"/>
      <c r="N313" s="553"/>
      <c r="O313" s="553"/>
      <c r="P313" s="553"/>
      <c r="Q313" s="553"/>
      <c r="R313" s="553"/>
      <c r="S313" s="553"/>
      <c r="T313" s="553"/>
      <c r="U313" s="553"/>
      <c r="V313" s="553"/>
      <c r="W313" s="553"/>
      <c r="X313" s="553"/>
      <c r="Y313" s="553"/>
      <c r="Z313" s="553"/>
      <c r="AA313" s="553"/>
      <c r="AB313" s="553"/>
      <c r="AC313" s="553"/>
      <c r="AD313" s="553"/>
      <c r="AE313" s="553"/>
      <c r="AF313" s="553"/>
      <c r="AG313" s="553"/>
      <c r="AH313" s="553"/>
      <c r="AI313" s="553"/>
      <c r="AJ313" s="553"/>
      <c r="AK313" s="553"/>
      <c r="AL313" s="553"/>
      <c r="AM313" s="553"/>
      <c r="AN313" s="553"/>
      <c r="AO313" s="553"/>
      <c r="AP313" s="553"/>
      <c r="AQ313" s="553"/>
      <c r="AR313" s="553"/>
      <c r="AS313" s="553"/>
      <c r="AT313" s="553"/>
    </row>
    <row r="314" spans="1:46" s="554" customFormat="1" ht="36" customHeight="1">
      <c r="A314" s="479">
        <v>254</v>
      </c>
      <c r="B314" s="1104" t="s">
        <v>868</v>
      </c>
      <c r="C314" s="1104"/>
      <c r="D314" s="555" t="s">
        <v>585</v>
      </c>
      <c r="E314" s="556">
        <v>3537000</v>
      </c>
      <c r="F314" s="1108"/>
      <c r="G314" s="484"/>
      <c r="H314" s="484"/>
      <c r="I314" s="484"/>
      <c r="J314" s="464"/>
      <c r="K314" s="557"/>
      <c r="L314" s="553"/>
      <c r="M314" s="553"/>
      <c r="N314" s="553"/>
      <c r="O314" s="553"/>
      <c r="P314" s="553"/>
      <c r="Q314" s="553"/>
      <c r="R314" s="553"/>
      <c r="S314" s="553"/>
      <c r="T314" s="553"/>
      <c r="U314" s="553"/>
      <c r="V314" s="553"/>
      <c r="W314" s="553"/>
      <c r="X314" s="553"/>
      <c r="Y314" s="553"/>
      <c r="Z314" s="553"/>
      <c r="AA314" s="553"/>
      <c r="AB314" s="553"/>
      <c r="AC314" s="553"/>
      <c r="AD314" s="553"/>
      <c r="AE314" s="553"/>
      <c r="AF314" s="553"/>
      <c r="AG314" s="553"/>
      <c r="AH314" s="553"/>
      <c r="AI314" s="553"/>
      <c r="AJ314" s="553"/>
      <c r="AK314" s="553"/>
      <c r="AL314" s="553"/>
      <c r="AM314" s="553"/>
      <c r="AN314" s="553"/>
      <c r="AO314" s="553"/>
      <c r="AP314" s="553"/>
      <c r="AQ314" s="553"/>
      <c r="AR314" s="553"/>
      <c r="AS314" s="553"/>
      <c r="AT314" s="553"/>
    </row>
    <row r="315" spans="1:46" s="554" customFormat="1" ht="36" customHeight="1">
      <c r="A315" s="479">
        <v>255</v>
      </c>
      <c r="B315" s="1104" t="s">
        <v>869</v>
      </c>
      <c r="C315" s="1104"/>
      <c r="D315" s="555" t="s">
        <v>585</v>
      </c>
      <c r="E315" s="556">
        <v>3659000</v>
      </c>
      <c r="F315" s="1108"/>
      <c r="G315" s="484"/>
      <c r="H315" s="484"/>
      <c r="I315" s="484"/>
      <c r="J315" s="464"/>
      <c r="K315" s="557"/>
      <c r="L315" s="553"/>
      <c r="M315" s="553"/>
      <c r="N315" s="553"/>
      <c r="O315" s="553"/>
      <c r="P315" s="553"/>
      <c r="Q315" s="553"/>
      <c r="R315" s="553"/>
      <c r="S315" s="553"/>
      <c r="T315" s="553"/>
      <c r="U315" s="553"/>
      <c r="V315" s="553"/>
      <c r="W315" s="553"/>
      <c r="X315" s="553"/>
      <c r="Y315" s="553"/>
      <c r="Z315" s="553"/>
      <c r="AA315" s="553"/>
      <c r="AB315" s="553"/>
      <c r="AC315" s="553"/>
      <c r="AD315" s="553"/>
      <c r="AE315" s="553"/>
      <c r="AF315" s="553"/>
      <c r="AG315" s="553"/>
      <c r="AH315" s="553"/>
      <c r="AI315" s="553"/>
      <c r="AJ315" s="553"/>
      <c r="AK315" s="553"/>
      <c r="AL315" s="553"/>
      <c r="AM315" s="553"/>
      <c r="AN315" s="553"/>
      <c r="AO315" s="553"/>
      <c r="AP315" s="553"/>
      <c r="AQ315" s="553"/>
      <c r="AR315" s="553"/>
      <c r="AS315" s="553"/>
      <c r="AT315" s="553"/>
    </row>
    <row r="316" spans="1:46" s="554" customFormat="1" ht="24.75" customHeight="1">
      <c r="A316" s="534" t="s">
        <v>20</v>
      </c>
      <c r="B316" s="1106" t="s">
        <v>870</v>
      </c>
      <c r="C316" s="1106"/>
      <c r="D316" s="1106"/>
      <c r="E316" s="1106"/>
      <c r="F316" s="1108"/>
      <c r="G316" s="484"/>
      <c r="H316" s="484"/>
      <c r="I316" s="484"/>
      <c r="J316" s="464"/>
      <c r="K316" s="557"/>
      <c r="L316" s="553"/>
      <c r="M316" s="553"/>
      <c r="N316" s="553"/>
      <c r="O316" s="553"/>
      <c r="P316" s="553"/>
      <c r="Q316" s="553"/>
      <c r="R316" s="553"/>
      <c r="S316" s="553"/>
      <c r="T316" s="553"/>
      <c r="U316" s="553"/>
      <c r="V316" s="553"/>
      <c r="W316" s="553"/>
      <c r="X316" s="553"/>
      <c r="Y316" s="553"/>
      <c r="Z316" s="553"/>
      <c r="AA316" s="553"/>
      <c r="AB316" s="553"/>
      <c r="AC316" s="553"/>
      <c r="AD316" s="553"/>
      <c r="AE316" s="553"/>
      <c r="AF316" s="553"/>
      <c r="AG316" s="553"/>
      <c r="AH316" s="553"/>
      <c r="AI316" s="553"/>
      <c r="AJ316" s="553"/>
      <c r="AK316" s="553"/>
      <c r="AL316" s="553"/>
      <c r="AM316" s="553"/>
      <c r="AN316" s="553"/>
      <c r="AO316" s="553"/>
      <c r="AP316" s="553"/>
      <c r="AQ316" s="553"/>
      <c r="AR316" s="553"/>
      <c r="AS316" s="553"/>
      <c r="AT316" s="553"/>
    </row>
    <row r="317" spans="1:46" s="554" customFormat="1">
      <c r="A317" s="479">
        <v>256</v>
      </c>
      <c r="B317" s="1104" t="s">
        <v>862</v>
      </c>
      <c r="C317" s="1104"/>
      <c r="D317" s="555" t="s">
        <v>585</v>
      </c>
      <c r="E317" s="556">
        <v>2689000</v>
      </c>
      <c r="F317" s="1108"/>
      <c r="G317" s="484"/>
      <c r="H317" s="484"/>
      <c r="I317" s="484"/>
      <c r="J317" s="464"/>
      <c r="K317" s="557"/>
      <c r="L317" s="553"/>
      <c r="M317" s="553"/>
      <c r="N317" s="553"/>
      <c r="O317" s="553"/>
      <c r="P317" s="553"/>
      <c r="Q317" s="553"/>
      <c r="R317" s="553"/>
      <c r="S317" s="553"/>
      <c r="T317" s="553"/>
      <c r="U317" s="553"/>
      <c r="V317" s="553"/>
      <c r="W317" s="553"/>
      <c r="X317" s="553"/>
      <c r="Y317" s="553"/>
      <c r="Z317" s="553"/>
      <c r="AA317" s="553"/>
      <c r="AB317" s="553"/>
      <c r="AC317" s="553"/>
      <c r="AD317" s="553"/>
      <c r="AE317" s="553"/>
      <c r="AF317" s="553"/>
      <c r="AG317" s="553"/>
      <c r="AH317" s="553"/>
      <c r="AI317" s="553"/>
      <c r="AJ317" s="553"/>
      <c r="AK317" s="553"/>
      <c r="AL317" s="553"/>
      <c r="AM317" s="553"/>
      <c r="AN317" s="553"/>
      <c r="AO317" s="553"/>
      <c r="AP317" s="553"/>
      <c r="AQ317" s="553"/>
      <c r="AR317" s="553"/>
      <c r="AS317" s="553"/>
      <c r="AT317" s="553"/>
    </row>
    <row r="318" spans="1:46" s="554" customFormat="1" ht="36" customHeight="1">
      <c r="A318" s="479">
        <v>257</v>
      </c>
      <c r="B318" s="1104" t="s">
        <v>871</v>
      </c>
      <c r="C318" s="1104"/>
      <c r="D318" s="555" t="s">
        <v>585</v>
      </c>
      <c r="E318" s="556">
        <v>3378000</v>
      </c>
      <c r="F318" s="1108"/>
      <c r="G318" s="484"/>
      <c r="H318" s="484"/>
      <c r="I318" s="484"/>
      <c r="J318" s="464"/>
      <c r="K318" s="557"/>
      <c r="L318" s="553"/>
      <c r="M318" s="553"/>
      <c r="N318" s="553"/>
      <c r="O318" s="553"/>
      <c r="P318" s="553"/>
      <c r="Q318" s="553"/>
      <c r="R318" s="553"/>
      <c r="S318" s="553"/>
      <c r="T318" s="553"/>
      <c r="U318" s="553"/>
      <c r="V318" s="553"/>
      <c r="W318" s="553"/>
      <c r="X318" s="553"/>
      <c r="Y318" s="553"/>
      <c r="Z318" s="553"/>
      <c r="AA318" s="553"/>
      <c r="AB318" s="553"/>
      <c r="AC318" s="553"/>
      <c r="AD318" s="553"/>
      <c r="AE318" s="553"/>
      <c r="AF318" s="553"/>
      <c r="AG318" s="553"/>
      <c r="AH318" s="553"/>
      <c r="AI318" s="553"/>
      <c r="AJ318" s="553"/>
      <c r="AK318" s="553"/>
      <c r="AL318" s="553"/>
      <c r="AM318" s="553"/>
      <c r="AN318" s="553"/>
      <c r="AO318" s="553"/>
      <c r="AP318" s="553"/>
      <c r="AQ318" s="553"/>
      <c r="AR318" s="553"/>
      <c r="AS318" s="553"/>
      <c r="AT318" s="553"/>
    </row>
    <row r="319" spans="1:46" s="554" customFormat="1" ht="26.25" customHeight="1">
      <c r="A319" s="479">
        <v>258</v>
      </c>
      <c r="B319" s="1104" t="s">
        <v>872</v>
      </c>
      <c r="C319" s="1104"/>
      <c r="D319" s="555" t="s">
        <v>585</v>
      </c>
      <c r="E319" s="556">
        <v>3387000</v>
      </c>
      <c r="F319" s="1108"/>
      <c r="G319" s="484"/>
      <c r="H319" s="484"/>
      <c r="I319" s="484"/>
      <c r="J319" s="464"/>
      <c r="K319" s="557"/>
      <c r="L319" s="553"/>
      <c r="M319" s="553"/>
      <c r="N319" s="553"/>
      <c r="O319" s="553"/>
      <c r="P319" s="553"/>
      <c r="Q319" s="553"/>
      <c r="R319" s="553"/>
      <c r="S319" s="553"/>
      <c r="T319" s="553"/>
      <c r="U319" s="553"/>
      <c r="V319" s="553"/>
      <c r="W319" s="553"/>
      <c r="X319" s="553"/>
      <c r="Y319" s="553"/>
      <c r="Z319" s="553"/>
      <c r="AA319" s="553"/>
      <c r="AB319" s="553"/>
      <c r="AC319" s="553"/>
      <c r="AD319" s="553"/>
      <c r="AE319" s="553"/>
      <c r="AF319" s="553"/>
      <c r="AG319" s="553"/>
      <c r="AH319" s="553"/>
      <c r="AI319" s="553"/>
      <c r="AJ319" s="553"/>
      <c r="AK319" s="553"/>
      <c r="AL319" s="553"/>
      <c r="AM319" s="553"/>
      <c r="AN319" s="553"/>
      <c r="AO319" s="553"/>
      <c r="AP319" s="553"/>
      <c r="AQ319" s="553"/>
      <c r="AR319" s="553"/>
      <c r="AS319" s="553"/>
      <c r="AT319" s="553"/>
    </row>
    <row r="320" spans="1:46" s="554" customFormat="1" ht="24.75" customHeight="1">
      <c r="A320" s="479">
        <v>259</v>
      </c>
      <c r="B320" s="1104" t="s">
        <v>873</v>
      </c>
      <c r="C320" s="1104"/>
      <c r="D320" s="555" t="s">
        <v>585</v>
      </c>
      <c r="E320" s="556">
        <v>3939000</v>
      </c>
      <c r="F320" s="1108"/>
      <c r="G320" s="484"/>
      <c r="H320" s="484"/>
      <c r="I320" s="484"/>
      <c r="J320" s="464"/>
      <c r="K320" s="557"/>
      <c r="L320" s="553"/>
      <c r="M320" s="553"/>
      <c r="N320" s="553"/>
      <c r="O320" s="553"/>
      <c r="P320" s="553"/>
      <c r="Q320" s="553"/>
      <c r="R320" s="553"/>
      <c r="S320" s="553"/>
      <c r="T320" s="553"/>
      <c r="U320" s="553"/>
      <c r="V320" s="553"/>
      <c r="W320" s="553"/>
      <c r="X320" s="553"/>
      <c r="Y320" s="553"/>
      <c r="Z320" s="553"/>
      <c r="AA320" s="553"/>
      <c r="AB320" s="553"/>
      <c r="AC320" s="553"/>
      <c r="AD320" s="553"/>
      <c r="AE320" s="553"/>
      <c r="AF320" s="553"/>
      <c r="AG320" s="553"/>
      <c r="AH320" s="553"/>
      <c r="AI320" s="553"/>
      <c r="AJ320" s="553"/>
      <c r="AK320" s="553"/>
      <c r="AL320" s="553"/>
      <c r="AM320" s="553"/>
      <c r="AN320" s="553"/>
      <c r="AO320" s="553"/>
      <c r="AP320" s="553"/>
      <c r="AQ320" s="553"/>
      <c r="AR320" s="553"/>
      <c r="AS320" s="553"/>
      <c r="AT320" s="553"/>
    </row>
    <row r="321" spans="1:46" s="554" customFormat="1" ht="27" customHeight="1">
      <c r="A321" s="479">
        <v>260</v>
      </c>
      <c r="B321" s="1104" t="s">
        <v>874</v>
      </c>
      <c r="C321" s="1104"/>
      <c r="D321" s="555" t="s">
        <v>585</v>
      </c>
      <c r="E321" s="556">
        <v>4089000</v>
      </c>
      <c r="F321" s="1108"/>
      <c r="G321" s="484"/>
      <c r="H321" s="484"/>
      <c r="I321" s="484"/>
      <c r="J321" s="464"/>
      <c r="K321" s="557"/>
      <c r="L321" s="553"/>
      <c r="M321" s="553"/>
      <c r="N321" s="553"/>
      <c r="O321" s="553"/>
      <c r="P321" s="553"/>
      <c r="Q321" s="553"/>
      <c r="R321" s="553"/>
      <c r="S321" s="553"/>
      <c r="T321" s="553"/>
      <c r="U321" s="553"/>
      <c r="V321" s="553"/>
      <c r="W321" s="553"/>
      <c r="X321" s="553"/>
      <c r="Y321" s="553"/>
      <c r="Z321" s="553"/>
      <c r="AA321" s="553"/>
      <c r="AB321" s="553"/>
      <c r="AC321" s="553"/>
      <c r="AD321" s="553"/>
      <c r="AE321" s="553"/>
      <c r="AF321" s="553"/>
      <c r="AG321" s="553"/>
      <c r="AH321" s="553"/>
      <c r="AI321" s="553"/>
      <c r="AJ321" s="553"/>
      <c r="AK321" s="553"/>
      <c r="AL321" s="553"/>
      <c r="AM321" s="553"/>
      <c r="AN321" s="553"/>
      <c r="AO321" s="553"/>
      <c r="AP321" s="553"/>
      <c r="AQ321" s="553"/>
      <c r="AR321" s="553"/>
      <c r="AS321" s="553"/>
      <c r="AT321" s="553"/>
    </row>
    <row r="322" spans="1:46" s="554" customFormat="1" ht="34.5" customHeight="1">
      <c r="A322" s="479">
        <v>261</v>
      </c>
      <c r="B322" s="1104" t="s">
        <v>875</v>
      </c>
      <c r="C322" s="1104"/>
      <c r="D322" s="555" t="s">
        <v>585</v>
      </c>
      <c r="E322" s="556">
        <v>4235000</v>
      </c>
      <c r="F322" s="1108"/>
      <c r="G322" s="484"/>
      <c r="H322" s="484"/>
      <c r="I322" s="484"/>
      <c r="J322" s="464"/>
      <c r="K322" s="558"/>
      <c r="L322" s="553"/>
      <c r="M322" s="553"/>
      <c r="N322" s="553"/>
      <c r="O322" s="553"/>
      <c r="P322" s="553"/>
      <c r="Q322" s="553"/>
      <c r="R322" s="553"/>
      <c r="S322" s="553"/>
      <c r="T322" s="553"/>
      <c r="U322" s="553"/>
      <c r="V322" s="553"/>
      <c r="W322" s="553"/>
      <c r="X322" s="553"/>
      <c r="Y322" s="553"/>
      <c r="Z322" s="553"/>
      <c r="AA322" s="553"/>
      <c r="AB322" s="553"/>
      <c r="AC322" s="553"/>
      <c r="AD322" s="553"/>
      <c r="AE322" s="553"/>
      <c r="AF322" s="553"/>
      <c r="AG322" s="553"/>
      <c r="AH322" s="553"/>
      <c r="AI322" s="553"/>
      <c r="AJ322" s="553"/>
      <c r="AK322" s="553"/>
      <c r="AL322" s="553"/>
      <c r="AM322" s="553"/>
      <c r="AN322" s="553"/>
      <c r="AO322" s="553"/>
      <c r="AP322" s="553"/>
      <c r="AQ322" s="553"/>
      <c r="AR322" s="553"/>
      <c r="AS322" s="553"/>
      <c r="AT322" s="553"/>
    </row>
    <row r="323" spans="1:46" s="554" customFormat="1" ht="33.75" customHeight="1">
      <c r="A323" s="479">
        <v>262</v>
      </c>
      <c r="B323" s="1104" t="s">
        <v>876</v>
      </c>
      <c r="C323" s="1104"/>
      <c r="D323" s="555" t="s">
        <v>585</v>
      </c>
      <c r="E323" s="556">
        <v>4226000</v>
      </c>
      <c r="F323" s="1108"/>
      <c r="G323" s="484"/>
      <c r="H323" s="484"/>
      <c r="I323" s="484"/>
      <c r="J323" s="464"/>
      <c r="K323" s="558"/>
      <c r="L323" s="553"/>
      <c r="M323" s="553"/>
      <c r="N323" s="553"/>
      <c r="O323" s="553"/>
      <c r="P323" s="553"/>
      <c r="Q323" s="553"/>
      <c r="R323" s="553"/>
      <c r="S323" s="553"/>
      <c r="T323" s="553"/>
      <c r="U323" s="553"/>
      <c r="V323" s="553"/>
      <c r="W323" s="553"/>
      <c r="X323" s="553"/>
      <c r="Y323" s="553"/>
      <c r="Z323" s="553"/>
      <c r="AA323" s="553"/>
      <c r="AB323" s="553"/>
      <c r="AC323" s="553"/>
      <c r="AD323" s="553"/>
      <c r="AE323" s="553"/>
      <c r="AF323" s="553"/>
      <c r="AG323" s="553"/>
      <c r="AH323" s="553"/>
      <c r="AI323" s="553"/>
      <c r="AJ323" s="553"/>
      <c r="AK323" s="553"/>
      <c r="AL323" s="553"/>
      <c r="AM323" s="553"/>
      <c r="AN323" s="553"/>
      <c r="AO323" s="553"/>
      <c r="AP323" s="553"/>
      <c r="AQ323" s="553"/>
      <c r="AR323" s="553"/>
      <c r="AS323" s="553"/>
      <c r="AT323" s="553"/>
    </row>
    <row r="324" spans="1:46" s="514" customFormat="1" ht="27" customHeight="1">
      <c r="A324" s="495" t="s">
        <v>723</v>
      </c>
      <c r="B324" s="1111" t="s">
        <v>877</v>
      </c>
      <c r="C324" s="1111"/>
      <c r="D324" s="1111"/>
      <c r="E324" s="1111"/>
      <c r="F324" s="1112"/>
      <c r="G324" s="484"/>
      <c r="H324" s="484"/>
      <c r="I324" s="484"/>
      <c r="J324" s="501"/>
      <c r="K324" s="518"/>
    </row>
    <row r="325" spans="1:46" s="562" customFormat="1">
      <c r="A325" s="479">
        <v>263</v>
      </c>
      <c r="B325" s="1110" t="s">
        <v>878</v>
      </c>
      <c r="C325" s="1110"/>
      <c r="D325" s="559" t="s">
        <v>585</v>
      </c>
      <c r="E325" s="556">
        <v>1705000</v>
      </c>
      <c r="F325" s="1088" t="s">
        <v>879</v>
      </c>
      <c r="G325" s="560"/>
      <c r="H325" s="560"/>
      <c r="I325" s="560"/>
      <c r="J325" s="561"/>
      <c r="K325" s="561"/>
    </row>
    <row r="326" spans="1:46" s="562" customFormat="1">
      <c r="A326" s="479">
        <v>264</v>
      </c>
      <c r="B326" s="1110" t="s">
        <v>880</v>
      </c>
      <c r="C326" s="1110"/>
      <c r="D326" s="559" t="s">
        <v>585</v>
      </c>
      <c r="E326" s="556">
        <v>2156000</v>
      </c>
      <c r="F326" s="1088"/>
      <c r="G326" s="560"/>
      <c r="H326" s="560"/>
      <c r="I326" s="560"/>
      <c r="J326" s="561"/>
      <c r="K326" s="561"/>
    </row>
    <row r="327" spans="1:46" s="562" customFormat="1">
      <c r="A327" s="479">
        <v>265</v>
      </c>
      <c r="B327" s="1110" t="s">
        <v>881</v>
      </c>
      <c r="C327" s="1110"/>
      <c r="D327" s="559" t="s">
        <v>585</v>
      </c>
      <c r="E327" s="556">
        <v>2156000</v>
      </c>
      <c r="F327" s="1088"/>
      <c r="G327" s="560"/>
      <c r="H327" s="560"/>
      <c r="I327" s="560"/>
      <c r="J327" s="561"/>
      <c r="K327" s="561"/>
    </row>
    <row r="328" spans="1:46" s="562" customFormat="1">
      <c r="A328" s="479">
        <v>266</v>
      </c>
      <c r="B328" s="1110" t="s">
        <v>882</v>
      </c>
      <c r="C328" s="1110"/>
      <c r="D328" s="559" t="s">
        <v>585</v>
      </c>
      <c r="E328" s="556">
        <v>2475000</v>
      </c>
      <c r="F328" s="1088"/>
      <c r="G328" s="560"/>
      <c r="H328" s="560"/>
      <c r="I328" s="560"/>
      <c r="J328" s="561"/>
      <c r="K328" s="561"/>
    </row>
    <row r="329" spans="1:46" s="562" customFormat="1">
      <c r="A329" s="479">
        <v>267</v>
      </c>
      <c r="B329" s="1110" t="s">
        <v>883</v>
      </c>
      <c r="C329" s="1110"/>
      <c r="D329" s="559" t="s">
        <v>585</v>
      </c>
      <c r="E329" s="556">
        <v>2475000</v>
      </c>
      <c r="F329" s="1088"/>
      <c r="G329" s="560"/>
      <c r="H329" s="560"/>
      <c r="I329" s="560"/>
      <c r="J329" s="561"/>
      <c r="K329" s="561"/>
    </row>
    <row r="330" spans="1:46" s="562" customFormat="1">
      <c r="A330" s="479">
        <v>268</v>
      </c>
      <c r="B330" s="1110" t="s">
        <v>884</v>
      </c>
      <c r="C330" s="1110"/>
      <c r="D330" s="559" t="s">
        <v>585</v>
      </c>
      <c r="E330" s="556">
        <v>2475000</v>
      </c>
      <c r="F330" s="1088"/>
      <c r="G330" s="560"/>
      <c r="H330" s="560"/>
      <c r="I330" s="560"/>
      <c r="J330" s="561"/>
      <c r="K330" s="561"/>
    </row>
    <row r="331" spans="1:46" s="562" customFormat="1">
      <c r="A331" s="479">
        <v>269</v>
      </c>
      <c r="B331" s="1110" t="s">
        <v>885</v>
      </c>
      <c r="C331" s="1110"/>
      <c r="D331" s="559" t="s">
        <v>585</v>
      </c>
      <c r="E331" s="556">
        <v>2200000</v>
      </c>
      <c r="F331" s="1088"/>
      <c r="G331" s="560"/>
      <c r="H331" s="560"/>
      <c r="I331" s="560"/>
      <c r="J331" s="561"/>
      <c r="K331" s="561"/>
    </row>
    <row r="332" spans="1:46" s="562" customFormat="1">
      <c r="A332" s="479">
        <v>270</v>
      </c>
      <c r="B332" s="1110" t="s">
        <v>886</v>
      </c>
      <c r="C332" s="1110"/>
      <c r="D332" s="559" t="s">
        <v>585</v>
      </c>
      <c r="E332" s="556">
        <v>2200000</v>
      </c>
      <c r="F332" s="1088"/>
      <c r="G332" s="560"/>
      <c r="H332" s="560"/>
      <c r="I332" s="560"/>
      <c r="J332" s="561"/>
      <c r="K332" s="561"/>
    </row>
    <row r="333" spans="1:46" s="562" customFormat="1">
      <c r="A333" s="479">
        <v>271</v>
      </c>
      <c r="B333" s="1110" t="s">
        <v>887</v>
      </c>
      <c r="C333" s="1110"/>
      <c r="D333" s="559" t="s">
        <v>585</v>
      </c>
      <c r="E333" s="556">
        <v>2552000</v>
      </c>
      <c r="F333" s="1088"/>
      <c r="G333" s="560"/>
      <c r="H333" s="560"/>
      <c r="I333" s="560"/>
      <c r="J333" s="561"/>
      <c r="K333" s="561"/>
    </row>
    <row r="334" spans="1:46" s="562" customFormat="1">
      <c r="A334" s="479">
        <v>272</v>
      </c>
      <c r="B334" s="1110" t="s">
        <v>888</v>
      </c>
      <c r="C334" s="1110"/>
      <c r="D334" s="559" t="s">
        <v>585</v>
      </c>
      <c r="E334" s="556">
        <v>2552000</v>
      </c>
      <c r="F334" s="1088"/>
      <c r="G334" s="560"/>
      <c r="H334" s="560"/>
      <c r="I334" s="560"/>
      <c r="J334" s="561"/>
      <c r="K334" s="561"/>
    </row>
    <row r="335" spans="1:46" s="562" customFormat="1">
      <c r="A335" s="479">
        <v>273</v>
      </c>
      <c r="B335" s="1110" t="s">
        <v>889</v>
      </c>
      <c r="C335" s="1110"/>
      <c r="D335" s="559" t="s">
        <v>585</v>
      </c>
      <c r="E335" s="556">
        <v>2552000</v>
      </c>
      <c r="F335" s="1088"/>
      <c r="G335" s="560"/>
      <c r="H335" s="560"/>
      <c r="I335" s="560"/>
      <c r="J335" s="561"/>
      <c r="K335" s="561"/>
    </row>
    <row r="336" spans="1:46" s="562" customFormat="1" ht="18" customHeight="1">
      <c r="A336" s="563" t="s">
        <v>761</v>
      </c>
      <c r="B336" s="1113" t="s">
        <v>890</v>
      </c>
      <c r="C336" s="1113"/>
      <c r="D336" s="1113"/>
      <c r="E336" s="1113"/>
      <c r="F336" s="1114"/>
      <c r="G336" s="484"/>
      <c r="H336" s="484"/>
      <c r="I336" s="484"/>
      <c r="J336" s="564"/>
      <c r="K336" s="565"/>
    </row>
    <row r="337" spans="1:46" s="554" customFormat="1" ht="23.25" customHeight="1">
      <c r="A337" s="534" t="s">
        <v>12</v>
      </c>
      <c r="B337" s="1107" t="s">
        <v>891</v>
      </c>
      <c r="C337" s="1107"/>
      <c r="D337" s="1107"/>
      <c r="E337" s="1107"/>
      <c r="F337" s="1088" t="s">
        <v>892</v>
      </c>
      <c r="G337" s="484"/>
      <c r="H337" s="484"/>
      <c r="I337" s="484"/>
      <c r="J337" s="464"/>
      <c r="K337" s="553"/>
      <c r="L337" s="553"/>
      <c r="M337" s="553"/>
      <c r="N337" s="553"/>
      <c r="O337" s="553"/>
      <c r="P337" s="553"/>
      <c r="Q337" s="553"/>
      <c r="R337" s="553"/>
      <c r="S337" s="553"/>
      <c r="T337" s="553"/>
      <c r="U337" s="553"/>
      <c r="V337" s="553"/>
      <c r="W337" s="553"/>
      <c r="X337" s="553"/>
      <c r="Y337" s="553"/>
      <c r="Z337" s="553"/>
      <c r="AA337" s="553"/>
      <c r="AB337" s="553"/>
      <c r="AC337" s="553"/>
      <c r="AD337" s="553"/>
      <c r="AE337" s="553"/>
      <c r="AF337" s="553"/>
      <c r="AG337" s="553"/>
      <c r="AH337" s="553"/>
      <c r="AI337" s="553"/>
      <c r="AJ337" s="553"/>
      <c r="AK337" s="553"/>
      <c r="AL337" s="553"/>
      <c r="AM337" s="553"/>
      <c r="AN337" s="553"/>
      <c r="AO337" s="553"/>
      <c r="AP337" s="553"/>
      <c r="AQ337" s="553"/>
      <c r="AR337" s="553"/>
      <c r="AS337" s="553"/>
      <c r="AT337" s="553"/>
    </row>
    <row r="338" spans="1:46" s="562" customFormat="1" ht="15.75" customHeight="1">
      <c r="A338" s="479">
        <v>274</v>
      </c>
      <c r="B338" s="1104" t="s">
        <v>846</v>
      </c>
      <c r="C338" s="1104"/>
      <c r="D338" s="559" t="s">
        <v>585</v>
      </c>
      <c r="E338" s="556">
        <v>2512000</v>
      </c>
      <c r="F338" s="1088"/>
      <c r="G338" s="484"/>
      <c r="H338" s="484"/>
      <c r="I338" s="484"/>
      <c r="J338" s="564"/>
      <c r="K338" s="565"/>
    </row>
    <row r="339" spans="1:46" s="562" customFormat="1" ht="27" customHeight="1">
      <c r="A339" s="479">
        <v>275</v>
      </c>
      <c r="B339" s="1104" t="s">
        <v>893</v>
      </c>
      <c r="C339" s="1104"/>
      <c r="D339" s="555" t="s">
        <v>585</v>
      </c>
      <c r="E339" s="556">
        <v>3754000</v>
      </c>
      <c r="F339" s="1088"/>
      <c r="G339" s="484"/>
      <c r="H339" s="484"/>
      <c r="I339" s="484"/>
      <c r="J339" s="564"/>
      <c r="K339" s="565"/>
    </row>
    <row r="340" spans="1:46" s="562" customFormat="1" ht="27" customHeight="1">
      <c r="A340" s="479">
        <v>276</v>
      </c>
      <c r="B340" s="1104" t="s">
        <v>894</v>
      </c>
      <c r="C340" s="1104"/>
      <c r="D340" s="555" t="s">
        <v>585</v>
      </c>
      <c r="E340" s="556">
        <v>3402000</v>
      </c>
      <c r="F340" s="1088"/>
      <c r="G340" s="484"/>
      <c r="H340" s="484"/>
      <c r="I340" s="484"/>
      <c r="J340" s="564"/>
      <c r="K340" s="565"/>
    </row>
    <row r="341" spans="1:46" s="562" customFormat="1" ht="24" customHeight="1">
      <c r="A341" s="479">
        <v>277</v>
      </c>
      <c r="B341" s="1104" t="s">
        <v>895</v>
      </c>
      <c r="C341" s="1104"/>
      <c r="D341" s="555" t="s">
        <v>585</v>
      </c>
      <c r="E341" s="556">
        <v>3360000</v>
      </c>
      <c r="F341" s="1088"/>
      <c r="G341" s="484"/>
      <c r="H341" s="484"/>
      <c r="I341" s="484"/>
      <c r="J341" s="564"/>
      <c r="K341" s="565"/>
    </row>
    <row r="342" spans="1:46" s="562" customFormat="1" ht="25.5" customHeight="1">
      <c r="A342" s="479">
        <v>278</v>
      </c>
      <c r="B342" s="1104" t="s">
        <v>896</v>
      </c>
      <c r="C342" s="1104"/>
      <c r="D342" s="555" t="s">
        <v>585</v>
      </c>
      <c r="E342" s="556">
        <v>3369000</v>
      </c>
      <c r="F342" s="1088"/>
      <c r="G342" s="484"/>
      <c r="H342" s="484"/>
      <c r="I342" s="484"/>
      <c r="J342" s="564"/>
      <c r="K342" s="565"/>
    </row>
    <row r="343" spans="1:46" s="562" customFormat="1" ht="23.25" customHeight="1">
      <c r="A343" s="479">
        <v>279</v>
      </c>
      <c r="B343" s="1104" t="s">
        <v>897</v>
      </c>
      <c r="C343" s="1104"/>
      <c r="D343" s="555" t="s">
        <v>585</v>
      </c>
      <c r="E343" s="556">
        <v>3422000</v>
      </c>
      <c r="F343" s="1088"/>
      <c r="G343" s="484"/>
      <c r="H343" s="484"/>
      <c r="I343" s="484"/>
      <c r="J343" s="564"/>
      <c r="K343" s="565"/>
    </row>
    <row r="344" spans="1:46" s="562" customFormat="1" ht="24.75" customHeight="1">
      <c r="A344" s="479">
        <v>280</v>
      </c>
      <c r="B344" s="1104" t="s">
        <v>898</v>
      </c>
      <c r="C344" s="1104"/>
      <c r="D344" s="555" t="s">
        <v>585</v>
      </c>
      <c r="E344" s="556">
        <v>3673000</v>
      </c>
      <c r="F344" s="1088"/>
      <c r="G344" s="484"/>
      <c r="H344" s="484"/>
      <c r="I344" s="484"/>
      <c r="J344" s="564"/>
      <c r="K344" s="565"/>
    </row>
    <row r="345" spans="1:46" s="562" customFormat="1" ht="25.5" customHeight="1">
      <c r="A345" s="479">
        <v>281</v>
      </c>
      <c r="B345" s="1104" t="s">
        <v>899</v>
      </c>
      <c r="C345" s="1104"/>
      <c r="D345" s="555" t="s">
        <v>585</v>
      </c>
      <c r="E345" s="556">
        <v>3260000</v>
      </c>
      <c r="F345" s="1088"/>
      <c r="G345" s="484"/>
      <c r="H345" s="484"/>
      <c r="I345" s="484"/>
      <c r="J345" s="564"/>
      <c r="K345" s="565"/>
    </row>
    <row r="346" spans="1:46" s="562" customFormat="1" ht="25.5" customHeight="1">
      <c r="A346" s="479">
        <v>282</v>
      </c>
      <c r="B346" s="1104" t="s">
        <v>900</v>
      </c>
      <c r="C346" s="1104"/>
      <c r="D346" s="555" t="s">
        <v>585</v>
      </c>
      <c r="E346" s="556">
        <v>3375000</v>
      </c>
      <c r="F346" s="1088"/>
      <c r="G346" s="484"/>
      <c r="H346" s="484"/>
      <c r="I346" s="484"/>
      <c r="J346" s="564"/>
      <c r="K346" s="565"/>
    </row>
    <row r="347" spans="1:46" s="554" customFormat="1" ht="27" customHeight="1">
      <c r="A347" s="534" t="s">
        <v>20</v>
      </c>
      <c r="B347" s="1107" t="s">
        <v>901</v>
      </c>
      <c r="C347" s="1107"/>
      <c r="D347" s="1107"/>
      <c r="E347" s="1107"/>
      <c r="F347" s="503"/>
      <c r="G347" s="484"/>
      <c r="H347" s="484"/>
      <c r="I347" s="484"/>
      <c r="J347" s="464"/>
      <c r="K347" s="553"/>
      <c r="L347" s="553"/>
      <c r="M347" s="553"/>
      <c r="N347" s="553"/>
      <c r="O347" s="553"/>
      <c r="P347" s="553"/>
      <c r="Q347" s="553"/>
      <c r="R347" s="553"/>
      <c r="S347" s="553"/>
      <c r="T347" s="553"/>
      <c r="U347" s="553"/>
      <c r="V347" s="553"/>
      <c r="W347" s="553"/>
      <c r="X347" s="553"/>
      <c r="Y347" s="553"/>
      <c r="Z347" s="553"/>
      <c r="AA347" s="553"/>
      <c r="AB347" s="553"/>
      <c r="AC347" s="553"/>
      <c r="AD347" s="553"/>
      <c r="AE347" s="553"/>
      <c r="AF347" s="553"/>
      <c r="AG347" s="553"/>
      <c r="AH347" s="553"/>
      <c r="AI347" s="553"/>
      <c r="AJ347" s="553"/>
      <c r="AK347" s="553"/>
      <c r="AL347" s="553"/>
      <c r="AM347" s="553"/>
      <c r="AN347" s="553"/>
      <c r="AO347" s="553"/>
      <c r="AP347" s="553"/>
      <c r="AQ347" s="553"/>
      <c r="AR347" s="553"/>
      <c r="AS347" s="553"/>
      <c r="AT347" s="553"/>
    </row>
    <row r="348" spans="1:46" s="562" customFormat="1">
      <c r="A348" s="479">
        <v>283</v>
      </c>
      <c r="B348" s="1097" t="s">
        <v>902</v>
      </c>
      <c r="C348" s="559" t="s">
        <v>903</v>
      </c>
      <c r="D348" s="555" t="s">
        <v>585</v>
      </c>
      <c r="E348" s="556">
        <v>4604000</v>
      </c>
      <c r="F348" s="1088" t="s">
        <v>904</v>
      </c>
      <c r="G348" s="484"/>
      <c r="H348" s="484"/>
      <c r="I348" s="484"/>
      <c r="J348" s="564"/>
      <c r="K348" s="565"/>
    </row>
    <row r="349" spans="1:46" s="562" customFormat="1">
      <c r="A349" s="479">
        <v>284</v>
      </c>
      <c r="B349" s="1097"/>
      <c r="C349" s="559" t="s">
        <v>905</v>
      </c>
      <c r="D349" s="555" t="s">
        <v>585</v>
      </c>
      <c r="E349" s="556">
        <v>4686000</v>
      </c>
      <c r="F349" s="1088"/>
      <c r="G349" s="484"/>
      <c r="H349" s="484"/>
      <c r="I349" s="484"/>
      <c r="J349" s="564"/>
      <c r="K349" s="565"/>
    </row>
    <row r="350" spans="1:46" s="562" customFormat="1">
      <c r="A350" s="479">
        <v>285</v>
      </c>
      <c r="B350" s="1104" t="s">
        <v>906</v>
      </c>
      <c r="C350" s="559" t="s">
        <v>903</v>
      </c>
      <c r="D350" s="555" t="s">
        <v>585</v>
      </c>
      <c r="E350" s="556">
        <v>5982000</v>
      </c>
      <c r="F350" s="1088"/>
      <c r="G350" s="484"/>
      <c r="H350" s="484"/>
      <c r="I350" s="484"/>
      <c r="J350" s="564"/>
      <c r="K350" s="565"/>
    </row>
    <row r="351" spans="1:46" s="562" customFormat="1" ht="19.5" customHeight="1">
      <c r="A351" s="479">
        <v>286</v>
      </c>
      <c r="B351" s="1104"/>
      <c r="C351" s="559" t="s">
        <v>905</v>
      </c>
      <c r="D351" s="555" t="s">
        <v>585</v>
      </c>
      <c r="E351" s="556">
        <v>6056000</v>
      </c>
      <c r="F351" s="1088"/>
      <c r="G351" s="484"/>
      <c r="H351" s="484"/>
      <c r="I351" s="484"/>
      <c r="J351" s="564"/>
      <c r="K351" s="565"/>
    </row>
    <row r="352" spans="1:46" s="562" customFormat="1">
      <c r="A352" s="479">
        <v>287</v>
      </c>
      <c r="B352" s="1104" t="s">
        <v>907</v>
      </c>
      <c r="C352" s="559" t="s">
        <v>903</v>
      </c>
      <c r="D352" s="555" t="s">
        <v>585</v>
      </c>
      <c r="E352" s="556">
        <v>6893000</v>
      </c>
      <c r="F352" s="1088"/>
      <c r="G352" s="484"/>
      <c r="H352" s="484"/>
      <c r="I352" s="484"/>
      <c r="J352" s="564"/>
      <c r="K352" s="565"/>
    </row>
    <row r="353" spans="1:46" s="562" customFormat="1" ht="18" customHeight="1">
      <c r="A353" s="479">
        <v>288</v>
      </c>
      <c r="B353" s="1104"/>
      <c r="C353" s="559" t="s">
        <v>905</v>
      </c>
      <c r="D353" s="555" t="s">
        <v>585</v>
      </c>
      <c r="E353" s="556">
        <v>6950000</v>
      </c>
      <c r="F353" s="1088"/>
      <c r="G353" s="484"/>
      <c r="H353" s="484"/>
      <c r="I353" s="484"/>
      <c r="J353" s="564"/>
      <c r="K353" s="565"/>
    </row>
    <row r="354" spans="1:46" s="562" customFormat="1">
      <c r="A354" s="479">
        <v>289</v>
      </c>
      <c r="B354" s="1104" t="s">
        <v>908</v>
      </c>
      <c r="C354" s="559" t="s">
        <v>903</v>
      </c>
      <c r="D354" s="555" t="s">
        <v>585</v>
      </c>
      <c r="E354" s="556">
        <v>6833000</v>
      </c>
      <c r="F354" s="1088"/>
      <c r="G354" s="484"/>
      <c r="H354" s="484"/>
      <c r="I354" s="484"/>
      <c r="J354" s="564"/>
      <c r="K354" s="565"/>
    </row>
    <row r="355" spans="1:46" s="562" customFormat="1" ht="18.75" customHeight="1">
      <c r="A355" s="479">
        <v>290</v>
      </c>
      <c r="B355" s="1104"/>
      <c r="C355" s="559" t="s">
        <v>905</v>
      </c>
      <c r="D355" s="555" t="s">
        <v>585</v>
      </c>
      <c r="E355" s="556">
        <v>6917000</v>
      </c>
      <c r="F355" s="1088"/>
      <c r="G355" s="484"/>
      <c r="H355" s="484"/>
      <c r="I355" s="484"/>
      <c r="J355" s="564"/>
      <c r="K355" s="565"/>
    </row>
    <row r="356" spans="1:46" s="562" customFormat="1">
      <c r="A356" s="479">
        <v>291</v>
      </c>
      <c r="B356" s="1104" t="s">
        <v>909</v>
      </c>
      <c r="C356" s="559" t="s">
        <v>903</v>
      </c>
      <c r="D356" s="555" t="s">
        <v>585</v>
      </c>
      <c r="E356" s="556">
        <v>6281000</v>
      </c>
      <c r="F356" s="1088"/>
      <c r="G356" s="484"/>
      <c r="H356" s="484"/>
      <c r="I356" s="484"/>
      <c r="J356" s="564"/>
      <c r="K356" s="565"/>
    </row>
    <row r="357" spans="1:46" s="562" customFormat="1" ht="18.75" customHeight="1">
      <c r="A357" s="479">
        <v>292</v>
      </c>
      <c r="B357" s="1104"/>
      <c r="C357" s="559" t="s">
        <v>905</v>
      </c>
      <c r="D357" s="555" t="s">
        <v>585</v>
      </c>
      <c r="E357" s="556">
        <v>6363000</v>
      </c>
      <c r="F357" s="1088"/>
      <c r="G357" s="484"/>
      <c r="H357" s="484"/>
      <c r="I357" s="484"/>
      <c r="J357" s="564"/>
      <c r="K357" s="565"/>
    </row>
    <row r="358" spans="1:46" s="562" customFormat="1">
      <c r="A358" s="479">
        <v>293</v>
      </c>
      <c r="B358" s="1104" t="s">
        <v>910</v>
      </c>
      <c r="C358" s="559" t="s">
        <v>903</v>
      </c>
      <c r="D358" s="555" t="s">
        <v>585</v>
      </c>
      <c r="E358" s="556">
        <v>6428000</v>
      </c>
      <c r="F358" s="1088"/>
      <c r="G358" s="484"/>
      <c r="H358" s="484"/>
      <c r="I358" s="484"/>
      <c r="J358" s="564"/>
      <c r="K358" s="565"/>
    </row>
    <row r="359" spans="1:46" s="562" customFormat="1">
      <c r="A359" s="479">
        <v>294</v>
      </c>
      <c r="B359" s="1104"/>
      <c r="C359" s="559" t="s">
        <v>905</v>
      </c>
      <c r="D359" s="555" t="s">
        <v>585</v>
      </c>
      <c r="E359" s="556">
        <v>6503000</v>
      </c>
      <c r="F359" s="1088"/>
      <c r="G359" s="484"/>
      <c r="H359" s="484"/>
      <c r="I359" s="484"/>
      <c r="J359" s="564"/>
      <c r="K359" s="565"/>
    </row>
    <row r="360" spans="1:46" s="562" customFormat="1">
      <c r="A360" s="479">
        <v>295</v>
      </c>
      <c r="B360" s="1104" t="s">
        <v>911</v>
      </c>
      <c r="C360" s="559" t="s">
        <v>903</v>
      </c>
      <c r="D360" s="555" t="s">
        <v>585</v>
      </c>
      <c r="E360" s="556">
        <v>6223000</v>
      </c>
      <c r="F360" s="1088"/>
      <c r="G360" s="484"/>
      <c r="H360" s="484"/>
      <c r="I360" s="484"/>
      <c r="J360" s="564"/>
      <c r="K360" s="565"/>
    </row>
    <row r="361" spans="1:46" s="562" customFormat="1" ht="18.75" customHeight="1">
      <c r="A361" s="479">
        <v>296</v>
      </c>
      <c r="B361" s="1104"/>
      <c r="C361" s="559" t="s">
        <v>905</v>
      </c>
      <c r="D361" s="555" t="s">
        <v>585</v>
      </c>
      <c r="E361" s="556">
        <v>6312000</v>
      </c>
      <c r="F361" s="1088"/>
      <c r="G361" s="484"/>
      <c r="H361" s="484"/>
      <c r="I361" s="484"/>
      <c r="J361" s="564"/>
      <c r="K361" s="565"/>
    </row>
    <row r="362" spans="1:46" s="562" customFormat="1">
      <c r="A362" s="479">
        <v>297</v>
      </c>
      <c r="B362" s="1104" t="s">
        <v>912</v>
      </c>
      <c r="C362" s="559" t="s">
        <v>903</v>
      </c>
      <c r="D362" s="555" t="s">
        <v>585</v>
      </c>
      <c r="E362" s="556">
        <v>6374000</v>
      </c>
      <c r="F362" s="1088"/>
      <c r="G362" s="484"/>
      <c r="H362" s="484"/>
      <c r="I362" s="484"/>
      <c r="J362" s="564"/>
      <c r="K362" s="565"/>
    </row>
    <row r="363" spans="1:46" s="562" customFormat="1" ht="18" customHeight="1">
      <c r="A363" s="479">
        <v>298</v>
      </c>
      <c r="B363" s="1104"/>
      <c r="C363" s="559" t="s">
        <v>905</v>
      </c>
      <c r="D363" s="555" t="s">
        <v>585</v>
      </c>
      <c r="E363" s="556">
        <v>6447000</v>
      </c>
      <c r="F363" s="1088"/>
      <c r="G363" s="484"/>
      <c r="H363" s="484"/>
      <c r="I363" s="484"/>
      <c r="J363" s="564"/>
      <c r="K363" s="565"/>
    </row>
    <row r="364" spans="1:46" s="562" customFormat="1">
      <c r="A364" s="479">
        <v>299</v>
      </c>
      <c r="B364" s="1104" t="s">
        <v>913</v>
      </c>
      <c r="C364" s="559" t="s">
        <v>903</v>
      </c>
      <c r="D364" s="555" t="s">
        <v>585</v>
      </c>
      <c r="E364" s="556">
        <v>6618000</v>
      </c>
      <c r="F364" s="1088"/>
      <c r="G364" s="484"/>
      <c r="H364" s="484"/>
      <c r="I364" s="484"/>
      <c r="J364" s="564"/>
      <c r="K364" s="565"/>
    </row>
    <row r="365" spans="1:46" s="562" customFormat="1" ht="18" customHeight="1">
      <c r="A365" s="479">
        <v>300</v>
      </c>
      <c r="B365" s="1104"/>
      <c r="C365" s="559" t="s">
        <v>905</v>
      </c>
      <c r="D365" s="555" t="s">
        <v>585</v>
      </c>
      <c r="E365" s="556">
        <v>6676000</v>
      </c>
      <c r="F365" s="1088"/>
      <c r="G365" s="484"/>
      <c r="H365" s="484"/>
      <c r="I365" s="484"/>
      <c r="J365" s="564"/>
      <c r="K365" s="565"/>
    </row>
    <row r="366" spans="1:46" s="554" customFormat="1" ht="16.5" customHeight="1">
      <c r="A366" s="534" t="s">
        <v>23</v>
      </c>
      <c r="B366" s="1107" t="s">
        <v>914</v>
      </c>
      <c r="C366" s="1107"/>
      <c r="D366" s="1107"/>
      <c r="E366" s="1107"/>
      <c r="F366" s="1088"/>
      <c r="G366" s="484"/>
      <c r="H366" s="484"/>
      <c r="I366" s="484"/>
      <c r="J366" s="464"/>
      <c r="K366" s="553"/>
      <c r="L366" s="553"/>
      <c r="M366" s="553"/>
      <c r="N366" s="553"/>
      <c r="O366" s="553"/>
      <c r="P366" s="553"/>
      <c r="Q366" s="553"/>
      <c r="R366" s="553"/>
      <c r="S366" s="553"/>
      <c r="T366" s="553"/>
      <c r="U366" s="553"/>
      <c r="V366" s="553"/>
      <c r="W366" s="553"/>
      <c r="X366" s="553"/>
      <c r="Y366" s="553"/>
      <c r="Z366" s="553"/>
      <c r="AA366" s="553"/>
      <c r="AB366" s="553"/>
      <c r="AC366" s="553"/>
      <c r="AD366" s="553"/>
      <c r="AE366" s="553"/>
      <c r="AF366" s="553"/>
      <c r="AG366" s="553"/>
      <c r="AH366" s="553"/>
      <c r="AI366" s="553"/>
      <c r="AJ366" s="553"/>
      <c r="AK366" s="553"/>
      <c r="AL366" s="553"/>
      <c r="AM366" s="553"/>
      <c r="AN366" s="553"/>
      <c r="AO366" s="553"/>
      <c r="AP366" s="553"/>
      <c r="AQ366" s="553"/>
      <c r="AR366" s="553"/>
      <c r="AS366" s="553"/>
      <c r="AT366" s="553"/>
    </row>
    <row r="367" spans="1:46" s="562" customFormat="1" ht="23">
      <c r="A367" s="479">
        <v>301</v>
      </c>
      <c r="B367" s="566" t="s">
        <v>915</v>
      </c>
      <c r="C367" s="550" t="s">
        <v>916</v>
      </c>
      <c r="D367" s="555" t="s">
        <v>585</v>
      </c>
      <c r="E367" s="556">
        <v>2720000</v>
      </c>
      <c r="F367" s="1088"/>
      <c r="G367" s="484"/>
      <c r="H367" s="484"/>
      <c r="I367" s="484"/>
      <c r="J367" s="564"/>
      <c r="K367" s="565"/>
    </row>
    <row r="368" spans="1:46" s="514" customFormat="1" ht="15.75" customHeight="1">
      <c r="A368" s="495" t="s">
        <v>790</v>
      </c>
      <c r="B368" s="543" t="s">
        <v>917</v>
      </c>
      <c r="C368" s="567"/>
      <c r="D368" s="568"/>
      <c r="E368" s="569"/>
      <c r="F368" s="570" t="s">
        <v>918</v>
      </c>
      <c r="G368" s="484"/>
      <c r="H368" s="484"/>
      <c r="I368" s="484"/>
      <c r="J368" s="501"/>
      <c r="K368" s="518"/>
    </row>
    <row r="369" spans="1:11" s="508" customFormat="1" ht="18" customHeight="1">
      <c r="A369" s="479">
        <v>302</v>
      </c>
      <c r="B369" s="1115" t="s">
        <v>919</v>
      </c>
      <c r="C369" s="487" t="s">
        <v>920</v>
      </c>
      <c r="D369" s="487" t="s">
        <v>585</v>
      </c>
      <c r="E369" s="571">
        <v>697000</v>
      </c>
      <c r="F369" s="1108" t="s">
        <v>921</v>
      </c>
      <c r="G369" s="484"/>
      <c r="H369" s="484"/>
      <c r="I369" s="484"/>
      <c r="J369" s="485"/>
      <c r="K369" s="485"/>
    </row>
    <row r="370" spans="1:11" s="508" customFormat="1" ht="19.5" customHeight="1">
      <c r="A370" s="479">
        <v>303</v>
      </c>
      <c r="B370" s="1115"/>
      <c r="C370" s="487" t="s">
        <v>922</v>
      </c>
      <c r="D370" s="487" t="s">
        <v>585</v>
      </c>
      <c r="E370" s="571">
        <v>514000</v>
      </c>
      <c r="F370" s="1108"/>
      <c r="G370" s="484"/>
      <c r="H370" s="484"/>
      <c r="I370" s="484"/>
      <c r="J370" s="485"/>
      <c r="K370" s="485"/>
    </row>
    <row r="371" spans="1:11" s="508" customFormat="1" ht="18" customHeight="1">
      <c r="A371" s="479">
        <v>304</v>
      </c>
      <c r="B371" s="1115"/>
      <c r="C371" s="487" t="s">
        <v>923</v>
      </c>
      <c r="D371" s="487" t="s">
        <v>585</v>
      </c>
      <c r="E371" s="571">
        <v>430000</v>
      </c>
      <c r="F371" s="1108"/>
      <c r="G371" s="484"/>
      <c r="H371" s="484"/>
      <c r="I371" s="484"/>
      <c r="J371" s="485"/>
      <c r="K371" s="485"/>
    </row>
    <row r="372" spans="1:11" s="508" customFormat="1" ht="15.75" customHeight="1">
      <c r="A372" s="476" t="s">
        <v>924</v>
      </c>
      <c r="B372" s="1090" t="s">
        <v>925</v>
      </c>
      <c r="C372" s="1090"/>
      <c r="D372" s="1090"/>
      <c r="E372" s="1090"/>
      <c r="F372" s="1091"/>
      <c r="G372" s="477"/>
      <c r="H372" s="477"/>
      <c r="I372" s="477"/>
      <c r="J372" s="485"/>
      <c r="K372" s="485"/>
    </row>
    <row r="373" spans="1:11" s="512" customFormat="1" ht="15.75" customHeight="1">
      <c r="A373" s="479">
        <v>305</v>
      </c>
      <c r="B373" s="500" t="s">
        <v>926</v>
      </c>
      <c r="C373" s="481" t="s">
        <v>453</v>
      </c>
      <c r="D373" s="481" t="s">
        <v>468</v>
      </c>
      <c r="E373" s="482">
        <v>25000000</v>
      </c>
      <c r="F373" s="1096" t="s">
        <v>450</v>
      </c>
      <c r="G373" s="537"/>
      <c r="H373" s="538"/>
      <c r="I373" s="538"/>
      <c r="J373" s="493"/>
      <c r="K373" s="493"/>
    </row>
    <row r="374" spans="1:11" s="508" customFormat="1">
      <c r="A374" s="479">
        <v>306</v>
      </c>
      <c r="B374" s="489" t="s">
        <v>927</v>
      </c>
      <c r="C374" s="487" t="s">
        <v>453</v>
      </c>
      <c r="D374" s="487" t="s">
        <v>468</v>
      </c>
      <c r="E374" s="474">
        <v>9000000</v>
      </c>
      <c r="F374" s="1096"/>
      <c r="G374" s="572"/>
      <c r="H374" s="484"/>
      <c r="I374" s="484"/>
      <c r="J374" s="485"/>
      <c r="K374" s="485"/>
    </row>
    <row r="375" spans="1:11" s="508" customFormat="1">
      <c r="A375" s="479">
        <v>307</v>
      </c>
      <c r="B375" s="489" t="s">
        <v>928</v>
      </c>
      <c r="C375" s="487" t="s">
        <v>453</v>
      </c>
      <c r="D375" s="487" t="s">
        <v>468</v>
      </c>
      <c r="E375" s="474">
        <v>7500000</v>
      </c>
      <c r="F375" s="1096"/>
      <c r="G375" s="572"/>
      <c r="H375" s="484"/>
      <c r="I375" s="484"/>
      <c r="J375" s="485"/>
      <c r="K375" s="485"/>
    </row>
    <row r="376" spans="1:11" s="512" customFormat="1" ht="15.75" customHeight="1">
      <c r="A376" s="479">
        <v>308</v>
      </c>
      <c r="B376" s="500" t="s">
        <v>929</v>
      </c>
      <c r="C376" s="481" t="s">
        <v>453</v>
      </c>
      <c r="D376" s="481" t="s">
        <v>468</v>
      </c>
      <c r="E376" s="482">
        <v>2800000</v>
      </c>
      <c r="F376" s="1096"/>
      <c r="G376" s="537"/>
      <c r="H376" s="538"/>
      <c r="I376" s="538"/>
      <c r="J376" s="493"/>
      <c r="K376" s="493"/>
    </row>
    <row r="377" spans="1:11" s="508" customFormat="1" ht="15.75" customHeight="1">
      <c r="A377" s="476" t="s">
        <v>930</v>
      </c>
      <c r="B377" s="1090" t="s">
        <v>931</v>
      </c>
      <c r="C377" s="1090"/>
      <c r="D377" s="1090"/>
      <c r="E377" s="1090"/>
      <c r="F377" s="1091"/>
      <c r="G377" s="477"/>
      <c r="H377" s="477"/>
      <c r="I377" s="477"/>
      <c r="J377" s="485"/>
      <c r="K377" s="485"/>
    </row>
    <row r="378" spans="1:11" s="508" customFormat="1" ht="15.75" customHeight="1">
      <c r="A378" s="495" t="s">
        <v>367</v>
      </c>
      <c r="B378" s="573" t="s">
        <v>932</v>
      </c>
      <c r="C378" s="574"/>
      <c r="D378" s="574"/>
      <c r="E378" s="575"/>
      <c r="F378" s="499"/>
      <c r="G378" s="477"/>
      <c r="H378" s="477"/>
      <c r="I378" s="477"/>
      <c r="J378" s="485"/>
      <c r="K378" s="478"/>
    </row>
    <row r="379" spans="1:11" s="508" customFormat="1" ht="28">
      <c r="A379" s="479">
        <v>309</v>
      </c>
      <c r="B379" s="576" t="s">
        <v>933</v>
      </c>
      <c r="C379" s="555" t="s">
        <v>934</v>
      </c>
      <c r="D379" s="555" t="s">
        <v>935</v>
      </c>
      <c r="E379" s="556">
        <v>3100000</v>
      </c>
      <c r="F379" s="1088" t="s">
        <v>936</v>
      </c>
      <c r="G379" s="484"/>
      <c r="H379" s="577"/>
      <c r="I379" s="578"/>
      <c r="J379" s="485"/>
      <c r="K379" s="485"/>
    </row>
    <row r="380" spans="1:11" s="508" customFormat="1" ht="28">
      <c r="A380" s="479">
        <v>310</v>
      </c>
      <c r="B380" s="576" t="s">
        <v>937</v>
      </c>
      <c r="C380" s="555" t="s">
        <v>938</v>
      </c>
      <c r="D380" s="555" t="s">
        <v>935</v>
      </c>
      <c r="E380" s="556">
        <v>2575000</v>
      </c>
      <c r="F380" s="1088"/>
      <c r="G380" s="484"/>
      <c r="H380" s="577"/>
      <c r="I380" s="578"/>
      <c r="J380" s="485"/>
      <c r="K380" s="485"/>
    </row>
    <row r="381" spans="1:11" s="508" customFormat="1">
      <c r="A381" s="479">
        <v>311</v>
      </c>
      <c r="B381" s="576" t="s">
        <v>939</v>
      </c>
      <c r="C381" s="555" t="s">
        <v>938</v>
      </c>
      <c r="D381" s="555" t="s">
        <v>935</v>
      </c>
      <c r="E381" s="556">
        <v>1739000</v>
      </c>
      <c r="F381" s="1088"/>
      <c r="G381" s="484"/>
      <c r="H381" s="577"/>
      <c r="I381" s="578"/>
      <c r="J381" s="485"/>
      <c r="K381" s="579"/>
    </row>
    <row r="382" spans="1:11" s="508" customFormat="1">
      <c r="A382" s="479">
        <v>312</v>
      </c>
      <c r="B382" s="576" t="s">
        <v>940</v>
      </c>
      <c r="C382" s="555" t="s">
        <v>938</v>
      </c>
      <c r="D382" s="555" t="s">
        <v>935</v>
      </c>
      <c r="E382" s="556">
        <v>2657000</v>
      </c>
      <c r="F382" s="1088"/>
      <c r="G382" s="484"/>
      <c r="H382" s="577"/>
      <c r="I382" s="578"/>
      <c r="J382" s="485"/>
      <c r="K382" s="579"/>
    </row>
    <row r="383" spans="1:11" s="508" customFormat="1">
      <c r="A383" s="479">
        <v>313</v>
      </c>
      <c r="B383" s="576" t="s">
        <v>941</v>
      </c>
      <c r="C383" s="555" t="s">
        <v>938</v>
      </c>
      <c r="D383" s="555" t="s">
        <v>935</v>
      </c>
      <c r="E383" s="556">
        <v>4723000</v>
      </c>
      <c r="F383" s="1088"/>
      <c r="G383" s="484"/>
      <c r="H383" s="577"/>
      <c r="I383" s="578"/>
      <c r="J383" s="485"/>
      <c r="K383" s="579"/>
    </row>
    <row r="384" spans="1:11" s="508" customFormat="1" ht="28">
      <c r="A384" s="479">
        <v>314</v>
      </c>
      <c r="B384" s="576" t="s">
        <v>942</v>
      </c>
      <c r="C384" s="555" t="s">
        <v>938</v>
      </c>
      <c r="D384" s="555" t="s">
        <v>935</v>
      </c>
      <c r="E384" s="556">
        <v>1889000</v>
      </c>
      <c r="F384" s="1088"/>
      <c r="G384" s="484"/>
      <c r="H384" s="577"/>
      <c r="I384" s="578"/>
      <c r="J384" s="485"/>
      <c r="K384" s="501"/>
    </row>
    <row r="385" spans="1:11" s="508" customFormat="1">
      <c r="A385" s="479">
        <v>315</v>
      </c>
      <c r="B385" s="576" t="s">
        <v>943</v>
      </c>
      <c r="C385" s="555" t="s">
        <v>938</v>
      </c>
      <c r="D385" s="555" t="s">
        <v>935</v>
      </c>
      <c r="E385" s="556">
        <v>1259000</v>
      </c>
      <c r="F385" s="1088"/>
      <c r="G385" s="484"/>
      <c r="H385" s="577"/>
      <c r="I385" s="578"/>
      <c r="J385" s="485"/>
      <c r="K385" s="580"/>
    </row>
    <row r="386" spans="1:11" s="508" customFormat="1">
      <c r="A386" s="479">
        <v>316</v>
      </c>
      <c r="B386" s="576" t="s">
        <v>944</v>
      </c>
      <c r="C386" s="555" t="s">
        <v>945</v>
      </c>
      <c r="D386" s="555" t="s">
        <v>935</v>
      </c>
      <c r="E386" s="556">
        <v>684585</v>
      </c>
      <c r="F386" s="1088"/>
      <c r="G386" s="484"/>
      <c r="H386" s="577"/>
      <c r="I386" s="578"/>
      <c r="J386" s="485"/>
      <c r="K386" s="580"/>
    </row>
    <row r="387" spans="1:11" s="508" customFormat="1" ht="28">
      <c r="A387" s="479">
        <v>317</v>
      </c>
      <c r="B387" s="576" t="s">
        <v>946</v>
      </c>
      <c r="C387" s="555" t="s">
        <v>938</v>
      </c>
      <c r="D387" s="555" t="s">
        <v>935</v>
      </c>
      <c r="E387" s="556">
        <v>2111670</v>
      </c>
      <c r="F387" s="1088"/>
      <c r="G387" s="484"/>
      <c r="H387" s="577"/>
      <c r="I387" s="578"/>
      <c r="J387" s="485"/>
      <c r="K387" s="580"/>
    </row>
    <row r="388" spans="1:11" s="508" customFormat="1">
      <c r="A388" s="479">
        <v>318</v>
      </c>
      <c r="B388" s="581" t="s">
        <v>947</v>
      </c>
      <c r="C388" s="555" t="s">
        <v>948</v>
      </c>
      <c r="D388" s="555" t="s">
        <v>949</v>
      </c>
      <c r="E388" s="556">
        <v>285000</v>
      </c>
      <c r="F388" s="1088"/>
      <c r="G388" s="484"/>
      <c r="H388" s="577"/>
      <c r="I388" s="578"/>
      <c r="J388" s="485"/>
      <c r="K388" s="485"/>
    </row>
    <row r="389" spans="1:11" s="512" customFormat="1" ht="30" customHeight="1">
      <c r="A389" s="479">
        <v>319</v>
      </c>
      <c r="B389" s="582" t="s">
        <v>950</v>
      </c>
      <c r="C389" s="583" t="s">
        <v>948</v>
      </c>
      <c r="D389" s="583" t="s">
        <v>949</v>
      </c>
      <c r="E389" s="584">
        <v>305000</v>
      </c>
      <c r="F389" s="1088"/>
      <c r="G389" s="484"/>
      <c r="H389" s="585"/>
      <c r="I389" s="578"/>
      <c r="J389" s="493"/>
      <c r="K389" s="493"/>
    </row>
    <row r="390" spans="1:11" s="508" customFormat="1">
      <c r="A390" s="479">
        <v>320</v>
      </c>
      <c r="B390" s="576" t="s">
        <v>951</v>
      </c>
      <c r="C390" s="555" t="s">
        <v>938</v>
      </c>
      <c r="D390" s="555" t="s">
        <v>935</v>
      </c>
      <c r="E390" s="556">
        <v>1124145</v>
      </c>
      <c r="F390" s="1088"/>
      <c r="G390" s="484"/>
      <c r="H390" s="577"/>
      <c r="I390" s="578"/>
      <c r="J390" s="485"/>
      <c r="K390" s="485"/>
    </row>
    <row r="391" spans="1:11" s="508" customFormat="1">
      <c r="A391" s="479">
        <v>321</v>
      </c>
      <c r="B391" s="576" t="s">
        <v>952</v>
      </c>
      <c r="C391" s="555" t="s">
        <v>953</v>
      </c>
      <c r="D391" s="555" t="s">
        <v>935</v>
      </c>
      <c r="E391" s="556">
        <v>871695</v>
      </c>
      <c r="F391" s="1088"/>
      <c r="G391" s="484"/>
      <c r="H391" s="577"/>
      <c r="I391" s="578"/>
      <c r="J391" s="485"/>
      <c r="K391" s="485"/>
    </row>
    <row r="392" spans="1:11" s="508" customFormat="1" ht="28">
      <c r="A392" s="479">
        <v>322</v>
      </c>
      <c r="B392" s="576" t="s">
        <v>954</v>
      </c>
      <c r="C392" s="555" t="s">
        <v>955</v>
      </c>
      <c r="D392" s="555" t="s">
        <v>935</v>
      </c>
      <c r="E392" s="556">
        <v>807840</v>
      </c>
      <c r="F392" s="1088"/>
      <c r="G392" s="484"/>
      <c r="H392" s="577"/>
      <c r="I392" s="578"/>
      <c r="J392" s="485"/>
      <c r="K392" s="485"/>
    </row>
    <row r="393" spans="1:11" s="508" customFormat="1">
      <c r="A393" s="479">
        <v>323</v>
      </c>
      <c r="B393" s="576" t="s">
        <v>956</v>
      </c>
      <c r="C393" s="555" t="s">
        <v>953</v>
      </c>
      <c r="D393" s="555" t="s">
        <v>935</v>
      </c>
      <c r="E393" s="556">
        <v>237000</v>
      </c>
      <c r="F393" s="1088"/>
      <c r="G393" s="484"/>
      <c r="H393" s="484"/>
      <c r="I393" s="484"/>
      <c r="J393" s="485"/>
      <c r="K393" s="485"/>
    </row>
    <row r="394" spans="1:11" s="508" customFormat="1" ht="15.75" customHeight="1">
      <c r="A394" s="495" t="s">
        <v>368</v>
      </c>
      <c r="B394" s="573" t="s">
        <v>957</v>
      </c>
      <c r="C394" s="574"/>
      <c r="D394" s="574"/>
      <c r="E394" s="575"/>
      <c r="F394" s="586"/>
      <c r="G394" s="484"/>
      <c r="H394" s="484"/>
      <c r="I394" s="484"/>
      <c r="J394" s="485"/>
      <c r="K394" s="478"/>
    </row>
    <row r="395" spans="1:11" s="508" customFormat="1" ht="18" customHeight="1">
      <c r="A395" s="479">
        <v>324</v>
      </c>
      <c r="B395" s="576" t="s">
        <v>958</v>
      </c>
      <c r="C395" s="555" t="s">
        <v>948</v>
      </c>
      <c r="D395" s="487" t="s">
        <v>949</v>
      </c>
      <c r="E395" s="556">
        <v>360000</v>
      </c>
      <c r="F395" s="1088" t="s">
        <v>959</v>
      </c>
      <c r="G395" s="484"/>
      <c r="H395" s="484"/>
      <c r="I395" s="484"/>
      <c r="J395" s="485"/>
      <c r="K395" s="485"/>
    </row>
    <row r="396" spans="1:11" s="508" customFormat="1" ht="18" customHeight="1">
      <c r="A396" s="479">
        <v>325</v>
      </c>
      <c r="B396" s="576" t="s">
        <v>960</v>
      </c>
      <c r="C396" s="555" t="s">
        <v>961</v>
      </c>
      <c r="D396" s="555" t="s">
        <v>935</v>
      </c>
      <c r="E396" s="556">
        <v>1090000</v>
      </c>
      <c r="F396" s="1088"/>
      <c r="G396" s="484"/>
      <c r="H396" s="484"/>
      <c r="I396" s="484"/>
      <c r="J396" s="485"/>
      <c r="K396" s="485"/>
    </row>
    <row r="397" spans="1:11" s="508" customFormat="1" ht="25.5" customHeight="1">
      <c r="A397" s="479">
        <v>326</v>
      </c>
      <c r="B397" s="587" t="s">
        <v>962</v>
      </c>
      <c r="C397" s="555" t="s">
        <v>961</v>
      </c>
      <c r="D397" s="555" t="s">
        <v>935</v>
      </c>
      <c r="E397" s="556">
        <v>2232000</v>
      </c>
      <c r="F397" s="1088"/>
      <c r="G397" s="484"/>
      <c r="H397" s="484"/>
      <c r="I397" s="484"/>
      <c r="J397" s="485"/>
      <c r="K397" s="485"/>
    </row>
    <row r="398" spans="1:11" s="508" customFormat="1" ht="18" customHeight="1">
      <c r="A398" s="479">
        <v>327</v>
      </c>
      <c r="B398" s="576" t="s">
        <v>963</v>
      </c>
      <c r="C398" s="555" t="s">
        <v>961</v>
      </c>
      <c r="D398" s="555" t="s">
        <v>935</v>
      </c>
      <c r="E398" s="556">
        <v>435000</v>
      </c>
      <c r="F398" s="1088"/>
      <c r="G398" s="484"/>
      <c r="H398" s="484"/>
      <c r="I398" s="484"/>
      <c r="J398" s="485"/>
      <c r="K398" s="580"/>
    </row>
    <row r="399" spans="1:11" s="508" customFormat="1" ht="18" customHeight="1">
      <c r="A399" s="479">
        <v>328</v>
      </c>
      <c r="B399" s="576" t="s">
        <v>964</v>
      </c>
      <c r="C399" s="555" t="s">
        <v>961</v>
      </c>
      <c r="D399" s="555" t="s">
        <v>935</v>
      </c>
      <c r="E399" s="556">
        <v>755000</v>
      </c>
      <c r="F399" s="1088"/>
      <c r="G399" s="484"/>
      <c r="H399" s="484"/>
      <c r="I399" s="484"/>
      <c r="J399" s="485"/>
      <c r="K399" s="580"/>
    </row>
    <row r="400" spans="1:11" s="508" customFormat="1" ht="18" customHeight="1">
      <c r="A400" s="479">
        <v>329</v>
      </c>
      <c r="B400" s="576" t="s">
        <v>965</v>
      </c>
      <c r="C400" s="555" t="s">
        <v>961</v>
      </c>
      <c r="D400" s="555" t="s">
        <v>935</v>
      </c>
      <c r="E400" s="556">
        <v>1750000</v>
      </c>
      <c r="F400" s="1088"/>
      <c r="G400" s="484"/>
      <c r="H400" s="484"/>
      <c r="I400" s="484"/>
      <c r="J400" s="485"/>
      <c r="K400" s="579"/>
    </row>
    <row r="401" spans="1:11" s="508" customFormat="1" ht="18" customHeight="1">
      <c r="A401" s="479">
        <v>330</v>
      </c>
      <c r="B401" s="576" t="s">
        <v>966</v>
      </c>
      <c r="C401" s="555" t="s">
        <v>961</v>
      </c>
      <c r="D401" s="555" t="s">
        <v>935</v>
      </c>
      <c r="E401" s="556">
        <v>2330000</v>
      </c>
      <c r="F401" s="1088"/>
      <c r="G401" s="484"/>
      <c r="H401" s="484"/>
      <c r="I401" s="484"/>
      <c r="J401" s="485"/>
      <c r="K401" s="579"/>
    </row>
    <row r="402" spans="1:11" s="508" customFormat="1" ht="15.75" customHeight="1">
      <c r="A402" s="495" t="s">
        <v>369</v>
      </c>
      <c r="B402" s="573" t="s">
        <v>967</v>
      </c>
      <c r="C402" s="574"/>
      <c r="D402" s="574"/>
      <c r="E402" s="575"/>
      <c r="F402" s="586"/>
      <c r="G402" s="484"/>
      <c r="H402" s="484"/>
      <c r="I402" s="484"/>
      <c r="J402" s="485"/>
      <c r="K402" s="478"/>
    </row>
    <row r="403" spans="1:11" s="508" customFormat="1">
      <c r="A403" s="479">
        <v>331</v>
      </c>
      <c r="B403" s="587" t="s">
        <v>968</v>
      </c>
      <c r="C403" s="555" t="s">
        <v>934</v>
      </c>
      <c r="D403" s="555" t="s">
        <v>935</v>
      </c>
      <c r="E403" s="556">
        <v>872000</v>
      </c>
      <c r="F403" s="1088" t="s">
        <v>969</v>
      </c>
      <c r="G403" s="484"/>
      <c r="H403" s="484"/>
      <c r="I403" s="484"/>
      <c r="J403" s="485"/>
      <c r="K403" s="485"/>
    </row>
    <row r="404" spans="1:11" s="508" customFormat="1">
      <c r="A404" s="479">
        <v>332</v>
      </c>
      <c r="B404" s="587" t="s">
        <v>970</v>
      </c>
      <c r="C404" s="555" t="s">
        <v>934</v>
      </c>
      <c r="D404" s="555" t="s">
        <v>935</v>
      </c>
      <c r="E404" s="556">
        <v>1177000</v>
      </c>
      <c r="F404" s="1088"/>
      <c r="G404" s="484"/>
      <c r="H404" s="484"/>
      <c r="I404" s="484"/>
      <c r="J404" s="485"/>
      <c r="K404" s="485"/>
    </row>
    <row r="405" spans="1:11" s="508" customFormat="1" ht="28">
      <c r="A405" s="479">
        <v>333</v>
      </c>
      <c r="B405" s="587" t="s">
        <v>971</v>
      </c>
      <c r="C405" s="549" t="s">
        <v>972</v>
      </c>
      <c r="D405" s="555" t="s">
        <v>973</v>
      </c>
      <c r="E405" s="556">
        <v>2090000.0000000002</v>
      </c>
      <c r="F405" s="1088"/>
      <c r="G405" s="484"/>
      <c r="H405" s="484"/>
      <c r="I405" s="484"/>
      <c r="J405" s="485"/>
      <c r="K405" s="485"/>
    </row>
    <row r="406" spans="1:11" s="508" customFormat="1" ht="27" customHeight="1">
      <c r="A406" s="479">
        <v>334</v>
      </c>
      <c r="B406" s="587" t="s">
        <v>974</v>
      </c>
      <c r="C406" s="555" t="s">
        <v>975</v>
      </c>
      <c r="D406" s="555" t="s">
        <v>976</v>
      </c>
      <c r="E406" s="556">
        <v>756000</v>
      </c>
      <c r="F406" s="1088"/>
      <c r="G406" s="484"/>
      <c r="H406" s="484"/>
      <c r="I406" s="484"/>
      <c r="J406" s="485"/>
      <c r="K406" s="485"/>
    </row>
    <row r="407" spans="1:11" s="508" customFormat="1" ht="26.25" customHeight="1">
      <c r="A407" s="479">
        <v>335</v>
      </c>
      <c r="B407" s="587" t="s">
        <v>977</v>
      </c>
      <c r="C407" s="555" t="s">
        <v>961</v>
      </c>
      <c r="D407" s="555" t="s">
        <v>935</v>
      </c>
      <c r="E407" s="556">
        <v>3300000.0000000005</v>
      </c>
      <c r="F407" s="1088"/>
      <c r="G407" s="484"/>
      <c r="H407" s="484"/>
      <c r="I407" s="484"/>
      <c r="J407" s="485"/>
      <c r="K407" s="485"/>
    </row>
    <row r="408" spans="1:11" s="508" customFormat="1">
      <c r="A408" s="479">
        <v>336</v>
      </c>
      <c r="B408" s="587" t="s">
        <v>978</v>
      </c>
      <c r="C408" s="555" t="s">
        <v>979</v>
      </c>
      <c r="D408" s="555" t="s">
        <v>935</v>
      </c>
      <c r="E408" s="556">
        <v>1155000</v>
      </c>
      <c r="F408" s="1088"/>
      <c r="G408" s="484"/>
      <c r="H408" s="484"/>
      <c r="I408" s="484"/>
      <c r="J408" s="485"/>
      <c r="K408" s="588"/>
    </row>
    <row r="409" spans="1:11" s="508" customFormat="1">
      <c r="A409" s="479">
        <v>337</v>
      </c>
      <c r="B409" s="587" t="s">
        <v>980</v>
      </c>
      <c r="C409" s="555" t="s">
        <v>961</v>
      </c>
      <c r="D409" s="555" t="s">
        <v>935</v>
      </c>
      <c r="E409" s="556">
        <v>2343000</v>
      </c>
      <c r="F409" s="1088"/>
      <c r="G409" s="484"/>
      <c r="H409" s="484"/>
      <c r="I409" s="484"/>
      <c r="J409" s="485"/>
      <c r="K409" s="557"/>
    </row>
    <row r="410" spans="1:11" s="508" customFormat="1">
      <c r="A410" s="479">
        <v>338</v>
      </c>
      <c r="B410" s="587" t="s">
        <v>981</v>
      </c>
      <c r="C410" s="555" t="s">
        <v>982</v>
      </c>
      <c r="D410" s="555" t="s">
        <v>935</v>
      </c>
      <c r="E410" s="556">
        <v>1518000.0000000002</v>
      </c>
      <c r="F410" s="1088"/>
      <c r="G410" s="484"/>
      <c r="H410" s="484"/>
      <c r="I410" s="484"/>
      <c r="J410" s="485"/>
      <c r="K410" s="485"/>
    </row>
    <row r="411" spans="1:11" s="508" customFormat="1">
      <c r="A411" s="479">
        <v>339</v>
      </c>
      <c r="B411" s="587" t="s">
        <v>983</v>
      </c>
      <c r="C411" s="555" t="s">
        <v>961</v>
      </c>
      <c r="D411" s="555" t="s">
        <v>935</v>
      </c>
      <c r="E411" s="556">
        <v>1864500.0000000002</v>
      </c>
      <c r="F411" s="1088"/>
      <c r="G411" s="484"/>
      <c r="H411" s="484"/>
      <c r="I411" s="484"/>
      <c r="J411" s="485"/>
      <c r="K411" s="485"/>
    </row>
    <row r="412" spans="1:11" s="508" customFormat="1">
      <c r="A412" s="479">
        <v>340</v>
      </c>
      <c r="B412" s="587" t="s">
        <v>984</v>
      </c>
      <c r="C412" s="555" t="s">
        <v>948</v>
      </c>
      <c r="D412" s="555" t="s">
        <v>949</v>
      </c>
      <c r="E412" s="556">
        <v>297000</v>
      </c>
      <c r="F412" s="1088"/>
      <c r="G412" s="484"/>
      <c r="H412" s="484"/>
      <c r="I412" s="484"/>
      <c r="J412" s="485"/>
      <c r="K412" s="485"/>
    </row>
    <row r="413" spans="1:11" s="508" customFormat="1">
      <c r="A413" s="479">
        <v>341</v>
      </c>
      <c r="B413" s="587" t="s">
        <v>985</v>
      </c>
      <c r="C413" s="555" t="s">
        <v>948</v>
      </c>
      <c r="D413" s="555" t="s">
        <v>949</v>
      </c>
      <c r="E413" s="556">
        <v>339900</v>
      </c>
      <c r="F413" s="1088"/>
      <c r="G413" s="484"/>
      <c r="H413" s="484"/>
      <c r="I413" s="484"/>
      <c r="J413" s="485"/>
      <c r="K413" s="485"/>
    </row>
    <row r="414" spans="1:11" s="508" customFormat="1" ht="15.75" customHeight="1">
      <c r="A414" s="495" t="s">
        <v>723</v>
      </c>
      <c r="B414" s="573" t="s">
        <v>986</v>
      </c>
      <c r="C414" s="574"/>
      <c r="D414" s="574"/>
      <c r="E414" s="575"/>
      <c r="F414" s="586"/>
      <c r="G414" s="484"/>
      <c r="H414" s="484"/>
      <c r="I414" s="484"/>
      <c r="J414" s="485"/>
      <c r="K414" s="478"/>
    </row>
    <row r="415" spans="1:11" s="508" customFormat="1">
      <c r="A415" s="479">
        <v>342</v>
      </c>
      <c r="B415" s="587" t="s">
        <v>987</v>
      </c>
      <c r="C415" s="555" t="s">
        <v>948</v>
      </c>
      <c r="D415" s="555" t="s">
        <v>949</v>
      </c>
      <c r="E415" s="556">
        <v>334000</v>
      </c>
      <c r="F415" s="1088" t="s">
        <v>988</v>
      </c>
      <c r="G415" s="484"/>
      <c r="H415" s="484"/>
      <c r="I415" s="484"/>
      <c r="J415" s="485"/>
      <c r="K415" s="485"/>
    </row>
    <row r="416" spans="1:11" s="508" customFormat="1">
      <c r="A416" s="479">
        <v>343</v>
      </c>
      <c r="B416" s="587" t="s">
        <v>989</v>
      </c>
      <c r="C416" s="555" t="s">
        <v>948</v>
      </c>
      <c r="D416" s="555" t="s">
        <v>949</v>
      </c>
      <c r="E416" s="556">
        <v>414000</v>
      </c>
      <c r="F416" s="1088"/>
      <c r="G416" s="484"/>
      <c r="H416" s="484"/>
      <c r="I416" s="484"/>
      <c r="J416" s="485"/>
      <c r="K416" s="485"/>
    </row>
    <row r="417" spans="1:11" s="508" customFormat="1">
      <c r="A417" s="479">
        <v>344</v>
      </c>
      <c r="B417" s="587" t="s">
        <v>990</v>
      </c>
      <c r="C417" s="555" t="s">
        <v>938</v>
      </c>
      <c r="D417" s="555" t="s">
        <v>935</v>
      </c>
      <c r="E417" s="556">
        <v>1496000</v>
      </c>
      <c r="F417" s="1088"/>
      <c r="G417" s="484"/>
      <c r="H417" s="484"/>
      <c r="I417" s="484"/>
      <c r="J417" s="485"/>
      <c r="K417" s="485"/>
    </row>
    <row r="418" spans="1:11" s="508" customFormat="1">
      <c r="A418" s="479">
        <v>345</v>
      </c>
      <c r="B418" s="587" t="s">
        <v>991</v>
      </c>
      <c r="C418" s="555" t="s">
        <v>938</v>
      </c>
      <c r="D418" s="555" t="s">
        <v>935</v>
      </c>
      <c r="E418" s="556">
        <v>1980000</v>
      </c>
      <c r="F418" s="1088"/>
      <c r="G418" s="484"/>
      <c r="H418" s="484"/>
      <c r="I418" s="484"/>
      <c r="J418" s="485"/>
      <c r="K418" s="485"/>
    </row>
    <row r="419" spans="1:11" s="508" customFormat="1">
      <c r="A419" s="479">
        <v>346</v>
      </c>
      <c r="B419" s="587" t="s">
        <v>992</v>
      </c>
      <c r="C419" s="555" t="s">
        <v>938</v>
      </c>
      <c r="D419" s="555" t="s">
        <v>935</v>
      </c>
      <c r="E419" s="556">
        <v>1030000</v>
      </c>
      <c r="F419" s="1088"/>
      <c r="G419" s="484"/>
      <c r="H419" s="484"/>
      <c r="I419" s="484"/>
      <c r="J419" s="485"/>
      <c r="K419" s="485"/>
    </row>
    <row r="420" spans="1:11" s="508" customFormat="1">
      <c r="A420" s="479">
        <v>347</v>
      </c>
      <c r="B420" s="587" t="s">
        <v>993</v>
      </c>
      <c r="C420" s="555" t="s">
        <v>938</v>
      </c>
      <c r="D420" s="555" t="s">
        <v>935</v>
      </c>
      <c r="E420" s="556">
        <v>1426000</v>
      </c>
      <c r="F420" s="1088"/>
      <c r="G420" s="484"/>
      <c r="H420" s="484"/>
      <c r="I420" s="484"/>
      <c r="J420" s="485"/>
      <c r="K420" s="485"/>
    </row>
    <row r="421" spans="1:11" s="508" customFormat="1">
      <c r="A421" s="479">
        <v>348</v>
      </c>
      <c r="B421" s="587" t="s">
        <v>994</v>
      </c>
      <c r="C421" s="555" t="s">
        <v>938</v>
      </c>
      <c r="D421" s="555" t="s">
        <v>935</v>
      </c>
      <c r="E421" s="556">
        <v>2376000</v>
      </c>
      <c r="F421" s="1088"/>
      <c r="G421" s="484"/>
      <c r="H421" s="484"/>
      <c r="I421" s="484"/>
      <c r="J421" s="485"/>
      <c r="K421" s="485"/>
    </row>
    <row r="422" spans="1:11" s="508" customFormat="1">
      <c r="A422" s="479">
        <v>349</v>
      </c>
      <c r="B422" s="587" t="s">
        <v>995</v>
      </c>
      <c r="C422" s="555" t="s">
        <v>938</v>
      </c>
      <c r="D422" s="555" t="s">
        <v>935</v>
      </c>
      <c r="E422" s="556">
        <v>1588000</v>
      </c>
      <c r="F422" s="1088"/>
      <c r="G422" s="484"/>
      <c r="H422" s="484"/>
      <c r="I422" s="484"/>
      <c r="J422" s="485"/>
      <c r="K422" s="485"/>
    </row>
    <row r="423" spans="1:11" s="508" customFormat="1">
      <c r="A423" s="479">
        <v>350</v>
      </c>
      <c r="B423" s="587" t="s">
        <v>996</v>
      </c>
      <c r="C423" s="555" t="s">
        <v>938</v>
      </c>
      <c r="D423" s="555" t="s">
        <v>935</v>
      </c>
      <c r="E423" s="556">
        <v>2772000</v>
      </c>
      <c r="F423" s="1088"/>
      <c r="G423" s="484"/>
      <c r="H423" s="484"/>
      <c r="I423" s="484"/>
      <c r="J423" s="485"/>
      <c r="K423" s="485"/>
    </row>
    <row r="424" spans="1:11" s="508" customFormat="1">
      <c r="A424" s="479">
        <v>351</v>
      </c>
      <c r="B424" s="587" t="s">
        <v>997</v>
      </c>
      <c r="C424" s="555" t="s">
        <v>938</v>
      </c>
      <c r="D424" s="555" t="s">
        <v>935</v>
      </c>
      <c r="E424" s="556">
        <v>616000</v>
      </c>
      <c r="F424" s="1088"/>
      <c r="G424" s="484"/>
      <c r="H424" s="484"/>
      <c r="I424" s="484"/>
      <c r="J424" s="485"/>
      <c r="K424" s="485"/>
    </row>
    <row r="425" spans="1:11" s="508" customFormat="1">
      <c r="A425" s="479">
        <v>352</v>
      </c>
      <c r="B425" s="587" t="s">
        <v>998</v>
      </c>
      <c r="C425" s="555" t="s">
        <v>948</v>
      </c>
      <c r="D425" s="555" t="s">
        <v>949</v>
      </c>
      <c r="E425" s="556">
        <v>231000</v>
      </c>
      <c r="F425" s="1088"/>
      <c r="G425" s="484"/>
      <c r="H425" s="484"/>
      <c r="I425" s="484"/>
      <c r="J425" s="485"/>
      <c r="K425" s="485"/>
    </row>
    <row r="426" spans="1:11" s="508" customFormat="1" ht="15.75" customHeight="1">
      <c r="A426" s="495" t="s">
        <v>761</v>
      </c>
      <c r="B426" s="573" t="s">
        <v>999</v>
      </c>
      <c r="C426" s="574"/>
      <c r="D426" s="574"/>
      <c r="E426" s="575"/>
      <c r="F426" s="586"/>
      <c r="G426" s="484"/>
      <c r="H426" s="484"/>
      <c r="I426" s="484"/>
      <c r="J426" s="485"/>
      <c r="K426" s="478"/>
    </row>
    <row r="427" spans="1:11" s="508" customFormat="1">
      <c r="A427" s="479">
        <v>353</v>
      </c>
      <c r="B427" s="587" t="s">
        <v>1000</v>
      </c>
      <c r="C427" s="555" t="s">
        <v>948</v>
      </c>
      <c r="D427" s="555" t="s">
        <v>949</v>
      </c>
      <c r="E427" s="556">
        <v>305000</v>
      </c>
      <c r="F427" s="503"/>
      <c r="G427" s="484"/>
      <c r="H427" s="484"/>
      <c r="I427" s="484"/>
      <c r="J427" s="485"/>
      <c r="K427" s="485"/>
    </row>
    <row r="428" spans="1:11" s="508" customFormat="1">
      <c r="A428" s="479">
        <v>354</v>
      </c>
      <c r="B428" s="587" t="s">
        <v>1001</v>
      </c>
      <c r="C428" s="555" t="s">
        <v>948</v>
      </c>
      <c r="D428" s="555" t="s">
        <v>949</v>
      </c>
      <c r="E428" s="556">
        <v>403000</v>
      </c>
      <c r="F428" s="1088" t="s">
        <v>1002</v>
      </c>
      <c r="G428" s="484"/>
      <c r="H428" s="484"/>
      <c r="I428" s="484"/>
      <c r="J428" s="485"/>
      <c r="K428" s="485"/>
    </row>
    <row r="429" spans="1:11" s="508" customFormat="1">
      <c r="A429" s="479">
        <v>355</v>
      </c>
      <c r="B429" s="587" t="s">
        <v>1003</v>
      </c>
      <c r="C429" s="555" t="s">
        <v>938</v>
      </c>
      <c r="D429" s="555" t="s">
        <v>935</v>
      </c>
      <c r="E429" s="556">
        <v>2110000</v>
      </c>
      <c r="F429" s="1088"/>
      <c r="G429" s="484"/>
      <c r="H429" s="484"/>
      <c r="I429" s="484"/>
      <c r="J429" s="485"/>
      <c r="K429" s="485"/>
    </row>
    <row r="430" spans="1:11" s="508" customFormat="1">
      <c r="A430" s="479">
        <v>356</v>
      </c>
      <c r="B430" s="587" t="s">
        <v>1004</v>
      </c>
      <c r="C430" s="555" t="s">
        <v>938</v>
      </c>
      <c r="D430" s="555" t="s">
        <v>935</v>
      </c>
      <c r="E430" s="556">
        <v>856000</v>
      </c>
      <c r="F430" s="1088"/>
      <c r="G430" s="484"/>
      <c r="H430" s="484"/>
      <c r="I430" s="484"/>
      <c r="J430" s="485"/>
      <c r="K430" s="485"/>
    </row>
    <row r="431" spans="1:11" s="508" customFormat="1">
      <c r="A431" s="479">
        <v>357</v>
      </c>
      <c r="B431" s="587" t="s">
        <v>1005</v>
      </c>
      <c r="C431" s="555" t="s">
        <v>938</v>
      </c>
      <c r="D431" s="555" t="s">
        <v>935</v>
      </c>
      <c r="E431" s="556">
        <v>1341000</v>
      </c>
      <c r="F431" s="1088"/>
      <c r="G431" s="484"/>
      <c r="H431" s="484"/>
      <c r="I431" s="484"/>
      <c r="J431" s="485"/>
      <c r="K431" s="485"/>
    </row>
    <row r="432" spans="1:11" s="508" customFormat="1">
      <c r="A432" s="479">
        <v>358</v>
      </c>
      <c r="B432" s="587" t="s">
        <v>1006</v>
      </c>
      <c r="C432" s="555" t="s">
        <v>938</v>
      </c>
      <c r="D432" s="555" t="s">
        <v>935</v>
      </c>
      <c r="E432" s="556">
        <v>2417000</v>
      </c>
      <c r="F432" s="1088"/>
      <c r="G432" s="484"/>
      <c r="H432" s="484"/>
      <c r="I432" s="484"/>
      <c r="J432" s="485"/>
      <c r="K432" s="485"/>
    </row>
    <row r="433" spans="1:11" s="508" customFormat="1">
      <c r="A433" s="479">
        <v>359</v>
      </c>
      <c r="B433" s="587" t="s">
        <v>1007</v>
      </c>
      <c r="C433" s="555" t="s">
        <v>938</v>
      </c>
      <c r="D433" s="555" t="s">
        <v>935</v>
      </c>
      <c r="E433" s="556">
        <v>1726000</v>
      </c>
      <c r="F433" s="1088"/>
      <c r="G433" s="484"/>
      <c r="H433" s="484"/>
      <c r="I433" s="484"/>
      <c r="J433" s="485"/>
      <c r="K433" s="485"/>
    </row>
    <row r="434" spans="1:11" s="508" customFormat="1">
      <c r="A434" s="479">
        <v>360</v>
      </c>
      <c r="B434" s="587" t="s">
        <v>1008</v>
      </c>
      <c r="C434" s="555" t="s">
        <v>938</v>
      </c>
      <c r="D434" s="555" t="s">
        <v>935</v>
      </c>
      <c r="E434" s="556">
        <v>2668000</v>
      </c>
      <c r="F434" s="1088"/>
      <c r="G434" s="484"/>
      <c r="H434" s="484"/>
      <c r="I434" s="484"/>
      <c r="J434" s="485"/>
      <c r="K434" s="485"/>
    </row>
    <row r="435" spans="1:11" s="508" customFormat="1">
      <c r="A435" s="479">
        <v>361</v>
      </c>
      <c r="B435" s="587" t="s">
        <v>1009</v>
      </c>
      <c r="C435" s="555" t="s">
        <v>938</v>
      </c>
      <c r="D435" s="555" t="s">
        <v>935</v>
      </c>
      <c r="E435" s="556">
        <v>1500000</v>
      </c>
      <c r="F435" s="1088"/>
      <c r="G435" s="484"/>
      <c r="H435" s="484"/>
      <c r="I435" s="484"/>
      <c r="J435" s="485"/>
      <c r="K435" s="485"/>
    </row>
    <row r="436" spans="1:11" s="508" customFormat="1" ht="15.75" customHeight="1">
      <c r="A436" s="495" t="s">
        <v>790</v>
      </c>
      <c r="B436" s="573" t="s">
        <v>1010</v>
      </c>
      <c r="C436" s="574"/>
      <c r="D436" s="574"/>
      <c r="E436" s="575"/>
      <c r="F436" s="586"/>
      <c r="G436" s="484"/>
      <c r="H436" s="484"/>
      <c r="I436" s="484"/>
      <c r="J436" s="485"/>
      <c r="K436" s="478"/>
    </row>
    <row r="437" spans="1:11" s="508" customFormat="1">
      <c r="A437" s="479">
        <v>362</v>
      </c>
      <c r="B437" s="589" t="s">
        <v>1011</v>
      </c>
      <c r="C437" s="555" t="s">
        <v>1012</v>
      </c>
      <c r="D437" s="555" t="s">
        <v>949</v>
      </c>
      <c r="E437" s="556">
        <v>368000</v>
      </c>
      <c r="F437" s="1088" t="s">
        <v>1013</v>
      </c>
      <c r="G437" s="484"/>
      <c r="H437" s="484"/>
      <c r="I437" s="484"/>
      <c r="J437" s="485"/>
      <c r="K437" s="485"/>
    </row>
    <row r="438" spans="1:11" s="508" customFormat="1">
      <c r="A438" s="479">
        <v>363</v>
      </c>
      <c r="B438" s="589" t="s">
        <v>1014</v>
      </c>
      <c r="C438" s="555" t="s">
        <v>1015</v>
      </c>
      <c r="D438" s="555" t="s">
        <v>949</v>
      </c>
      <c r="E438" s="556">
        <v>302000</v>
      </c>
      <c r="F438" s="1088"/>
      <c r="G438" s="484"/>
      <c r="H438" s="484"/>
      <c r="I438" s="484"/>
      <c r="J438" s="485"/>
      <c r="K438" s="485"/>
    </row>
    <row r="439" spans="1:11" s="508" customFormat="1" ht="27">
      <c r="A439" s="479">
        <v>364</v>
      </c>
      <c r="B439" s="587" t="s">
        <v>1016</v>
      </c>
      <c r="C439" s="555" t="s">
        <v>938</v>
      </c>
      <c r="D439" s="555" t="s">
        <v>935</v>
      </c>
      <c r="E439" s="556">
        <v>1234000</v>
      </c>
      <c r="F439" s="1088"/>
      <c r="G439" s="590"/>
      <c r="H439" s="577"/>
      <c r="I439" s="578"/>
      <c r="J439" s="485"/>
      <c r="K439" s="485"/>
    </row>
    <row r="440" spans="1:11" s="508" customFormat="1">
      <c r="A440" s="479">
        <v>365</v>
      </c>
      <c r="B440" s="587" t="s">
        <v>1017</v>
      </c>
      <c r="C440" s="555" t="s">
        <v>1018</v>
      </c>
      <c r="D440" s="555" t="s">
        <v>935</v>
      </c>
      <c r="E440" s="556">
        <v>978000</v>
      </c>
      <c r="F440" s="1088"/>
      <c r="G440" s="590"/>
      <c r="H440" s="577"/>
      <c r="I440" s="578"/>
      <c r="J440" s="485"/>
      <c r="K440" s="485"/>
    </row>
    <row r="441" spans="1:11" s="508" customFormat="1">
      <c r="A441" s="479">
        <v>366</v>
      </c>
      <c r="B441" s="589" t="s">
        <v>1019</v>
      </c>
      <c r="C441" s="555" t="s">
        <v>938</v>
      </c>
      <c r="D441" s="555" t="s">
        <v>935</v>
      </c>
      <c r="E441" s="556">
        <v>1209000</v>
      </c>
      <c r="F441" s="1088"/>
      <c r="G441" s="590"/>
      <c r="H441" s="577"/>
      <c r="I441" s="578"/>
      <c r="J441" s="485"/>
      <c r="K441" s="485"/>
    </row>
    <row r="442" spans="1:11" s="508" customFormat="1" ht="27">
      <c r="A442" s="479">
        <v>367</v>
      </c>
      <c r="B442" s="587" t="s">
        <v>1020</v>
      </c>
      <c r="C442" s="555" t="s">
        <v>1018</v>
      </c>
      <c r="D442" s="555" t="s">
        <v>935</v>
      </c>
      <c r="E442" s="556">
        <v>2309000</v>
      </c>
      <c r="F442" s="1088"/>
      <c r="G442" s="590"/>
      <c r="H442" s="577"/>
      <c r="I442" s="578"/>
      <c r="J442" s="485"/>
      <c r="K442" s="485"/>
    </row>
    <row r="443" spans="1:11" s="508" customFormat="1">
      <c r="A443" s="479">
        <v>368</v>
      </c>
      <c r="B443" s="587" t="s">
        <v>1021</v>
      </c>
      <c r="C443" s="555" t="s">
        <v>1018</v>
      </c>
      <c r="D443" s="555" t="s">
        <v>935</v>
      </c>
      <c r="E443" s="556">
        <v>1286000</v>
      </c>
      <c r="F443" s="1088"/>
      <c r="G443" s="590"/>
      <c r="H443" s="577"/>
      <c r="I443" s="578"/>
      <c r="J443" s="485"/>
      <c r="K443" s="485"/>
    </row>
    <row r="444" spans="1:11" s="508" customFormat="1" ht="27">
      <c r="A444" s="479">
        <v>369</v>
      </c>
      <c r="B444" s="587" t="s">
        <v>1022</v>
      </c>
      <c r="C444" s="555" t="s">
        <v>1018</v>
      </c>
      <c r="D444" s="555" t="s">
        <v>935</v>
      </c>
      <c r="E444" s="556">
        <v>1631000</v>
      </c>
      <c r="F444" s="1088"/>
      <c r="G444" s="590"/>
      <c r="H444" s="577"/>
      <c r="I444" s="578"/>
      <c r="J444" s="485"/>
      <c r="K444" s="485"/>
    </row>
    <row r="445" spans="1:11" s="508" customFormat="1" ht="27">
      <c r="A445" s="479">
        <v>370</v>
      </c>
      <c r="B445" s="587" t="s">
        <v>1023</v>
      </c>
      <c r="C445" s="555" t="s">
        <v>1018</v>
      </c>
      <c r="D445" s="555" t="s">
        <v>935</v>
      </c>
      <c r="E445" s="556">
        <v>2550000</v>
      </c>
      <c r="F445" s="1088"/>
      <c r="G445" s="590"/>
      <c r="H445" s="577"/>
      <c r="I445" s="578"/>
      <c r="J445" s="485"/>
      <c r="K445" s="485"/>
    </row>
    <row r="446" spans="1:11" s="508" customFormat="1" ht="15.75" customHeight="1">
      <c r="A446" s="495" t="s">
        <v>803</v>
      </c>
      <c r="B446" s="573" t="s">
        <v>1024</v>
      </c>
      <c r="C446" s="574"/>
      <c r="D446" s="574"/>
      <c r="E446" s="575"/>
      <c r="F446" s="586"/>
      <c r="G446" s="484"/>
      <c r="H446" s="484"/>
      <c r="I446" s="484"/>
      <c r="J446" s="485"/>
      <c r="K446" s="478"/>
    </row>
    <row r="447" spans="1:11" s="508" customFormat="1" ht="15.75" customHeight="1">
      <c r="A447" s="479">
        <v>371</v>
      </c>
      <c r="B447" s="589" t="s">
        <v>1025</v>
      </c>
      <c r="C447" s="555" t="s">
        <v>1012</v>
      </c>
      <c r="D447" s="555" t="s">
        <v>949</v>
      </c>
      <c r="E447" s="556">
        <v>375000</v>
      </c>
      <c r="F447" s="1088" t="s">
        <v>1026</v>
      </c>
      <c r="G447" s="484"/>
      <c r="H447" s="484"/>
      <c r="I447" s="484"/>
      <c r="J447" s="485"/>
      <c r="K447" s="485"/>
    </row>
    <row r="448" spans="1:11" s="508" customFormat="1">
      <c r="A448" s="479">
        <v>372</v>
      </c>
      <c r="B448" s="589" t="s">
        <v>1027</v>
      </c>
      <c r="C448" s="555" t="s">
        <v>1015</v>
      </c>
      <c r="D448" s="555" t="s">
        <v>949</v>
      </c>
      <c r="E448" s="556">
        <v>285000</v>
      </c>
      <c r="F448" s="1088"/>
      <c r="G448" s="484"/>
      <c r="H448" s="484"/>
      <c r="I448" s="484"/>
      <c r="J448" s="485"/>
      <c r="K448" s="485"/>
    </row>
    <row r="449" spans="1:11" s="508" customFormat="1">
      <c r="A449" s="479">
        <v>373</v>
      </c>
      <c r="B449" s="587" t="s">
        <v>1028</v>
      </c>
      <c r="C449" s="555" t="s">
        <v>938</v>
      </c>
      <c r="D449" s="555" t="s">
        <v>935</v>
      </c>
      <c r="E449" s="556">
        <v>1915000</v>
      </c>
      <c r="F449" s="1088"/>
      <c r="G449" s="484"/>
      <c r="H449" s="484"/>
      <c r="I449" s="484"/>
      <c r="J449" s="485"/>
      <c r="K449" s="485"/>
    </row>
    <row r="450" spans="1:11" s="508" customFormat="1">
      <c r="A450" s="479">
        <v>374</v>
      </c>
      <c r="B450" s="587" t="s">
        <v>1029</v>
      </c>
      <c r="C450" s="555" t="s">
        <v>938</v>
      </c>
      <c r="D450" s="555" t="s">
        <v>935</v>
      </c>
      <c r="E450" s="556">
        <v>1355000</v>
      </c>
      <c r="F450" s="1088"/>
      <c r="G450" s="484"/>
      <c r="H450" s="484"/>
      <c r="I450" s="484"/>
      <c r="J450" s="485"/>
      <c r="K450" s="485"/>
    </row>
    <row r="451" spans="1:11" s="508" customFormat="1">
      <c r="A451" s="479">
        <v>375</v>
      </c>
      <c r="B451" s="587" t="s">
        <v>1030</v>
      </c>
      <c r="C451" s="555" t="s">
        <v>1031</v>
      </c>
      <c r="D451" s="555" t="s">
        <v>935</v>
      </c>
      <c r="E451" s="556">
        <v>1165000</v>
      </c>
      <c r="F451" s="1088"/>
      <c r="G451" s="484"/>
      <c r="H451" s="484"/>
      <c r="I451" s="484"/>
      <c r="J451" s="485"/>
      <c r="K451" s="485"/>
    </row>
    <row r="452" spans="1:11" s="508" customFormat="1">
      <c r="A452" s="479">
        <v>376</v>
      </c>
      <c r="B452" s="589" t="s">
        <v>1032</v>
      </c>
      <c r="C452" s="555" t="s">
        <v>938</v>
      </c>
      <c r="D452" s="555" t="s">
        <v>935</v>
      </c>
      <c r="E452" s="556">
        <v>745000</v>
      </c>
      <c r="F452" s="1088"/>
      <c r="G452" s="484"/>
      <c r="H452" s="484"/>
      <c r="I452" s="484"/>
      <c r="J452" s="485"/>
      <c r="K452" s="485"/>
    </row>
    <row r="453" spans="1:11" s="508" customFormat="1">
      <c r="A453" s="479">
        <v>377</v>
      </c>
      <c r="B453" s="587" t="s">
        <v>1033</v>
      </c>
      <c r="C453" s="555" t="s">
        <v>1018</v>
      </c>
      <c r="D453" s="555" t="s">
        <v>935</v>
      </c>
      <c r="E453" s="556">
        <v>1355000</v>
      </c>
      <c r="F453" s="1088"/>
      <c r="G453" s="484"/>
      <c r="H453" s="484"/>
      <c r="I453" s="484"/>
      <c r="J453" s="485"/>
      <c r="K453" s="485"/>
    </row>
    <row r="454" spans="1:11" s="508" customFormat="1">
      <c r="A454" s="479">
        <v>378</v>
      </c>
      <c r="B454" s="587" t="s">
        <v>1034</v>
      </c>
      <c r="C454" s="555" t="s">
        <v>1018</v>
      </c>
      <c r="D454" s="555" t="s">
        <v>935</v>
      </c>
      <c r="E454" s="556">
        <v>2255000</v>
      </c>
      <c r="F454" s="1088"/>
      <c r="G454" s="484"/>
      <c r="H454" s="484"/>
      <c r="I454" s="484"/>
      <c r="J454" s="485"/>
      <c r="K454" s="485"/>
    </row>
    <row r="455" spans="1:11" s="508" customFormat="1">
      <c r="A455" s="479">
        <v>379</v>
      </c>
      <c r="B455" s="587" t="s">
        <v>1035</v>
      </c>
      <c r="C455" s="555" t="s">
        <v>1036</v>
      </c>
      <c r="D455" s="555" t="s">
        <v>935</v>
      </c>
      <c r="E455" s="556">
        <v>1095000</v>
      </c>
      <c r="F455" s="1088"/>
      <c r="G455" s="484"/>
      <c r="H455" s="484"/>
      <c r="I455" s="484"/>
      <c r="J455" s="485"/>
      <c r="K455" s="485"/>
    </row>
    <row r="456" spans="1:11" s="508" customFormat="1">
      <c r="A456" s="479">
        <v>380</v>
      </c>
      <c r="B456" s="587" t="s">
        <v>1037</v>
      </c>
      <c r="C456" s="555" t="s">
        <v>961</v>
      </c>
      <c r="D456" s="555" t="s">
        <v>935</v>
      </c>
      <c r="E456" s="556">
        <v>1695000</v>
      </c>
      <c r="F456" s="1088"/>
      <c r="G456" s="484"/>
      <c r="H456" s="484"/>
      <c r="I456" s="484"/>
      <c r="J456" s="485"/>
      <c r="K456" s="485"/>
    </row>
    <row r="457" spans="1:11" s="508" customFormat="1" ht="15.75" customHeight="1">
      <c r="A457" s="495" t="s">
        <v>808</v>
      </c>
      <c r="B457" s="573" t="s">
        <v>1038</v>
      </c>
      <c r="C457" s="574"/>
      <c r="D457" s="574"/>
      <c r="E457" s="575"/>
      <c r="F457" s="586"/>
      <c r="G457" s="484"/>
      <c r="H457" s="484"/>
      <c r="I457" s="484"/>
      <c r="J457" s="485"/>
      <c r="K457" s="478"/>
    </row>
    <row r="458" spans="1:11" s="508" customFormat="1" ht="15.75" customHeight="1">
      <c r="A458" s="479">
        <v>381</v>
      </c>
      <c r="B458" s="589" t="s">
        <v>1039</v>
      </c>
      <c r="C458" s="555" t="s">
        <v>1012</v>
      </c>
      <c r="D458" s="555" t="s">
        <v>949</v>
      </c>
      <c r="E458" s="556">
        <v>425000</v>
      </c>
      <c r="F458" s="1088" t="s">
        <v>1040</v>
      </c>
      <c r="G458" s="484"/>
      <c r="H458" s="484"/>
      <c r="I458" s="484"/>
      <c r="J458" s="485"/>
      <c r="K458" s="485"/>
    </row>
    <row r="459" spans="1:11" s="508" customFormat="1">
      <c r="A459" s="479">
        <v>382</v>
      </c>
      <c r="B459" s="589" t="s">
        <v>1041</v>
      </c>
      <c r="C459" s="555" t="s">
        <v>1015</v>
      </c>
      <c r="D459" s="555" t="s">
        <v>949</v>
      </c>
      <c r="E459" s="556">
        <v>395000</v>
      </c>
      <c r="F459" s="1088"/>
      <c r="G459" s="484"/>
      <c r="H459" s="484"/>
      <c r="I459" s="484"/>
      <c r="J459" s="485"/>
      <c r="K459" s="485"/>
    </row>
    <row r="460" spans="1:11" s="508" customFormat="1" ht="16.5" customHeight="1">
      <c r="A460" s="479">
        <v>383</v>
      </c>
      <c r="B460" s="587" t="s">
        <v>1042</v>
      </c>
      <c r="C460" s="555" t="s">
        <v>938</v>
      </c>
      <c r="D460" s="555" t="s">
        <v>935</v>
      </c>
      <c r="E460" s="556">
        <v>2578000</v>
      </c>
      <c r="F460" s="1088"/>
      <c r="G460" s="484"/>
      <c r="H460" s="484"/>
      <c r="I460" s="484"/>
      <c r="J460" s="485"/>
      <c r="K460" s="485"/>
    </row>
    <row r="461" spans="1:11" s="508" customFormat="1">
      <c r="A461" s="479">
        <v>384</v>
      </c>
      <c r="B461" s="587" t="s">
        <v>1043</v>
      </c>
      <c r="C461" s="555" t="s">
        <v>938</v>
      </c>
      <c r="D461" s="555" t="s">
        <v>935</v>
      </c>
      <c r="E461" s="556">
        <v>1940000</v>
      </c>
      <c r="F461" s="1088"/>
      <c r="G461" s="484"/>
      <c r="H461" s="484"/>
      <c r="I461" s="484"/>
      <c r="J461" s="485"/>
      <c r="K461" s="485"/>
    </row>
    <row r="462" spans="1:11" s="508" customFormat="1">
      <c r="A462" s="479">
        <v>385</v>
      </c>
      <c r="B462" s="587" t="s">
        <v>1044</v>
      </c>
      <c r="C462" s="555" t="s">
        <v>938</v>
      </c>
      <c r="D462" s="555" t="s">
        <v>935</v>
      </c>
      <c r="E462" s="556">
        <v>1820000</v>
      </c>
      <c r="F462" s="1088"/>
      <c r="G462" s="484"/>
      <c r="H462" s="484"/>
      <c r="I462" s="484"/>
      <c r="J462" s="485"/>
      <c r="K462" s="485"/>
    </row>
    <row r="463" spans="1:11" s="508" customFormat="1">
      <c r="A463" s="479">
        <v>386</v>
      </c>
      <c r="B463" s="589" t="s">
        <v>1045</v>
      </c>
      <c r="C463" s="555" t="s">
        <v>938</v>
      </c>
      <c r="D463" s="555" t="s">
        <v>935</v>
      </c>
      <c r="E463" s="556">
        <v>1595000</v>
      </c>
      <c r="F463" s="1088"/>
      <c r="G463" s="484"/>
      <c r="H463" s="484"/>
      <c r="I463" s="484"/>
      <c r="J463" s="485"/>
      <c r="K463" s="485"/>
    </row>
    <row r="464" spans="1:11" s="508" customFormat="1">
      <c r="A464" s="479">
        <v>387</v>
      </c>
      <c r="B464" s="589" t="s">
        <v>1046</v>
      </c>
      <c r="C464" s="555" t="s">
        <v>938</v>
      </c>
      <c r="D464" s="555" t="s">
        <v>935</v>
      </c>
      <c r="E464" s="556">
        <v>1540000</v>
      </c>
      <c r="F464" s="1088"/>
      <c r="G464" s="484"/>
      <c r="H464" s="484"/>
      <c r="I464" s="484"/>
      <c r="J464" s="485"/>
      <c r="K464" s="485"/>
    </row>
    <row r="465" spans="1:11" s="508" customFormat="1">
      <c r="A465" s="479">
        <v>388</v>
      </c>
      <c r="B465" s="587" t="s">
        <v>1047</v>
      </c>
      <c r="C465" s="555" t="s">
        <v>938</v>
      </c>
      <c r="D465" s="555" t="s">
        <v>935</v>
      </c>
      <c r="E465" s="556">
        <v>3795000</v>
      </c>
      <c r="F465" s="1088"/>
      <c r="G465" s="484"/>
      <c r="H465" s="484"/>
      <c r="I465" s="484"/>
      <c r="J465" s="485"/>
      <c r="K465" s="485"/>
    </row>
    <row r="466" spans="1:11" s="508" customFormat="1">
      <c r="A466" s="479">
        <v>389</v>
      </c>
      <c r="B466" s="587" t="s">
        <v>1048</v>
      </c>
      <c r="C466" s="555" t="s">
        <v>938</v>
      </c>
      <c r="D466" s="555" t="s">
        <v>935</v>
      </c>
      <c r="E466" s="556">
        <v>3130000</v>
      </c>
      <c r="F466" s="1088"/>
      <c r="G466" s="484"/>
      <c r="H466" s="484"/>
      <c r="I466" s="484"/>
      <c r="J466" s="485"/>
      <c r="K466" s="485"/>
    </row>
    <row r="467" spans="1:11" s="508" customFormat="1">
      <c r="A467" s="479">
        <v>390</v>
      </c>
      <c r="B467" s="587" t="s">
        <v>1049</v>
      </c>
      <c r="C467" s="555" t="s">
        <v>938</v>
      </c>
      <c r="D467" s="555" t="s">
        <v>935</v>
      </c>
      <c r="E467" s="556">
        <v>3010000</v>
      </c>
      <c r="F467" s="1088"/>
      <c r="G467" s="484"/>
      <c r="H467" s="484"/>
      <c r="I467" s="484"/>
      <c r="J467" s="485"/>
      <c r="K467" s="485"/>
    </row>
    <row r="468" spans="1:11" s="508" customFormat="1" ht="15.75" customHeight="1">
      <c r="A468" s="495" t="s">
        <v>12</v>
      </c>
      <c r="B468" s="573" t="s">
        <v>1050</v>
      </c>
      <c r="C468" s="574"/>
      <c r="D468" s="574"/>
      <c r="E468" s="575"/>
      <c r="F468" s="586"/>
      <c r="G468" s="591"/>
      <c r="H468" s="591"/>
      <c r="I468" s="591"/>
      <c r="J468" s="485"/>
      <c r="K468" s="478"/>
    </row>
    <row r="469" spans="1:11" s="508" customFormat="1">
      <c r="A469" s="479">
        <v>391</v>
      </c>
      <c r="B469" s="587" t="s">
        <v>1051</v>
      </c>
      <c r="C469" s="555" t="s">
        <v>1052</v>
      </c>
      <c r="D469" s="555" t="s">
        <v>949</v>
      </c>
      <c r="E469" s="556">
        <v>151000</v>
      </c>
      <c r="F469" s="1088" t="s">
        <v>1053</v>
      </c>
      <c r="G469" s="592"/>
      <c r="H469" s="592"/>
      <c r="I469" s="592"/>
      <c r="J469" s="485"/>
      <c r="K469" s="485"/>
    </row>
    <row r="470" spans="1:11" s="508" customFormat="1">
      <c r="A470" s="479">
        <v>392</v>
      </c>
      <c r="B470" s="587" t="s">
        <v>1054</v>
      </c>
      <c r="C470" s="555" t="s">
        <v>1055</v>
      </c>
      <c r="D470" s="555" t="s">
        <v>949</v>
      </c>
      <c r="E470" s="556">
        <v>198000</v>
      </c>
      <c r="F470" s="1088"/>
      <c r="G470" s="592"/>
      <c r="H470" s="592"/>
      <c r="I470" s="592"/>
      <c r="J470" s="485"/>
      <c r="K470" s="485"/>
    </row>
    <row r="471" spans="1:11" s="508" customFormat="1" ht="14.25" customHeight="1">
      <c r="A471" s="479">
        <v>393</v>
      </c>
      <c r="B471" s="587" t="s">
        <v>1056</v>
      </c>
      <c r="C471" s="555" t="s">
        <v>938</v>
      </c>
      <c r="D471" s="555" t="s">
        <v>935</v>
      </c>
      <c r="E471" s="556">
        <v>1460000</v>
      </c>
      <c r="F471" s="1088"/>
      <c r="G471" s="592"/>
      <c r="H471" s="592"/>
      <c r="I471" s="592"/>
      <c r="J471" s="485"/>
      <c r="K471" s="485"/>
    </row>
    <row r="472" spans="1:11" s="508" customFormat="1" ht="23.25" customHeight="1">
      <c r="A472" s="479">
        <v>394</v>
      </c>
      <c r="B472" s="587" t="s">
        <v>1057</v>
      </c>
      <c r="C472" s="555" t="s">
        <v>938</v>
      </c>
      <c r="D472" s="555" t="s">
        <v>935</v>
      </c>
      <c r="E472" s="556">
        <v>1890000</v>
      </c>
      <c r="F472" s="1088"/>
      <c r="G472" s="592"/>
      <c r="H472" s="592"/>
      <c r="I472" s="592"/>
      <c r="J472" s="485"/>
      <c r="K472" s="485"/>
    </row>
    <row r="473" spans="1:11" s="508" customFormat="1">
      <c r="A473" s="479">
        <v>395</v>
      </c>
      <c r="B473" s="587" t="s">
        <v>1058</v>
      </c>
      <c r="C473" s="555" t="s">
        <v>938</v>
      </c>
      <c r="D473" s="555" t="s">
        <v>935</v>
      </c>
      <c r="E473" s="556">
        <v>998000</v>
      </c>
      <c r="F473" s="1088"/>
      <c r="G473" s="592"/>
      <c r="H473" s="592"/>
      <c r="I473" s="592"/>
      <c r="J473" s="485"/>
      <c r="K473" s="485"/>
    </row>
    <row r="474" spans="1:11" s="508" customFormat="1">
      <c r="A474" s="479">
        <v>396</v>
      </c>
      <c r="B474" s="587" t="s">
        <v>1059</v>
      </c>
      <c r="C474" s="555" t="s">
        <v>938</v>
      </c>
      <c r="D474" s="555" t="s">
        <v>935</v>
      </c>
      <c r="E474" s="556">
        <v>2360000</v>
      </c>
      <c r="F474" s="1088"/>
      <c r="G474" s="592"/>
      <c r="H474" s="592"/>
      <c r="I474" s="592"/>
      <c r="J474" s="485"/>
      <c r="K474" s="485"/>
    </row>
    <row r="475" spans="1:11" s="508" customFormat="1">
      <c r="A475" s="479">
        <v>397</v>
      </c>
      <c r="B475" s="587" t="s">
        <v>1060</v>
      </c>
      <c r="C475" s="555" t="s">
        <v>938</v>
      </c>
      <c r="D475" s="555" t="s">
        <v>935</v>
      </c>
      <c r="E475" s="556">
        <v>1690000</v>
      </c>
      <c r="F475" s="1088"/>
      <c r="G475" s="592"/>
      <c r="H475" s="592"/>
      <c r="I475" s="592"/>
      <c r="J475" s="485"/>
      <c r="K475" s="485"/>
    </row>
    <row r="476" spans="1:11" s="508" customFormat="1">
      <c r="A476" s="479">
        <v>398</v>
      </c>
      <c r="B476" s="587" t="s">
        <v>1061</v>
      </c>
      <c r="C476" s="555" t="s">
        <v>938</v>
      </c>
      <c r="D476" s="555" t="s">
        <v>935</v>
      </c>
      <c r="E476" s="556">
        <v>2790000</v>
      </c>
      <c r="F476" s="1088"/>
      <c r="G476" s="592"/>
      <c r="H476" s="592"/>
      <c r="I476" s="592"/>
      <c r="J476" s="485"/>
      <c r="K476" s="485"/>
    </row>
    <row r="477" spans="1:11" s="508" customFormat="1">
      <c r="A477" s="479">
        <v>399</v>
      </c>
      <c r="B477" s="587" t="s">
        <v>1062</v>
      </c>
      <c r="C477" s="555" t="s">
        <v>1063</v>
      </c>
      <c r="D477" s="555" t="s">
        <v>1064</v>
      </c>
      <c r="E477" s="556">
        <v>185000</v>
      </c>
      <c r="F477" s="1088"/>
      <c r="G477" s="592"/>
      <c r="H477" s="592"/>
      <c r="I477" s="592"/>
      <c r="J477" s="485"/>
      <c r="K477" s="485"/>
    </row>
    <row r="478" spans="1:11" s="508" customFormat="1" ht="15.75" customHeight="1">
      <c r="A478" s="495" t="s">
        <v>1065</v>
      </c>
      <c r="B478" s="573" t="s">
        <v>1066</v>
      </c>
      <c r="C478" s="574"/>
      <c r="D478" s="574"/>
      <c r="E478" s="575"/>
      <c r="F478" s="586"/>
      <c r="G478" s="484"/>
      <c r="H478" s="484"/>
      <c r="I478" s="484"/>
      <c r="J478" s="485"/>
      <c r="K478" s="478"/>
    </row>
    <row r="479" spans="1:11" s="508" customFormat="1">
      <c r="A479" s="479">
        <v>400</v>
      </c>
      <c r="B479" s="587" t="s">
        <v>1067</v>
      </c>
      <c r="C479" s="555" t="s">
        <v>1012</v>
      </c>
      <c r="D479" s="555" t="s">
        <v>949</v>
      </c>
      <c r="E479" s="556">
        <v>432900</v>
      </c>
      <c r="F479" s="1088" t="s">
        <v>1068</v>
      </c>
      <c r="G479" s="484"/>
      <c r="H479" s="484"/>
      <c r="I479" s="484"/>
      <c r="J479" s="485"/>
      <c r="K479" s="485"/>
    </row>
    <row r="480" spans="1:11" s="508" customFormat="1">
      <c r="A480" s="479">
        <v>401</v>
      </c>
      <c r="B480" s="587" t="s">
        <v>1069</v>
      </c>
      <c r="C480" s="555" t="s">
        <v>1015</v>
      </c>
      <c r="D480" s="555" t="s">
        <v>949</v>
      </c>
      <c r="E480" s="556">
        <v>517400</v>
      </c>
      <c r="F480" s="1088"/>
      <c r="G480" s="484"/>
      <c r="H480" s="484"/>
      <c r="I480" s="484"/>
      <c r="J480" s="485"/>
      <c r="K480" s="485"/>
    </row>
    <row r="481" spans="1:11" s="508" customFormat="1" ht="25.5" customHeight="1">
      <c r="A481" s="479">
        <v>402</v>
      </c>
      <c r="B481" s="587" t="s">
        <v>1070</v>
      </c>
      <c r="C481" s="555" t="s">
        <v>938</v>
      </c>
      <c r="D481" s="555" t="s">
        <v>935</v>
      </c>
      <c r="E481" s="556">
        <v>2080000</v>
      </c>
      <c r="F481" s="1088"/>
      <c r="G481" s="484"/>
      <c r="H481" s="484"/>
      <c r="I481" s="484"/>
      <c r="J481" s="485"/>
      <c r="K481" s="485"/>
    </row>
    <row r="482" spans="1:11" s="508" customFormat="1" ht="27">
      <c r="A482" s="479">
        <v>403</v>
      </c>
      <c r="B482" s="587" t="s">
        <v>1071</v>
      </c>
      <c r="C482" s="555" t="s">
        <v>938</v>
      </c>
      <c r="D482" s="555" t="s">
        <v>935</v>
      </c>
      <c r="E482" s="556">
        <v>2965300</v>
      </c>
      <c r="F482" s="1088"/>
      <c r="G482" s="484"/>
      <c r="H482" s="484"/>
      <c r="I482" s="484"/>
      <c r="J482" s="485"/>
      <c r="K482" s="485"/>
    </row>
    <row r="483" spans="1:11" s="508" customFormat="1">
      <c r="A483" s="479">
        <v>404</v>
      </c>
      <c r="B483" s="587" t="s">
        <v>1072</v>
      </c>
      <c r="C483" s="555" t="s">
        <v>938</v>
      </c>
      <c r="D483" s="555" t="s">
        <v>935</v>
      </c>
      <c r="E483" s="556">
        <v>1482000</v>
      </c>
      <c r="F483" s="1088"/>
      <c r="G483" s="484"/>
      <c r="H483" s="484"/>
      <c r="I483" s="484"/>
      <c r="J483" s="485"/>
      <c r="K483" s="485"/>
    </row>
    <row r="484" spans="1:11" s="508" customFormat="1">
      <c r="A484" s="479">
        <v>405</v>
      </c>
      <c r="B484" s="587" t="s">
        <v>1073</v>
      </c>
      <c r="C484" s="555" t="s">
        <v>938</v>
      </c>
      <c r="D484" s="555" t="s">
        <v>935</v>
      </c>
      <c r="E484" s="556">
        <v>2245100</v>
      </c>
      <c r="F484" s="1088"/>
      <c r="G484" s="484"/>
      <c r="H484" s="484"/>
      <c r="I484" s="484"/>
      <c r="J484" s="485"/>
      <c r="K484" s="485"/>
    </row>
    <row r="485" spans="1:11" s="508" customFormat="1">
      <c r="A485" s="479">
        <v>406</v>
      </c>
      <c r="B485" s="587" t="s">
        <v>1074</v>
      </c>
      <c r="C485" s="555" t="s">
        <v>938</v>
      </c>
      <c r="D485" s="555" t="s">
        <v>935</v>
      </c>
      <c r="E485" s="556">
        <v>3350100</v>
      </c>
      <c r="F485" s="1088"/>
      <c r="G485" s="484"/>
      <c r="H485" s="484"/>
      <c r="I485" s="484"/>
      <c r="J485" s="485"/>
      <c r="K485" s="485"/>
    </row>
    <row r="486" spans="1:11" s="508" customFormat="1">
      <c r="A486" s="479">
        <v>407</v>
      </c>
      <c r="B486" s="587" t="s">
        <v>1075</v>
      </c>
      <c r="C486" s="555" t="s">
        <v>938</v>
      </c>
      <c r="D486" s="555" t="s">
        <v>935</v>
      </c>
      <c r="E486" s="556">
        <v>2327000</v>
      </c>
      <c r="F486" s="1088"/>
      <c r="G486" s="484"/>
      <c r="H486" s="484"/>
      <c r="I486" s="484"/>
      <c r="J486" s="485"/>
      <c r="K486" s="485"/>
    </row>
    <row r="487" spans="1:11" s="508" customFormat="1" ht="15.75" customHeight="1">
      <c r="A487" s="495" t="s">
        <v>1076</v>
      </c>
      <c r="B487" s="573" t="s">
        <v>1077</v>
      </c>
      <c r="C487" s="574"/>
      <c r="D487" s="574"/>
      <c r="E487" s="575"/>
      <c r="F487" s="586"/>
      <c r="G487" s="484"/>
      <c r="H487" s="484"/>
      <c r="I487" s="484"/>
      <c r="J487" s="485"/>
      <c r="K487" s="478"/>
    </row>
    <row r="488" spans="1:11" s="508" customFormat="1" ht="27" customHeight="1">
      <c r="A488" s="479">
        <v>408</v>
      </c>
      <c r="B488" s="587" t="s">
        <v>1078</v>
      </c>
      <c r="C488" s="555" t="s">
        <v>938</v>
      </c>
      <c r="D488" s="555" t="s">
        <v>935</v>
      </c>
      <c r="E488" s="556">
        <v>2588000</v>
      </c>
      <c r="F488" s="1088" t="s">
        <v>1079</v>
      </c>
      <c r="G488" s="484"/>
      <c r="H488" s="484"/>
      <c r="I488" s="484"/>
      <c r="J488" s="485"/>
      <c r="K488" s="485"/>
    </row>
    <row r="489" spans="1:11" s="508" customFormat="1">
      <c r="A489" s="479">
        <v>409</v>
      </c>
      <c r="B489" s="587" t="s">
        <v>1080</v>
      </c>
      <c r="C489" s="555" t="s">
        <v>938</v>
      </c>
      <c r="D489" s="555" t="s">
        <v>935</v>
      </c>
      <c r="E489" s="556">
        <v>1847000</v>
      </c>
      <c r="F489" s="1088"/>
      <c r="G489" s="484"/>
      <c r="H489" s="484"/>
      <c r="I489" s="484"/>
      <c r="J489" s="485"/>
      <c r="K489" s="485"/>
    </row>
    <row r="490" spans="1:11" s="508" customFormat="1">
      <c r="A490" s="479">
        <v>410</v>
      </c>
      <c r="B490" s="587" t="s">
        <v>1081</v>
      </c>
      <c r="C490" s="555" t="s">
        <v>938</v>
      </c>
      <c r="D490" s="555" t="s">
        <v>935</v>
      </c>
      <c r="E490" s="556">
        <v>1563000</v>
      </c>
      <c r="F490" s="1088"/>
      <c r="G490" s="484"/>
      <c r="H490" s="484"/>
      <c r="I490" s="484"/>
      <c r="J490" s="485"/>
      <c r="K490" s="485"/>
    </row>
    <row r="491" spans="1:11" s="508" customFormat="1">
      <c r="A491" s="479">
        <v>411</v>
      </c>
      <c r="B491" s="587" t="s">
        <v>1082</v>
      </c>
      <c r="C491" s="555" t="s">
        <v>938</v>
      </c>
      <c r="D491" s="555" t="s">
        <v>935</v>
      </c>
      <c r="E491" s="556">
        <v>971000</v>
      </c>
      <c r="F491" s="1088"/>
      <c r="G491" s="484"/>
      <c r="H491" s="484"/>
      <c r="I491" s="484"/>
      <c r="J491" s="485"/>
      <c r="K491" s="485"/>
    </row>
    <row r="492" spans="1:11" s="508" customFormat="1">
      <c r="A492" s="479">
        <v>412</v>
      </c>
      <c r="B492" s="587" t="s">
        <v>1083</v>
      </c>
      <c r="C492" s="555" t="s">
        <v>938</v>
      </c>
      <c r="D492" s="555" t="s">
        <v>935</v>
      </c>
      <c r="E492" s="556">
        <v>2805000</v>
      </c>
      <c r="F492" s="1088"/>
      <c r="G492" s="484"/>
      <c r="H492" s="484"/>
      <c r="I492" s="484"/>
      <c r="J492" s="485"/>
      <c r="K492" s="485"/>
    </row>
    <row r="493" spans="1:11" s="508" customFormat="1" ht="19.5" customHeight="1">
      <c r="A493" s="479">
        <v>413</v>
      </c>
      <c r="B493" s="587" t="s">
        <v>1084</v>
      </c>
      <c r="C493" s="555" t="s">
        <v>938</v>
      </c>
      <c r="D493" s="555" t="s">
        <v>935</v>
      </c>
      <c r="E493" s="556">
        <v>2248000</v>
      </c>
      <c r="F493" s="1088"/>
      <c r="G493" s="484"/>
      <c r="H493" s="484"/>
      <c r="I493" s="484"/>
      <c r="J493" s="485"/>
      <c r="K493" s="485"/>
    </row>
    <row r="494" spans="1:11" s="508" customFormat="1">
      <c r="A494" s="479">
        <v>414</v>
      </c>
      <c r="B494" s="587" t="s">
        <v>1085</v>
      </c>
      <c r="C494" s="555" t="s">
        <v>938</v>
      </c>
      <c r="D494" s="555" t="s">
        <v>935</v>
      </c>
      <c r="E494" s="556">
        <v>1569000</v>
      </c>
      <c r="F494" s="1088"/>
      <c r="G494" s="484"/>
      <c r="H494" s="484"/>
      <c r="I494" s="484"/>
      <c r="J494" s="485"/>
      <c r="K494" s="485"/>
    </row>
    <row r="495" spans="1:11" s="508" customFormat="1" ht="18.75" customHeight="1">
      <c r="A495" s="479">
        <v>415</v>
      </c>
      <c r="B495" s="587" t="s">
        <v>1086</v>
      </c>
      <c r="C495" s="555" t="s">
        <v>938</v>
      </c>
      <c r="D495" s="555" t="s">
        <v>935</v>
      </c>
      <c r="E495" s="556">
        <v>1959000</v>
      </c>
      <c r="F495" s="1088"/>
      <c r="G495" s="484"/>
      <c r="H495" s="484"/>
      <c r="I495" s="484"/>
      <c r="J495" s="485"/>
      <c r="K495" s="485"/>
    </row>
    <row r="496" spans="1:11" s="508" customFormat="1">
      <c r="A496" s="479">
        <v>416</v>
      </c>
      <c r="B496" s="587" t="s">
        <v>1087</v>
      </c>
      <c r="C496" s="555" t="s">
        <v>938</v>
      </c>
      <c r="D496" s="555" t="s">
        <v>935</v>
      </c>
      <c r="E496" s="556">
        <v>1545000</v>
      </c>
      <c r="F496" s="1088"/>
      <c r="G496" s="484"/>
      <c r="H496" s="484"/>
      <c r="I496" s="484"/>
      <c r="J496" s="485"/>
      <c r="K496" s="485"/>
    </row>
    <row r="497" spans="1:11" s="508" customFormat="1">
      <c r="A497" s="479">
        <v>417</v>
      </c>
      <c r="B497" s="587" t="s">
        <v>1088</v>
      </c>
      <c r="C497" s="555" t="s">
        <v>938</v>
      </c>
      <c r="D497" s="555" t="s">
        <v>935</v>
      </c>
      <c r="E497" s="556">
        <v>1211000</v>
      </c>
      <c r="F497" s="1088"/>
      <c r="G497" s="484"/>
      <c r="H497" s="484"/>
      <c r="I497" s="484"/>
      <c r="J497" s="485"/>
      <c r="K497" s="485"/>
    </row>
    <row r="498" spans="1:11" s="508" customFormat="1">
      <c r="A498" s="479">
        <v>418</v>
      </c>
      <c r="B498" s="587" t="s">
        <v>1089</v>
      </c>
      <c r="C498" s="555" t="s">
        <v>938</v>
      </c>
      <c r="D498" s="555" t="s">
        <v>935</v>
      </c>
      <c r="E498" s="556">
        <v>538000</v>
      </c>
      <c r="F498" s="1088"/>
      <c r="G498" s="484"/>
      <c r="H498" s="484"/>
      <c r="I498" s="484"/>
      <c r="J498" s="485"/>
      <c r="K498" s="485"/>
    </row>
    <row r="499" spans="1:11" s="508" customFormat="1">
      <c r="A499" s="479">
        <v>419</v>
      </c>
      <c r="B499" s="587" t="s">
        <v>1090</v>
      </c>
      <c r="C499" s="555" t="s">
        <v>938</v>
      </c>
      <c r="D499" s="555" t="s">
        <v>935</v>
      </c>
      <c r="E499" s="556">
        <v>757000</v>
      </c>
      <c r="F499" s="1088"/>
      <c r="G499" s="484"/>
      <c r="H499" s="484"/>
      <c r="I499" s="484"/>
      <c r="J499" s="485"/>
      <c r="K499" s="485"/>
    </row>
    <row r="500" spans="1:11" s="508" customFormat="1">
      <c r="A500" s="479">
        <v>420</v>
      </c>
      <c r="B500" s="587" t="s">
        <v>1091</v>
      </c>
      <c r="C500" s="555" t="s">
        <v>1092</v>
      </c>
      <c r="D500" s="555" t="s">
        <v>935</v>
      </c>
      <c r="E500" s="556">
        <v>444500</v>
      </c>
      <c r="F500" s="1088"/>
      <c r="G500" s="484"/>
      <c r="H500" s="484"/>
      <c r="I500" s="484"/>
      <c r="J500" s="485"/>
      <c r="K500" s="485"/>
    </row>
    <row r="501" spans="1:11" s="508" customFormat="1">
      <c r="A501" s="479">
        <v>421</v>
      </c>
      <c r="B501" s="587" t="s">
        <v>1093</v>
      </c>
      <c r="C501" s="555" t="s">
        <v>1092</v>
      </c>
      <c r="D501" s="555" t="s">
        <v>935</v>
      </c>
      <c r="E501" s="556">
        <v>284000</v>
      </c>
      <c r="F501" s="1088"/>
      <c r="G501" s="484"/>
      <c r="H501" s="484"/>
      <c r="I501" s="484"/>
      <c r="J501" s="485"/>
      <c r="K501" s="485"/>
    </row>
    <row r="502" spans="1:11" s="508" customFormat="1" ht="15.75" customHeight="1">
      <c r="A502" s="495" t="s">
        <v>1094</v>
      </c>
      <c r="B502" s="573" t="s">
        <v>1095</v>
      </c>
      <c r="C502" s="574"/>
      <c r="D502" s="574"/>
      <c r="E502" s="575"/>
      <c r="F502" s="586"/>
      <c r="G502" s="484"/>
      <c r="H502" s="484"/>
      <c r="I502" s="484"/>
      <c r="J502" s="485"/>
      <c r="K502" s="478"/>
    </row>
    <row r="503" spans="1:11" s="508" customFormat="1" ht="18" customHeight="1">
      <c r="A503" s="479">
        <v>422</v>
      </c>
      <c r="B503" s="576" t="s">
        <v>1096</v>
      </c>
      <c r="C503" s="555" t="s">
        <v>1036</v>
      </c>
      <c r="D503" s="555" t="s">
        <v>935</v>
      </c>
      <c r="E503" s="556">
        <v>2484000</v>
      </c>
      <c r="F503" s="593" t="s">
        <v>1097</v>
      </c>
      <c r="G503" s="484">
        <v>138000</v>
      </c>
      <c r="H503" s="484">
        <v>138000</v>
      </c>
      <c r="I503" s="484">
        <v>3</v>
      </c>
      <c r="J503" s="485"/>
      <c r="K503" s="485"/>
    </row>
    <row r="504" spans="1:11" s="508" customFormat="1" ht="18" customHeight="1">
      <c r="A504" s="479">
        <v>423</v>
      </c>
      <c r="B504" s="587" t="s">
        <v>1098</v>
      </c>
      <c r="C504" s="555" t="s">
        <v>961</v>
      </c>
      <c r="D504" s="555" t="s">
        <v>935</v>
      </c>
      <c r="E504" s="556">
        <v>2260000</v>
      </c>
      <c r="F504" s="593" t="s">
        <v>1099</v>
      </c>
      <c r="G504" s="484">
        <v>113000</v>
      </c>
      <c r="H504" s="484">
        <v>113000</v>
      </c>
      <c r="I504" s="484">
        <v>9</v>
      </c>
      <c r="J504" s="485"/>
      <c r="K504" s="485"/>
    </row>
    <row r="505" spans="1:11" s="508" customFormat="1" ht="18" customHeight="1">
      <c r="A505" s="479">
        <v>424</v>
      </c>
      <c r="B505" s="587" t="s">
        <v>1100</v>
      </c>
      <c r="C505" s="555" t="s">
        <v>938</v>
      </c>
      <c r="D505" s="555" t="s">
        <v>935</v>
      </c>
      <c r="E505" s="556">
        <v>2138000</v>
      </c>
      <c r="F505" s="593" t="s">
        <v>1101</v>
      </c>
      <c r="G505" s="594">
        <v>87983.539094650201</v>
      </c>
      <c r="H505" s="484">
        <v>87983.539094650201</v>
      </c>
      <c r="I505" s="484">
        <v>12</v>
      </c>
      <c r="J505" s="485"/>
      <c r="K505" s="485"/>
    </row>
    <row r="506" spans="1:11" s="508" customFormat="1" ht="18" customHeight="1">
      <c r="A506" s="479">
        <v>425</v>
      </c>
      <c r="B506" s="587" t="s">
        <v>1102</v>
      </c>
      <c r="C506" s="555" t="s">
        <v>961</v>
      </c>
      <c r="D506" s="555" t="s">
        <v>935</v>
      </c>
      <c r="E506" s="556">
        <v>2683000</v>
      </c>
      <c r="F506" s="593" t="s">
        <v>1103</v>
      </c>
      <c r="G506" s="484">
        <v>134150</v>
      </c>
      <c r="H506" s="484">
        <v>134150</v>
      </c>
      <c r="I506" s="484">
        <v>4</v>
      </c>
      <c r="J506" s="485"/>
      <c r="K506" s="485"/>
    </row>
    <row r="507" spans="1:11" s="508" customFormat="1" ht="18" customHeight="1">
      <c r="A507" s="479">
        <v>426</v>
      </c>
      <c r="B507" s="587" t="s">
        <v>1104</v>
      </c>
      <c r="C507" s="555" t="s">
        <v>961</v>
      </c>
      <c r="D507" s="555" t="s">
        <v>935</v>
      </c>
      <c r="E507" s="556">
        <v>2973000</v>
      </c>
      <c r="F507" s="593" t="s">
        <v>1103</v>
      </c>
      <c r="G507" s="484">
        <v>148650</v>
      </c>
      <c r="H507" s="484">
        <v>148650</v>
      </c>
      <c r="I507" s="484">
        <v>1</v>
      </c>
      <c r="J507" s="485"/>
      <c r="K507" s="485"/>
    </row>
    <row r="508" spans="1:11" s="508" customFormat="1" ht="27.75" customHeight="1">
      <c r="A508" s="479">
        <v>427</v>
      </c>
      <c r="B508" s="587" t="s">
        <v>1105</v>
      </c>
      <c r="C508" s="555" t="s">
        <v>961</v>
      </c>
      <c r="D508" s="555" t="s">
        <v>935</v>
      </c>
      <c r="E508" s="556">
        <v>1916000</v>
      </c>
      <c r="F508" s="593" t="s">
        <v>1106</v>
      </c>
      <c r="G508" s="484">
        <v>95800</v>
      </c>
      <c r="H508" s="484">
        <v>95800</v>
      </c>
      <c r="I508" s="484">
        <v>11</v>
      </c>
      <c r="J508" s="485"/>
      <c r="K508" s="485"/>
    </row>
    <row r="509" spans="1:11" s="508" customFormat="1" ht="18" customHeight="1">
      <c r="A509" s="479">
        <v>428</v>
      </c>
      <c r="B509" s="587" t="s">
        <v>1107</v>
      </c>
      <c r="C509" s="555" t="s">
        <v>961</v>
      </c>
      <c r="D509" s="555" t="s">
        <v>935</v>
      </c>
      <c r="E509" s="556">
        <v>2150000</v>
      </c>
      <c r="F509" s="593" t="s">
        <v>1108</v>
      </c>
      <c r="G509" s="484">
        <v>107500</v>
      </c>
      <c r="H509" s="484">
        <v>107500</v>
      </c>
      <c r="I509" s="484">
        <v>10</v>
      </c>
      <c r="J509" s="485"/>
      <c r="K509" s="485"/>
    </row>
    <row r="510" spans="1:11" s="508" customFormat="1" ht="18" customHeight="1">
      <c r="A510" s="479">
        <v>429</v>
      </c>
      <c r="B510" s="587" t="s">
        <v>1109</v>
      </c>
      <c r="C510" s="555" t="s">
        <v>938</v>
      </c>
      <c r="D510" s="555" t="s">
        <v>935</v>
      </c>
      <c r="E510" s="556">
        <v>3060000</v>
      </c>
      <c r="F510" s="593" t="s">
        <v>1110</v>
      </c>
      <c r="G510" s="594">
        <v>125925.92592592591</v>
      </c>
      <c r="H510" s="484">
        <v>125925.92592592591</v>
      </c>
      <c r="I510" s="484">
        <v>6</v>
      </c>
      <c r="J510" s="485"/>
      <c r="K510" s="485"/>
    </row>
    <row r="511" spans="1:11" s="508" customFormat="1" ht="18" customHeight="1">
      <c r="A511" s="479">
        <v>430</v>
      </c>
      <c r="B511" s="587" t="s">
        <v>1111</v>
      </c>
      <c r="C511" s="555" t="s">
        <v>938</v>
      </c>
      <c r="D511" s="555" t="s">
        <v>935</v>
      </c>
      <c r="E511" s="556">
        <v>3120000</v>
      </c>
      <c r="F511" s="593" t="s">
        <v>1110</v>
      </c>
      <c r="G511" s="594">
        <v>128395.06172839506</v>
      </c>
      <c r="H511" s="484">
        <v>128395.06172839506</v>
      </c>
      <c r="I511" s="484">
        <v>5</v>
      </c>
      <c r="J511" s="485"/>
      <c r="K511" s="485"/>
    </row>
    <row r="512" spans="1:11" s="508" customFormat="1" ht="18" customHeight="1">
      <c r="A512" s="479">
        <v>431</v>
      </c>
      <c r="B512" s="587" t="s">
        <v>1112</v>
      </c>
      <c r="C512" s="555" t="s">
        <v>955</v>
      </c>
      <c r="D512" s="555" t="s">
        <v>1064</v>
      </c>
      <c r="E512" s="556">
        <v>620000</v>
      </c>
      <c r="F512" s="593" t="s">
        <v>1113</v>
      </c>
      <c r="G512" s="594">
        <v>114814.8148148148</v>
      </c>
      <c r="H512" s="484">
        <v>114814.8148148148</v>
      </c>
      <c r="I512" s="484">
        <v>8</v>
      </c>
      <c r="J512" s="485"/>
      <c r="K512" s="485"/>
    </row>
    <row r="513" spans="1:11" s="508" customFormat="1" ht="29.25" customHeight="1">
      <c r="A513" s="479">
        <v>432</v>
      </c>
      <c r="B513" s="587" t="s">
        <v>1114</v>
      </c>
      <c r="C513" s="555" t="s">
        <v>938</v>
      </c>
      <c r="D513" s="555" t="s">
        <v>935</v>
      </c>
      <c r="E513" s="556">
        <v>3377400</v>
      </c>
      <c r="F513" s="593" t="s">
        <v>1115</v>
      </c>
      <c r="G513" s="594">
        <v>138987.65432098764</v>
      </c>
      <c r="H513" s="484">
        <v>138987.65432098764</v>
      </c>
      <c r="I513" s="484">
        <v>2</v>
      </c>
      <c r="J513" s="485"/>
      <c r="K513" s="485"/>
    </row>
    <row r="514" spans="1:11" s="508" customFormat="1" ht="18" customHeight="1">
      <c r="A514" s="479">
        <v>433</v>
      </c>
      <c r="B514" s="587" t="s">
        <v>1116</v>
      </c>
      <c r="C514" s="555" t="s">
        <v>961</v>
      </c>
      <c r="D514" s="555" t="s">
        <v>935</v>
      </c>
      <c r="E514" s="556">
        <v>2513000</v>
      </c>
      <c r="F514" s="593" t="s">
        <v>1117</v>
      </c>
      <c r="G514" s="484">
        <v>125650</v>
      </c>
      <c r="H514" s="484">
        <v>125650</v>
      </c>
      <c r="I514" s="484">
        <v>7</v>
      </c>
      <c r="J514" s="485"/>
      <c r="K514" s="485"/>
    </row>
    <row r="515" spans="1:11" s="508" customFormat="1" ht="15.75" customHeight="1">
      <c r="A515" s="476" t="s">
        <v>1118</v>
      </c>
      <c r="B515" s="1090" t="s">
        <v>1119</v>
      </c>
      <c r="C515" s="1090"/>
      <c r="D515" s="1090"/>
      <c r="E515" s="1090"/>
      <c r="F515" s="1091"/>
      <c r="G515" s="477"/>
      <c r="H515" s="477"/>
      <c r="I515" s="477"/>
      <c r="J515" s="485"/>
      <c r="K515" s="478"/>
    </row>
    <row r="516" spans="1:11" s="508" customFormat="1">
      <c r="A516" s="479">
        <v>434</v>
      </c>
      <c r="B516" s="489" t="s">
        <v>1120</v>
      </c>
      <c r="C516" s="487"/>
      <c r="D516" s="549" t="s">
        <v>439</v>
      </c>
      <c r="E516" s="474">
        <v>18000</v>
      </c>
      <c r="F516" s="1088" t="s">
        <v>450</v>
      </c>
      <c r="G516" s="484"/>
      <c r="H516" s="484"/>
      <c r="I516" s="484"/>
      <c r="J516" s="485"/>
      <c r="K516" s="485"/>
    </row>
    <row r="517" spans="1:11" s="508" customFormat="1">
      <c r="A517" s="479">
        <v>435</v>
      </c>
      <c r="B517" s="489" t="s">
        <v>1121</v>
      </c>
      <c r="C517" s="487"/>
      <c r="D517" s="549" t="s">
        <v>439</v>
      </c>
      <c r="E517" s="474">
        <v>45000</v>
      </c>
      <c r="F517" s="1088"/>
      <c r="G517" s="484"/>
      <c r="H517" s="484"/>
      <c r="I517" s="484"/>
      <c r="J517" s="485"/>
      <c r="K517" s="485"/>
    </row>
    <row r="518" spans="1:11" s="508" customFormat="1">
      <c r="A518" s="479">
        <v>436</v>
      </c>
      <c r="B518" s="489" t="s">
        <v>1122</v>
      </c>
      <c r="C518" s="487"/>
      <c r="D518" s="549" t="s">
        <v>439</v>
      </c>
      <c r="E518" s="474">
        <v>17500</v>
      </c>
      <c r="F518" s="1088"/>
      <c r="G518" s="484"/>
      <c r="H518" s="484"/>
      <c r="I518" s="484"/>
      <c r="J518" s="485"/>
      <c r="K518" s="485"/>
    </row>
    <row r="519" spans="1:11" s="508" customFormat="1">
      <c r="A519" s="479">
        <v>437</v>
      </c>
      <c r="B519" s="489" t="s">
        <v>1123</v>
      </c>
      <c r="C519" s="487"/>
      <c r="D519" s="549" t="s">
        <v>439</v>
      </c>
      <c r="E519" s="474">
        <v>70000</v>
      </c>
      <c r="F519" s="1088"/>
      <c r="G519" s="484"/>
      <c r="H519" s="484"/>
      <c r="I519" s="484"/>
      <c r="J519" s="485"/>
      <c r="K519" s="485"/>
    </row>
    <row r="520" spans="1:11" s="508" customFormat="1" ht="15.75" customHeight="1">
      <c r="A520" s="476" t="s">
        <v>1124</v>
      </c>
      <c r="B520" s="1090" t="s">
        <v>1125</v>
      </c>
      <c r="C520" s="1090"/>
      <c r="D520" s="1090"/>
      <c r="E520" s="1090"/>
      <c r="F520" s="1091"/>
      <c r="G520" s="477"/>
      <c r="H520" s="477"/>
      <c r="I520" s="477"/>
      <c r="J520" s="485"/>
      <c r="K520" s="478"/>
    </row>
    <row r="521" spans="1:11" s="508" customFormat="1">
      <c r="A521" s="479">
        <v>438</v>
      </c>
      <c r="B521" s="489" t="s">
        <v>1126</v>
      </c>
      <c r="C521" s="487"/>
      <c r="D521" s="487" t="s">
        <v>819</v>
      </c>
      <c r="E521" s="474">
        <v>12500</v>
      </c>
      <c r="F521" s="1088" t="s">
        <v>450</v>
      </c>
      <c r="G521" s="484"/>
      <c r="H521" s="484"/>
      <c r="I521" s="484"/>
      <c r="J521" s="485"/>
      <c r="K521" s="485"/>
    </row>
    <row r="522" spans="1:11" s="508" customFormat="1">
      <c r="A522" s="479">
        <v>439</v>
      </c>
      <c r="B522" s="489" t="s">
        <v>1127</v>
      </c>
      <c r="C522" s="487"/>
      <c r="D522" s="487" t="s">
        <v>819</v>
      </c>
      <c r="E522" s="474">
        <v>10000</v>
      </c>
      <c r="F522" s="1088"/>
      <c r="G522" s="484"/>
      <c r="H522" s="484"/>
      <c r="I522" s="484"/>
      <c r="J522" s="485"/>
      <c r="K522" s="485"/>
    </row>
    <row r="523" spans="1:11" s="508" customFormat="1">
      <c r="A523" s="479">
        <v>440</v>
      </c>
      <c r="B523" s="489" t="s">
        <v>1128</v>
      </c>
      <c r="C523" s="487"/>
      <c r="D523" s="487" t="s">
        <v>819</v>
      </c>
      <c r="E523" s="474">
        <v>13500</v>
      </c>
      <c r="F523" s="1088"/>
      <c r="G523" s="484"/>
      <c r="H523" s="484"/>
      <c r="I523" s="484"/>
      <c r="J523" s="485"/>
      <c r="K523" s="485"/>
    </row>
    <row r="524" spans="1:11" s="508" customFormat="1">
      <c r="A524" s="479">
        <v>441</v>
      </c>
      <c r="B524" s="489" t="s">
        <v>1129</v>
      </c>
      <c r="C524" s="487" t="s">
        <v>1130</v>
      </c>
      <c r="D524" s="487" t="s">
        <v>819</v>
      </c>
      <c r="E524" s="474">
        <v>3000</v>
      </c>
      <c r="F524" s="1088"/>
      <c r="G524" s="484"/>
      <c r="H524" s="484"/>
      <c r="I524" s="484"/>
      <c r="J524" s="485"/>
      <c r="K524" s="485"/>
    </row>
    <row r="525" spans="1:11" s="508" customFormat="1">
      <c r="A525" s="479">
        <v>442</v>
      </c>
      <c r="B525" s="489" t="s">
        <v>1129</v>
      </c>
      <c r="C525" s="487" t="s">
        <v>1131</v>
      </c>
      <c r="D525" s="487" t="s">
        <v>819</v>
      </c>
      <c r="E525" s="474">
        <v>4500</v>
      </c>
      <c r="F525" s="1088"/>
      <c r="G525" s="484"/>
      <c r="H525" s="484"/>
      <c r="I525" s="484"/>
      <c r="J525" s="485"/>
      <c r="K525" s="485"/>
    </row>
    <row r="526" spans="1:11" s="508" customFormat="1">
      <c r="A526" s="479">
        <v>443</v>
      </c>
      <c r="B526" s="489" t="s">
        <v>1132</v>
      </c>
      <c r="C526" s="487" t="s">
        <v>1133</v>
      </c>
      <c r="D526" s="487" t="s">
        <v>819</v>
      </c>
      <c r="E526" s="474">
        <v>7000</v>
      </c>
      <c r="F526" s="1088"/>
      <c r="G526" s="484"/>
      <c r="H526" s="484"/>
      <c r="I526" s="484"/>
      <c r="J526" s="485"/>
      <c r="K526" s="485"/>
    </row>
    <row r="527" spans="1:11" s="508" customFormat="1">
      <c r="A527" s="479">
        <v>444</v>
      </c>
      <c r="B527" s="489" t="s">
        <v>1134</v>
      </c>
      <c r="C527" s="487" t="s">
        <v>1135</v>
      </c>
      <c r="D527" s="487" t="s">
        <v>819</v>
      </c>
      <c r="E527" s="474">
        <v>6500</v>
      </c>
      <c r="F527" s="1088"/>
      <c r="G527" s="484"/>
      <c r="H527" s="484"/>
      <c r="I527" s="484"/>
      <c r="J527" s="485"/>
      <c r="K527" s="485"/>
    </row>
    <row r="528" spans="1:11" s="508" customFormat="1" ht="15.75" customHeight="1">
      <c r="A528" s="476" t="s">
        <v>392</v>
      </c>
      <c r="B528" s="1090" t="s">
        <v>1136</v>
      </c>
      <c r="C528" s="1090"/>
      <c r="D528" s="1090"/>
      <c r="E528" s="1090"/>
      <c r="F528" s="1091"/>
      <c r="G528" s="477"/>
      <c r="H528" s="477"/>
      <c r="I528" s="477"/>
      <c r="J528" s="485"/>
      <c r="K528" s="478"/>
    </row>
    <row r="529" spans="1:11" s="508" customFormat="1">
      <c r="A529" s="479">
        <v>445</v>
      </c>
      <c r="B529" s="489" t="s">
        <v>1137</v>
      </c>
      <c r="C529" s="487" t="s">
        <v>1138</v>
      </c>
      <c r="D529" s="549" t="s">
        <v>439</v>
      </c>
      <c r="E529" s="474">
        <v>41000</v>
      </c>
      <c r="F529" s="1088" t="s">
        <v>1139</v>
      </c>
      <c r="G529" s="477"/>
      <c r="H529" s="477"/>
      <c r="I529" s="477"/>
      <c r="J529" s="485"/>
      <c r="K529" s="485"/>
    </row>
    <row r="530" spans="1:11" s="508" customFormat="1">
      <c r="A530" s="479">
        <v>446</v>
      </c>
      <c r="B530" s="489" t="s">
        <v>1140</v>
      </c>
      <c r="C530" s="487" t="s">
        <v>1138</v>
      </c>
      <c r="D530" s="549" t="s">
        <v>439</v>
      </c>
      <c r="E530" s="474">
        <v>22000</v>
      </c>
      <c r="F530" s="1088"/>
      <c r="G530" s="484"/>
      <c r="H530" s="484"/>
      <c r="I530" s="484"/>
      <c r="J530" s="485"/>
      <c r="K530" s="485"/>
    </row>
    <row r="531" spans="1:11" s="508" customFormat="1">
      <c r="A531" s="479">
        <v>447</v>
      </c>
      <c r="B531" s="489" t="s">
        <v>1141</v>
      </c>
      <c r="C531" s="487" t="s">
        <v>1142</v>
      </c>
      <c r="D531" s="549" t="s">
        <v>439</v>
      </c>
      <c r="E531" s="474">
        <v>16000</v>
      </c>
      <c r="F531" s="1088"/>
      <c r="G531" s="484"/>
      <c r="H531" s="484"/>
      <c r="I531" s="484"/>
      <c r="J531" s="485"/>
      <c r="K531" s="485"/>
    </row>
    <row r="532" spans="1:11" s="508" customFormat="1">
      <c r="A532" s="479">
        <v>448</v>
      </c>
      <c r="B532" s="489" t="s">
        <v>1143</v>
      </c>
      <c r="C532" s="487" t="s">
        <v>1144</v>
      </c>
      <c r="D532" s="487" t="s">
        <v>1064</v>
      </c>
      <c r="E532" s="474">
        <v>45000</v>
      </c>
      <c r="F532" s="1088"/>
      <c r="G532" s="484"/>
      <c r="H532" s="484"/>
      <c r="I532" s="484"/>
      <c r="J532" s="485"/>
      <c r="K532" s="485"/>
    </row>
    <row r="533" spans="1:11" s="508" customFormat="1">
      <c r="A533" s="479">
        <v>449</v>
      </c>
      <c r="B533" s="489" t="s">
        <v>1145</v>
      </c>
      <c r="C533" s="487" t="s">
        <v>1146</v>
      </c>
      <c r="D533" s="487" t="s">
        <v>1147</v>
      </c>
      <c r="E533" s="474">
        <v>11000</v>
      </c>
      <c r="F533" s="1088"/>
      <c r="G533" s="484"/>
      <c r="H533" s="484"/>
      <c r="I533" s="484"/>
      <c r="J533" s="485"/>
      <c r="K533" s="485"/>
    </row>
    <row r="534" spans="1:11" s="508" customFormat="1">
      <c r="A534" s="479">
        <v>450</v>
      </c>
      <c r="B534" s="489" t="s">
        <v>1148</v>
      </c>
      <c r="C534" s="487" t="s">
        <v>1149</v>
      </c>
      <c r="D534" s="487" t="s">
        <v>439</v>
      </c>
      <c r="E534" s="474">
        <v>7700</v>
      </c>
      <c r="F534" s="1088"/>
      <c r="G534" s="484"/>
      <c r="H534" s="484"/>
      <c r="I534" s="484"/>
      <c r="J534" s="485"/>
      <c r="K534" s="485"/>
    </row>
    <row r="535" spans="1:11" s="508" customFormat="1">
      <c r="A535" s="479">
        <v>451</v>
      </c>
      <c r="B535" s="489" t="s">
        <v>1150</v>
      </c>
      <c r="C535" s="473"/>
      <c r="D535" s="487" t="s">
        <v>1151</v>
      </c>
      <c r="E535" s="474">
        <v>35000</v>
      </c>
      <c r="F535" s="1088"/>
      <c r="G535" s="484"/>
      <c r="H535" s="484"/>
      <c r="I535" s="484"/>
      <c r="J535" s="485"/>
      <c r="K535" s="485"/>
    </row>
    <row r="536" spans="1:11" s="508" customFormat="1">
      <c r="A536" s="479">
        <v>452</v>
      </c>
      <c r="B536" s="489" t="s">
        <v>1152</v>
      </c>
      <c r="C536" s="487"/>
      <c r="D536" s="487" t="s">
        <v>1153</v>
      </c>
      <c r="E536" s="474">
        <v>54000</v>
      </c>
      <c r="F536" s="1088"/>
      <c r="G536" s="484"/>
      <c r="H536" s="484"/>
      <c r="I536" s="484"/>
      <c r="J536" s="485"/>
      <c r="K536" s="485"/>
    </row>
    <row r="537" spans="1:11" s="508" customFormat="1">
      <c r="A537" s="479">
        <v>453</v>
      </c>
      <c r="B537" s="489" t="s">
        <v>1154</v>
      </c>
      <c r="C537" s="487"/>
      <c r="D537" s="487" t="s">
        <v>439</v>
      </c>
      <c r="E537" s="474">
        <v>7000</v>
      </c>
      <c r="F537" s="1088"/>
      <c r="G537" s="484"/>
      <c r="H537" s="484"/>
      <c r="I537" s="484"/>
      <c r="J537" s="485"/>
      <c r="K537" s="485"/>
    </row>
    <row r="538" spans="1:11" s="508" customFormat="1">
      <c r="A538" s="479">
        <v>454</v>
      </c>
      <c r="B538" s="489" t="s">
        <v>1155</v>
      </c>
      <c r="C538" s="1115" t="s">
        <v>1156</v>
      </c>
      <c r="D538" s="487" t="s">
        <v>699</v>
      </c>
      <c r="E538" s="474">
        <v>198550.00000000003</v>
      </c>
      <c r="F538" s="1088"/>
      <c r="G538" s="484"/>
      <c r="H538" s="484"/>
      <c r="I538" s="484"/>
      <c r="J538" s="485"/>
      <c r="K538" s="485"/>
    </row>
    <row r="539" spans="1:11" s="508" customFormat="1">
      <c r="A539" s="479">
        <v>455</v>
      </c>
      <c r="B539" s="489" t="s">
        <v>1157</v>
      </c>
      <c r="C539" s="1115"/>
      <c r="D539" s="487" t="s">
        <v>699</v>
      </c>
      <c r="E539" s="474">
        <v>298100</v>
      </c>
      <c r="F539" s="1088"/>
      <c r="G539" s="484"/>
      <c r="H539" s="484"/>
      <c r="I539" s="484"/>
      <c r="J539" s="485"/>
      <c r="K539" s="485"/>
    </row>
    <row r="540" spans="1:11" s="508" customFormat="1">
      <c r="A540" s="479">
        <v>456</v>
      </c>
      <c r="B540" s="489" t="s">
        <v>1158</v>
      </c>
      <c r="C540" s="1116" t="s">
        <v>1159</v>
      </c>
      <c r="D540" s="487" t="s">
        <v>1153</v>
      </c>
      <c r="E540" s="474">
        <v>20240</v>
      </c>
      <c r="F540" s="1088"/>
      <c r="G540" s="484"/>
      <c r="H540" s="484"/>
      <c r="I540" s="484"/>
      <c r="J540" s="485"/>
      <c r="K540" s="485"/>
    </row>
    <row r="541" spans="1:11" s="508" customFormat="1">
      <c r="A541" s="479">
        <v>457</v>
      </c>
      <c r="B541" s="489" t="s">
        <v>1160</v>
      </c>
      <c r="C541" s="1116"/>
      <c r="D541" s="487" t="s">
        <v>1153</v>
      </c>
      <c r="E541" s="474">
        <v>16610</v>
      </c>
      <c r="F541" s="1088"/>
      <c r="G541" s="484"/>
      <c r="H541" s="484"/>
      <c r="I541" s="484"/>
      <c r="J541" s="485"/>
      <c r="K541" s="485"/>
    </row>
    <row r="542" spans="1:11" s="508" customFormat="1" ht="23">
      <c r="A542" s="479">
        <v>458</v>
      </c>
      <c r="B542" s="489" t="s">
        <v>1161</v>
      </c>
      <c r="C542" s="595" t="s">
        <v>1162</v>
      </c>
      <c r="D542" s="487" t="s">
        <v>1153</v>
      </c>
      <c r="E542" s="474">
        <v>43670</v>
      </c>
      <c r="F542" s="1088"/>
      <c r="G542" s="484"/>
      <c r="H542" s="484"/>
      <c r="I542" s="484"/>
      <c r="J542" s="485"/>
      <c r="K542" s="485"/>
    </row>
    <row r="543" spans="1:11" s="508" customFormat="1" ht="23">
      <c r="A543" s="479">
        <v>459</v>
      </c>
      <c r="B543" s="489" t="s">
        <v>1163</v>
      </c>
      <c r="C543" s="595" t="s">
        <v>1164</v>
      </c>
      <c r="D543" s="487" t="s">
        <v>439</v>
      </c>
      <c r="E543" s="474">
        <v>30580.000000000004</v>
      </c>
      <c r="F543" s="1088"/>
      <c r="G543" s="484"/>
      <c r="H543" s="484"/>
      <c r="I543" s="484"/>
      <c r="J543" s="485"/>
      <c r="K543" s="485"/>
    </row>
    <row r="544" spans="1:11" s="508" customFormat="1" ht="23">
      <c r="A544" s="479">
        <v>460</v>
      </c>
      <c r="B544" s="489" t="s">
        <v>1165</v>
      </c>
      <c r="C544" s="595" t="s">
        <v>1166</v>
      </c>
      <c r="D544" s="487" t="s">
        <v>439</v>
      </c>
      <c r="E544" s="474">
        <v>42240</v>
      </c>
      <c r="F544" s="1088"/>
      <c r="G544" s="484"/>
      <c r="H544" s="484"/>
      <c r="I544" s="484"/>
      <c r="J544" s="485"/>
      <c r="K544" s="485"/>
    </row>
    <row r="545" spans="1:11" s="508" customFormat="1">
      <c r="A545" s="479">
        <v>461</v>
      </c>
      <c r="B545" s="489" t="s">
        <v>1167</v>
      </c>
      <c r="C545" s="595" t="s">
        <v>1168</v>
      </c>
      <c r="D545" s="487" t="s">
        <v>439</v>
      </c>
      <c r="E545" s="474">
        <v>85250</v>
      </c>
      <c r="F545" s="1088"/>
      <c r="G545" s="484"/>
      <c r="H545" s="484"/>
      <c r="I545" s="484"/>
      <c r="J545" s="485"/>
      <c r="K545" s="485"/>
    </row>
    <row r="546" spans="1:11" s="508" customFormat="1" ht="23">
      <c r="A546" s="479">
        <v>462</v>
      </c>
      <c r="B546" s="489" t="s">
        <v>1169</v>
      </c>
      <c r="C546" s="595" t="s">
        <v>1170</v>
      </c>
      <c r="D546" s="487" t="s">
        <v>439</v>
      </c>
      <c r="E546" s="474">
        <v>176500</v>
      </c>
      <c r="F546" s="1088"/>
      <c r="G546" s="484"/>
      <c r="H546" s="484"/>
      <c r="I546" s="484"/>
      <c r="J546" s="485"/>
      <c r="K546" s="485"/>
    </row>
    <row r="547" spans="1:11" s="508" customFormat="1" ht="23">
      <c r="A547" s="479">
        <v>463</v>
      </c>
      <c r="B547" s="489" t="s">
        <v>1171</v>
      </c>
      <c r="C547" s="595" t="s">
        <v>1172</v>
      </c>
      <c r="D547" s="487" t="s">
        <v>439</v>
      </c>
      <c r="E547" s="474">
        <v>288750</v>
      </c>
      <c r="F547" s="1088"/>
      <c r="G547" s="484"/>
      <c r="H547" s="484"/>
      <c r="I547" s="484"/>
      <c r="J547" s="485"/>
      <c r="K547" s="485"/>
    </row>
    <row r="548" spans="1:11" s="508" customFormat="1" ht="15.75" customHeight="1">
      <c r="A548" s="476" t="s">
        <v>1173</v>
      </c>
      <c r="B548" s="1090" t="s">
        <v>1174</v>
      </c>
      <c r="C548" s="1090"/>
      <c r="D548" s="1090"/>
      <c r="E548" s="1090"/>
      <c r="F548" s="1091"/>
      <c r="G548" s="477"/>
      <c r="H548" s="477"/>
      <c r="I548" s="477"/>
      <c r="J548" s="485"/>
      <c r="K548" s="478"/>
    </row>
    <row r="549" spans="1:11" s="508" customFormat="1">
      <c r="A549" s="479">
        <v>464</v>
      </c>
      <c r="B549" s="489" t="s">
        <v>1175</v>
      </c>
      <c r="C549" s="487"/>
      <c r="D549" s="487" t="s">
        <v>439</v>
      </c>
      <c r="E549" s="474">
        <v>9500</v>
      </c>
      <c r="F549" s="1088" t="s">
        <v>1139</v>
      </c>
      <c r="G549" s="484"/>
      <c r="H549" s="484"/>
      <c r="I549" s="484"/>
      <c r="J549" s="485"/>
      <c r="K549" s="485"/>
    </row>
    <row r="550" spans="1:11" s="508" customFormat="1">
      <c r="A550" s="479">
        <v>465</v>
      </c>
      <c r="B550" s="489" t="s">
        <v>1176</v>
      </c>
      <c r="C550" s="487"/>
      <c r="D550" s="487" t="s">
        <v>439</v>
      </c>
      <c r="E550" s="474">
        <v>25000</v>
      </c>
      <c r="F550" s="1088"/>
      <c r="G550" s="484"/>
      <c r="H550" s="484"/>
      <c r="I550" s="484"/>
      <c r="J550" s="485"/>
      <c r="K550" s="485"/>
    </row>
    <row r="551" spans="1:11" s="508" customFormat="1">
      <c r="A551" s="479">
        <v>466</v>
      </c>
      <c r="B551" s="489" t="s">
        <v>1177</v>
      </c>
      <c r="C551" s="487"/>
      <c r="D551" s="487" t="s">
        <v>439</v>
      </c>
      <c r="E551" s="474">
        <v>20000</v>
      </c>
      <c r="F551" s="1088"/>
      <c r="G551" s="484"/>
      <c r="H551" s="484"/>
      <c r="I551" s="484"/>
      <c r="J551" s="485"/>
      <c r="K551" s="485"/>
    </row>
    <row r="552" spans="1:11" s="508" customFormat="1">
      <c r="A552" s="479">
        <v>467</v>
      </c>
      <c r="B552" s="489" t="s">
        <v>1178</v>
      </c>
      <c r="C552" s="487"/>
      <c r="D552" s="487" t="s">
        <v>439</v>
      </c>
      <c r="E552" s="474">
        <v>42570</v>
      </c>
      <c r="F552" s="1088" t="s">
        <v>1179</v>
      </c>
      <c r="G552" s="572"/>
      <c r="H552" s="484"/>
      <c r="I552" s="484"/>
      <c r="J552" s="485"/>
      <c r="K552" s="485"/>
    </row>
    <row r="553" spans="1:11" s="508" customFormat="1">
      <c r="A553" s="479">
        <v>468</v>
      </c>
      <c r="B553" s="489" t="s">
        <v>1180</v>
      </c>
      <c r="C553" s="487"/>
      <c r="D553" s="487" t="s">
        <v>439</v>
      </c>
      <c r="E553" s="474">
        <v>42570</v>
      </c>
      <c r="F553" s="1088"/>
      <c r="G553" s="572"/>
      <c r="H553" s="484"/>
      <c r="I553" s="484"/>
      <c r="J553" s="485"/>
      <c r="K553" s="485"/>
    </row>
    <row r="554" spans="1:11" s="508" customFormat="1">
      <c r="A554" s="479">
        <v>469</v>
      </c>
      <c r="B554" s="489" t="s">
        <v>1181</v>
      </c>
      <c r="C554" s="487"/>
      <c r="D554" s="487" t="s">
        <v>1182</v>
      </c>
      <c r="E554" s="474">
        <v>2310</v>
      </c>
      <c r="F554" s="1088"/>
      <c r="G554" s="572"/>
      <c r="H554" s="484"/>
      <c r="I554" s="484"/>
      <c r="J554" s="485"/>
      <c r="K554" s="485"/>
    </row>
    <row r="555" spans="1:11" s="508" customFormat="1">
      <c r="A555" s="479">
        <v>470</v>
      </c>
      <c r="B555" s="489" t="s">
        <v>1183</v>
      </c>
      <c r="C555" s="487"/>
      <c r="D555" s="487" t="s">
        <v>1182</v>
      </c>
      <c r="E555" s="474">
        <v>6600</v>
      </c>
      <c r="F555" s="1088"/>
      <c r="G555" s="572"/>
      <c r="H555" s="484"/>
      <c r="I555" s="484"/>
      <c r="J555" s="485"/>
      <c r="K555" s="485"/>
    </row>
    <row r="556" spans="1:11" s="508" customFormat="1">
      <c r="A556" s="479">
        <v>471</v>
      </c>
      <c r="B556" s="489" t="s">
        <v>1184</v>
      </c>
      <c r="C556" s="487"/>
      <c r="D556" s="487" t="s">
        <v>1182</v>
      </c>
      <c r="E556" s="474">
        <v>12320</v>
      </c>
      <c r="F556" s="1088"/>
      <c r="G556" s="572"/>
      <c r="H556" s="484"/>
      <c r="I556" s="484"/>
      <c r="J556" s="485"/>
      <c r="K556" s="485"/>
    </row>
    <row r="557" spans="1:11" s="508" customFormat="1">
      <c r="A557" s="479">
        <v>472</v>
      </c>
      <c r="B557" s="489" t="s">
        <v>1185</v>
      </c>
      <c r="C557" s="487"/>
      <c r="D557" s="487" t="s">
        <v>699</v>
      </c>
      <c r="E557" s="474">
        <v>10340</v>
      </c>
      <c r="F557" s="1088"/>
      <c r="G557" s="572"/>
      <c r="H557" s="484"/>
      <c r="I557" s="484"/>
      <c r="J557" s="485"/>
      <c r="K557" s="485"/>
    </row>
    <row r="558" spans="1:11" s="508" customFormat="1" ht="15.75" customHeight="1">
      <c r="A558" s="476" t="s">
        <v>1186</v>
      </c>
      <c r="B558" s="1090" t="s">
        <v>1187</v>
      </c>
      <c r="C558" s="1090"/>
      <c r="D558" s="1090"/>
      <c r="E558" s="1090"/>
      <c r="F558" s="1091"/>
      <c r="G558" s="477"/>
      <c r="H558" s="477"/>
      <c r="I558" s="477"/>
      <c r="J558" s="485"/>
      <c r="K558" s="478"/>
    </row>
    <row r="559" spans="1:11" s="508" customFormat="1" ht="15.75" customHeight="1">
      <c r="A559" s="479">
        <v>473</v>
      </c>
      <c r="B559" s="489" t="s">
        <v>1188</v>
      </c>
      <c r="C559" s="487" t="s">
        <v>1189</v>
      </c>
      <c r="D559" s="487" t="s">
        <v>1153</v>
      </c>
      <c r="E559" s="474">
        <v>13565.333333333334</v>
      </c>
      <c r="F559" s="1088" t="s">
        <v>1190</v>
      </c>
      <c r="G559" s="484">
        <v>12956.666666666666</v>
      </c>
      <c r="H559" s="484"/>
      <c r="I559" s="484"/>
      <c r="J559" s="477"/>
      <c r="K559" s="485"/>
    </row>
    <row r="560" spans="1:11" s="508" customFormat="1">
      <c r="A560" s="479">
        <v>474</v>
      </c>
      <c r="B560" s="489" t="s">
        <v>1191</v>
      </c>
      <c r="C560" s="487" t="s">
        <v>1192</v>
      </c>
      <c r="D560" s="487" t="s">
        <v>1153</v>
      </c>
      <c r="E560" s="474">
        <v>18612.666666666668</v>
      </c>
      <c r="F560" s="1088"/>
      <c r="G560" s="484">
        <v>18196.666666666668</v>
      </c>
      <c r="H560" s="484"/>
      <c r="I560" s="484"/>
      <c r="J560" s="477"/>
      <c r="K560" s="485"/>
    </row>
    <row r="561" spans="1:11" s="508" customFormat="1">
      <c r="A561" s="479">
        <v>475</v>
      </c>
      <c r="B561" s="489" t="s">
        <v>1191</v>
      </c>
      <c r="C561" s="487" t="s">
        <v>1193</v>
      </c>
      <c r="D561" s="487" t="s">
        <v>1153</v>
      </c>
      <c r="E561" s="474">
        <v>19324</v>
      </c>
      <c r="F561" s="1088"/>
      <c r="G561" s="484">
        <v>18908.333333333332</v>
      </c>
      <c r="H561" s="484"/>
      <c r="I561" s="484"/>
      <c r="J561" s="477"/>
      <c r="K561" s="485"/>
    </row>
    <row r="562" spans="1:11" s="508" customFormat="1" ht="16.5" customHeight="1">
      <c r="A562" s="479">
        <v>476</v>
      </c>
      <c r="B562" s="489" t="s">
        <v>1194</v>
      </c>
      <c r="C562" s="487" t="s">
        <v>1195</v>
      </c>
      <c r="D562" s="487" t="s">
        <v>1153</v>
      </c>
      <c r="E562" s="474">
        <v>15008.666666666666</v>
      </c>
      <c r="F562" s="1088"/>
      <c r="G562" s="484">
        <v>14356.666666666666</v>
      </c>
      <c r="H562" s="484"/>
      <c r="I562" s="484"/>
      <c r="J562" s="477"/>
      <c r="K562" s="596"/>
    </row>
    <row r="563" spans="1:11" s="508" customFormat="1" ht="15" customHeight="1">
      <c r="A563" s="479">
        <v>477</v>
      </c>
      <c r="B563" s="489" t="s">
        <v>1196</v>
      </c>
      <c r="C563" s="487" t="s">
        <v>1197</v>
      </c>
      <c r="D563" s="487" t="s">
        <v>439</v>
      </c>
      <c r="E563" s="474">
        <v>12258.666666666666</v>
      </c>
      <c r="F563" s="1088"/>
      <c r="G563" s="484">
        <v>11486.666666666666</v>
      </c>
      <c r="H563" s="484"/>
      <c r="I563" s="484"/>
      <c r="J563" s="477"/>
      <c r="K563" s="485"/>
    </row>
    <row r="564" spans="1:11" s="508" customFormat="1" ht="15.75" customHeight="1">
      <c r="A564" s="476" t="s">
        <v>1198</v>
      </c>
      <c r="B564" s="1090" t="s">
        <v>1199</v>
      </c>
      <c r="C564" s="1090"/>
      <c r="D564" s="1090"/>
      <c r="E564" s="1090"/>
      <c r="F564" s="1091"/>
      <c r="G564" s="477"/>
      <c r="H564" s="477"/>
      <c r="I564" s="477"/>
      <c r="J564" s="485"/>
      <c r="K564" s="478"/>
    </row>
    <row r="565" spans="1:11" s="508" customFormat="1" ht="15.75" customHeight="1">
      <c r="A565" s="495" t="s">
        <v>367</v>
      </c>
      <c r="B565" s="1098" t="s">
        <v>1200</v>
      </c>
      <c r="C565" s="1098"/>
      <c r="D565" s="1098"/>
      <c r="E565" s="1098"/>
      <c r="F565" s="597"/>
      <c r="G565" s="577"/>
      <c r="H565" s="577"/>
      <c r="I565" s="577"/>
      <c r="J565" s="485"/>
      <c r="K565" s="478"/>
    </row>
    <row r="566" spans="1:11" s="508" customFormat="1" ht="15.75" customHeight="1">
      <c r="A566" s="509">
        <v>1</v>
      </c>
      <c r="B566" s="1094" t="s">
        <v>1201</v>
      </c>
      <c r="C566" s="1094"/>
      <c r="D566" s="487"/>
      <c r="E566" s="511"/>
      <c r="F566" s="1088" t="s">
        <v>1202</v>
      </c>
      <c r="G566" s="484"/>
      <c r="H566" s="484"/>
      <c r="I566" s="484"/>
      <c r="J566" s="485"/>
      <c r="K566" s="478"/>
    </row>
    <row r="567" spans="1:11" s="508" customFormat="1">
      <c r="A567" s="479">
        <v>478</v>
      </c>
      <c r="B567" s="1117" t="s">
        <v>1203</v>
      </c>
      <c r="C567" s="1117"/>
      <c r="D567" s="487" t="s">
        <v>1204</v>
      </c>
      <c r="E567" s="474">
        <v>210000</v>
      </c>
      <c r="F567" s="1088"/>
      <c r="G567" s="477"/>
      <c r="H567" s="598"/>
      <c r="I567" s="484"/>
      <c r="J567" s="519"/>
      <c r="K567" s="485"/>
    </row>
    <row r="568" spans="1:11" s="508" customFormat="1">
      <c r="A568" s="479">
        <v>479</v>
      </c>
      <c r="B568" s="1117" t="s">
        <v>1205</v>
      </c>
      <c r="C568" s="1117"/>
      <c r="D568" s="487" t="s">
        <v>1204</v>
      </c>
      <c r="E568" s="474">
        <v>240000</v>
      </c>
      <c r="F568" s="1088"/>
      <c r="G568" s="477"/>
      <c r="H568" s="598"/>
      <c r="I568" s="484"/>
      <c r="J568" s="519"/>
      <c r="K568" s="485"/>
    </row>
    <row r="569" spans="1:11" s="508" customFormat="1" ht="15.75" customHeight="1">
      <c r="A569" s="509">
        <v>2</v>
      </c>
      <c r="B569" s="1094" t="s">
        <v>1206</v>
      </c>
      <c r="C569" s="1094"/>
      <c r="D569" s="487"/>
      <c r="E569" s="511"/>
      <c r="F569" s="1088"/>
      <c r="G569" s="477"/>
      <c r="H569" s="598"/>
      <c r="I569" s="484"/>
      <c r="J569" s="485"/>
      <c r="K569" s="478"/>
    </row>
    <row r="570" spans="1:11" s="508" customFormat="1">
      <c r="A570" s="479">
        <v>480</v>
      </c>
      <c r="B570" s="1117" t="s">
        <v>1203</v>
      </c>
      <c r="C570" s="1117"/>
      <c r="D570" s="487" t="s">
        <v>1204</v>
      </c>
      <c r="E570" s="474">
        <v>240000</v>
      </c>
      <c r="F570" s="1088"/>
      <c r="G570" s="477"/>
      <c r="H570" s="598"/>
      <c r="I570" s="484"/>
      <c r="J570" s="519"/>
      <c r="K570" s="485"/>
    </row>
    <row r="571" spans="1:11" s="508" customFormat="1">
      <c r="A571" s="479">
        <v>481</v>
      </c>
      <c r="B571" s="1117" t="s">
        <v>1205</v>
      </c>
      <c r="C571" s="1117"/>
      <c r="D571" s="487" t="s">
        <v>1204</v>
      </c>
      <c r="E571" s="474">
        <v>280000</v>
      </c>
      <c r="F571" s="1088"/>
      <c r="G571" s="477"/>
      <c r="H571" s="598"/>
      <c r="I571" s="484"/>
      <c r="J571" s="519"/>
      <c r="K571" s="485"/>
    </row>
    <row r="572" spans="1:11" s="508" customFormat="1" ht="15.75" customHeight="1">
      <c r="A572" s="509">
        <v>3</v>
      </c>
      <c r="B572" s="1094" t="s">
        <v>1207</v>
      </c>
      <c r="C572" s="1094"/>
      <c r="D572" s="487"/>
      <c r="E572" s="511"/>
      <c r="F572" s="1088"/>
      <c r="G572" s="477"/>
      <c r="H572" s="598"/>
      <c r="I572" s="484"/>
      <c r="J572" s="485"/>
      <c r="K572" s="478"/>
    </row>
    <row r="573" spans="1:11" s="508" customFormat="1">
      <c r="A573" s="479">
        <v>482</v>
      </c>
      <c r="B573" s="1117" t="s">
        <v>1203</v>
      </c>
      <c r="C573" s="1117"/>
      <c r="D573" s="487" t="s">
        <v>1204</v>
      </c>
      <c r="E573" s="474">
        <v>350000</v>
      </c>
      <c r="F573" s="1088"/>
      <c r="G573" s="477"/>
      <c r="H573" s="598"/>
      <c r="I573" s="484"/>
      <c r="J573" s="519"/>
      <c r="K573" s="485"/>
    </row>
    <row r="574" spans="1:11" s="508" customFormat="1">
      <c r="A574" s="479">
        <v>483</v>
      </c>
      <c r="B574" s="1117" t="s">
        <v>1205</v>
      </c>
      <c r="C574" s="1117"/>
      <c r="D574" s="487" t="s">
        <v>1204</v>
      </c>
      <c r="E574" s="474">
        <v>420000</v>
      </c>
      <c r="F574" s="1088"/>
      <c r="G574" s="477"/>
      <c r="H574" s="598"/>
      <c r="I574" s="484"/>
      <c r="J574" s="519"/>
      <c r="K574" s="485"/>
    </row>
    <row r="575" spans="1:11" s="508" customFormat="1" ht="16.5" customHeight="1">
      <c r="A575" s="509">
        <v>4</v>
      </c>
      <c r="B575" s="1118" t="s">
        <v>1208</v>
      </c>
      <c r="C575" s="1118"/>
      <c r="D575" s="487"/>
      <c r="E575" s="511"/>
      <c r="F575" s="1088"/>
      <c r="G575" s="477"/>
      <c r="H575" s="598"/>
      <c r="I575" s="484"/>
      <c r="J575" s="485"/>
      <c r="K575" s="478"/>
    </row>
    <row r="576" spans="1:11" s="508" customFormat="1">
      <c r="A576" s="479">
        <v>484</v>
      </c>
      <c r="B576" s="1117" t="s">
        <v>1203</v>
      </c>
      <c r="C576" s="1117"/>
      <c r="D576" s="487" t="s">
        <v>1204</v>
      </c>
      <c r="E576" s="474">
        <v>640000</v>
      </c>
      <c r="F576" s="1088"/>
      <c r="G576" s="477"/>
      <c r="H576" s="598"/>
      <c r="I576" s="484"/>
      <c r="J576" s="519"/>
      <c r="K576" s="485"/>
    </row>
    <row r="577" spans="1:11" s="508" customFormat="1" ht="14.25" customHeight="1">
      <c r="A577" s="479">
        <v>485</v>
      </c>
      <c r="B577" s="1117" t="s">
        <v>1205</v>
      </c>
      <c r="C577" s="1117"/>
      <c r="D577" s="487" t="s">
        <v>1204</v>
      </c>
      <c r="E577" s="474">
        <v>710000</v>
      </c>
      <c r="F577" s="1088"/>
      <c r="G577" s="477"/>
      <c r="H577" s="598"/>
      <c r="I577" s="484"/>
      <c r="J577" s="519"/>
      <c r="K577" s="485"/>
    </row>
    <row r="578" spans="1:11" s="508" customFormat="1" ht="15.75" customHeight="1">
      <c r="A578" s="509">
        <v>5</v>
      </c>
      <c r="B578" s="1118" t="s">
        <v>1209</v>
      </c>
      <c r="C578" s="1118"/>
      <c r="D578" s="487"/>
      <c r="E578" s="511"/>
      <c r="F578" s="1088"/>
      <c r="G578" s="477"/>
      <c r="H578" s="598"/>
      <c r="I578" s="484"/>
      <c r="J578" s="485"/>
      <c r="K578" s="478"/>
    </row>
    <row r="579" spans="1:11" s="508" customFormat="1">
      <c r="A579" s="479">
        <v>486</v>
      </c>
      <c r="B579" s="1117" t="s">
        <v>1203</v>
      </c>
      <c r="C579" s="1117"/>
      <c r="D579" s="487" t="s">
        <v>1204</v>
      </c>
      <c r="E579" s="474">
        <v>860000</v>
      </c>
      <c r="F579" s="1088"/>
      <c r="G579" s="477"/>
      <c r="H579" s="598"/>
      <c r="I579" s="484"/>
      <c r="J579" s="519"/>
      <c r="K579" s="485"/>
    </row>
    <row r="580" spans="1:11" s="512" customFormat="1" ht="15.75" customHeight="1">
      <c r="A580" s="479">
        <v>487</v>
      </c>
      <c r="B580" s="1119" t="s">
        <v>1205</v>
      </c>
      <c r="C580" s="1119"/>
      <c r="D580" s="481" t="s">
        <v>1204</v>
      </c>
      <c r="E580" s="482">
        <v>1010000</v>
      </c>
      <c r="F580" s="1088"/>
      <c r="G580" s="477"/>
      <c r="H580" s="598"/>
      <c r="I580" s="484"/>
      <c r="J580" s="599"/>
      <c r="K580" s="493"/>
    </row>
    <row r="581" spans="1:11" s="508" customFormat="1" ht="15.75" customHeight="1">
      <c r="A581" s="509">
        <v>6</v>
      </c>
      <c r="B581" s="1118" t="s">
        <v>1210</v>
      </c>
      <c r="C581" s="1118"/>
      <c r="D581" s="487"/>
      <c r="E581" s="511"/>
      <c r="F581" s="1088"/>
      <c r="G581" s="477"/>
      <c r="H581" s="598"/>
      <c r="I581" s="484"/>
      <c r="J581" s="485"/>
      <c r="K581" s="478"/>
    </row>
    <row r="582" spans="1:11" s="508" customFormat="1">
      <c r="A582" s="479">
        <v>488</v>
      </c>
      <c r="B582" s="1117" t="s">
        <v>1203</v>
      </c>
      <c r="C582" s="1117"/>
      <c r="D582" s="487" t="s">
        <v>1204</v>
      </c>
      <c r="E582" s="474">
        <v>1320000</v>
      </c>
      <c r="F582" s="1088"/>
      <c r="G582" s="477"/>
      <c r="H582" s="598"/>
      <c r="I582" s="484"/>
      <c r="J582" s="519"/>
      <c r="K582" s="485"/>
    </row>
    <row r="583" spans="1:11" s="508" customFormat="1">
      <c r="A583" s="479">
        <v>489</v>
      </c>
      <c r="B583" s="1117" t="s">
        <v>1205</v>
      </c>
      <c r="C583" s="1117"/>
      <c r="D583" s="487" t="s">
        <v>1204</v>
      </c>
      <c r="E583" s="474">
        <v>1460000</v>
      </c>
      <c r="F583" s="1088"/>
      <c r="G583" s="477"/>
      <c r="H583" s="598"/>
      <c r="I583" s="484"/>
      <c r="J583" s="519"/>
      <c r="K583" s="485"/>
    </row>
    <row r="584" spans="1:11" s="508" customFormat="1" ht="15.75" customHeight="1">
      <c r="A584" s="509">
        <v>7</v>
      </c>
      <c r="B584" s="1118" t="s">
        <v>1211</v>
      </c>
      <c r="C584" s="1118"/>
      <c r="D584" s="487"/>
      <c r="E584" s="511"/>
      <c r="F584" s="1088"/>
      <c r="G584" s="477"/>
      <c r="H584" s="598"/>
      <c r="I584" s="484"/>
      <c r="J584" s="485"/>
      <c r="K584" s="478"/>
    </row>
    <row r="585" spans="1:11" s="508" customFormat="1">
      <c r="A585" s="479">
        <v>490</v>
      </c>
      <c r="B585" s="1117" t="s">
        <v>1203</v>
      </c>
      <c r="C585" s="1117"/>
      <c r="D585" s="487" t="s">
        <v>1204</v>
      </c>
      <c r="E585" s="474">
        <v>2180000</v>
      </c>
      <c r="F585" s="1088"/>
      <c r="G585" s="477"/>
      <c r="H585" s="598"/>
      <c r="I585" s="484"/>
      <c r="J585" s="519"/>
      <c r="K585" s="485"/>
    </row>
    <row r="586" spans="1:11" s="508" customFormat="1">
      <c r="A586" s="479">
        <v>491</v>
      </c>
      <c r="B586" s="1117" t="s">
        <v>1205</v>
      </c>
      <c r="C586" s="1117"/>
      <c r="D586" s="487" t="s">
        <v>1204</v>
      </c>
      <c r="E586" s="474">
        <v>2370000</v>
      </c>
      <c r="F586" s="1088"/>
      <c r="G586" s="477"/>
      <c r="H586" s="598"/>
      <c r="I586" s="484"/>
      <c r="J586" s="519"/>
      <c r="K586" s="485"/>
    </row>
    <row r="587" spans="1:11" s="508" customFormat="1" ht="15.75" customHeight="1">
      <c r="A587" s="509">
        <v>8</v>
      </c>
      <c r="B587" s="1118" t="s">
        <v>1212</v>
      </c>
      <c r="C587" s="1118"/>
      <c r="D587" s="487"/>
      <c r="E587" s="511"/>
      <c r="F587" s="1088"/>
      <c r="G587" s="477"/>
      <c r="H587" s="598"/>
      <c r="I587" s="484"/>
      <c r="J587" s="485"/>
      <c r="K587" s="478"/>
    </row>
    <row r="588" spans="1:11" s="508" customFormat="1">
      <c r="A588" s="479">
        <v>492</v>
      </c>
      <c r="B588" s="1117" t="s">
        <v>1203</v>
      </c>
      <c r="C588" s="1117"/>
      <c r="D588" s="487" t="s">
        <v>1204</v>
      </c>
      <c r="E588" s="474">
        <v>3560000</v>
      </c>
      <c r="F588" s="1088"/>
      <c r="G588" s="477"/>
      <c r="H588" s="598"/>
      <c r="I588" s="484"/>
      <c r="J588" s="485"/>
      <c r="K588" s="485"/>
    </row>
    <row r="589" spans="1:11" s="508" customFormat="1">
      <c r="A589" s="479">
        <v>493</v>
      </c>
      <c r="B589" s="1117" t="s">
        <v>1205</v>
      </c>
      <c r="C589" s="1117"/>
      <c r="D589" s="487" t="s">
        <v>1204</v>
      </c>
      <c r="E589" s="474">
        <v>4010000</v>
      </c>
      <c r="F589" s="1088"/>
      <c r="G589" s="477"/>
      <c r="H589" s="598"/>
      <c r="I589" s="484"/>
      <c r="J589" s="485"/>
      <c r="K589" s="485"/>
    </row>
    <row r="590" spans="1:11" s="508" customFormat="1" ht="28.5" customHeight="1">
      <c r="A590" s="509">
        <v>10</v>
      </c>
      <c r="B590" s="1118" t="s">
        <v>1213</v>
      </c>
      <c r="C590" s="1118"/>
      <c r="D590" s="1118"/>
      <c r="E590" s="1118"/>
      <c r="F590" s="1088" t="s">
        <v>1214</v>
      </c>
      <c r="G590" s="477"/>
      <c r="H590" s="477"/>
      <c r="I590" s="484"/>
      <c r="J590" s="485"/>
      <c r="K590" s="478"/>
    </row>
    <row r="591" spans="1:11" s="508" customFormat="1">
      <c r="A591" s="479">
        <v>494</v>
      </c>
      <c r="B591" s="489" t="s">
        <v>1215</v>
      </c>
      <c r="C591" s="489" t="s">
        <v>1216</v>
      </c>
      <c r="D591" s="487" t="s">
        <v>1204</v>
      </c>
      <c r="E591" s="474">
        <v>218000</v>
      </c>
      <c r="F591" s="1088"/>
      <c r="G591" s="477"/>
      <c r="H591" s="477"/>
      <c r="I591" s="484"/>
      <c r="J591" s="485"/>
      <c r="K591" s="485"/>
    </row>
    <row r="592" spans="1:11" s="508" customFormat="1">
      <c r="A592" s="479">
        <v>495</v>
      </c>
      <c r="B592" s="489" t="s">
        <v>1217</v>
      </c>
      <c r="C592" s="489" t="s">
        <v>1216</v>
      </c>
      <c r="D592" s="487" t="s">
        <v>1204</v>
      </c>
      <c r="E592" s="474">
        <v>265000</v>
      </c>
      <c r="F592" s="1088"/>
      <c r="G592" s="477"/>
      <c r="H592" s="477"/>
      <c r="I592" s="484"/>
      <c r="J592" s="485"/>
      <c r="K592" s="485"/>
    </row>
    <row r="593" spans="1:11" s="508" customFormat="1">
      <c r="A593" s="479">
        <v>496</v>
      </c>
      <c r="B593" s="489" t="s">
        <v>1218</v>
      </c>
      <c r="C593" s="489" t="s">
        <v>1216</v>
      </c>
      <c r="D593" s="487" t="s">
        <v>1204</v>
      </c>
      <c r="E593" s="474">
        <v>403000</v>
      </c>
      <c r="F593" s="1088"/>
      <c r="G593" s="477"/>
      <c r="H593" s="477"/>
      <c r="I593" s="484"/>
      <c r="J593" s="485"/>
      <c r="K593" s="485"/>
    </row>
    <row r="594" spans="1:11" s="508" customFormat="1">
      <c r="A594" s="479">
        <v>497</v>
      </c>
      <c r="B594" s="489" t="s">
        <v>1219</v>
      </c>
      <c r="C594" s="489" t="s">
        <v>1216</v>
      </c>
      <c r="D594" s="487" t="s">
        <v>1204</v>
      </c>
      <c r="E594" s="474">
        <v>719000</v>
      </c>
      <c r="F594" s="1088"/>
      <c r="G594" s="477"/>
      <c r="H594" s="477"/>
      <c r="I594" s="484"/>
      <c r="J594" s="485"/>
      <c r="K594" s="485"/>
    </row>
    <row r="595" spans="1:11" s="508" customFormat="1">
      <c r="A595" s="479">
        <v>498</v>
      </c>
      <c r="B595" s="489" t="s">
        <v>1220</v>
      </c>
      <c r="C595" s="489" t="s">
        <v>1216</v>
      </c>
      <c r="D595" s="487" t="s">
        <v>1204</v>
      </c>
      <c r="E595" s="474">
        <v>978000</v>
      </c>
      <c r="F595" s="1088"/>
      <c r="G595" s="477"/>
      <c r="H595" s="477"/>
      <c r="I595" s="484"/>
      <c r="J595" s="485"/>
      <c r="K595" s="485"/>
    </row>
    <row r="596" spans="1:11" s="508" customFormat="1">
      <c r="A596" s="479">
        <v>499</v>
      </c>
      <c r="B596" s="489" t="s">
        <v>1221</v>
      </c>
      <c r="C596" s="489" t="s">
        <v>1216</v>
      </c>
      <c r="D596" s="487" t="s">
        <v>1204</v>
      </c>
      <c r="E596" s="474">
        <v>1409000</v>
      </c>
      <c r="F596" s="1088"/>
      <c r="G596" s="477"/>
      <c r="H596" s="477"/>
      <c r="I596" s="484"/>
      <c r="J596" s="485"/>
      <c r="K596" s="485"/>
    </row>
    <row r="597" spans="1:11" s="508" customFormat="1">
      <c r="A597" s="479">
        <v>500</v>
      </c>
      <c r="B597" s="489" t="s">
        <v>1222</v>
      </c>
      <c r="C597" s="489" t="s">
        <v>1216</v>
      </c>
      <c r="D597" s="487" t="s">
        <v>1204</v>
      </c>
      <c r="E597" s="474">
        <v>2567000</v>
      </c>
      <c r="F597" s="1088"/>
      <c r="G597" s="477"/>
      <c r="H597" s="477"/>
      <c r="I597" s="484"/>
      <c r="J597" s="485"/>
      <c r="K597" s="485"/>
    </row>
    <row r="598" spans="1:11" s="508" customFormat="1" ht="16.5" customHeight="1">
      <c r="A598" s="479">
        <v>501</v>
      </c>
      <c r="B598" s="489" t="s">
        <v>1223</v>
      </c>
      <c r="C598" s="489" t="s">
        <v>1216</v>
      </c>
      <c r="D598" s="487" t="s">
        <v>1204</v>
      </c>
      <c r="E598" s="474">
        <v>4150000</v>
      </c>
      <c r="F598" s="1088"/>
      <c r="G598" s="477"/>
      <c r="H598" s="477"/>
      <c r="I598" s="484"/>
      <c r="J598" s="485"/>
      <c r="K598" s="485"/>
    </row>
    <row r="599" spans="1:11" s="508" customFormat="1" ht="15.75" customHeight="1">
      <c r="A599" s="479">
        <v>502</v>
      </c>
      <c r="B599" s="489" t="s">
        <v>1224</v>
      </c>
      <c r="C599" s="489" t="s">
        <v>1216</v>
      </c>
      <c r="D599" s="487" t="s">
        <v>1204</v>
      </c>
      <c r="E599" s="474">
        <v>5280000</v>
      </c>
      <c r="F599" s="1088"/>
      <c r="G599" s="477"/>
      <c r="H599" s="477"/>
      <c r="I599" s="484"/>
      <c r="J599" s="485"/>
      <c r="K599" s="485"/>
    </row>
    <row r="600" spans="1:11" s="508" customFormat="1" ht="32.25" customHeight="1">
      <c r="A600" s="509">
        <v>11</v>
      </c>
      <c r="B600" s="1094" t="s">
        <v>1225</v>
      </c>
      <c r="C600" s="1094"/>
      <c r="D600" s="1094"/>
      <c r="E600" s="1094"/>
      <c r="F600" s="1088"/>
      <c r="G600" s="477"/>
      <c r="H600" s="477"/>
      <c r="I600" s="484"/>
      <c r="J600" s="485"/>
      <c r="K600" s="478"/>
    </row>
    <row r="601" spans="1:11" s="508" customFormat="1" ht="15.75" customHeight="1">
      <c r="A601" s="479">
        <v>503</v>
      </c>
      <c r="B601" s="489" t="s">
        <v>1215</v>
      </c>
      <c r="C601" s="489" t="s">
        <v>1216</v>
      </c>
      <c r="D601" s="487" t="s">
        <v>1204</v>
      </c>
      <c r="E601" s="474">
        <v>286000</v>
      </c>
      <c r="F601" s="1088"/>
      <c r="G601" s="477"/>
      <c r="H601" s="477"/>
      <c r="I601" s="484"/>
      <c r="J601" s="485"/>
      <c r="K601" s="485"/>
    </row>
    <row r="602" spans="1:11" s="508" customFormat="1" ht="15" customHeight="1">
      <c r="A602" s="479">
        <v>504</v>
      </c>
      <c r="B602" s="489" t="s">
        <v>1217</v>
      </c>
      <c r="C602" s="489" t="s">
        <v>1216</v>
      </c>
      <c r="D602" s="487" t="s">
        <v>1204</v>
      </c>
      <c r="E602" s="474">
        <v>302000</v>
      </c>
      <c r="F602" s="1088"/>
      <c r="G602" s="477"/>
      <c r="H602" s="477"/>
      <c r="I602" s="484"/>
      <c r="J602" s="485"/>
      <c r="K602" s="485"/>
    </row>
    <row r="603" spans="1:11" s="508" customFormat="1" ht="15" customHeight="1">
      <c r="A603" s="479">
        <v>505</v>
      </c>
      <c r="B603" s="489" t="s">
        <v>1218</v>
      </c>
      <c r="C603" s="489" t="s">
        <v>1216</v>
      </c>
      <c r="D603" s="487" t="s">
        <v>1204</v>
      </c>
      <c r="E603" s="474">
        <v>510000</v>
      </c>
      <c r="F603" s="1088"/>
      <c r="G603" s="477"/>
      <c r="H603" s="477"/>
      <c r="I603" s="484"/>
      <c r="J603" s="485"/>
      <c r="K603" s="485"/>
    </row>
    <row r="604" spans="1:11" s="508" customFormat="1">
      <c r="A604" s="479">
        <v>506</v>
      </c>
      <c r="B604" s="489" t="s">
        <v>1219</v>
      </c>
      <c r="C604" s="489" t="s">
        <v>1216</v>
      </c>
      <c r="D604" s="487" t="s">
        <v>1204</v>
      </c>
      <c r="E604" s="474">
        <v>813000</v>
      </c>
      <c r="F604" s="1088"/>
      <c r="G604" s="477"/>
      <c r="H604" s="477"/>
      <c r="I604" s="484"/>
      <c r="J604" s="485"/>
      <c r="K604" s="485"/>
    </row>
    <row r="605" spans="1:11" s="508" customFormat="1">
      <c r="A605" s="479">
        <v>507</v>
      </c>
      <c r="B605" s="489" t="s">
        <v>1220</v>
      </c>
      <c r="C605" s="489" t="s">
        <v>1216</v>
      </c>
      <c r="D605" s="487" t="s">
        <v>1204</v>
      </c>
      <c r="E605" s="474">
        <v>1151000</v>
      </c>
      <c r="F605" s="1088"/>
      <c r="G605" s="477"/>
      <c r="H605" s="477"/>
      <c r="I605" s="484"/>
      <c r="J605" s="485"/>
      <c r="K605" s="485"/>
    </row>
    <row r="606" spans="1:11" s="508" customFormat="1">
      <c r="A606" s="479">
        <v>508</v>
      </c>
      <c r="B606" s="489" t="s">
        <v>1221</v>
      </c>
      <c r="C606" s="489" t="s">
        <v>1216</v>
      </c>
      <c r="D606" s="487" t="s">
        <v>1204</v>
      </c>
      <c r="E606" s="474">
        <v>1535000</v>
      </c>
      <c r="F606" s="1088"/>
      <c r="G606" s="477"/>
      <c r="H606" s="477"/>
      <c r="I606" s="484"/>
      <c r="J606" s="485"/>
      <c r="K606" s="485"/>
    </row>
    <row r="607" spans="1:11" s="508" customFormat="1">
      <c r="A607" s="479">
        <v>509</v>
      </c>
      <c r="B607" s="489" t="s">
        <v>1222</v>
      </c>
      <c r="C607" s="489" t="s">
        <v>1216</v>
      </c>
      <c r="D607" s="487" t="s">
        <v>1204</v>
      </c>
      <c r="E607" s="474">
        <v>2850000</v>
      </c>
      <c r="F607" s="1088"/>
      <c r="G607" s="477"/>
      <c r="H607" s="477"/>
      <c r="I607" s="484"/>
      <c r="J607" s="485"/>
      <c r="K607" s="485"/>
    </row>
    <row r="608" spans="1:11" s="508" customFormat="1">
      <c r="A608" s="479">
        <v>510</v>
      </c>
      <c r="B608" s="489" t="s">
        <v>1223</v>
      </c>
      <c r="C608" s="489" t="s">
        <v>1216</v>
      </c>
      <c r="D608" s="487" t="s">
        <v>1204</v>
      </c>
      <c r="E608" s="474">
        <v>4550000</v>
      </c>
      <c r="F608" s="1088"/>
      <c r="G608" s="477"/>
      <c r="H608" s="477"/>
      <c r="I608" s="484"/>
      <c r="J608" s="485"/>
      <c r="K608" s="485"/>
    </row>
    <row r="609" spans="1:11" s="508" customFormat="1">
      <c r="A609" s="479">
        <v>511</v>
      </c>
      <c r="B609" s="489" t="s">
        <v>1224</v>
      </c>
      <c r="C609" s="489" t="s">
        <v>1216</v>
      </c>
      <c r="D609" s="487" t="s">
        <v>1204</v>
      </c>
      <c r="E609" s="474">
        <v>5900000</v>
      </c>
      <c r="F609" s="1088"/>
      <c r="G609" s="477"/>
      <c r="H609" s="477"/>
      <c r="I609" s="484"/>
      <c r="J609" s="485"/>
      <c r="K609" s="485"/>
    </row>
    <row r="610" spans="1:11" s="508" customFormat="1" ht="15.75" customHeight="1">
      <c r="A610" s="495" t="s">
        <v>368</v>
      </c>
      <c r="B610" s="1098" t="s">
        <v>1226</v>
      </c>
      <c r="C610" s="1098"/>
      <c r="D610" s="1098"/>
      <c r="E610" s="1098"/>
      <c r="F610" s="586"/>
      <c r="G610" s="484"/>
      <c r="H610" s="484"/>
      <c r="I610" s="484"/>
      <c r="J610" s="485"/>
      <c r="K610" s="478"/>
    </row>
    <row r="611" spans="1:11" s="508" customFormat="1">
      <c r="A611" s="509">
        <v>1</v>
      </c>
      <c r="B611" s="1094" t="s">
        <v>1227</v>
      </c>
      <c r="C611" s="1094"/>
      <c r="D611" s="487"/>
      <c r="E611" s="511"/>
      <c r="F611" s="1088" t="s">
        <v>1228</v>
      </c>
      <c r="G611" s="484"/>
      <c r="H611" s="484"/>
      <c r="I611" s="484"/>
      <c r="J611" s="485"/>
      <c r="K611" s="478"/>
    </row>
    <row r="612" spans="1:11" s="508" customFormat="1">
      <c r="A612" s="479">
        <v>512</v>
      </c>
      <c r="B612" s="489" t="s">
        <v>1229</v>
      </c>
      <c r="C612" s="487" t="s">
        <v>1230</v>
      </c>
      <c r="D612" s="487" t="s">
        <v>468</v>
      </c>
      <c r="E612" s="474">
        <v>1095000</v>
      </c>
      <c r="F612" s="1088"/>
      <c r="G612" s="484"/>
      <c r="H612" s="484"/>
      <c r="I612" s="484"/>
      <c r="J612" s="485"/>
      <c r="K612" s="485"/>
    </row>
    <row r="613" spans="1:11" s="508" customFormat="1">
      <c r="A613" s="479">
        <v>513</v>
      </c>
      <c r="B613" s="489" t="s">
        <v>1229</v>
      </c>
      <c r="C613" s="487" t="s">
        <v>1231</v>
      </c>
      <c r="D613" s="487" t="s">
        <v>468</v>
      </c>
      <c r="E613" s="474">
        <v>1170000</v>
      </c>
      <c r="F613" s="1088"/>
      <c r="G613" s="484"/>
      <c r="H613" s="484"/>
      <c r="I613" s="484"/>
      <c r="J613" s="485"/>
      <c r="K613" s="485"/>
    </row>
    <row r="614" spans="1:11" s="508" customFormat="1">
      <c r="A614" s="479">
        <v>514</v>
      </c>
      <c r="B614" s="489" t="s">
        <v>1229</v>
      </c>
      <c r="C614" s="487" t="s">
        <v>1232</v>
      </c>
      <c r="D614" s="487" t="s">
        <v>468</v>
      </c>
      <c r="E614" s="474">
        <v>1260000</v>
      </c>
      <c r="F614" s="1088"/>
      <c r="G614" s="484"/>
      <c r="H614" s="484"/>
      <c r="I614" s="484"/>
      <c r="J614" s="485"/>
      <c r="K614" s="485"/>
    </row>
    <row r="615" spans="1:11" s="508" customFormat="1">
      <c r="A615" s="479">
        <v>515</v>
      </c>
      <c r="B615" s="489" t="s">
        <v>1229</v>
      </c>
      <c r="C615" s="487" t="s">
        <v>1233</v>
      </c>
      <c r="D615" s="487" t="s">
        <v>468</v>
      </c>
      <c r="E615" s="474">
        <v>1340000</v>
      </c>
      <c r="F615" s="1088"/>
      <c r="G615" s="484"/>
      <c r="H615" s="484"/>
      <c r="I615" s="484"/>
      <c r="J615" s="485"/>
      <c r="K615" s="485"/>
    </row>
    <row r="616" spans="1:11" s="508" customFormat="1">
      <c r="A616" s="479">
        <v>516</v>
      </c>
      <c r="B616" s="489" t="s">
        <v>1229</v>
      </c>
      <c r="C616" s="487" t="s">
        <v>1234</v>
      </c>
      <c r="D616" s="487" t="s">
        <v>468</v>
      </c>
      <c r="E616" s="474">
        <v>1440000</v>
      </c>
      <c r="F616" s="1088"/>
      <c r="G616" s="484"/>
      <c r="H616" s="484"/>
      <c r="I616" s="484"/>
      <c r="J616" s="485"/>
      <c r="K616" s="485"/>
    </row>
    <row r="617" spans="1:11" s="508" customFormat="1" ht="15.75" customHeight="1">
      <c r="A617" s="509">
        <v>2</v>
      </c>
      <c r="B617" s="530" t="s">
        <v>1235</v>
      </c>
      <c r="C617" s="487"/>
      <c r="D617" s="487"/>
      <c r="E617" s="511"/>
      <c r="F617" s="1088"/>
      <c r="G617" s="484"/>
      <c r="H617" s="484"/>
      <c r="I617" s="484"/>
      <c r="J617" s="485"/>
      <c r="K617" s="478"/>
    </row>
    <row r="618" spans="1:11" s="508" customFormat="1">
      <c r="A618" s="479">
        <v>517</v>
      </c>
      <c r="B618" s="489" t="s">
        <v>1236</v>
      </c>
      <c r="C618" s="487"/>
      <c r="D618" s="487" t="s">
        <v>468</v>
      </c>
      <c r="E618" s="474">
        <v>80000</v>
      </c>
      <c r="F618" s="1088"/>
      <c r="G618" s="484"/>
      <c r="H618" s="484"/>
      <c r="I618" s="484"/>
      <c r="J618" s="485"/>
      <c r="K618" s="485"/>
    </row>
    <row r="619" spans="1:11" s="508" customFormat="1" ht="15.75" customHeight="1">
      <c r="A619" s="479">
        <v>518</v>
      </c>
      <c r="B619" s="1120" t="s">
        <v>1237</v>
      </c>
      <c r="C619" s="1120"/>
      <c r="D619" s="487" t="s">
        <v>468</v>
      </c>
      <c r="E619" s="474">
        <v>20000</v>
      </c>
      <c r="F619" s="1088"/>
      <c r="G619" s="484"/>
      <c r="H619" s="484"/>
      <c r="I619" s="484"/>
      <c r="J619" s="485"/>
      <c r="K619" s="485"/>
    </row>
    <row r="620" spans="1:11" s="508" customFormat="1">
      <c r="A620" s="479">
        <v>519</v>
      </c>
      <c r="B620" s="489" t="s">
        <v>1238</v>
      </c>
      <c r="C620" s="489"/>
      <c r="D620" s="487" t="s">
        <v>468</v>
      </c>
      <c r="E620" s="474">
        <v>80000</v>
      </c>
      <c r="F620" s="1088"/>
      <c r="G620" s="484"/>
      <c r="H620" s="484"/>
      <c r="I620" s="484"/>
      <c r="J620" s="485"/>
      <c r="K620" s="485"/>
    </row>
    <row r="621" spans="1:11" s="508" customFormat="1" ht="15.75" customHeight="1">
      <c r="A621" s="495" t="s">
        <v>369</v>
      </c>
      <c r="B621" s="1098" t="s">
        <v>1239</v>
      </c>
      <c r="C621" s="1098"/>
      <c r="D621" s="1098"/>
      <c r="E621" s="1098"/>
      <c r="F621" s="586"/>
      <c r="G621" s="484"/>
      <c r="H621" s="484"/>
      <c r="I621" s="484"/>
      <c r="J621" s="485"/>
      <c r="K621" s="478"/>
    </row>
    <row r="622" spans="1:11" s="508" customFormat="1" ht="27" customHeight="1">
      <c r="A622" s="509">
        <v>1</v>
      </c>
      <c r="B622" s="1094" t="s">
        <v>1240</v>
      </c>
      <c r="C622" s="1094"/>
      <c r="D622" s="1094"/>
      <c r="E622" s="1094"/>
      <c r="F622" s="1088" t="s">
        <v>1241</v>
      </c>
      <c r="G622" s="484"/>
      <c r="H622" s="484"/>
      <c r="I622" s="484"/>
      <c r="J622" s="485"/>
      <c r="K622" s="478"/>
    </row>
    <row r="623" spans="1:11" s="508" customFormat="1">
      <c r="A623" s="479">
        <v>520</v>
      </c>
      <c r="B623" s="489" t="s">
        <v>1229</v>
      </c>
      <c r="C623" s="487" t="s">
        <v>1230</v>
      </c>
      <c r="D623" s="487" t="s">
        <v>468</v>
      </c>
      <c r="E623" s="474">
        <v>1090000</v>
      </c>
      <c r="F623" s="1088"/>
      <c r="G623" s="484"/>
      <c r="H623" s="484"/>
      <c r="I623" s="484"/>
      <c r="J623" s="485"/>
      <c r="K623" s="485"/>
    </row>
    <row r="624" spans="1:11" s="508" customFormat="1">
      <c r="A624" s="479">
        <v>521</v>
      </c>
      <c r="B624" s="489" t="s">
        <v>1229</v>
      </c>
      <c r="C624" s="487" t="s">
        <v>1231</v>
      </c>
      <c r="D624" s="487" t="s">
        <v>468</v>
      </c>
      <c r="E624" s="474">
        <v>1170000</v>
      </c>
      <c r="F624" s="1088"/>
      <c r="G624" s="484"/>
      <c r="H624" s="484"/>
      <c r="I624" s="484"/>
      <c r="J624" s="485"/>
      <c r="K624" s="485"/>
    </row>
    <row r="625" spans="1:11" s="508" customFormat="1">
      <c r="A625" s="479">
        <v>522</v>
      </c>
      <c r="B625" s="489" t="s">
        <v>1229</v>
      </c>
      <c r="C625" s="487" t="s">
        <v>1232</v>
      </c>
      <c r="D625" s="487" t="s">
        <v>468</v>
      </c>
      <c r="E625" s="474">
        <v>1260000</v>
      </c>
      <c r="F625" s="1088"/>
      <c r="G625" s="484"/>
      <c r="H625" s="484"/>
      <c r="I625" s="484"/>
      <c r="J625" s="485"/>
      <c r="K625" s="485"/>
    </row>
    <row r="626" spans="1:11" s="508" customFormat="1">
      <c r="A626" s="479">
        <v>523</v>
      </c>
      <c r="B626" s="489" t="s">
        <v>1229</v>
      </c>
      <c r="C626" s="487" t="s">
        <v>1233</v>
      </c>
      <c r="D626" s="487" t="s">
        <v>468</v>
      </c>
      <c r="E626" s="474">
        <v>1340000</v>
      </c>
      <c r="F626" s="1088"/>
      <c r="G626" s="484"/>
      <c r="H626" s="484"/>
      <c r="I626" s="484"/>
      <c r="J626" s="485"/>
      <c r="K626" s="485"/>
    </row>
    <row r="627" spans="1:11" s="508" customFormat="1">
      <c r="A627" s="479">
        <v>524</v>
      </c>
      <c r="B627" s="489" t="s">
        <v>1229</v>
      </c>
      <c r="C627" s="487" t="s">
        <v>1234</v>
      </c>
      <c r="D627" s="487" t="s">
        <v>468</v>
      </c>
      <c r="E627" s="474">
        <v>1440000</v>
      </c>
      <c r="F627" s="1088"/>
      <c r="G627" s="484"/>
      <c r="H627" s="484"/>
      <c r="I627" s="484"/>
      <c r="J627" s="485"/>
      <c r="K627" s="485"/>
    </row>
    <row r="628" spans="1:11" s="508" customFormat="1" ht="15.75" customHeight="1">
      <c r="A628" s="509">
        <v>2</v>
      </c>
      <c r="B628" s="530" t="s">
        <v>1235</v>
      </c>
      <c r="C628" s="487"/>
      <c r="D628" s="487"/>
      <c r="E628" s="511"/>
      <c r="F628" s="1088"/>
      <c r="G628" s="484"/>
      <c r="H628" s="484"/>
      <c r="I628" s="484"/>
      <c r="J628" s="485"/>
      <c r="K628" s="478"/>
    </row>
    <row r="629" spans="1:11" s="508" customFormat="1">
      <c r="A629" s="479">
        <v>525</v>
      </c>
      <c r="B629" s="489" t="s">
        <v>1236</v>
      </c>
      <c r="C629" s="487"/>
      <c r="D629" s="487" t="s">
        <v>468</v>
      </c>
      <c r="E629" s="474">
        <v>80000</v>
      </c>
      <c r="F629" s="1088"/>
      <c r="G629" s="484"/>
      <c r="H629" s="484"/>
      <c r="I629" s="484"/>
      <c r="J629" s="485"/>
      <c r="K629" s="485"/>
    </row>
    <row r="630" spans="1:11" s="508" customFormat="1" ht="15.75" customHeight="1">
      <c r="A630" s="479">
        <v>526</v>
      </c>
      <c r="B630" s="1120" t="s">
        <v>1237</v>
      </c>
      <c r="C630" s="1120"/>
      <c r="D630" s="487" t="s">
        <v>468</v>
      </c>
      <c r="E630" s="474">
        <v>20000</v>
      </c>
      <c r="F630" s="1088"/>
      <c r="G630" s="484"/>
      <c r="H630" s="484"/>
      <c r="I630" s="484"/>
      <c r="J630" s="485"/>
      <c r="K630" s="485"/>
    </row>
    <row r="631" spans="1:11" s="508" customFormat="1">
      <c r="A631" s="479">
        <v>527</v>
      </c>
      <c r="B631" s="489" t="s">
        <v>1238</v>
      </c>
      <c r="C631" s="489"/>
      <c r="D631" s="487" t="s">
        <v>468</v>
      </c>
      <c r="E631" s="474">
        <v>80000</v>
      </c>
      <c r="F631" s="1088"/>
      <c r="G631" s="484"/>
      <c r="H631" s="484"/>
      <c r="I631" s="484"/>
      <c r="J631" s="485"/>
      <c r="K631" s="485"/>
    </row>
    <row r="632" spans="1:11" s="508" customFormat="1" ht="15.75" customHeight="1">
      <c r="A632" s="476" t="s">
        <v>1242</v>
      </c>
      <c r="B632" s="1090" t="s">
        <v>1243</v>
      </c>
      <c r="C632" s="1090"/>
      <c r="D632" s="1090"/>
      <c r="E632" s="1090"/>
      <c r="F632" s="1091"/>
      <c r="G632" s="477"/>
      <c r="H632" s="477"/>
      <c r="I632" s="477"/>
      <c r="J632" s="485"/>
      <c r="K632" s="478"/>
    </row>
    <row r="633" spans="1:11" s="508" customFormat="1" ht="15.75" customHeight="1">
      <c r="A633" s="495" t="s">
        <v>367</v>
      </c>
      <c r="B633" s="496" t="s">
        <v>1244</v>
      </c>
      <c r="C633" s="527"/>
      <c r="D633" s="497"/>
      <c r="E633" s="546"/>
      <c r="F633" s="528"/>
      <c r="G633" s="484"/>
      <c r="H633" s="484"/>
      <c r="I633" s="484"/>
      <c r="J633" s="485"/>
      <c r="K633" s="478"/>
    </row>
    <row r="634" spans="1:11" s="508" customFormat="1" ht="15.75" customHeight="1">
      <c r="A634" s="509">
        <v>1</v>
      </c>
      <c r="B634" s="1121" t="s">
        <v>1245</v>
      </c>
      <c r="C634" s="1121"/>
      <c r="D634" s="473"/>
      <c r="E634" s="474"/>
      <c r="F634" s="1088" t="s">
        <v>1246</v>
      </c>
      <c r="G634" s="484"/>
      <c r="H634" s="484"/>
      <c r="I634" s="484"/>
      <c r="J634" s="485"/>
      <c r="K634" s="478"/>
    </row>
    <row r="635" spans="1:11" s="508" customFormat="1" ht="15.75" customHeight="1">
      <c r="A635" s="509"/>
      <c r="B635" s="1122" t="s">
        <v>1247</v>
      </c>
      <c r="C635" s="1122"/>
      <c r="D635" s="600"/>
      <c r="E635" s="474"/>
      <c r="F635" s="1088"/>
      <c r="G635" s="484"/>
      <c r="H635" s="484"/>
      <c r="I635" s="484"/>
      <c r="J635" s="485"/>
      <c r="K635" s="478"/>
    </row>
    <row r="636" spans="1:11" s="508" customFormat="1" ht="15.75" customHeight="1">
      <c r="A636" s="479">
        <v>528</v>
      </c>
      <c r="B636" s="1123" t="s">
        <v>1248</v>
      </c>
      <c r="C636" s="1123"/>
      <c r="D636" s="601" t="s">
        <v>335</v>
      </c>
      <c r="E636" s="474">
        <v>113630.00000000001</v>
      </c>
      <c r="F636" s="1088"/>
      <c r="G636" s="484"/>
      <c r="H636" s="484"/>
      <c r="I636" s="484"/>
      <c r="J636" s="485"/>
      <c r="K636" s="478"/>
    </row>
    <row r="637" spans="1:11" s="508" customFormat="1" ht="15.75" customHeight="1">
      <c r="A637" s="479">
        <v>529</v>
      </c>
      <c r="B637" s="1123" t="s">
        <v>1249</v>
      </c>
      <c r="C637" s="1123"/>
      <c r="D637" s="601" t="s">
        <v>335</v>
      </c>
      <c r="E637" s="474">
        <v>177100</v>
      </c>
      <c r="F637" s="1088"/>
      <c r="G637" s="484"/>
      <c r="H637" s="484"/>
      <c r="I637" s="484"/>
      <c r="J637" s="485"/>
      <c r="K637" s="478"/>
    </row>
    <row r="638" spans="1:11" s="508" customFormat="1" ht="15.75" customHeight="1">
      <c r="A638" s="479">
        <v>530</v>
      </c>
      <c r="B638" s="1123" t="s">
        <v>1250</v>
      </c>
      <c r="C638" s="1123"/>
      <c r="D638" s="601" t="s">
        <v>335</v>
      </c>
      <c r="E638" s="474">
        <v>190300.00000000003</v>
      </c>
      <c r="F638" s="1088"/>
      <c r="G638" s="484"/>
      <c r="H638" s="484"/>
      <c r="I638" s="484"/>
      <c r="J638" s="485"/>
      <c r="K638" s="478"/>
    </row>
    <row r="639" spans="1:11" s="508" customFormat="1" ht="15.75" customHeight="1">
      <c r="A639" s="479">
        <v>531</v>
      </c>
      <c r="B639" s="1123" t="s">
        <v>1251</v>
      </c>
      <c r="C639" s="1123"/>
      <c r="D639" s="601" t="s">
        <v>335</v>
      </c>
      <c r="E639" s="474">
        <v>102080.00000000001</v>
      </c>
      <c r="F639" s="1088"/>
      <c r="G639" s="484"/>
      <c r="H639" s="484"/>
      <c r="I639" s="484"/>
      <c r="J639" s="485"/>
      <c r="K639" s="478"/>
    </row>
    <row r="640" spans="1:11" s="508" customFormat="1" ht="15.75" customHeight="1">
      <c r="A640" s="479">
        <v>532</v>
      </c>
      <c r="B640" s="1123" t="s">
        <v>1252</v>
      </c>
      <c r="C640" s="1123"/>
      <c r="D640" s="601" t="s">
        <v>335</v>
      </c>
      <c r="E640" s="474">
        <v>144100</v>
      </c>
      <c r="F640" s="1088"/>
      <c r="G640" s="484"/>
      <c r="H640" s="484"/>
      <c r="I640" s="484"/>
      <c r="J640" s="485"/>
      <c r="K640" s="478"/>
    </row>
    <row r="641" spans="1:11" s="508" customFormat="1" ht="15.75" customHeight="1">
      <c r="A641" s="479">
        <v>533</v>
      </c>
      <c r="B641" s="1123" t="s">
        <v>1253</v>
      </c>
      <c r="C641" s="1123"/>
      <c r="D641" s="601" t="s">
        <v>335</v>
      </c>
      <c r="E641" s="474">
        <v>284900</v>
      </c>
      <c r="F641" s="1088"/>
      <c r="G641" s="484"/>
      <c r="H641" s="484"/>
      <c r="I641" s="484"/>
      <c r="J641" s="485"/>
      <c r="K641" s="478"/>
    </row>
    <row r="642" spans="1:11" s="508" customFormat="1" ht="15.75" customHeight="1">
      <c r="A642" s="479">
        <v>534</v>
      </c>
      <c r="B642" s="1123" t="s">
        <v>1254</v>
      </c>
      <c r="C642" s="1123"/>
      <c r="D642" s="601" t="s">
        <v>335</v>
      </c>
      <c r="E642" s="474">
        <v>127050.00000000001</v>
      </c>
      <c r="F642" s="1088"/>
      <c r="G642" s="484"/>
      <c r="H642" s="484"/>
      <c r="I642" s="484"/>
      <c r="J642" s="485"/>
      <c r="K642" s="478"/>
    </row>
    <row r="643" spans="1:11" s="508" customFormat="1" ht="15.75" customHeight="1">
      <c r="A643" s="479">
        <v>535</v>
      </c>
      <c r="B643" s="1123" t="s">
        <v>1255</v>
      </c>
      <c r="C643" s="1123"/>
      <c r="D643" s="601" t="s">
        <v>337</v>
      </c>
      <c r="E643" s="474">
        <v>163680</v>
      </c>
      <c r="F643" s="1088"/>
      <c r="G643" s="484"/>
      <c r="H643" s="484"/>
      <c r="I643" s="484"/>
      <c r="J643" s="485"/>
      <c r="K643" s="478"/>
    </row>
    <row r="644" spans="1:11" s="508" customFormat="1" ht="15.75" customHeight="1">
      <c r="A644" s="479">
        <v>536</v>
      </c>
      <c r="B644" s="1123" t="s">
        <v>1256</v>
      </c>
      <c r="C644" s="1123"/>
      <c r="D644" s="601" t="s">
        <v>337</v>
      </c>
      <c r="E644" s="474">
        <v>238700.00000000003</v>
      </c>
      <c r="F644" s="1088"/>
      <c r="G644" s="484"/>
      <c r="H644" s="484"/>
      <c r="I644" s="484"/>
      <c r="J644" s="485"/>
      <c r="K644" s="478"/>
    </row>
    <row r="645" spans="1:11" s="508" customFormat="1" ht="15.75" customHeight="1">
      <c r="A645" s="479">
        <v>537</v>
      </c>
      <c r="B645" s="1123" t="s">
        <v>1257</v>
      </c>
      <c r="C645" s="1123"/>
      <c r="D645" s="601" t="s">
        <v>337</v>
      </c>
      <c r="E645" s="474">
        <v>154000</v>
      </c>
      <c r="F645" s="1088"/>
      <c r="G645" s="484"/>
      <c r="H645" s="484"/>
      <c r="I645" s="484"/>
      <c r="J645" s="485"/>
      <c r="K645" s="478"/>
    </row>
    <row r="646" spans="1:11" s="508" customFormat="1" ht="15.75" customHeight="1">
      <c r="A646" s="479">
        <v>538</v>
      </c>
      <c r="B646" s="1123" t="s">
        <v>1258</v>
      </c>
      <c r="C646" s="1123"/>
      <c r="D646" s="601" t="s">
        <v>337</v>
      </c>
      <c r="E646" s="474">
        <v>211750.00000000003</v>
      </c>
      <c r="F646" s="1088"/>
      <c r="G646" s="484"/>
      <c r="H646" s="484"/>
      <c r="I646" s="484"/>
      <c r="J646" s="485"/>
      <c r="K646" s="478"/>
    </row>
    <row r="647" spans="1:11" s="508" customFormat="1" ht="15.75" customHeight="1">
      <c r="A647" s="479">
        <v>539</v>
      </c>
      <c r="B647" s="1123" t="s">
        <v>1259</v>
      </c>
      <c r="C647" s="1123"/>
      <c r="D647" s="601" t="s">
        <v>337</v>
      </c>
      <c r="E647" s="474">
        <v>184800.00000000003</v>
      </c>
      <c r="F647" s="1088"/>
      <c r="G647" s="484"/>
      <c r="H647" s="484"/>
      <c r="I647" s="484"/>
      <c r="J647" s="485"/>
      <c r="K647" s="478"/>
    </row>
    <row r="648" spans="1:11" s="508" customFormat="1" ht="15.75" customHeight="1">
      <c r="A648" s="479">
        <v>540</v>
      </c>
      <c r="B648" s="1123" t="s">
        <v>1260</v>
      </c>
      <c r="C648" s="1123"/>
      <c r="D648" s="601" t="s">
        <v>337</v>
      </c>
      <c r="E648" s="474">
        <v>65450.000000000007</v>
      </c>
      <c r="F648" s="1088"/>
      <c r="G648" s="484"/>
      <c r="H648" s="484"/>
      <c r="I648" s="484"/>
      <c r="J648" s="485"/>
      <c r="K648" s="478"/>
    </row>
    <row r="649" spans="1:11" s="508" customFormat="1" ht="15.75" customHeight="1">
      <c r="A649" s="479">
        <v>541</v>
      </c>
      <c r="B649" s="1123" t="s">
        <v>1261</v>
      </c>
      <c r="C649" s="1123"/>
      <c r="D649" s="601" t="s">
        <v>337</v>
      </c>
      <c r="E649" s="474">
        <v>92400.000000000015</v>
      </c>
      <c r="F649" s="1088"/>
      <c r="G649" s="484"/>
      <c r="H649" s="484"/>
      <c r="I649" s="484"/>
      <c r="J649" s="485"/>
      <c r="K649" s="478"/>
    </row>
    <row r="650" spans="1:11" s="508" customFormat="1" ht="15.75" customHeight="1">
      <c r="A650" s="479">
        <v>542</v>
      </c>
      <c r="B650" s="1123" t="s">
        <v>1262</v>
      </c>
      <c r="C650" s="1123"/>
      <c r="D650" s="601" t="s">
        <v>337</v>
      </c>
      <c r="E650" s="474">
        <v>127050.00000000001</v>
      </c>
      <c r="F650" s="1088"/>
      <c r="G650" s="484"/>
      <c r="H650" s="484"/>
      <c r="I650" s="484"/>
      <c r="J650" s="485"/>
      <c r="K650" s="478"/>
    </row>
    <row r="651" spans="1:11" s="508" customFormat="1" ht="15.75" customHeight="1">
      <c r="A651" s="479">
        <v>543</v>
      </c>
      <c r="B651" s="1123" t="s">
        <v>1263</v>
      </c>
      <c r="C651" s="1123"/>
      <c r="D651" s="601" t="s">
        <v>337</v>
      </c>
      <c r="E651" s="474">
        <v>916300.00000000012</v>
      </c>
      <c r="F651" s="1088"/>
      <c r="G651" s="484"/>
      <c r="H651" s="484"/>
      <c r="I651" s="484"/>
      <c r="J651" s="485"/>
      <c r="K651" s="478"/>
    </row>
    <row r="652" spans="1:11" s="508" customFormat="1" ht="15.75" customHeight="1">
      <c r="A652" s="479">
        <v>544</v>
      </c>
      <c r="B652" s="1123" t="s">
        <v>1264</v>
      </c>
      <c r="C652" s="1123"/>
      <c r="D652" s="601" t="s">
        <v>337</v>
      </c>
      <c r="E652" s="474">
        <v>1347500</v>
      </c>
      <c r="F652" s="1088"/>
      <c r="G652" s="484"/>
      <c r="H652" s="484"/>
      <c r="I652" s="484"/>
      <c r="J652" s="485"/>
      <c r="K652" s="478"/>
    </row>
    <row r="653" spans="1:11" s="508" customFormat="1" ht="15.75" customHeight="1">
      <c r="A653" s="479">
        <v>545</v>
      </c>
      <c r="B653" s="1123" t="s">
        <v>1265</v>
      </c>
      <c r="C653" s="1123"/>
      <c r="D653" s="601" t="s">
        <v>337</v>
      </c>
      <c r="E653" s="474">
        <v>916300.00000000012</v>
      </c>
      <c r="F653" s="1088"/>
      <c r="G653" s="484"/>
      <c r="H653" s="484"/>
      <c r="I653" s="484"/>
      <c r="J653" s="485"/>
      <c r="K653" s="478"/>
    </row>
    <row r="654" spans="1:11" s="508" customFormat="1" ht="15.75" customHeight="1">
      <c r="A654" s="479">
        <v>546</v>
      </c>
      <c r="B654" s="1123" t="s">
        <v>1266</v>
      </c>
      <c r="C654" s="1123"/>
      <c r="D654" s="601" t="s">
        <v>337</v>
      </c>
      <c r="E654" s="474">
        <v>236500.00000000003</v>
      </c>
      <c r="F654" s="1088"/>
      <c r="G654" s="484"/>
      <c r="H654" s="484"/>
      <c r="I654" s="484"/>
      <c r="J654" s="485"/>
      <c r="K654" s="478"/>
    </row>
    <row r="655" spans="1:11" s="508" customFormat="1" ht="15.75" customHeight="1">
      <c r="A655" s="479">
        <v>547</v>
      </c>
      <c r="B655" s="1123" t="s">
        <v>1267</v>
      </c>
      <c r="C655" s="1123"/>
      <c r="D655" s="601" t="s">
        <v>337</v>
      </c>
      <c r="E655" s="474">
        <v>419100.00000000006</v>
      </c>
      <c r="F655" s="1088"/>
      <c r="G655" s="484"/>
      <c r="H655" s="484"/>
      <c r="I655" s="484"/>
      <c r="J655" s="485"/>
      <c r="K655" s="478"/>
    </row>
    <row r="656" spans="1:11" s="508" customFormat="1" ht="15.75" customHeight="1">
      <c r="A656" s="479">
        <v>548</v>
      </c>
      <c r="B656" s="1123" t="s">
        <v>1268</v>
      </c>
      <c r="C656" s="1123"/>
      <c r="D656" s="601" t="s">
        <v>337</v>
      </c>
      <c r="E656" s="474">
        <v>856900.00000000012</v>
      </c>
      <c r="F656" s="1088"/>
      <c r="G656" s="484"/>
      <c r="H656" s="484"/>
      <c r="I656" s="484"/>
      <c r="J656" s="485"/>
      <c r="K656" s="478"/>
    </row>
    <row r="657" spans="1:11" s="508" customFormat="1" ht="15.75" customHeight="1">
      <c r="A657" s="479">
        <v>549</v>
      </c>
      <c r="B657" s="1123" t="s">
        <v>1269</v>
      </c>
      <c r="C657" s="1123"/>
      <c r="D657" s="601" t="s">
        <v>337</v>
      </c>
      <c r="E657" s="474">
        <v>618200</v>
      </c>
      <c r="F657" s="1088"/>
      <c r="G657" s="484"/>
      <c r="H657" s="484"/>
      <c r="I657" s="484"/>
      <c r="J657" s="485"/>
      <c r="K657" s="478"/>
    </row>
    <row r="658" spans="1:11" s="508" customFormat="1" ht="15.75" customHeight="1">
      <c r="A658" s="479">
        <v>550</v>
      </c>
      <c r="B658" s="1123" t="s">
        <v>1270</v>
      </c>
      <c r="C658" s="1123"/>
      <c r="D658" s="601" t="s">
        <v>337</v>
      </c>
      <c r="E658" s="474">
        <v>903100.00000000012</v>
      </c>
      <c r="F658" s="1088"/>
      <c r="G658" s="484"/>
      <c r="H658" s="484"/>
      <c r="I658" s="484"/>
      <c r="J658" s="485"/>
      <c r="K658" s="478"/>
    </row>
    <row r="659" spans="1:11" s="508" customFormat="1" ht="15.75" customHeight="1">
      <c r="A659" s="509"/>
      <c r="B659" s="602" t="s">
        <v>1271</v>
      </c>
      <c r="C659" s="603"/>
      <c r="D659" s="603"/>
      <c r="E659" s="474"/>
      <c r="F659" s="1088"/>
      <c r="G659" s="484"/>
      <c r="H659" s="484"/>
      <c r="I659" s="484"/>
      <c r="J659" s="485"/>
      <c r="K659" s="478"/>
    </row>
    <row r="660" spans="1:11" s="508" customFormat="1" ht="15.75" customHeight="1">
      <c r="A660" s="479">
        <v>551</v>
      </c>
      <c r="B660" s="1123" t="s">
        <v>1272</v>
      </c>
      <c r="C660" s="1123"/>
      <c r="D660" s="604" t="s">
        <v>337</v>
      </c>
      <c r="E660" s="474">
        <v>73150</v>
      </c>
      <c r="F660" s="1088"/>
      <c r="G660" s="484"/>
      <c r="H660" s="484"/>
      <c r="I660" s="484"/>
      <c r="J660" s="485"/>
      <c r="K660" s="478"/>
    </row>
    <row r="661" spans="1:11" s="508" customFormat="1" ht="15.75" customHeight="1">
      <c r="A661" s="479">
        <v>552</v>
      </c>
      <c r="B661" s="1123" t="s">
        <v>1273</v>
      </c>
      <c r="C661" s="1123"/>
      <c r="D661" s="604" t="s">
        <v>337</v>
      </c>
      <c r="E661" s="474">
        <v>86680</v>
      </c>
      <c r="F661" s="1088"/>
      <c r="G661" s="484"/>
      <c r="H661" s="484"/>
      <c r="I661" s="484"/>
      <c r="J661" s="485"/>
      <c r="K661" s="478"/>
    </row>
    <row r="662" spans="1:11" s="508" customFormat="1" ht="15.75" customHeight="1">
      <c r="A662" s="479">
        <v>553</v>
      </c>
      <c r="B662" s="1123" t="s">
        <v>1274</v>
      </c>
      <c r="C662" s="1123"/>
      <c r="D662" s="604" t="s">
        <v>337</v>
      </c>
      <c r="E662" s="474">
        <v>102080.00000000001</v>
      </c>
      <c r="F662" s="1088"/>
      <c r="G662" s="484"/>
      <c r="H662" s="484"/>
      <c r="I662" s="484"/>
      <c r="J662" s="485"/>
      <c r="K662" s="478"/>
    </row>
    <row r="663" spans="1:11" s="508" customFormat="1" ht="15.75" customHeight="1">
      <c r="A663" s="479">
        <v>554</v>
      </c>
      <c r="B663" s="1123" t="s">
        <v>1275</v>
      </c>
      <c r="C663" s="1123"/>
      <c r="D663" s="604" t="s">
        <v>337</v>
      </c>
      <c r="E663" s="474">
        <v>119350.00000000001</v>
      </c>
      <c r="F663" s="1088"/>
      <c r="G663" s="484"/>
      <c r="H663" s="484"/>
      <c r="I663" s="484"/>
      <c r="J663" s="485"/>
      <c r="K663" s="478"/>
    </row>
    <row r="664" spans="1:11" s="508" customFormat="1" ht="15.75" customHeight="1">
      <c r="A664" s="479">
        <v>555</v>
      </c>
      <c r="B664" s="1123" t="s">
        <v>1276</v>
      </c>
      <c r="C664" s="1123"/>
      <c r="D664" s="604" t="s">
        <v>337</v>
      </c>
      <c r="E664" s="474">
        <v>123200.00000000001</v>
      </c>
      <c r="F664" s="1088"/>
      <c r="G664" s="484"/>
      <c r="H664" s="484"/>
      <c r="I664" s="484"/>
      <c r="J664" s="485"/>
      <c r="K664" s="478"/>
    </row>
    <row r="665" spans="1:11" s="508" customFormat="1" ht="15.75" customHeight="1">
      <c r="A665" s="479">
        <v>556</v>
      </c>
      <c r="B665" s="1123" t="s">
        <v>1277</v>
      </c>
      <c r="C665" s="1123"/>
      <c r="D665" s="604" t="s">
        <v>337</v>
      </c>
      <c r="E665" s="474">
        <v>136400</v>
      </c>
      <c r="F665" s="1088"/>
      <c r="G665" s="484"/>
      <c r="H665" s="484"/>
      <c r="I665" s="484"/>
      <c r="J665" s="485"/>
      <c r="K665" s="478"/>
    </row>
    <row r="666" spans="1:11" s="508" customFormat="1" ht="15.75" customHeight="1">
      <c r="A666" s="479">
        <v>557</v>
      </c>
      <c r="B666" s="1123" t="s">
        <v>1278</v>
      </c>
      <c r="C666" s="1123"/>
      <c r="D666" s="604" t="s">
        <v>337</v>
      </c>
      <c r="E666" s="474">
        <v>144100</v>
      </c>
      <c r="F666" s="1088"/>
      <c r="G666" s="484"/>
      <c r="H666" s="484"/>
      <c r="I666" s="484"/>
      <c r="J666" s="485"/>
      <c r="K666" s="478"/>
    </row>
    <row r="667" spans="1:11" s="508" customFormat="1" ht="15.75" customHeight="1">
      <c r="A667" s="479">
        <v>558</v>
      </c>
      <c r="B667" s="1123" t="s">
        <v>1279</v>
      </c>
      <c r="C667" s="1123"/>
      <c r="D667" s="604" t="s">
        <v>337</v>
      </c>
      <c r="E667" s="474">
        <v>130900.00000000001</v>
      </c>
      <c r="F667" s="1088"/>
      <c r="G667" s="484"/>
      <c r="H667" s="484"/>
      <c r="I667" s="484"/>
      <c r="J667" s="485"/>
      <c r="K667" s="478"/>
    </row>
    <row r="668" spans="1:11" s="508" customFormat="1" ht="15.75" customHeight="1">
      <c r="A668" s="479">
        <v>559</v>
      </c>
      <c r="B668" s="1123" t="s">
        <v>1280</v>
      </c>
      <c r="C668" s="1123"/>
      <c r="D668" s="604" t="s">
        <v>337</v>
      </c>
      <c r="E668" s="474">
        <v>146300</v>
      </c>
      <c r="F668" s="1088"/>
      <c r="G668" s="484"/>
      <c r="H668" s="484"/>
      <c r="I668" s="484"/>
      <c r="J668" s="485"/>
      <c r="K668" s="478"/>
    </row>
    <row r="669" spans="1:11" s="508" customFormat="1" ht="15.75" customHeight="1">
      <c r="A669" s="479">
        <v>560</v>
      </c>
      <c r="B669" s="1123" t="s">
        <v>1281</v>
      </c>
      <c r="C669" s="1123"/>
      <c r="D669" s="604" t="s">
        <v>337</v>
      </c>
      <c r="E669" s="474">
        <v>279400</v>
      </c>
      <c r="F669" s="1088"/>
      <c r="G669" s="484"/>
      <c r="H669" s="484"/>
      <c r="I669" s="484"/>
      <c r="J669" s="485"/>
      <c r="K669" s="478"/>
    </row>
    <row r="670" spans="1:11" s="508" customFormat="1" ht="15.75" customHeight="1">
      <c r="A670" s="479">
        <v>561</v>
      </c>
      <c r="B670" s="1123" t="s">
        <v>1282</v>
      </c>
      <c r="C670" s="1123"/>
      <c r="D670" s="604" t="s">
        <v>337</v>
      </c>
      <c r="E670" s="474">
        <v>156200</v>
      </c>
      <c r="F670" s="1088"/>
      <c r="G670" s="484"/>
      <c r="H670" s="484"/>
      <c r="I670" s="484"/>
      <c r="J670" s="485"/>
      <c r="K670" s="478"/>
    </row>
    <row r="671" spans="1:11" s="508" customFormat="1" ht="15.75" customHeight="1">
      <c r="A671" s="479">
        <v>562</v>
      </c>
      <c r="B671" s="1123" t="s">
        <v>1283</v>
      </c>
      <c r="C671" s="1123"/>
      <c r="D671" s="604" t="s">
        <v>337</v>
      </c>
      <c r="E671" s="474">
        <v>184800.00000000003</v>
      </c>
      <c r="F671" s="1088"/>
      <c r="G671" s="484"/>
      <c r="H671" s="484"/>
      <c r="I671" s="484"/>
      <c r="J671" s="485"/>
      <c r="K671" s="478"/>
    </row>
    <row r="672" spans="1:11" s="508" customFormat="1" ht="15.75" customHeight="1">
      <c r="A672" s="509"/>
      <c r="B672" s="1122" t="s">
        <v>1284</v>
      </c>
      <c r="C672" s="1122"/>
      <c r="D672" s="603"/>
      <c r="E672" s="474"/>
      <c r="F672" s="1088"/>
      <c r="G672" s="484"/>
      <c r="H672" s="484"/>
      <c r="I672" s="484"/>
      <c r="J672" s="485"/>
      <c r="K672" s="478"/>
    </row>
    <row r="673" spans="1:11" s="508" customFormat="1" ht="15.75" customHeight="1">
      <c r="A673" s="479">
        <v>563</v>
      </c>
      <c r="B673" s="1124" t="s">
        <v>1285</v>
      </c>
      <c r="C673" s="1124"/>
      <c r="D673" s="605" t="s">
        <v>335</v>
      </c>
      <c r="E673" s="474">
        <v>30800.000000000004</v>
      </c>
      <c r="F673" s="1088"/>
      <c r="G673" s="484"/>
      <c r="H673" s="484"/>
      <c r="I673" s="484"/>
      <c r="J673" s="485"/>
      <c r="K673" s="478"/>
    </row>
    <row r="674" spans="1:11" s="508" customFormat="1" ht="15.75" customHeight="1">
      <c r="A674" s="479">
        <v>564</v>
      </c>
      <c r="B674" s="1124" t="s">
        <v>1286</v>
      </c>
      <c r="C674" s="1124"/>
      <c r="D674" s="605" t="s">
        <v>335</v>
      </c>
      <c r="E674" s="474">
        <v>33000</v>
      </c>
      <c r="F674" s="1088"/>
      <c r="G674" s="484"/>
      <c r="H674" s="484"/>
      <c r="I674" s="484"/>
      <c r="J674" s="485"/>
      <c r="K674" s="478"/>
    </row>
    <row r="675" spans="1:11" s="508" customFormat="1" ht="15.75" customHeight="1">
      <c r="A675" s="479">
        <v>565</v>
      </c>
      <c r="B675" s="1125" t="s">
        <v>1287</v>
      </c>
      <c r="C675" s="1125"/>
      <c r="D675" s="605" t="s">
        <v>335</v>
      </c>
      <c r="E675" s="474">
        <v>36300</v>
      </c>
      <c r="F675" s="1088"/>
      <c r="G675" s="484"/>
      <c r="H675" s="484"/>
      <c r="I675" s="484"/>
      <c r="J675" s="485"/>
      <c r="K675" s="478"/>
    </row>
    <row r="676" spans="1:11" s="508" customFormat="1" ht="15.75" customHeight="1">
      <c r="A676" s="479">
        <v>566</v>
      </c>
      <c r="B676" s="1125" t="s">
        <v>1288</v>
      </c>
      <c r="C676" s="1125"/>
      <c r="D676" s="605" t="s">
        <v>335</v>
      </c>
      <c r="E676" s="474">
        <v>46200.000000000007</v>
      </c>
      <c r="F676" s="1088"/>
      <c r="G676" s="484"/>
      <c r="H676" s="484"/>
      <c r="I676" s="484"/>
      <c r="J676" s="485"/>
      <c r="K676" s="478"/>
    </row>
    <row r="677" spans="1:11" s="508" customFormat="1" ht="15.75" customHeight="1">
      <c r="A677" s="479">
        <v>567</v>
      </c>
      <c r="B677" s="1125" t="s">
        <v>1289</v>
      </c>
      <c r="C677" s="1125"/>
      <c r="D677" s="605" t="s">
        <v>335</v>
      </c>
      <c r="E677" s="474">
        <v>53900.000000000007</v>
      </c>
      <c r="F677" s="1088"/>
      <c r="G677" s="484"/>
      <c r="H677" s="484"/>
      <c r="I677" s="484"/>
      <c r="J677" s="485"/>
      <c r="K677" s="478"/>
    </row>
    <row r="678" spans="1:11" s="508" customFormat="1" ht="15.75" customHeight="1">
      <c r="A678" s="479">
        <v>568</v>
      </c>
      <c r="B678" s="1125" t="s">
        <v>1290</v>
      </c>
      <c r="C678" s="1125"/>
      <c r="D678" s="605" t="s">
        <v>335</v>
      </c>
      <c r="E678" s="474">
        <v>61600.000000000007</v>
      </c>
      <c r="F678" s="1088"/>
      <c r="G678" s="484"/>
      <c r="H678" s="484"/>
      <c r="I678" s="484"/>
      <c r="J678" s="485"/>
      <c r="K678" s="478"/>
    </row>
    <row r="679" spans="1:11" s="508" customFormat="1" ht="15.75" customHeight="1">
      <c r="A679" s="479">
        <v>569</v>
      </c>
      <c r="B679" s="1125" t="s">
        <v>1291</v>
      </c>
      <c r="C679" s="1125"/>
      <c r="D679" s="605" t="s">
        <v>335</v>
      </c>
      <c r="E679" s="474">
        <v>77000</v>
      </c>
      <c r="F679" s="1088"/>
      <c r="G679" s="484"/>
      <c r="H679" s="484"/>
      <c r="I679" s="484"/>
      <c r="J679" s="485"/>
      <c r="K679" s="478"/>
    </row>
    <row r="680" spans="1:11" s="508" customFormat="1" ht="15.75" customHeight="1">
      <c r="A680" s="479">
        <v>570</v>
      </c>
      <c r="B680" s="1125" t="s">
        <v>1292</v>
      </c>
      <c r="C680" s="1125"/>
      <c r="D680" s="605" t="s">
        <v>335</v>
      </c>
      <c r="E680" s="474">
        <v>102300.00000000001</v>
      </c>
      <c r="F680" s="1088"/>
      <c r="G680" s="484"/>
      <c r="H680" s="484"/>
      <c r="I680" s="484"/>
      <c r="J680" s="485"/>
      <c r="K680" s="478"/>
    </row>
    <row r="681" spans="1:11" s="508" customFormat="1" ht="15.75" customHeight="1">
      <c r="A681" s="479">
        <v>571</v>
      </c>
      <c r="B681" s="1125" t="s">
        <v>1293</v>
      </c>
      <c r="C681" s="1125"/>
      <c r="D681" s="605" t="s">
        <v>335</v>
      </c>
      <c r="E681" s="474">
        <v>138600</v>
      </c>
      <c r="F681" s="1088"/>
      <c r="G681" s="484"/>
      <c r="H681" s="484"/>
      <c r="I681" s="484"/>
      <c r="J681" s="485"/>
      <c r="K681" s="478"/>
    </row>
    <row r="682" spans="1:11" s="508" customFormat="1" ht="15.75" customHeight="1">
      <c r="A682" s="479">
        <v>572</v>
      </c>
      <c r="B682" s="1125" t="s">
        <v>1294</v>
      </c>
      <c r="C682" s="1125"/>
      <c r="D682" s="605" t="s">
        <v>335</v>
      </c>
      <c r="E682" s="474">
        <v>207900.00000000003</v>
      </c>
      <c r="F682" s="1088"/>
      <c r="G682" s="484"/>
      <c r="H682" s="484"/>
      <c r="I682" s="484"/>
      <c r="J682" s="485"/>
      <c r="K682" s="478"/>
    </row>
    <row r="683" spans="1:11" s="508" customFormat="1" ht="15.75" customHeight="1">
      <c r="A683" s="479">
        <v>573</v>
      </c>
      <c r="B683" s="1125" t="s">
        <v>1295</v>
      </c>
      <c r="C683" s="1125"/>
      <c r="D683" s="605" t="s">
        <v>335</v>
      </c>
      <c r="E683" s="474">
        <v>254100.00000000003</v>
      </c>
      <c r="F683" s="1088"/>
      <c r="G683" s="484"/>
      <c r="H683" s="484"/>
      <c r="I683" s="484"/>
      <c r="J683" s="485"/>
      <c r="K683" s="478"/>
    </row>
    <row r="684" spans="1:11" s="508" customFormat="1" ht="15.75" customHeight="1">
      <c r="A684" s="479">
        <v>574</v>
      </c>
      <c r="B684" s="1125" t="s">
        <v>1296</v>
      </c>
      <c r="C684" s="1125"/>
      <c r="D684" s="605" t="s">
        <v>335</v>
      </c>
      <c r="E684" s="474">
        <v>59730.000000000007</v>
      </c>
      <c r="F684" s="1088"/>
      <c r="G684" s="484"/>
      <c r="H684" s="484"/>
      <c r="I684" s="484"/>
      <c r="J684" s="485"/>
      <c r="K684" s="478"/>
    </row>
    <row r="685" spans="1:11" s="508" customFormat="1" ht="15.75" customHeight="1">
      <c r="A685" s="479">
        <v>575</v>
      </c>
      <c r="B685" s="1125" t="s">
        <v>1297</v>
      </c>
      <c r="C685" s="1125"/>
      <c r="D685" s="605" t="s">
        <v>335</v>
      </c>
      <c r="E685" s="474">
        <v>67430</v>
      </c>
      <c r="F685" s="1088"/>
      <c r="G685" s="484"/>
      <c r="H685" s="484"/>
      <c r="I685" s="484"/>
      <c r="J685" s="485"/>
      <c r="K685" s="478"/>
    </row>
    <row r="686" spans="1:11" s="508" customFormat="1" ht="15.75" customHeight="1">
      <c r="A686" s="479">
        <v>576</v>
      </c>
      <c r="B686" s="1125" t="s">
        <v>1298</v>
      </c>
      <c r="C686" s="1125"/>
      <c r="D686" s="605" t="s">
        <v>335</v>
      </c>
      <c r="E686" s="474">
        <v>77000</v>
      </c>
      <c r="F686" s="1088"/>
      <c r="G686" s="484"/>
      <c r="H686" s="484"/>
      <c r="I686" s="484"/>
      <c r="J686" s="485"/>
      <c r="K686" s="478"/>
    </row>
    <row r="687" spans="1:11" s="508" customFormat="1" ht="15.75" customHeight="1">
      <c r="A687" s="479">
        <v>577</v>
      </c>
      <c r="B687" s="1125" t="s">
        <v>1299</v>
      </c>
      <c r="C687" s="1125"/>
      <c r="D687" s="605" t="s">
        <v>335</v>
      </c>
      <c r="E687" s="474">
        <v>97900.000000000015</v>
      </c>
      <c r="F687" s="1088"/>
      <c r="G687" s="484"/>
      <c r="H687" s="484"/>
      <c r="I687" s="484"/>
      <c r="J687" s="485"/>
      <c r="K687" s="478"/>
    </row>
    <row r="688" spans="1:11" s="508" customFormat="1" ht="15.75" customHeight="1">
      <c r="A688" s="479">
        <v>578</v>
      </c>
      <c r="B688" s="1125" t="s">
        <v>1300</v>
      </c>
      <c r="C688" s="1125"/>
      <c r="D688" s="605" t="s">
        <v>335</v>
      </c>
      <c r="E688" s="474">
        <v>130900.00000000001</v>
      </c>
      <c r="F688" s="1088"/>
      <c r="G688" s="484"/>
      <c r="H688" s="484"/>
      <c r="I688" s="484"/>
      <c r="J688" s="485"/>
      <c r="K688" s="478"/>
    </row>
    <row r="689" spans="1:11" s="508" customFormat="1" ht="15.75" customHeight="1">
      <c r="A689" s="479">
        <v>579</v>
      </c>
      <c r="B689" s="1125" t="s">
        <v>1301</v>
      </c>
      <c r="C689" s="1125"/>
      <c r="D689" s="605" t="s">
        <v>335</v>
      </c>
      <c r="E689" s="474">
        <v>184800.00000000003</v>
      </c>
      <c r="F689" s="1088"/>
      <c r="G689" s="484"/>
      <c r="H689" s="484"/>
      <c r="I689" s="484"/>
      <c r="J689" s="485"/>
      <c r="K689" s="478"/>
    </row>
    <row r="690" spans="1:11" s="508" customFormat="1" ht="15.75" customHeight="1">
      <c r="A690" s="479">
        <v>580</v>
      </c>
      <c r="B690" s="1125" t="s">
        <v>1302</v>
      </c>
      <c r="C690" s="1125"/>
      <c r="D690" s="605" t="s">
        <v>335</v>
      </c>
      <c r="E690" s="474">
        <v>254100.00000000003</v>
      </c>
      <c r="F690" s="1088"/>
      <c r="G690" s="484"/>
      <c r="H690" s="484"/>
      <c r="I690" s="484"/>
      <c r="J690" s="485"/>
      <c r="K690" s="478"/>
    </row>
    <row r="691" spans="1:11" s="508" customFormat="1" ht="15.75" customHeight="1">
      <c r="A691" s="479">
        <v>581</v>
      </c>
      <c r="B691" s="1125" t="s">
        <v>1303</v>
      </c>
      <c r="C691" s="1125"/>
      <c r="D691" s="605" t="s">
        <v>335</v>
      </c>
      <c r="E691" s="474">
        <v>313500</v>
      </c>
      <c r="F691" s="1088"/>
      <c r="G691" s="484"/>
      <c r="H691" s="484"/>
      <c r="I691" s="484"/>
      <c r="J691" s="485"/>
      <c r="K691" s="478"/>
    </row>
    <row r="692" spans="1:11" s="508" customFormat="1" ht="15.75" customHeight="1">
      <c r="A692" s="509"/>
      <c r="B692" s="1127" t="s">
        <v>1304</v>
      </c>
      <c r="C692" s="1127"/>
      <c r="D692" s="603"/>
      <c r="E692" s="474"/>
      <c r="F692" s="1088"/>
      <c r="G692" s="484"/>
      <c r="H692" s="484"/>
      <c r="I692" s="484"/>
      <c r="J692" s="485"/>
      <c r="K692" s="478"/>
    </row>
    <row r="693" spans="1:11" s="508" customFormat="1" ht="15.75" customHeight="1">
      <c r="A693" s="479">
        <v>582</v>
      </c>
      <c r="B693" s="1124" t="s">
        <v>1305</v>
      </c>
      <c r="C693" s="1124"/>
      <c r="D693" s="605" t="s">
        <v>337</v>
      </c>
      <c r="E693" s="474">
        <v>173800</v>
      </c>
      <c r="F693" s="1088"/>
      <c r="G693" s="484"/>
      <c r="H693" s="484"/>
      <c r="I693" s="484"/>
      <c r="J693" s="485"/>
      <c r="K693" s="478"/>
    </row>
    <row r="694" spans="1:11" s="508" customFormat="1" ht="15.75" customHeight="1">
      <c r="A694" s="479">
        <v>583</v>
      </c>
      <c r="B694" s="1124" t="s">
        <v>1306</v>
      </c>
      <c r="C694" s="1124"/>
      <c r="D694" s="605" t="s">
        <v>337</v>
      </c>
      <c r="E694" s="474">
        <v>228800.00000000003</v>
      </c>
      <c r="F694" s="1088"/>
      <c r="G694" s="484"/>
      <c r="H694" s="484"/>
      <c r="I694" s="484"/>
      <c r="J694" s="485"/>
      <c r="K694" s="478"/>
    </row>
    <row r="695" spans="1:11" s="508" customFormat="1" ht="15.75" customHeight="1">
      <c r="A695" s="479">
        <v>584</v>
      </c>
      <c r="B695" s="1124" t="s">
        <v>1307</v>
      </c>
      <c r="C695" s="1124"/>
      <c r="D695" s="605" t="s">
        <v>337</v>
      </c>
      <c r="E695" s="474">
        <v>267300</v>
      </c>
      <c r="F695" s="1088"/>
      <c r="G695" s="484"/>
      <c r="H695" s="484"/>
      <c r="I695" s="484"/>
      <c r="J695" s="485"/>
      <c r="K695" s="478"/>
    </row>
    <row r="696" spans="1:11" s="508" customFormat="1" ht="15.75" customHeight="1">
      <c r="A696" s="479">
        <v>585</v>
      </c>
      <c r="B696" s="1124" t="s">
        <v>1308</v>
      </c>
      <c r="C696" s="1124"/>
      <c r="D696" s="605" t="s">
        <v>337</v>
      </c>
      <c r="E696" s="474">
        <v>396000.00000000006</v>
      </c>
      <c r="F696" s="1088"/>
      <c r="G696" s="484"/>
      <c r="H696" s="484"/>
      <c r="I696" s="484"/>
      <c r="J696" s="485"/>
      <c r="K696" s="478"/>
    </row>
    <row r="697" spans="1:11" s="508" customFormat="1" ht="15.75" customHeight="1">
      <c r="A697" s="479">
        <v>586</v>
      </c>
      <c r="B697" s="1123" t="s">
        <v>1309</v>
      </c>
      <c r="C697" s="1123"/>
      <c r="D697" s="605" t="s">
        <v>337</v>
      </c>
      <c r="E697" s="474">
        <v>143000</v>
      </c>
      <c r="F697" s="1088"/>
      <c r="G697" s="484"/>
      <c r="H697" s="484"/>
      <c r="I697" s="484"/>
      <c r="J697" s="485"/>
      <c r="K697" s="478"/>
    </row>
    <row r="698" spans="1:11" s="508" customFormat="1" ht="15.75" customHeight="1">
      <c r="A698" s="479">
        <v>587</v>
      </c>
      <c r="B698" s="1123" t="s">
        <v>1310</v>
      </c>
      <c r="C698" s="1123"/>
      <c r="D698" s="605" t="s">
        <v>337</v>
      </c>
      <c r="E698" s="474">
        <v>221100.00000000003</v>
      </c>
      <c r="F698" s="1088"/>
      <c r="G698" s="484"/>
      <c r="H698" s="484"/>
      <c r="I698" s="484"/>
      <c r="J698" s="485"/>
      <c r="K698" s="478"/>
    </row>
    <row r="699" spans="1:11" s="508" customFormat="1" ht="15.75" customHeight="1">
      <c r="A699" s="479">
        <v>588</v>
      </c>
      <c r="B699" s="1123" t="s">
        <v>1311</v>
      </c>
      <c r="C699" s="1123"/>
      <c r="D699" s="605" t="s">
        <v>337</v>
      </c>
      <c r="E699" s="474">
        <v>231000.00000000003</v>
      </c>
      <c r="F699" s="1088"/>
      <c r="G699" s="484"/>
      <c r="H699" s="484"/>
      <c r="I699" s="484"/>
      <c r="J699" s="485"/>
      <c r="K699" s="478"/>
    </row>
    <row r="700" spans="1:11" s="508" customFormat="1" ht="15.75" customHeight="1">
      <c r="A700" s="479">
        <v>589</v>
      </c>
      <c r="B700" s="1123" t="s">
        <v>1312</v>
      </c>
      <c r="C700" s="1123"/>
      <c r="D700" s="605" t="s">
        <v>337</v>
      </c>
      <c r="E700" s="474">
        <v>310200</v>
      </c>
      <c r="F700" s="1088"/>
      <c r="G700" s="484"/>
      <c r="H700" s="484"/>
      <c r="I700" s="484"/>
      <c r="J700" s="485"/>
      <c r="K700" s="478"/>
    </row>
    <row r="701" spans="1:11" s="508" customFormat="1" ht="15.75" customHeight="1">
      <c r="A701" s="479">
        <v>590</v>
      </c>
      <c r="B701" s="1124" t="s">
        <v>1313</v>
      </c>
      <c r="C701" s="1124"/>
      <c r="D701" s="605" t="s">
        <v>337</v>
      </c>
      <c r="E701" s="474">
        <v>246400.00000000003</v>
      </c>
      <c r="F701" s="1088"/>
      <c r="G701" s="484"/>
      <c r="H701" s="484"/>
      <c r="I701" s="484"/>
      <c r="J701" s="485"/>
      <c r="K701" s="478"/>
    </row>
    <row r="702" spans="1:11" s="508" customFormat="1" ht="15.75" customHeight="1">
      <c r="A702" s="479">
        <v>591</v>
      </c>
      <c r="B702" s="1126" t="s">
        <v>1314</v>
      </c>
      <c r="C702" s="1126"/>
      <c r="D702" s="605" t="s">
        <v>337</v>
      </c>
      <c r="E702" s="474">
        <v>246400.00000000003</v>
      </c>
      <c r="F702" s="1088"/>
      <c r="G702" s="484"/>
      <c r="H702" s="484"/>
      <c r="I702" s="484"/>
      <c r="J702" s="485"/>
      <c r="K702" s="478"/>
    </row>
    <row r="703" spans="1:11" s="508" customFormat="1" ht="15.75" customHeight="1">
      <c r="A703" s="479">
        <v>592</v>
      </c>
      <c r="B703" s="1126" t="s">
        <v>1315</v>
      </c>
      <c r="C703" s="1126"/>
      <c r="D703" s="605" t="s">
        <v>337</v>
      </c>
      <c r="E703" s="474">
        <v>246400.00000000003</v>
      </c>
      <c r="F703" s="1088"/>
      <c r="G703" s="484"/>
      <c r="H703" s="484"/>
      <c r="I703" s="484"/>
      <c r="J703" s="485"/>
      <c r="K703" s="478"/>
    </row>
    <row r="704" spans="1:11" s="508" customFormat="1" ht="15.75" customHeight="1">
      <c r="A704" s="479">
        <v>593</v>
      </c>
      <c r="B704" s="1126" t="s">
        <v>1316</v>
      </c>
      <c r="C704" s="1126"/>
      <c r="D704" s="605" t="s">
        <v>337</v>
      </c>
      <c r="E704" s="474">
        <v>246400.00000000003</v>
      </c>
      <c r="F704" s="1088"/>
      <c r="G704" s="484"/>
      <c r="H704" s="484"/>
      <c r="I704" s="484"/>
      <c r="J704" s="485"/>
      <c r="K704" s="478"/>
    </row>
    <row r="705" spans="1:11" s="508" customFormat="1" ht="15.75" customHeight="1">
      <c r="A705" s="479">
        <v>594</v>
      </c>
      <c r="B705" s="1126" t="s">
        <v>1317</v>
      </c>
      <c r="C705" s="1126"/>
      <c r="D705" s="605" t="s">
        <v>337</v>
      </c>
      <c r="E705" s="474">
        <v>333080</v>
      </c>
      <c r="F705" s="1088"/>
      <c r="G705" s="484"/>
      <c r="H705" s="484"/>
      <c r="I705" s="484"/>
      <c r="J705" s="485"/>
      <c r="K705" s="478"/>
    </row>
    <row r="706" spans="1:11" s="508" customFormat="1" ht="15.75" customHeight="1">
      <c r="A706" s="479">
        <v>595</v>
      </c>
      <c r="B706" s="1124" t="s">
        <v>1318</v>
      </c>
      <c r="C706" s="1124"/>
      <c r="D706" s="605" t="s">
        <v>337</v>
      </c>
      <c r="E706" s="474">
        <v>377300.00000000006</v>
      </c>
      <c r="F706" s="1088"/>
      <c r="G706" s="484"/>
      <c r="H706" s="484"/>
      <c r="I706" s="484"/>
      <c r="J706" s="485"/>
      <c r="K706" s="478"/>
    </row>
    <row r="707" spans="1:11" s="508" customFormat="1" ht="15.75" customHeight="1">
      <c r="A707" s="479">
        <v>596</v>
      </c>
      <c r="B707" s="1124" t="s">
        <v>1319</v>
      </c>
      <c r="C707" s="1124"/>
      <c r="D707" s="605" t="s">
        <v>337</v>
      </c>
      <c r="E707" s="474">
        <v>550000</v>
      </c>
      <c r="F707" s="1088"/>
      <c r="G707" s="484"/>
      <c r="H707" s="484"/>
      <c r="I707" s="484"/>
      <c r="J707" s="485"/>
      <c r="K707" s="478"/>
    </row>
    <row r="708" spans="1:11" s="508" customFormat="1" ht="15.75" customHeight="1">
      <c r="A708" s="479">
        <v>597</v>
      </c>
      <c r="B708" s="1124" t="s">
        <v>1320</v>
      </c>
      <c r="C708" s="1124"/>
      <c r="D708" s="605" t="s">
        <v>337</v>
      </c>
      <c r="E708" s="474">
        <v>693000</v>
      </c>
      <c r="F708" s="1088"/>
      <c r="G708" s="484"/>
      <c r="H708" s="484"/>
      <c r="I708" s="484"/>
      <c r="J708" s="485"/>
      <c r="K708" s="478"/>
    </row>
    <row r="709" spans="1:11" s="508" customFormat="1" ht="15.75" customHeight="1">
      <c r="A709" s="509"/>
      <c r="B709" s="1122" t="s">
        <v>1321</v>
      </c>
      <c r="C709" s="1122"/>
      <c r="D709" s="603"/>
      <c r="E709" s="474"/>
      <c r="F709" s="1088"/>
      <c r="G709" s="484"/>
      <c r="H709" s="484"/>
      <c r="I709" s="484"/>
      <c r="J709" s="485"/>
      <c r="K709" s="478"/>
    </row>
    <row r="710" spans="1:11" s="508" customFormat="1" ht="15.75" customHeight="1">
      <c r="A710" s="479">
        <v>598</v>
      </c>
      <c r="B710" s="1123" t="s">
        <v>1322</v>
      </c>
      <c r="C710" s="1123"/>
      <c r="D710" s="606" t="s">
        <v>337</v>
      </c>
      <c r="E710" s="474">
        <v>127050.00000000001</v>
      </c>
      <c r="F710" s="1088"/>
      <c r="G710" s="484"/>
      <c r="H710" s="484"/>
      <c r="I710" s="484"/>
      <c r="J710" s="485"/>
      <c r="K710" s="478"/>
    </row>
    <row r="711" spans="1:11" s="508" customFormat="1" ht="15.75" customHeight="1">
      <c r="A711" s="479">
        <v>599</v>
      </c>
      <c r="B711" s="1123" t="s">
        <v>1323</v>
      </c>
      <c r="C711" s="1123"/>
      <c r="D711" s="606" t="s">
        <v>337</v>
      </c>
      <c r="E711" s="474">
        <v>167530</v>
      </c>
      <c r="F711" s="1088"/>
      <c r="G711" s="484"/>
      <c r="H711" s="484"/>
      <c r="I711" s="484"/>
      <c r="J711" s="485"/>
      <c r="K711" s="478"/>
    </row>
    <row r="712" spans="1:11" s="508" customFormat="1" ht="15.75" customHeight="1">
      <c r="A712" s="479">
        <v>600</v>
      </c>
      <c r="B712" s="1123" t="s">
        <v>1324</v>
      </c>
      <c r="C712" s="1123"/>
      <c r="D712" s="606" t="s">
        <v>337</v>
      </c>
      <c r="E712" s="474">
        <v>182930.00000000003</v>
      </c>
      <c r="F712" s="1088"/>
      <c r="G712" s="484"/>
      <c r="H712" s="484"/>
      <c r="I712" s="484"/>
      <c r="J712" s="485"/>
      <c r="K712" s="478"/>
    </row>
    <row r="713" spans="1:11" s="508" customFormat="1" ht="15.75" customHeight="1">
      <c r="A713" s="479">
        <v>601</v>
      </c>
      <c r="B713" s="1123" t="s">
        <v>1325</v>
      </c>
      <c r="C713" s="1123"/>
      <c r="D713" s="606" t="s">
        <v>337</v>
      </c>
      <c r="E713" s="474">
        <v>1617000.0000000002</v>
      </c>
      <c r="F713" s="1088"/>
      <c r="G713" s="484"/>
      <c r="H713" s="484"/>
      <c r="I713" s="484"/>
      <c r="J713" s="485"/>
      <c r="K713" s="478"/>
    </row>
    <row r="714" spans="1:11" s="508" customFormat="1" ht="15.75" customHeight="1">
      <c r="A714" s="479">
        <v>602</v>
      </c>
      <c r="B714" s="1123" t="s">
        <v>1326</v>
      </c>
      <c r="C714" s="1123"/>
      <c r="D714" s="606" t="s">
        <v>337</v>
      </c>
      <c r="E714" s="474">
        <v>1617000.0000000002</v>
      </c>
      <c r="F714" s="1088"/>
      <c r="G714" s="484"/>
      <c r="H714" s="484"/>
      <c r="I714" s="484"/>
      <c r="J714" s="485"/>
      <c r="K714" s="478"/>
    </row>
    <row r="715" spans="1:11" s="508" customFormat="1" ht="15.75" customHeight="1">
      <c r="A715" s="479">
        <v>603</v>
      </c>
      <c r="B715" s="1123" t="s">
        <v>1327</v>
      </c>
      <c r="C715" s="1123"/>
      <c r="D715" s="606" t="s">
        <v>337</v>
      </c>
      <c r="E715" s="474">
        <v>2279200</v>
      </c>
      <c r="F715" s="1088"/>
      <c r="G715" s="484"/>
      <c r="H715" s="484"/>
      <c r="I715" s="484"/>
      <c r="J715" s="485"/>
      <c r="K715" s="478"/>
    </row>
    <row r="716" spans="1:11" s="508" customFormat="1" ht="15.75" customHeight="1">
      <c r="A716" s="479">
        <v>604</v>
      </c>
      <c r="B716" s="1123" t="s">
        <v>1328</v>
      </c>
      <c r="C716" s="1123"/>
      <c r="D716" s="606" t="s">
        <v>337</v>
      </c>
      <c r="E716" s="474">
        <v>2279200</v>
      </c>
      <c r="F716" s="1088"/>
      <c r="G716" s="484"/>
      <c r="H716" s="484"/>
      <c r="I716" s="484"/>
      <c r="J716" s="485"/>
      <c r="K716" s="478"/>
    </row>
    <row r="717" spans="1:11" s="508" customFormat="1" ht="15.75" customHeight="1">
      <c r="A717" s="479">
        <v>605</v>
      </c>
      <c r="B717" s="1123" t="s">
        <v>1329</v>
      </c>
      <c r="C717" s="1123"/>
      <c r="D717" s="606" t="s">
        <v>337</v>
      </c>
      <c r="E717" s="474">
        <v>3061300.0000000005</v>
      </c>
      <c r="F717" s="1088"/>
      <c r="G717" s="484"/>
      <c r="H717" s="484"/>
      <c r="I717" s="484"/>
      <c r="J717" s="485"/>
      <c r="K717" s="478"/>
    </row>
    <row r="718" spans="1:11" s="508" customFormat="1" ht="15.75" customHeight="1">
      <c r="A718" s="479">
        <v>606</v>
      </c>
      <c r="B718" s="1123" t="s">
        <v>1330</v>
      </c>
      <c r="C718" s="1123"/>
      <c r="D718" s="606" t="s">
        <v>337</v>
      </c>
      <c r="E718" s="474">
        <v>169400</v>
      </c>
      <c r="F718" s="1088"/>
      <c r="G718" s="484"/>
      <c r="H718" s="484"/>
      <c r="I718" s="484"/>
      <c r="J718" s="485"/>
      <c r="K718" s="478"/>
    </row>
    <row r="719" spans="1:11" s="508" customFormat="1" ht="15.75" customHeight="1">
      <c r="A719" s="479">
        <v>607</v>
      </c>
      <c r="B719" s="1123" t="s">
        <v>1331</v>
      </c>
      <c r="C719" s="1123"/>
      <c r="D719" s="606" t="s">
        <v>337</v>
      </c>
      <c r="E719" s="474">
        <v>263780</v>
      </c>
      <c r="F719" s="1088"/>
      <c r="G719" s="484"/>
      <c r="H719" s="484"/>
      <c r="I719" s="484"/>
      <c r="J719" s="485"/>
      <c r="K719" s="478"/>
    </row>
    <row r="720" spans="1:11" s="508" customFormat="1" ht="15.75" customHeight="1">
      <c r="A720" s="509"/>
      <c r="B720" s="1122" t="s">
        <v>1332</v>
      </c>
      <c r="C720" s="1122"/>
      <c r="D720" s="603"/>
      <c r="E720" s="474"/>
      <c r="F720" s="1088"/>
      <c r="G720" s="484"/>
      <c r="H720" s="484"/>
      <c r="I720" s="484"/>
      <c r="J720" s="485"/>
      <c r="K720" s="478"/>
    </row>
    <row r="721" spans="1:11" s="508" customFormat="1" ht="15.75" customHeight="1">
      <c r="A721" s="479">
        <v>608</v>
      </c>
      <c r="B721" s="1124" t="s">
        <v>1333</v>
      </c>
      <c r="C721" s="1124"/>
      <c r="D721" s="605" t="s">
        <v>337</v>
      </c>
      <c r="E721" s="474">
        <v>385000.00000000006</v>
      </c>
      <c r="F721" s="1088"/>
      <c r="G721" s="484"/>
      <c r="H721" s="484"/>
      <c r="I721" s="484"/>
      <c r="J721" s="485"/>
      <c r="K721" s="478"/>
    </row>
    <row r="722" spans="1:11" s="508" customFormat="1" ht="15.75" customHeight="1">
      <c r="A722" s="479">
        <v>609</v>
      </c>
      <c r="B722" s="1124" t="s">
        <v>1334</v>
      </c>
      <c r="C722" s="1124"/>
      <c r="D722" s="605" t="s">
        <v>337</v>
      </c>
      <c r="E722" s="474">
        <v>418000.00000000006</v>
      </c>
      <c r="F722" s="1088"/>
      <c r="G722" s="484"/>
      <c r="H722" s="484"/>
      <c r="I722" s="484"/>
      <c r="J722" s="485"/>
      <c r="K722" s="478"/>
    </row>
    <row r="723" spans="1:11" s="508" customFormat="1" ht="15.75" customHeight="1">
      <c r="A723" s="479">
        <v>610</v>
      </c>
      <c r="B723" s="1124" t="s">
        <v>1335</v>
      </c>
      <c r="C723" s="1124"/>
      <c r="D723" s="605" t="s">
        <v>337</v>
      </c>
      <c r="E723" s="474">
        <v>433400.00000000006</v>
      </c>
      <c r="F723" s="1088"/>
      <c r="G723" s="484"/>
      <c r="H723" s="484"/>
      <c r="I723" s="484"/>
      <c r="J723" s="485"/>
      <c r="K723" s="478"/>
    </row>
    <row r="724" spans="1:11" s="508" customFormat="1" ht="15.75" customHeight="1">
      <c r="A724" s="479">
        <v>611</v>
      </c>
      <c r="B724" s="1124" t="s">
        <v>1336</v>
      </c>
      <c r="C724" s="1124"/>
      <c r="D724" s="605" t="s">
        <v>337</v>
      </c>
      <c r="E724" s="474">
        <v>242000.00000000003</v>
      </c>
      <c r="F724" s="1088"/>
      <c r="G724" s="484"/>
      <c r="H724" s="484"/>
      <c r="I724" s="484"/>
      <c r="J724" s="485"/>
      <c r="K724" s="478"/>
    </row>
    <row r="725" spans="1:11" s="508" customFormat="1" ht="15.75" customHeight="1">
      <c r="A725" s="479">
        <v>612</v>
      </c>
      <c r="B725" s="1128" t="s">
        <v>1337</v>
      </c>
      <c r="C725" s="1128"/>
      <c r="D725" s="605" t="s">
        <v>337</v>
      </c>
      <c r="E725" s="474">
        <v>327800</v>
      </c>
      <c r="F725" s="1088"/>
      <c r="G725" s="484"/>
      <c r="H725" s="484"/>
      <c r="I725" s="484"/>
      <c r="J725" s="485"/>
      <c r="K725" s="478"/>
    </row>
    <row r="726" spans="1:11" s="508" customFormat="1" ht="15.75" customHeight="1">
      <c r="A726" s="479">
        <v>613</v>
      </c>
      <c r="B726" s="1128" t="s">
        <v>1338</v>
      </c>
      <c r="C726" s="1128"/>
      <c r="D726" s="605" t="s">
        <v>337</v>
      </c>
      <c r="E726" s="474">
        <v>492800.00000000006</v>
      </c>
      <c r="F726" s="1088"/>
      <c r="G726" s="484"/>
      <c r="H726" s="484"/>
      <c r="I726" s="484"/>
      <c r="J726" s="485"/>
      <c r="K726" s="478"/>
    </row>
    <row r="727" spans="1:11" s="508" customFormat="1" ht="15.75" customHeight="1">
      <c r="A727" s="479">
        <v>614</v>
      </c>
      <c r="B727" s="1128" t="s">
        <v>1339</v>
      </c>
      <c r="C727" s="1128"/>
      <c r="D727" s="605" t="s">
        <v>337</v>
      </c>
      <c r="E727" s="474">
        <v>558800</v>
      </c>
      <c r="F727" s="1088"/>
      <c r="G727" s="484"/>
      <c r="H727" s="484"/>
      <c r="I727" s="484"/>
      <c r="J727" s="485"/>
      <c r="K727" s="478"/>
    </row>
    <row r="728" spans="1:11" s="508" customFormat="1" ht="15.75" customHeight="1">
      <c r="A728" s="479">
        <v>615</v>
      </c>
      <c r="B728" s="1128" t="s">
        <v>1340</v>
      </c>
      <c r="C728" s="1128"/>
      <c r="D728" s="605" t="s">
        <v>337</v>
      </c>
      <c r="E728" s="474">
        <v>1068100</v>
      </c>
      <c r="F728" s="1088"/>
      <c r="G728" s="484"/>
      <c r="H728" s="484"/>
      <c r="I728" s="484"/>
      <c r="J728" s="485"/>
      <c r="K728" s="478"/>
    </row>
    <row r="729" spans="1:11" s="508" customFormat="1" ht="15.75" customHeight="1">
      <c r="A729" s="479">
        <v>616</v>
      </c>
      <c r="B729" s="1123" t="s">
        <v>1341</v>
      </c>
      <c r="C729" s="1123"/>
      <c r="D729" s="605" t="s">
        <v>337</v>
      </c>
      <c r="E729" s="474">
        <v>1521300.0000000002</v>
      </c>
      <c r="F729" s="1088"/>
      <c r="G729" s="484"/>
      <c r="H729" s="484"/>
      <c r="I729" s="484"/>
      <c r="J729" s="485"/>
      <c r="K729" s="478"/>
    </row>
    <row r="730" spans="1:11" s="508" customFormat="1" ht="15.75" customHeight="1">
      <c r="A730" s="479">
        <v>617</v>
      </c>
      <c r="B730" s="1128" t="s">
        <v>1342</v>
      </c>
      <c r="C730" s="1128"/>
      <c r="D730" s="605" t="s">
        <v>337</v>
      </c>
      <c r="E730" s="474">
        <v>2109800</v>
      </c>
      <c r="F730" s="1088"/>
      <c r="G730" s="484"/>
      <c r="H730" s="484"/>
      <c r="I730" s="484"/>
      <c r="J730" s="485"/>
      <c r="K730" s="478"/>
    </row>
    <row r="731" spans="1:11" s="508" customFormat="1" ht="15.75" customHeight="1">
      <c r="A731" s="479">
        <v>618</v>
      </c>
      <c r="B731" s="1123" t="s">
        <v>1343</v>
      </c>
      <c r="C731" s="1123"/>
      <c r="D731" s="605" t="s">
        <v>337</v>
      </c>
      <c r="E731" s="474">
        <v>2983200.0000000005</v>
      </c>
      <c r="F731" s="1088"/>
      <c r="G731" s="484"/>
      <c r="H731" s="484"/>
      <c r="I731" s="484"/>
      <c r="J731" s="485"/>
      <c r="K731" s="478"/>
    </row>
    <row r="732" spans="1:11" s="508" customFormat="1" ht="15.75" customHeight="1">
      <c r="A732" s="479">
        <v>619</v>
      </c>
      <c r="B732" s="1126" t="s">
        <v>1344</v>
      </c>
      <c r="C732" s="1126"/>
      <c r="D732" s="605" t="s">
        <v>337</v>
      </c>
      <c r="E732" s="474">
        <v>192500.00000000003</v>
      </c>
      <c r="F732" s="1088"/>
      <c r="G732" s="484"/>
      <c r="H732" s="484"/>
      <c r="I732" s="484"/>
      <c r="J732" s="485"/>
      <c r="K732" s="478"/>
    </row>
    <row r="733" spans="1:11" s="508" customFormat="1" ht="15.75" customHeight="1">
      <c r="A733" s="479">
        <v>620</v>
      </c>
      <c r="B733" s="1126" t="s">
        <v>1345</v>
      </c>
      <c r="C733" s="1126"/>
      <c r="D733" s="605" t="s">
        <v>337</v>
      </c>
      <c r="E733" s="474">
        <v>288750</v>
      </c>
      <c r="F733" s="1088"/>
      <c r="G733" s="484"/>
      <c r="H733" s="484"/>
      <c r="I733" s="484"/>
      <c r="J733" s="485"/>
      <c r="K733" s="478"/>
    </row>
    <row r="734" spans="1:11" s="508" customFormat="1" ht="15.75" customHeight="1">
      <c r="A734" s="479">
        <v>621</v>
      </c>
      <c r="B734" s="1126" t="s">
        <v>1346</v>
      </c>
      <c r="C734" s="1126"/>
      <c r="D734" s="605" t="s">
        <v>337</v>
      </c>
      <c r="E734" s="474">
        <v>442750.00000000006</v>
      </c>
      <c r="F734" s="1088"/>
      <c r="G734" s="484"/>
      <c r="H734" s="484"/>
      <c r="I734" s="484"/>
      <c r="J734" s="485"/>
      <c r="K734" s="478"/>
    </row>
    <row r="735" spans="1:11" s="508" customFormat="1" ht="15.75" customHeight="1">
      <c r="A735" s="479">
        <v>622</v>
      </c>
      <c r="B735" s="1126" t="s">
        <v>1347</v>
      </c>
      <c r="C735" s="1126"/>
      <c r="D735" s="605" t="s">
        <v>337</v>
      </c>
      <c r="E735" s="474">
        <v>616000</v>
      </c>
      <c r="F735" s="1088"/>
      <c r="G735" s="484"/>
      <c r="H735" s="484"/>
      <c r="I735" s="484"/>
      <c r="J735" s="485"/>
      <c r="K735" s="478"/>
    </row>
    <row r="736" spans="1:11" s="508" customFormat="1" ht="15.75" customHeight="1">
      <c r="A736" s="479">
        <v>623</v>
      </c>
      <c r="B736" s="1123" t="s">
        <v>1348</v>
      </c>
      <c r="C736" s="1123"/>
      <c r="D736" s="605" t="s">
        <v>337</v>
      </c>
      <c r="E736" s="474">
        <v>1204500</v>
      </c>
      <c r="F736" s="1088"/>
      <c r="G736" s="484"/>
      <c r="H736" s="484"/>
      <c r="I736" s="484"/>
      <c r="J736" s="485"/>
      <c r="K736" s="478"/>
    </row>
    <row r="737" spans="1:11" s="508" customFormat="1" ht="15.75" customHeight="1">
      <c r="A737" s="479">
        <v>624</v>
      </c>
      <c r="B737" s="1123" t="s">
        <v>1349</v>
      </c>
      <c r="C737" s="1123"/>
      <c r="D737" s="605" t="s">
        <v>337</v>
      </c>
      <c r="E737" s="474">
        <v>1411300</v>
      </c>
      <c r="F737" s="1088"/>
      <c r="G737" s="484"/>
      <c r="H737" s="484"/>
      <c r="I737" s="484"/>
      <c r="J737" s="485"/>
      <c r="K737" s="478"/>
    </row>
    <row r="738" spans="1:11" s="508" customFormat="1" ht="15.75" customHeight="1">
      <c r="A738" s="479">
        <v>625</v>
      </c>
      <c r="B738" s="1123" t="s">
        <v>1350</v>
      </c>
      <c r="C738" s="1123"/>
      <c r="D738" s="605" t="s">
        <v>337</v>
      </c>
      <c r="E738" s="474">
        <v>1478400.0000000002</v>
      </c>
      <c r="F738" s="1088"/>
      <c r="G738" s="484"/>
      <c r="H738" s="484"/>
      <c r="I738" s="484"/>
      <c r="J738" s="485"/>
      <c r="K738" s="478"/>
    </row>
    <row r="739" spans="1:11" s="508" customFormat="1" ht="15.75" customHeight="1">
      <c r="A739" s="479">
        <v>626</v>
      </c>
      <c r="B739" s="1123" t="s">
        <v>1351</v>
      </c>
      <c r="C739" s="1123"/>
      <c r="D739" s="605" t="s">
        <v>337</v>
      </c>
      <c r="E739" s="474">
        <v>2637800</v>
      </c>
      <c r="F739" s="1088"/>
      <c r="G739" s="484"/>
      <c r="H739" s="484"/>
      <c r="I739" s="484"/>
      <c r="J739" s="485"/>
      <c r="K739" s="478"/>
    </row>
    <row r="740" spans="1:11" s="508" customFormat="1" ht="15.75" customHeight="1">
      <c r="A740" s="479">
        <v>627</v>
      </c>
      <c r="B740" s="1123" t="s">
        <v>1352</v>
      </c>
      <c r="C740" s="1123"/>
      <c r="D740" s="605" t="s">
        <v>337</v>
      </c>
      <c r="E740" s="474">
        <v>3022800.0000000005</v>
      </c>
      <c r="F740" s="1088"/>
      <c r="G740" s="484"/>
      <c r="H740" s="484"/>
      <c r="I740" s="484"/>
      <c r="J740" s="485"/>
      <c r="K740" s="478"/>
    </row>
    <row r="741" spans="1:11" s="508" customFormat="1" ht="15.75" customHeight="1">
      <c r="A741" s="479">
        <v>628</v>
      </c>
      <c r="B741" s="1123" t="s">
        <v>1353</v>
      </c>
      <c r="C741" s="1123"/>
      <c r="D741" s="605" t="s">
        <v>337</v>
      </c>
      <c r="E741" s="474">
        <v>3407799.9999999995</v>
      </c>
      <c r="F741" s="1088"/>
      <c r="G741" s="484"/>
      <c r="H741" s="484"/>
      <c r="I741" s="484"/>
      <c r="J741" s="485"/>
      <c r="K741" s="478"/>
    </row>
    <row r="742" spans="1:11" s="508" customFormat="1" ht="15.75" customHeight="1">
      <c r="A742" s="479">
        <v>629</v>
      </c>
      <c r="B742" s="1123" t="s">
        <v>1354</v>
      </c>
      <c r="C742" s="1123"/>
      <c r="D742" s="605" t="s">
        <v>337</v>
      </c>
      <c r="E742" s="474">
        <v>2368300</v>
      </c>
      <c r="F742" s="1088"/>
      <c r="G742" s="484"/>
      <c r="H742" s="484"/>
      <c r="I742" s="484"/>
      <c r="J742" s="485"/>
      <c r="K742" s="478"/>
    </row>
    <row r="743" spans="1:11" s="508" customFormat="1" ht="15.75" customHeight="1">
      <c r="A743" s="479">
        <v>630</v>
      </c>
      <c r="B743" s="1123" t="s">
        <v>1355</v>
      </c>
      <c r="C743" s="1123"/>
      <c r="D743" s="605" t="s">
        <v>337</v>
      </c>
      <c r="E743" s="474">
        <v>2714800</v>
      </c>
      <c r="F743" s="1088"/>
      <c r="G743" s="484"/>
      <c r="H743" s="484"/>
      <c r="I743" s="484"/>
      <c r="J743" s="485"/>
      <c r="K743" s="478"/>
    </row>
    <row r="744" spans="1:11" s="508" customFormat="1" ht="15.75" customHeight="1">
      <c r="A744" s="479">
        <v>631</v>
      </c>
      <c r="B744" s="1123" t="s">
        <v>1356</v>
      </c>
      <c r="C744" s="1123"/>
      <c r="D744" s="601" t="s">
        <v>337</v>
      </c>
      <c r="E744" s="474">
        <v>2887500.0000000005</v>
      </c>
      <c r="F744" s="1088"/>
      <c r="G744" s="484"/>
      <c r="H744" s="484"/>
      <c r="I744" s="484"/>
      <c r="J744" s="485"/>
      <c r="K744" s="478"/>
    </row>
    <row r="745" spans="1:11" s="508" customFormat="1" ht="15.75" customHeight="1">
      <c r="A745" s="479">
        <v>632</v>
      </c>
      <c r="B745" s="1123" t="s">
        <v>1357</v>
      </c>
      <c r="C745" s="1123"/>
      <c r="D745" s="601" t="s">
        <v>337</v>
      </c>
      <c r="E745" s="474">
        <v>857999.99999999988</v>
      </c>
      <c r="F745" s="1088"/>
      <c r="G745" s="484"/>
      <c r="H745" s="484"/>
      <c r="I745" s="484"/>
      <c r="J745" s="485"/>
      <c r="K745" s="478"/>
    </row>
    <row r="746" spans="1:11" s="508" customFormat="1" ht="15.75" customHeight="1">
      <c r="A746" s="479">
        <v>633</v>
      </c>
      <c r="B746" s="1123" t="s">
        <v>1358</v>
      </c>
      <c r="C746" s="1123"/>
      <c r="D746" s="601" t="s">
        <v>337</v>
      </c>
      <c r="E746" s="474">
        <v>1649999.9999999998</v>
      </c>
      <c r="F746" s="1088"/>
      <c r="G746" s="484"/>
      <c r="H746" s="484"/>
      <c r="I746" s="484"/>
      <c r="J746" s="485"/>
      <c r="K746" s="478"/>
    </row>
    <row r="747" spans="1:11" s="508" customFormat="1" ht="15.75" customHeight="1">
      <c r="A747" s="479">
        <v>634</v>
      </c>
      <c r="B747" s="1123" t="s">
        <v>1359</v>
      </c>
      <c r="C747" s="1123"/>
      <c r="D747" s="601" t="s">
        <v>337</v>
      </c>
      <c r="E747" s="474">
        <v>2112000</v>
      </c>
      <c r="F747" s="1088"/>
      <c r="G747" s="484"/>
      <c r="H747" s="484"/>
      <c r="I747" s="484"/>
      <c r="J747" s="485"/>
      <c r="K747" s="478"/>
    </row>
    <row r="748" spans="1:11" s="508" customFormat="1" ht="15.75" customHeight="1">
      <c r="A748" s="479">
        <v>635</v>
      </c>
      <c r="B748" s="1129" t="s">
        <v>1360</v>
      </c>
      <c r="C748" s="1129"/>
      <c r="D748" s="601" t="s">
        <v>337</v>
      </c>
      <c r="E748" s="474">
        <v>2552000</v>
      </c>
      <c r="F748" s="1088"/>
      <c r="G748" s="484"/>
      <c r="H748" s="484"/>
      <c r="I748" s="484"/>
      <c r="J748" s="485"/>
      <c r="K748" s="478"/>
    </row>
    <row r="749" spans="1:11" s="508" customFormat="1" ht="15.75" customHeight="1">
      <c r="A749" s="479">
        <v>636</v>
      </c>
      <c r="B749" s="1128" t="s">
        <v>1361</v>
      </c>
      <c r="C749" s="1128"/>
      <c r="D749" s="601" t="s">
        <v>337</v>
      </c>
      <c r="E749" s="474">
        <v>2970000.0000000005</v>
      </c>
      <c r="F749" s="1088"/>
      <c r="G749" s="484"/>
      <c r="H749" s="484"/>
      <c r="I749" s="484"/>
      <c r="J749" s="485"/>
      <c r="K749" s="478"/>
    </row>
    <row r="750" spans="1:11" s="508" customFormat="1" ht="15.75" customHeight="1">
      <c r="A750" s="479">
        <v>637</v>
      </c>
      <c r="B750" s="1123" t="s">
        <v>1362</v>
      </c>
      <c r="C750" s="1123"/>
      <c r="D750" s="601" t="s">
        <v>337</v>
      </c>
      <c r="E750" s="474">
        <v>3850000</v>
      </c>
      <c r="F750" s="1088"/>
      <c r="G750" s="484"/>
      <c r="H750" s="484"/>
      <c r="I750" s="484"/>
      <c r="J750" s="485"/>
      <c r="K750" s="478"/>
    </row>
    <row r="751" spans="1:11" s="508" customFormat="1" ht="15.75" customHeight="1">
      <c r="A751" s="479">
        <v>638</v>
      </c>
      <c r="B751" s="1123" t="s">
        <v>1363</v>
      </c>
      <c r="C751" s="1123"/>
      <c r="D751" s="601" t="s">
        <v>337</v>
      </c>
      <c r="E751" s="474">
        <v>5720000</v>
      </c>
      <c r="F751" s="1088"/>
      <c r="G751" s="484"/>
      <c r="H751" s="484"/>
      <c r="I751" s="484"/>
      <c r="J751" s="485"/>
      <c r="K751" s="478"/>
    </row>
    <row r="752" spans="1:11" s="508" customFormat="1" ht="15.75" customHeight="1">
      <c r="A752" s="479">
        <v>639</v>
      </c>
      <c r="B752" s="1123" t="s">
        <v>1364</v>
      </c>
      <c r="C752" s="1123"/>
      <c r="D752" s="601" t="s">
        <v>337</v>
      </c>
      <c r="E752" s="474">
        <v>468600.00000000006</v>
      </c>
      <c r="F752" s="1088"/>
      <c r="G752" s="484"/>
      <c r="H752" s="484"/>
      <c r="I752" s="484"/>
      <c r="J752" s="485"/>
      <c r="K752" s="478"/>
    </row>
    <row r="753" spans="1:11" s="508" customFormat="1" ht="15.75" customHeight="1">
      <c r="A753" s="479">
        <v>640</v>
      </c>
      <c r="B753" s="1123" t="s">
        <v>1365</v>
      </c>
      <c r="C753" s="1123"/>
      <c r="D753" s="601" t="s">
        <v>337</v>
      </c>
      <c r="E753" s="474">
        <v>880000.00000000012</v>
      </c>
      <c r="F753" s="1088"/>
      <c r="G753" s="484"/>
      <c r="H753" s="484"/>
      <c r="I753" s="484"/>
      <c r="J753" s="485"/>
      <c r="K753" s="478"/>
    </row>
    <row r="754" spans="1:11" s="508" customFormat="1" ht="15.75" customHeight="1">
      <c r="A754" s="479">
        <v>641</v>
      </c>
      <c r="B754" s="1123" t="s">
        <v>1366</v>
      </c>
      <c r="C754" s="1123"/>
      <c r="D754" s="601" t="s">
        <v>337</v>
      </c>
      <c r="E754" s="474">
        <v>6600000</v>
      </c>
      <c r="F754" s="1088"/>
      <c r="G754" s="484"/>
      <c r="H754" s="484"/>
      <c r="I754" s="484"/>
      <c r="J754" s="485"/>
      <c r="K754" s="478"/>
    </row>
    <row r="755" spans="1:11" s="508" customFormat="1" ht="15.75" customHeight="1">
      <c r="A755" s="479">
        <v>642</v>
      </c>
      <c r="B755" s="1123" t="s">
        <v>1367</v>
      </c>
      <c r="C755" s="1123"/>
      <c r="D755" s="601" t="s">
        <v>337</v>
      </c>
      <c r="E755" s="474">
        <v>9625000</v>
      </c>
      <c r="F755" s="1088"/>
      <c r="G755" s="484"/>
      <c r="H755" s="484"/>
      <c r="I755" s="484"/>
      <c r="J755" s="485"/>
      <c r="K755" s="478"/>
    </row>
    <row r="756" spans="1:11" s="508" customFormat="1" ht="15.75" customHeight="1">
      <c r="A756" s="509"/>
      <c r="B756" s="1127" t="s">
        <v>1368</v>
      </c>
      <c r="C756" s="1127"/>
      <c r="D756" s="603"/>
      <c r="E756" s="474"/>
      <c r="F756" s="1088"/>
      <c r="G756" s="484"/>
      <c r="H756" s="484"/>
      <c r="I756" s="484"/>
      <c r="J756" s="485"/>
      <c r="K756" s="478"/>
    </row>
    <row r="757" spans="1:11" s="508" customFormat="1" ht="15.75" customHeight="1">
      <c r="A757" s="479">
        <v>643</v>
      </c>
      <c r="B757" s="1123" t="s">
        <v>1369</v>
      </c>
      <c r="C757" s="1123"/>
      <c r="D757" s="607" t="s">
        <v>335</v>
      </c>
      <c r="E757" s="474">
        <v>583000</v>
      </c>
      <c r="F757" s="1088"/>
      <c r="G757" s="484"/>
      <c r="H757" s="484"/>
      <c r="I757" s="484"/>
      <c r="J757" s="485"/>
      <c r="K757" s="478"/>
    </row>
    <row r="758" spans="1:11" s="508" customFormat="1" ht="15.75" customHeight="1">
      <c r="A758" s="479">
        <v>644</v>
      </c>
      <c r="B758" s="1123" t="s">
        <v>1370</v>
      </c>
      <c r="C758" s="1123"/>
      <c r="D758" s="607" t="s">
        <v>335</v>
      </c>
      <c r="E758" s="474">
        <v>924000</v>
      </c>
      <c r="F758" s="1088"/>
      <c r="G758" s="484"/>
      <c r="H758" s="484"/>
      <c r="I758" s="484"/>
      <c r="J758" s="485"/>
      <c r="K758" s="478"/>
    </row>
    <row r="759" spans="1:11" s="508" customFormat="1" ht="15.75" customHeight="1">
      <c r="A759" s="479">
        <v>645</v>
      </c>
      <c r="B759" s="1123" t="s">
        <v>1371</v>
      </c>
      <c r="C759" s="1123"/>
      <c r="D759" s="607" t="s">
        <v>335</v>
      </c>
      <c r="E759" s="474">
        <v>473000</v>
      </c>
      <c r="F759" s="1088"/>
      <c r="G759" s="484"/>
      <c r="H759" s="484"/>
      <c r="I759" s="484"/>
      <c r="J759" s="485"/>
      <c r="K759" s="478"/>
    </row>
    <row r="760" spans="1:11" s="508" customFormat="1" ht="15.75" customHeight="1">
      <c r="A760" s="479">
        <v>646</v>
      </c>
      <c r="B760" s="1123" t="s">
        <v>1372</v>
      </c>
      <c r="C760" s="1123"/>
      <c r="D760" s="607" t="s">
        <v>335</v>
      </c>
      <c r="E760" s="474">
        <v>406999.99999999994</v>
      </c>
      <c r="F760" s="1088"/>
      <c r="G760" s="484"/>
      <c r="H760" s="484"/>
      <c r="I760" s="484"/>
      <c r="J760" s="485"/>
      <c r="K760" s="478"/>
    </row>
    <row r="761" spans="1:11" s="508" customFormat="1" ht="15.75" customHeight="1">
      <c r="A761" s="479">
        <v>647</v>
      </c>
      <c r="B761" s="1123" t="s">
        <v>1373</v>
      </c>
      <c r="C761" s="1123"/>
      <c r="D761" s="607" t="s">
        <v>335</v>
      </c>
      <c r="E761" s="474">
        <v>715000</v>
      </c>
      <c r="F761" s="1088"/>
      <c r="G761" s="484"/>
      <c r="H761" s="484"/>
      <c r="I761" s="484"/>
      <c r="J761" s="485"/>
      <c r="K761" s="478"/>
    </row>
    <row r="762" spans="1:11" s="508" customFormat="1" ht="15.75" customHeight="1">
      <c r="A762" s="479">
        <v>648</v>
      </c>
      <c r="B762" s="1123" t="s">
        <v>1374</v>
      </c>
      <c r="C762" s="1123"/>
      <c r="D762" s="607" t="s">
        <v>335</v>
      </c>
      <c r="E762" s="474">
        <v>583000</v>
      </c>
      <c r="F762" s="1088"/>
      <c r="G762" s="484"/>
      <c r="H762" s="484"/>
      <c r="I762" s="484"/>
      <c r="J762" s="485"/>
      <c r="K762" s="478"/>
    </row>
    <row r="763" spans="1:11" s="508" customFormat="1" ht="15.75" customHeight="1">
      <c r="A763" s="479">
        <v>649</v>
      </c>
      <c r="B763" s="1123" t="s">
        <v>1375</v>
      </c>
      <c r="C763" s="1123"/>
      <c r="D763" s="607" t="s">
        <v>335</v>
      </c>
      <c r="E763" s="474">
        <v>583000</v>
      </c>
      <c r="F763" s="1088"/>
      <c r="G763" s="484"/>
      <c r="H763" s="484"/>
      <c r="I763" s="484"/>
      <c r="J763" s="485"/>
      <c r="K763" s="478"/>
    </row>
    <row r="764" spans="1:11" s="508" customFormat="1" ht="15.75" customHeight="1">
      <c r="A764" s="479">
        <v>650</v>
      </c>
      <c r="B764" s="1123" t="s">
        <v>1376</v>
      </c>
      <c r="C764" s="1123"/>
      <c r="D764" s="607" t="s">
        <v>335</v>
      </c>
      <c r="E764" s="474">
        <v>473000</v>
      </c>
      <c r="F764" s="1088"/>
      <c r="G764" s="484"/>
      <c r="H764" s="484"/>
      <c r="I764" s="484"/>
      <c r="J764" s="485"/>
      <c r="K764" s="478"/>
    </row>
    <row r="765" spans="1:11" s="508" customFormat="1" ht="15.75" customHeight="1">
      <c r="A765" s="479">
        <v>651</v>
      </c>
      <c r="B765" s="1123" t="s">
        <v>1377</v>
      </c>
      <c r="C765" s="1123"/>
      <c r="D765" s="607" t="s">
        <v>335</v>
      </c>
      <c r="E765" s="474">
        <v>406999.99999999994</v>
      </c>
      <c r="F765" s="1088"/>
      <c r="G765" s="484"/>
      <c r="H765" s="484"/>
      <c r="I765" s="484"/>
      <c r="J765" s="485"/>
      <c r="K765" s="478"/>
    </row>
    <row r="766" spans="1:11" s="508" customFormat="1" ht="15.75" customHeight="1">
      <c r="A766" s="479">
        <v>652</v>
      </c>
      <c r="B766" s="1123" t="s">
        <v>1378</v>
      </c>
      <c r="C766" s="1123"/>
      <c r="D766" s="607" t="s">
        <v>335</v>
      </c>
      <c r="E766" s="474">
        <v>291500</v>
      </c>
      <c r="F766" s="1088"/>
      <c r="G766" s="484"/>
      <c r="H766" s="484"/>
      <c r="I766" s="484"/>
      <c r="J766" s="485"/>
      <c r="K766" s="478"/>
    </row>
    <row r="767" spans="1:11" s="508" customFormat="1" ht="15.75" customHeight="1">
      <c r="A767" s="479">
        <v>653</v>
      </c>
      <c r="B767" s="1123" t="s">
        <v>1379</v>
      </c>
      <c r="C767" s="1123"/>
      <c r="D767" s="607" t="s">
        <v>335</v>
      </c>
      <c r="E767" s="474">
        <v>428999.99999999994</v>
      </c>
      <c r="F767" s="1088"/>
      <c r="G767" s="484"/>
      <c r="H767" s="484"/>
      <c r="I767" s="484"/>
      <c r="J767" s="485"/>
      <c r="K767" s="478"/>
    </row>
    <row r="768" spans="1:11" s="508" customFormat="1" ht="15.75" customHeight="1">
      <c r="A768" s="509"/>
      <c r="B768" s="1127" t="s">
        <v>1380</v>
      </c>
      <c r="C768" s="1127"/>
      <c r="D768" s="603"/>
      <c r="E768" s="474"/>
      <c r="F768" s="1088"/>
      <c r="G768" s="484"/>
      <c r="H768" s="484"/>
      <c r="I768" s="484"/>
      <c r="J768" s="485"/>
      <c r="K768" s="478"/>
    </row>
    <row r="769" spans="1:11" s="508" customFormat="1" ht="15.75" customHeight="1">
      <c r="A769" s="479">
        <v>654</v>
      </c>
      <c r="B769" s="1123" t="s">
        <v>1381</v>
      </c>
      <c r="C769" s="1123"/>
      <c r="D769" s="607" t="s">
        <v>335</v>
      </c>
      <c r="E769" s="474">
        <v>17600</v>
      </c>
      <c r="F769" s="1088"/>
      <c r="G769" s="484"/>
      <c r="H769" s="484"/>
      <c r="I769" s="484"/>
      <c r="J769" s="485"/>
      <c r="K769" s="478"/>
    </row>
    <row r="770" spans="1:11" s="508" customFormat="1" ht="15.75" customHeight="1">
      <c r="A770" s="479">
        <v>655</v>
      </c>
      <c r="B770" s="1123" t="s">
        <v>1382</v>
      </c>
      <c r="C770" s="1123"/>
      <c r="D770" s="607" t="s">
        <v>335</v>
      </c>
      <c r="E770" s="474">
        <v>17600</v>
      </c>
      <c r="F770" s="1088"/>
      <c r="G770" s="484"/>
      <c r="H770" s="484"/>
      <c r="I770" s="484"/>
      <c r="J770" s="485"/>
      <c r="K770" s="478"/>
    </row>
    <row r="771" spans="1:11" s="508" customFormat="1" ht="15.75" customHeight="1">
      <c r="A771" s="479">
        <v>656</v>
      </c>
      <c r="B771" s="1123" t="s">
        <v>1383</v>
      </c>
      <c r="C771" s="1123"/>
      <c r="D771" s="607" t="s">
        <v>335</v>
      </c>
      <c r="E771" s="474">
        <v>36300</v>
      </c>
      <c r="F771" s="1088"/>
      <c r="G771" s="484"/>
      <c r="H771" s="484"/>
      <c r="I771" s="484"/>
      <c r="J771" s="485"/>
      <c r="K771" s="478"/>
    </row>
    <row r="772" spans="1:11" s="508" customFormat="1" ht="15.75" customHeight="1">
      <c r="A772" s="479">
        <v>657</v>
      </c>
      <c r="B772" s="1123" t="s">
        <v>1384</v>
      </c>
      <c r="C772" s="1123"/>
      <c r="D772" s="607" t="s">
        <v>335</v>
      </c>
      <c r="E772" s="474">
        <v>47300.000000000007</v>
      </c>
      <c r="F772" s="1088"/>
      <c r="G772" s="484"/>
      <c r="H772" s="484"/>
      <c r="I772" s="484"/>
      <c r="J772" s="485"/>
      <c r="K772" s="478"/>
    </row>
    <row r="773" spans="1:11" s="508" customFormat="1" ht="15.75" customHeight="1">
      <c r="A773" s="479">
        <v>658</v>
      </c>
      <c r="B773" s="1123" t="s">
        <v>1385</v>
      </c>
      <c r="C773" s="1123"/>
      <c r="D773" s="607" t="s">
        <v>335</v>
      </c>
      <c r="E773" s="474">
        <v>53899.999999999993</v>
      </c>
      <c r="F773" s="1088"/>
      <c r="G773" s="484"/>
      <c r="H773" s="484"/>
      <c r="I773" s="484"/>
      <c r="J773" s="485"/>
      <c r="K773" s="478"/>
    </row>
    <row r="774" spans="1:11" s="508" customFormat="1" ht="15.75" customHeight="1">
      <c r="A774" s="479">
        <v>659</v>
      </c>
      <c r="B774" s="1123" t="s">
        <v>1386</v>
      </c>
      <c r="C774" s="1123"/>
      <c r="D774" s="607" t="s">
        <v>335</v>
      </c>
      <c r="E774" s="474">
        <v>58300.000000000007</v>
      </c>
      <c r="F774" s="1088"/>
      <c r="G774" s="484"/>
      <c r="H774" s="484"/>
      <c r="I774" s="484"/>
      <c r="J774" s="485"/>
      <c r="K774" s="478"/>
    </row>
    <row r="775" spans="1:11" s="508" customFormat="1" ht="15.75" customHeight="1">
      <c r="A775" s="479">
        <v>660</v>
      </c>
      <c r="B775" s="1123" t="s">
        <v>1387</v>
      </c>
      <c r="C775" s="1123"/>
      <c r="D775" s="607" t="s">
        <v>335</v>
      </c>
      <c r="E775" s="474">
        <v>70400</v>
      </c>
      <c r="F775" s="1088"/>
      <c r="G775" s="484"/>
      <c r="H775" s="484"/>
      <c r="I775" s="484"/>
      <c r="J775" s="485"/>
      <c r="K775" s="478"/>
    </row>
    <row r="776" spans="1:11" s="508" customFormat="1" ht="15.75" customHeight="1">
      <c r="A776" s="479">
        <v>661</v>
      </c>
      <c r="B776" s="1123" t="s">
        <v>1388</v>
      </c>
      <c r="C776" s="1123"/>
      <c r="D776" s="607" t="s">
        <v>335</v>
      </c>
      <c r="E776" s="474">
        <v>127600.00000000001</v>
      </c>
      <c r="F776" s="1088"/>
      <c r="G776" s="484"/>
      <c r="H776" s="484"/>
      <c r="I776" s="484"/>
      <c r="J776" s="485"/>
      <c r="K776" s="478"/>
    </row>
    <row r="777" spans="1:11" s="508" customFormat="1" ht="15.75" customHeight="1">
      <c r="A777" s="479">
        <v>662</v>
      </c>
      <c r="B777" s="1123" t="s">
        <v>1389</v>
      </c>
      <c r="C777" s="1123"/>
      <c r="D777" s="607" t="s">
        <v>335</v>
      </c>
      <c r="E777" s="474">
        <v>143000</v>
      </c>
      <c r="F777" s="1088"/>
      <c r="G777" s="484"/>
      <c r="H777" s="484"/>
      <c r="I777" s="484"/>
      <c r="J777" s="485"/>
      <c r="K777" s="478"/>
    </row>
    <row r="778" spans="1:11" s="508" customFormat="1" ht="15.75" customHeight="1">
      <c r="A778" s="479">
        <v>663</v>
      </c>
      <c r="B778" s="1123" t="s">
        <v>1390</v>
      </c>
      <c r="C778" s="1123"/>
      <c r="D778" s="607" t="s">
        <v>335</v>
      </c>
      <c r="E778" s="474">
        <v>135300</v>
      </c>
      <c r="F778" s="1088"/>
      <c r="G778" s="484"/>
      <c r="H778" s="484"/>
      <c r="I778" s="484"/>
      <c r="J778" s="485"/>
      <c r="K778" s="478"/>
    </row>
    <row r="779" spans="1:11" s="508" customFormat="1" ht="15.75" customHeight="1">
      <c r="A779" s="479">
        <v>664</v>
      </c>
      <c r="B779" s="1123" t="s">
        <v>1391</v>
      </c>
      <c r="C779" s="1123"/>
      <c r="D779" s="607" t="s">
        <v>335</v>
      </c>
      <c r="E779" s="474">
        <v>157300</v>
      </c>
      <c r="F779" s="1088"/>
      <c r="G779" s="484"/>
      <c r="H779" s="484"/>
      <c r="I779" s="484"/>
      <c r="J779" s="485"/>
      <c r="K779" s="478"/>
    </row>
    <row r="780" spans="1:11" s="508" customFormat="1" ht="15.75" customHeight="1">
      <c r="A780" s="479">
        <v>665</v>
      </c>
      <c r="B780" s="1123" t="s">
        <v>1392</v>
      </c>
      <c r="C780" s="1123"/>
      <c r="D780" s="607" t="s">
        <v>335</v>
      </c>
      <c r="E780" s="474">
        <v>161700</v>
      </c>
      <c r="F780" s="1088"/>
      <c r="G780" s="484"/>
      <c r="H780" s="484"/>
      <c r="I780" s="484"/>
      <c r="J780" s="485"/>
      <c r="K780" s="478"/>
    </row>
    <row r="781" spans="1:11" s="508" customFormat="1" ht="15.75" customHeight="1">
      <c r="A781" s="479">
        <v>666</v>
      </c>
      <c r="B781" s="1123" t="s">
        <v>1393</v>
      </c>
      <c r="C781" s="1123"/>
      <c r="D781" s="607" t="s">
        <v>335</v>
      </c>
      <c r="E781" s="474">
        <v>169400</v>
      </c>
      <c r="F781" s="1088"/>
      <c r="G781" s="484"/>
      <c r="H781" s="484"/>
      <c r="I781" s="484"/>
      <c r="J781" s="485"/>
      <c r="K781" s="478"/>
    </row>
    <row r="782" spans="1:11" s="508" customFormat="1" ht="15.75" customHeight="1">
      <c r="A782" s="479">
        <v>667</v>
      </c>
      <c r="B782" s="1123" t="s">
        <v>1394</v>
      </c>
      <c r="C782" s="1123"/>
      <c r="D782" s="607" t="s">
        <v>335</v>
      </c>
      <c r="E782" s="474">
        <v>174900</v>
      </c>
      <c r="F782" s="1088"/>
      <c r="G782" s="484"/>
      <c r="H782" s="484"/>
      <c r="I782" s="484"/>
      <c r="J782" s="485"/>
      <c r="K782" s="478"/>
    </row>
    <row r="783" spans="1:11" s="508" customFormat="1" ht="15.75" customHeight="1">
      <c r="A783" s="479">
        <v>668</v>
      </c>
      <c r="B783" s="1123" t="s">
        <v>1395</v>
      </c>
      <c r="C783" s="1123"/>
      <c r="D783" s="607" t="s">
        <v>335</v>
      </c>
      <c r="E783" s="474">
        <v>261800</v>
      </c>
      <c r="F783" s="1088"/>
      <c r="G783" s="484"/>
      <c r="H783" s="484"/>
      <c r="I783" s="484"/>
      <c r="J783" s="485"/>
      <c r="K783" s="478"/>
    </row>
    <row r="784" spans="1:11" s="508" customFormat="1" ht="15.75" customHeight="1">
      <c r="A784" s="479">
        <v>669</v>
      </c>
      <c r="B784" s="1123" t="s">
        <v>1396</v>
      </c>
      <c r="C784" s="1123"/>
      <c r="D784" s="607" t="s">
        <v>335</v>
      </c>
      <c r="E784" s="474">
        <v>265100</v>
      </c>
      <c r="F784" s="1088"/>
      <c r="G784" s="484"/>
      <c r="H784" s="484"/>
      <c r="I784" s="484"/>
      <c r="J784" s="485"/>
      <c r="K784" s="478"/>
    </row>
    <row r="785" spans="1:11" s="508" customFormat="1" ht="15.75" customHeight="1">
      <c r="A785" s="479">
        <v>670</v>
      </c>
      <c r="B785" s="1123" t="s">
        <v>1397</v>
      </c>
      <c r="C785" s="1123"/>
      <c r="D785" s="607" t="s">
        <v>335</v>
      </c>
      <c r="E785" s="474">
        <v>288200</v>
      </c>
      <c r="F785" s="1088"/>
      <c r="G785" s="484"/>
      <c r="H785" s="484"/>
      <c r="I785" s="484"/>
      <c r="J785" s="485"/>
      <c r="K785" s="478"/>
    </row>
    <row r="786" spans="1:11" s="508" customFormat="1" ht="15.75" customHeight="1">
      <c r="A786" s="479">
        <v>671</v>
      </c>
      <c r="B786" s="1123" t="s">
        <v>1398</v>
      </c>
      <c r="C786" s="1123"/>
      <c r="D786" s="607" t="s">
        <v>335</v>
      </c>
      <c r="E786" s="474">
        <v>291500</v>
      </c>
      <c r="F786" s="1088"/>
      <c r="G786" s="484"/>
      <c r="H786" s="484"/>
      <c r="I786" s="484"/>
      <c r="J786" s="485"/>
      <c r="K786" s="478"/>
    </row>
    <row r="787" spans="1:11" s="508" customFormat="1" ht="15.75" customHeight="1">
      <c r="A787" s="479">
        <v>672</v>
      </c>
      <c r="B787" s="1123" t="s">
        <v>1399</v>
      </c>
      <c r="C787" s="1123"/>
      <c r="D787" s="607" t="s">
        <v>335</v>
      </c>
      <c r="E787" s="474">
        <v>34100</v>
      </c>
      <c r="F787" s="1088"/>
      <c r="G787" s="484"/>
      <c r="H787" s="484"/>
      <c r="I787" s="484"/>
      <c r="J787" s="485"/>
      <c r="K787" s="478"/>
    </row>
    <row r="788" spans="1:11" s="508" customFormat="1" ht="15.75" customHeight="1">
      <c r="A788" s="479">
        <v>673</v>
      </c>
      <c r="B788" s="1123" t="s">
        <v>1400</v>
      </c>
      <c r="C788" s="1123"/>
      <c r="D788" s="607" t="s">
        <v>335</v>
      </c>
      <c r="E788" s="474">
        <v>38500</v>
      </c>
      <c r="F788" s="1088"/>
      <c r="G788" s="484"/>
      <c r="H788" s="484"/>
      <c r="I788" s="484"/>
      <c r="J788" s="485"/>
      <c r="K788" s="478"/>
    </row>
    <row r="789" spans="1:11" s="508" customFormat="1" ht="15.75" customHeight="1">
      <c r="A789" s="479">
        <v>674</v>
      </c>
      <c r="B789" s="1123" t="s">
        <v>1401</v>
      </c>
      <c r="C789" s="1123"/>
      <c r="D789" s="607" t="s">
        <v>335</v>
      </c>
      <c r="E789" s="474">
        <v>39600</v>
      </c>
      <c r="F789" s="1088"/>
      <c r="G789" s="484"/>
      <c r="H789" s="484"/>
      <c r="I789" s="484"/>
      <c r="J789" s="485"/>
      <c r="K789" s="478"/>
    </row>
    <row r="790" spans="1:11" s="508" customFormat="1" ht="15.75" customHeight="1">
      <c r="A790" s="479">
        <v>675</v>
      </c>
      <c r="B790" s="1123" t="s">
        <v>1402</v>
      </c>
      <c r="C790" s="1123"/>
      <c r="D790" s="607" t="s">
        <v>335</v>
      </c>
      <c r="E790" s="474">
        <v>72600</v>
      </c>
      <c r="F790" s="1088"/>
      <c r="G790" s="484"/>
      <c r="H790" s="484"/>
      <c r="I790" s="484"/>
      <c r="J790" s="485"/>
      <c r="K790" s="478"/>
    </row>
    <row r="791" spans="1:11" s="508" customFormat="1" ht="15.75" customHeight="1">
      <c r="A791" s="479">
        <v>676</v>
      </c>
      <c r="B791" s="1123" t="s">
        <v>1403</v>
      </c>
      <c r="C791" s="1123"/>
      <c r="D791" s="607" t="s">
        <v>335</v>
      </c>
      <c r="E791" s="474">
        <v>91300.000000000015</v>
      </c>
      <c r="F791" s="1088"/>
      <c r="G791" s="484"/>
      <c r="H791" s="484"/>
      <c r="I791" s="484"/>
      <c r="J791" s="485"/>
      <c r="K791" s="478"/>
    </row>
    <row r="792" spans="1:11" s="508" customFormat="1" ht="15.75" customHeight="1">
      <c r="A792" s="479">
        <v>677</v>
      </c>
      <c r="B792" s="1123" t="s">
        <v>1404</v>
      </c>
      <c r="C792" s="1123"/>
      <c r="D792" s="607" t="s">
        <v>335</v>
      </c>
      <c r="E792" s="474">
        <v>137500</v>
      </c>
      <c r="F792" s="1088"/>
      <c r="G792" s="484"/>
      <c r="H792" s="484"/>
      <c r="I792" s="484"/>
      <c r="J792" s="485"/>
      <c r="K792" s="478"/>
    </row>
    <row r="793" spans="1:11" s="508" customFormat="1" ht="15.75" customHeight="1">
      <c r="A793" s="479">
        <v>678</v>
      </c>
      <c r="B793" s="1123" t="s">
        <v>1405</v>
      </c>
      <c r="C793" s="1123"/>
      <c r="D793" s="607" t="s">
        <v>335</v>
      </c>
      <c r="E793" s="474">
        <v>169400</v>
      </c>
      <c r="F793" s="1088"/>
      <c r="G793" s="484"/>
      <c r="H793" s="484"/>
      <c r="I793" s="484"/>
      <c r="J793" s="485"/>
      <c r="K793" s="478"/>
    </row>
    <row r="794" spans="1:11" s="508" customFormat="1" ht="15.75" customHeight="1">
      <c r="A794" s="479">
        <v>679</v>
      </c>
      <c r="B794" s="1123" t="s">
        <v>1406</v>
      </c>
      <c r="C794" s="1123"/>
      <c r="D794" s="607" t="s">
        <v>335</v>
      </c>
      <c r="E794" s="474">
        <v>198000.00000000003</v>
      </c>
      <c r="F794" s="1088"/>
      <c r="G794" s="484"/>
      <c r="H794" s="484"/>
      <c r="I794" s="484"/>
      <c r="J794" s="485"/>
      <c r="K794" s="478"/>
    </row>
    <row r="795" spans="1:11" s="508" customFormat="1" ht="15.75" customHeight="1">
      <c r="A795" s="479">
        <v>680</v>
      </c>
      <c r="B795" s="1123" t="s">
        <v>1407</v>
      </c>
      <c r="C795" s="1123"/>
      <c r="D795" s="607" t="s">
        <v>335</v>
      </c>
      <c r="E795" s="474">
        <v>220000</v>
      </c>
      <c r="F795" s="1088"/>
      <c r="G795" s="484"/>
      <c r="H795" s="484"/>
      <c r="I795" s="484"/>
      <c r="J795" s="485"/>
      <c r="K795" s="478"/>
    </row>
    <row r="796" spans="1:11" s="508" customFormat="1" ht="15.75" customHeight="1">
      <c r="A796" s="479">
        <v>681</v>
      </c>
      <c r="B796" s="1123" t="s">
        <v>1408</v>
      </c>
      <c r="C796" s="1123"/>
      <c r="D796" s="607" t="s">
        <v>335</v>
      </c>
      <c r="E796" s="474">
        <v>222200</v>
      </c>
      <c r="F796" s="1088"/>
      <c r="G796" s="484"/>
      <c r="H796" s="484"/>
      <c r="I796" s="484"/>
      <c r="J796" s="485"/>
      <c r="K796" s="478"/>
    </row>
    <row r="797" spans="1:11" s="508" customFormat="1" ht="15.75" customHeight="1">
      <c r="A797" s="509"/>
      <c r="B797" s="1122" t="s">
        <v>1409</v>
      </c>
      <c r="C797" s="1122"/>
      <c r="D797" s="603"/>
      <c r="E797" s="474"/>
      <c r="F797" s="1088"/>
      <c r="G797" s="484"/>
      <c r="H797" s="484"/>
      <c r="I797" s="484"/>
      <c r="J797" s="485"/>
      <c r="K797" s="478"/>
    </row>
    <row r="798" spans="1:11" s="508" customFormat="1" ht="15.75" customHeight="1">
      <c r="A798" s="479">
        <v>682</v>
      </c>
      <c r="B798" s="1123" t="s">
        <v>1410</v>
      </c>
      <c r="C798" s="1123"/>
      <c r="D798" s="608" t="s">
        <v>337</v>
      </c>
      <c r="E798" s="474">
        <v>121000.00000000001</v>
      </c>
      <c r="F798" s="1088"/>
      <c r="G798" s="484"/>
      <c r="H798" s="484"/>
      <c r="I798" s="484"/>
      <c r="J798" s="485"/>
      <c r="K798" s="478"/>
    </row>
    <row r="799" spans="1:11" s="508" customFormat="1" ht="15.75" customHeight="1">
      <c r="A799" s="479">
        <v>683</v>
      </c>
      <c r="B799" s="1123" t="s">
        <v>1411</v>
      </c>
      <c r="C799" s="1123"/>
      <c r="D799" s="608" t="s">
        <v>337</v>
      </c>
      <c r="E799" s="474">
        <v>147400</v>
      </c>
      <c r="F799" s="1088"/>
      <c r="G799" s="484"/>
      <c r="H799" s="484"/>
      <c r="I799" s="484"/>
      <c r="J799" s="485"/>
      <c r="K799" s="478"/>
    </row>
    <row r="800" spans="1:11" s="508" customFormat="1" ht="15.75" customHeight="1">
      <c r="A800" s="479">
        <v>684</v>
      </c>
      <c r="B800" s="1123" t="s">
        <v>1412</v>
      </c>
      <c r="C800" s="1123"/>
      <c r="D800" s="608" t="s">
        <v>335</v>
      </c>
      <c r="E800" s="474">
        <v>187000.00000000003</v>
      </c>
      <c r="F800" s="1088"/>
      <c r="G800" s="484"/>
      <c r="H800" s="484"/>
      <c r="I800" s="484"/>
      <c r="J800" s="485"/>
      <c r="K800" s="478"/>
    </row>
    <row r="801" spans="1:11" s="508" customFormat="1" ht="15.75" customHeight="1">
      <c r="A801" s="479">
        <v>685</v>
      </c>
      <c r="B801" s="1123" t="s">
        <v>1413</v>
      </c>
      <c r="C801" s="1123"/>
      <c r="D801" s="608" t="s">
        <v>335</v>
      </c>
      <c r="E801" s="474">
        <v>299200</v>
      </c>
      <c r="F801" s="1088"/>
      <c r="G801" s="484"/>
      <c r="H801" s="484"/>
      <c r="I801" s="484"/>
      <c r="J801" s="485"/>
      <c r="K801" s="478"/>
    </row>
    <row r="802" spans="1:11" s="508" customFormat="1" ht="15.75" customHeight="1">
      <c r="A802" s="479">
        <v>686</v>
      </c>
      <c r="B802" s="1123" t="s">
        <v>1414</v>
      </c>
      <c r="C802" s="1123"/>
      <c r="D802" s="608" t="s">
        <v>335</v>
      </c>
      <c r="E802" s="474">
        <v>968000.00000000012</v>
      </c>
      <c r="F802" s="1088"/>
      <c r="G802" s="484"/>
      <c r="H802" s="484"/>
      <c r="I802" s="484"/>
      <c r="J802" s="485"/>
      <c r="K802" s="478"/>
    </row>
    <row r="803" spans="1:11" s="508" customFormat="1" ht="15.75" customHeight="1">
      <c r="A803" s="479">
        <v>687</v>
      </c>
      <c r="B803" s="1123" t="s">
        <v>1415</v>
      </c>
      <c r="C803" s="1123"/>
      <c r="D803" s="608" t="s">
        <v>335</v>
      </c>
      <c r="E803" s="474">
        <v>1039500.0000000001</v>
      </c>
      <c r="F803" s="1088"/>
      <c r="G803" s="484"/>
      <c r="H803" s="484"/>
      <c r="I803" s="484"/>
      <c r="J803" s="485"/>
      <c r="K803" s="478"/>
    </row>
    <row r="804" spans="1:11" s="508" customFormat="1" ht="15.75" customHeight="1">
      <c r="A804" s="479">
        <v>688</v>
      </c>
      <c r="B804" s="1123" t="s">
        <v>1416</v>
      </c>
      <c r="C804" s="1123"/>
      <c r="D804" s="608" t="s">
        <v>335</v>
      </c>
      <c r="E804" s="474">
        <v>1049400</v>
      </c>
      <c r="F804" s="1088"/>
      <c r="G804" s="484"/>
      <c r="H804" s="484"/>
      <c r="I804" s="484"/>
      <c r="J804" s="485"/>
      <c r="K804" s="478"/>
    </row>
    <row r="805" spans="1:11" s="508" customFormat="1" ht="15.75" customHeight="1">
      <c r="A805" s="479">
        <v>689</v>
      </c>
      <c r="B805" s="1123" t="s">
        <v>1417</v>
      </c>
      <c r="C805" s="1123"/>
      <c r="D805" s="608" t="s">
        <v>335</v>
      </c>
      <c r="E805" s="474">
        <v>1463000.0000000002</v>
      </c>
      <c r="F805" s="1088"/>
      <c r="G805" s="484"/>
      <c r="H805" s="484"/>
      <c r="I805" s="484"/>
      <c r="J805" s="485"/>
      <c r="K805" s="478"/>
    </row>
    <row r="806" spans="1:11" s="508" customFormat="1" ht="15.75" customHeight="1">
      <c r="A806" s="479">
        <v>690</v>
      </c>
      <c r="B806" s="1123" t="s">
        <v>1418</v>
      </c>
      <c r="C806" s="1123"/>
      <c r="D806" s="608" t="s">
        <v>335</v>
      </c>
      <c r="E806" s="474">
        <v>968000.00000000012</v>
      </c>
      <c r="F806" s="1088"/>
      <c r="G806" s="484"/>
      <c r="H806" s="484"/>
      <c r="I806" s="484"/>
      <c r="J806" s="485"/>
      <c r="K806" s="478"/>
    </row>
    <row r="807" spans="1:11" s="508" customFormat="1" ht="15.75" customHeight="1">
      <c r="A807" s="479">
        <v>691</v>
      </c>
      <c r="B807" s="1123" t="s">
        <v>1419</v>
      </c>
      <c r="C807" s="1123"/>
      <c r="D807" s="608" t="s">
        <v>335</v>
      </c>
      <c r="E807" s="474">
        <v>841499.99999999988</v>
      </c>
      <c r="F807" s="1088"/>
      <c r="G807" s="484"/>
      <c r="H807" s="484"/>
      <c r="I807" s="484"/>
      <c r="J807" s="485"/>
      <c r="K807" s="478"/>
    </row>
    <row r="808" spans="1:11" s="508" customFormat="1" ht="15.75" customHeight="1">
      <c r="A808" s="479">
        <v>692</v>
      </c>
      <c r="B808" s="1123" t="s">
        <v>1420</v>
      </c>
      <c r="C808" s="1123"/>
      <c r="D808" s="608" t="s">
        <v>335</v>
      </c>
      <c r="E808" s="474">
        <v>946000.00000000012</v>
      </c>
      <c r="F808" s="1088"/>
      <c r="G808" s="484"/>
      <c r="H808" s="484"/>
      <c r="I808" s="484"/>
      <c r="J808" s="485"/>
      <c r="K808" s="478"/>
    </row>
    <row r="809" spans="1:11" s="508" customFormat="1" ht="15.75" customHeight="1">
      <c r="A809" s="479">
        <v>693</v>
      </c>
      <c r="B809" s="1123" t="s">
        <v>1421</v>
      </c>
      <c r="C809" s="1123"/>
      <c r="D809" s="608" t="s">
        <v>335</v>
      </c>
      <c r="E809" s="474">
        <v>1358500</v>
      </c>
      <c r="F809" s="1088"/>
      <c r="G809" s="484"/>
      <c r="H809" s="484"/>
      <c r="I809" s="484"/>
      <c r="J809" s="485"/>
      <c r="K809" s="478"/>
    </row>
    <row r="810" spans="1:11" s="508" customFormat="1" ht="15.75" customHeight="1">
      <c r="A810" s="479">
        <v>694</v>
      </c>
      <c r="B810" s="1123" t="s">
        <v>1422</v>
      </c>
      <c r="C810" s="1123"/>
      <c r="D810" s="608" t="s">
        <v>335</v>
      </c>
      <c r="E810" s="474">
        <v>1732500.0000000002</v>
      </c>
      <c r="F810" s="1088"/>
      <c r="G810" s="484"/>
      <c r="H810" s="484"/>
      <c r="I810" s="484"/>
      <c r="J810" s="485"/>
      <c r="K810" s="478"/>
    </row>
    <row r="811" spans="1:11" s="508" customFormat="1" ht="15.75" customHeight="1">
      <c r="A811" s="479">
        <v>695</v>
      </c>
      <c r="B811" s="1123" t="s">
        <v>1423</v>
      </c>
      <c r="C811" s="1123"/>
      <c r="D811" s="601" t="s">
        <v>337</v>
      </c>
      <c r="E811" s="474">
        <v>499400</v>
      </c>
      <c r="F811" s="1088"/>
      <c r="G811" s="484"/>
      <c r="H811" s="484"/>
      <c r="I811" s="484"/>
      <c r="J811" s="485"/>
      <c r="K811" s="478"/>
    </row>
    <row r="812" spans="1:11" s="508" customFormat="1" ht="15.75" customHeight="1">
      <c r="A812" s="479">
        <v>696</v>
      </c>
      <c r="B812" s="1123" t="s">
        <v>1424</v>
      </c>
      <c r="C812" s="1123"/>
      <c r="D812" s="601" t="s">
        <v>337</v>
      </c>
      <c r="E812" s="474">
        <v>657800</v>
      </c>
      <c r="F812" s="1088"/>
      <c r="G812" s="484"/>
      <c r="H812" s="484"/>
      <c r="I812" s="484"/>
      <c r="J812" s="485"/>
      <c r="K812" s="478"/>
    </row>
    <row r="813" spans="1:11" s="508" customFormat="1" ht="15.75" customHeight="1">
      <c r="A813" s="479">
        <v>697</v>
      </c>
      <c r="B813" s="1123" t="s">
        <v>1425</v>
      </c>
      <c r="C813" s="1123"/>
      <c r="D813" s="601" t="s">
        <v>337</v>
      </c>
      <c r="E813" s="474">
        <v>513700</v>
      </c>
      <c r="F813" s="1088"/>
      <c r="G813" s="484"/>
      <c r="H813" s="484"/>
      <c r="I813" s="484"/>
      <c r="J813" s="485"/>
      <c r="K813" s="478"/>
    </row>
    <row r="814" spans="1:11" s="508" customFormat="1" ht="15.75" customHeight="1">
      <c r="A814" s="479">
        <v>698</v>
      </c>
      <c r="B814" s="1123" t="s">
        <v>1426</v>
      </c>
      <c r="C814" s="1123"/>
      <c r="D814" s="601" t="s">
        <v>337</v>
      </c>
      <c r="E814" s="474">
        <v>470800</v>
      </c>
      <c r="F814" s="1088"/>
      <c r="G814" s="484"/>
      <c r="H814" s="484"/>
      <c r="I814" s="484"/>
      <c r="J814" s="485"/>
      <c r="K814" s="478"/>
    </row>
    <row r="815" spans="1:11" s="508" customFormat="1" ht="15.75" customHeight="1">
      <c r="A815" s="479">
        <v>699</v>
      </c>
      <c r="B815" s="1123" t="s">
        <v>1427</v>
      </c>
      <c r="C815" s="1123"/>
      <c r="D815" s="601" t="s">
        <v>337</v>
      </c>
      <c r="E815" s="474">
        <v>590700</v>
      </c>
      <c r="F815" s="1088"/>
      <c r="G815" s="484"/>
      <c r="H815" s="484"/>
      <c r="I815" s="484"/>
      <c r="J815" s="485"/>
      <c r="K815" s="478"/>
    </row>
    <row r="816" spans="1:11" s="508" customFormat="1" ht="15.75" customHeight="1">
      <c r="A816" s="479">
        <v>700</v>
      </c>
      <c r="B816" s="1123" t="s">
        <v>1428</v>
      </c>
      <c r="C816" s="1123"/>
      <c r="D816" s="601" t="s">
        <v>337</v>
      </c>
      <c r="E816" s="474">
        <v>532400</v>
      </c>
      <c r="F816" s="1088"/>
      <c r="G816" s="484"/>
      <c r="H816" s="484"/>
      <c r="I816" s="484"/>
      <c r="J816" s="485"/>
      <c r="K816" s="478"/>
    </row>
    <row r="817" spans="1:11" s="508" customFormat="1" ht="15.75" customHeight="1">
      <c r="A817" s="509">
        <v>2</v>
      </c>
      <c r="B817" s="1094" t="s">
        <v>1429</v>
      </c>
      <c r="C817" s="1094"/>
      <c r="D817" s="487"/>
      <c r="E817" s="511"/>
      <c r="F817" s="504"/>
      <c r="G817" s="484"/>
      <c r="H817" s="484"/>
      <c r="I817" s="484"/>
      <c r="J817" s="485"/>
      <c r="K817" s="478"/>
    </row>
    <row r="818" spans="1:11" s="508" customFormat="1" ht="15.75" customHeight="1">
      <c r="A818" s="479">
        <v>701</v>
      </c>
      <c r="B818" s="609" t="s">
        <v>1430</v>
      </c>
      <c r="C818" s="487" t="s">
        <v>1431</v>
      </c>
      <c r="D818" s="487" t="s">
        <v>973</v>
      </c>
      <c r="E818" s="474">
        <v>222000</v>
      </c>
      <c r="F818" s="1088" t="s">
        <v>450</v>
      </c>
      <c r="G818" s="572"/>
      <c r="H818" s="484"/>
      <c r="I818" s="484"/>
      <c r="J818" s="485"/>
      <c r="K818" s="485"/>
    </row>
    <row r="819" spans="1:11" s="508" customFormat="1" ht="15.75" customHeight="1">
      <c r="A819" s="479">
        <v>702</v>
      </c>
      <c r="B819" s="609" t="s">
        <v>1432</v>
      </c>
      <c r="C819" s="487" t="s">
        <v>1433</v>
      </c>
      <c r="D819" s="487" t="s">
        <v>973</v>
      </c>
      <c r="E819" s="474">
        <v>155600</v>
      </c>
      <c r="F819" s="1088"/>
      <c r="G819" s="572"/>
      <c r="H819" s="484"/>
      <c r="I819" s="484"/>
      <c r="J819" s="485"/>
      <c r="K819" s="485"/>
    </row>
    <row r="820" spans="1:11" s="508" customFormat="1" ht="15.75" customHeight="1">
      <c r="A820" s="479">
        <v>703</v>
      </c>
      <c r="B820" s="609" t="s">
        <v>1434</v>
      </c>
      <c r="C820" s="487" t="s">
        <v>1435</v>
      </c>
      <c r="D820" s="487" t="s">
        <v>973</v>
      </c>
      <c r="E820" s="474">
        <v>120000</v>
      </c>
      <c r="F820" s="1088"/>
      <c r="G820" s="572"/>
      <c r="H820" s="484"/>
      <c r="I820" s="484"/>
      <c r="J820" s="485"/>
      <c r="K820" s="485"/>
    </row>
    <row r="821" spans="1:11" s="508" customFormat="1" ht="15.75" customHeight="1">
      <c r="A821" s="479">
        <v>704</v>
      </c>
      <c r="B821" s="609" t="s">
        <v>1436</v>
      </c>
      <c r="C821" s="487" t="s">
        <v>1437</v>
      </c>
      <c r="D821" s="487" t="s">
        <v>973</v>
      </c>
      <c r="E821" s="474">
        <v>223000</v>
      </c>
      <c r="F821" s="1088"/>
      <c r="G821" s="572"/>
      <c r="H821" s="484"/>
      <c r="I821" s="484"/>
      <c r="J821" s="485"/>
      <c r="K821" s="485"/>
    </row>
    <row r="822" spans="1:11" s="508" customFormat="1" ht="15.75" customHeight="1">
      <c r="A822" s="479">
        <v>705</v>
      </c>
      <c r="B822" s="610" t="s">
        <v>1438</v>
      </c>
      <c r="C822" s="487" t="s">
        <v>1439</v>
      </c>
      <c r="D822" s="487" t="s">
        <v>973</v>
      </c>
      <c r="E822" s="474">
        <v>589000</v>
      </c>
      <c r="F822" s="1088"/>
      <c r="G822" s="572"/>
      <c r="H822" s="484"/>
      <c r="I822" s="484"/>
      <c r="J822" s="485"/>
      <c r="K822" s="485"/>
    </row>
    <row r="823" spans="1:11" s="508" customFormat="1" ht="15.75" customHeight="1">
      <c r="A823" s="479">
        <v>706</v>
      </c>
      <c r="B823" s="610" t="s">
        <v>1440</v>
      </c>
      <c r="C823" s="487" t="s">
        <v>1441</v>
      </c>
      <c r="D823" s="487" t="s">
        <v>973</v>
      </c>
      <c r="E823" s="474">
        <v>897000</v>
      </c>
      <c r="F823" s="1088"/>
      <c r="G823" s="572"/>
      <c r="H823" s="484"/>
      <c r="I823" s="484"/>
      <c r="J823" s="485"/>
      <c r="K823" s="485"/>
    </row>
    <row r="824" spans="1:11" s="508" customFormat="1" ht="15.75" customHeight="1">
      <c r="A824" s="479">
        <v>707</v>
      </c>
      <c r="B824" s="610" t="s">
        <v>1442</v>
      </c>
      <c r="C824" s="487" t="s">
        <v>1443</v>
      </c>
      <c r="D824" s="487" t="s">
        <v>973</v>
      </c>
      <c r="E824" s="474">
        <v>854000</v>
      </c>
      <c r="F824" s="1088"/>
      <c r="G824" s="572"/>
      <c r="H824" s="484"/>
      <c r="I824" s="484"/>
      <c r="J824" s="485"/>
      <c r="K824" s="485"/>
    </row>
    <row r="825" spans="1:11" s="508" customFormat="1" ht="15.75" customHeight="1">
      <c r="A825" s="479">
        <v>708</v>
      </c>
      <c r="B825" s="610" t="s">
        <v>1444</v>
      </c>
      <c r="C825" s="487" t="s">
        <v>1445</v>
      </c>
      <c r="D825" s="487" t="s">
        <v>973</v>
      </c>
      <c r="E825" s="474">
        <v>1356000</v>
      </c>
      <c r="F825" s="1088"/>
      <c r="G825" s="572"/>
      <c r="H825" s="484"/>
      <c r="I825" s="484"/>
      <c r="J825" s="485"/>
      <c r="K825" s="485"/>
    </row>
    <row r="826" spans="1:11" s="508" customFormat="1" ht="15.75" customHeight="1">
      <c r="A826" s="479">
        <v>709</v>
      </c>
      <c r="B826" s="610" t="s">
        <v>1446</v>
      </c>
      <c r="C826" s="487" t="s">
        <v>1447</v>
      </c>
      <c r="D826" s="487" t="s">
        <v>973</v>
      </c>
      <c r="E826" s="474">
        <v>1709000</v>
      </c>
      <c r="F826" s="1088"/>
      <c r="G826" s="572"/>
      <c r="H826" s="484"/>
      <c r="I826" s="484"/>
      <c r="J826" s="485"/>
      <c r="K826" s="485"/>
    </row>
    <row r="827" spans="1:11" s="508" customFormat="1" ht="15.75" customHeight="1">
      <c r="A827" s="495" t="s">
        <v>368</v>
      </c>
      <c r="B827" s="1098" t="s">
        <v>1448</v>
      </c>
      <c r="C827" s="1098"/>
      <c r="D827" s="527"/>
      <c r="E827" s="498"/>
      <c r="F827" s="528"/>
      <c r="G827" s="484"/>
      <c r="H827" s="484"/>
      <c r="I827" s="484"/>
      <c r="J827" s="485"/>
      <c r="K827" s="478"/>
    </row>
    <row r="828" spans="1:11" s="508" customFormat="1">
      <c r="A828" s="479">
        <v>710</v>
      </c>
      <c r="B828" s="489" t="s">
        <v>1449</v>
      </c>
      <c r="C828" s="535" t="s">
        <v>1450</v>
      </c>
      <c r="D828" s="487" t="s">
        <v>819</v>
      </c>
      <c r="E828" s="474">
        <v>56000</v>
      </c>
      <c r="F828" s="1088" t="s">
        <v>450</v>
      </c>
      <c r="G828" s="484"/>
      <c r="H828" s="484"/>
      <c r="I828" s="484"/>
      <c r="J828" s="485"/>
      <c r="K828" s="485"/>
    </row>
    <row r="829" spans="1:11" s="508" customFormat="1">
      <c r="A829" s="479">
        <v>711</v>
      </c>
      <c r="B829" s="489" t="s">
        <v>1449</v>
      </c>
      <c r="C829" s="535" t="s">
        <v>1451</v>
      </c>
      <c r="D829" s="487" t="s">
        <v>819</v>
      </c>
      <c r="E829" s="474">
        <v>88500</v>
      </c>
      <c r="F829" s="1088"/>
      <c r="G829" s="484"/>
      <c r="H829" s="484"/>
      <c r="I829" s="484"/>
      <c r="J829" s="485"/>
      <c r="K829" s="485"/>
    </row>
    <row r="830" spans="1:11" s="508" customFormat="1">
      <c r="A830" s="479">
        <v>712</v>
      </c>
      <c r="B830" s="489" t="s">
        <v>1452</v>
      </c>
      <c r="C830" s="535" t="s">
        <v>1450</v>
      </c>
      <c r="D830" s="487" t="s">
        <v>819</v>
      </c>
      <c r="E830" s="474">
        <v>113000</v>
      </c>
      <c r="F830" s="1088"/>
      <c r="G830" s="484"/>
      <c r="H830" s="484"/>
      <c r="I830" s="484"/>
      <c r="J830" s="485"/>
      <c r="K830" s="485"/>
    </row>
    <row r="831" spans="1:11" s="508" customFormat="1">
      <c r="A831" s="479">
        <v>713</v>
      </c>
      <c r="B831" s="489" t="s">
        <v>1452</v>
      </c>
      <c r="C831" s="535" t="s">
        <v>1453</v>
      </c>
      <c r="D831" s="487" t="s">
        <v>819</v>
      </c>
      <c r="E831" s="474">
        <v>172000</v>
      </c>
      <c r="F831" s="1088"/>
      <c r="G831" s="484"/>
      <c r="H831" s="484"/>
      <c r="I831" s="484"/>
      <c r="J831" s="485"/>
      <c r="K831" s="485"/>
    </row>
    <row r="832" spans="1:11" s="508" customFormat="1">
      <c r="A832" s="479">
        <v>714</v>
      </c>
      <c r="B832" s="489" t="s">
        <v>1454</v>
      </c>
      <c r="C832" s="535" t="s">
        <v>1455</v>
      </c>
      <c r="D832" s="487" t="s">
        <v>819</v>
      </c>
      <c r="E832" s="474">
        <v>199000</v>
      </c>
      <c r="F832" s="1088"/>
      <c r="G832" s="484"/>
      <c r="H832" s="484"/>
      <c r="I832" s="484"/>
      <c r="J832" s="485"/>
      <c r="K832" s="485"/>
    </row>
    <row r="833" spans="1:11" s="508" customFormat="1">
      <c r="A833" s="479">
        <v>715</v>
      </c>
      <c r="B833" s="489" t="s">
        <v>1454</v>
      </c>
      <c r="C833" s="535" t="s">
        <v>1451</v>
      </c>
      <c r="D833" s="487" t="s">
        <v>819</v>
      </c>
      <c r="E833" s="474">
        <v>241000</v>
      </c>
      <c r="F833" s="1088"/>
      <c r="G833" s="484"/>
      <c r="H833" s="484"/>
      <c r="I833" s="484"/>
      <c r="J833" s="485"/>
      <c r="K833" s="485"/>
    </row>
    <row r="834" spans="1:11" s="508" customFormat="1" ht="15.75" customHeight="1">
      <c r="A834" s="479">
        <v>716</v>
      </c>
      <c r="B834" s="489" t="s">
        <v>1456</v>
      </c>
      <c r="C834" s="535" t="s">
        <v>1457</v>
      </c>
      <c r="D834" s="487" t="s">
        <v>819</v>
      </c>
      <c r="E834" s="474">
        <v>481000</v>
      </c>
      <c r="F834" s="1088"/>
      <c r="G834" s="484"/>
      <c r="H834" s="484"/>
      <c r="I834" s="484"/>
      <c r="J834" s="485"/>
      <c r="K834" s="485"/>
    </row>
    <row r="835" spans="1:11" s="508" customFormat="1" ht="15.75" customHeight="1">
      <c r="A835" s="479">
        <v>717</v>
      </c>
      <c r="B835" s="489" t="s">
        <v>1456</v>
      </c>
      <c r="C835" s="535" t="s">
        <v>1458</v>
      </c>
      <c r="D835" s="487" t="s">
        <v>819</v>
      </c>
      <c r="E835" s="474">
        <v>518000</v>
      </c>
      <c r="F835" s="1088"/>
      <c r="G835" s="484"/>
      <c r="H835" s="484"/>
      <c r="I835" s="484"/>
      <c r="J835" s="485"/>
      <c r="K835" s="485"/>
    </row>
    <row r="836" spans="1:11" s="508" customFormat="1" ht="15.75" customHeight="1">
      <c r="A836" s="479">
        <v>718</v>
      </c>
      <c r="B836" s="489" t="s">
        <v>1456</v>
      </c>
      <c r="C836" s="535" t="s">
        <v>1451</v>
      </c>
      <c r="D836" s="487" t="s">
        <v>819</v>
      </c>
      <c r="E836" s="474">
        <v>733000</v>
      </c>
      <c r="F836" s="1088"/>
      <c r="G836" s="484"/>
      <c r="H836" s="484"/>
      <c r="I836" s="484"/>
      <c r="J836" s="485"/>
      <c r="K836" s="485"/>
    </row>
    <row r="837" spans="1:11" s="508" customFormat="1">
      <c r="A837" s="479">
        <v>719</v>
      </c>
      <c r="B837" s="611" t="s">
        <v>1459</v>
      </c>
      <c r="C837" s="535" t="s">
        <v>1455</v>
      </c>
      <c r="D837" s="487" t="s">
        <v>819</v>
      </c>
      <c r="E837" s="474">
        <v>80000</v>
      </c>
      <c r="F837" s="1088"/>
      <c r="G837" s="484"/>
      <c r="H837" s="484"/>
      <c r="I837" s="484"/>
      <c r="J837" s="485"/>
      <c r="K837" s="485"/>
    </row>
    <row r="838" spans="1:11" s="508" customFormat="1">
      <c r="A838" s="479">
        <v>720</v>
      </c>
      <c r="B838" s="611" t="s">
        <v>1459</v>
      </c>
      <c r="C838" s="535" t="s">
        <v>1460</v>
      </c>
      <c r="D838" s="487" t="s">
        <v>819</v>
      </c>
      <c r="E838" s="474">
        <v>690000</v>
      </c>
      <c r="F838" s="1088"/>
      <c r="G838" s="484"/>
      <c r="H838" s="484"/>
      <c r="I838" s="484"/>
      <c r="J838" s="485"/>
      <c r="K838" s="485"/>
    </row>
    <row r="839" spans="1:11" s="508" customFormat="1">
      <c r="A839" s="479">
        <v>721</v>
      </c>
      <c r="B839" s="611" t="s">
        <v>1459</v>
      </c>
      <c r="C839" s="535" t="s">
        <v>1461</v>
      </c>
      <c r="D839" s="487" t="s">
        <v>819</v>
      </c>
      <c r="E839" s="474">
        <v>760000</v>
      </c>
      <c r="F839" s="1088"/>
      <c r="G839" s="484"/>
      <c r="H839" s="484"/>
      <c r="I839" s="484"/>
      <c r="J839" s="485"/>
      <c r="K839" s="485"/>
    </row>
    <row r="840" spans="1:11" s="508" customFormat="1">
      <c r="A840" s="479">
        <v>722</v>
      </c>
      <c r="B840" s="611" t="s">
        <v>1462</v>
      </c>
      <c r="C840" s="535" t="s">
        <v>1455</v>
      </c>
      <c r="D840" s="487" t="s">
        <v>819</v>
      </c>
      <c r="E840" s="474">
        <v>233000</v>
      </c>
      <c r="F840" s="1088"/>
      <c r="G840" s="484"/>
      <c r="H840" s="484"/>
      <c r="I840" s="484"/>
      <c r="J840" s="485"/>
      <c r="K840" s="485"/>
    </row>
    <row r="841" spans="1:11" s="508" customFormat="1">
      <c r="A841" s="479">
        <v>723</v>
      </c>
      <c r="B841" s="611" t="s">
        <v>1462</v>
      </c>
      <c r="C841" s="535" t="s">
        <v>1460</v>
      </c>
      <c r="D841" s="487" t="s">
        <v>819</v>
      </c>
      <c r="E841" s="474">
        <v>1370000</v>
      </c>
      <c r="F841" s="1088"/>
      <c r="G841" s="484"/>
      <c r="H841" s="484"/>
      <c r="I841" s="484"/>
      <c r="J841" s="485"/>
      <c r="K841" s="485"/>
    </row>
    <row r="842" spans="1:11" s="508" customFormat="1">
      <c r="A842" s="479">
        <v>724</v>
      </c>
      <c r="B842" s="611" t="s">
        <v>1462</v>
      </c>
      <c r="C842" s="535" t="s">
        <v>1461</v>
      </c>
      <c r="D842" s="487" t="s">
        <v>819</v>
      </c>
      <c r="E842" s="474">
        <v>1500000</v>
      </c>
      <c r="F842" s="1088"/>
      <c r="G842" s="484"/>
      <c r="H842" s="484"/>
      <c r="I842" s="484"/>
      <c r="J842" s="485"/>
      <c r="K842" s="485"/>
    </row>
    <row r="843" spans="1:11" s="508" customFormat="1">
      <c r="A843" s="479">
        <v>725</v>
      </c>
      <c r="B843" s="611" t="s">
        <v>1463</v>
      </c>
      <c r="C843" s="535" t="s">
        <v>1455</v>
      </c>
      <c r="D843" s="487" t="s">
        <v>819</v>
      </c>
      <c r="E843" s="474">
        <v>412000</v>
      </c>
      <c r="F843" s="1088"/>
      <c r="G843" s="484"/>
      <c r="H843" s="484"/>
      <c r="I843" s="484"/>
      <c r="J843" s="485"/>
      <c r="K843" s="485"/>
    </row>
    <row r="844" spans="1:11" s="508" customFormat="1">
      <c r="A844" s="479">
        <v>726</v>
      </c>
      <c r="B844" s="611" t="s">
        <v>1463</v>
      </c>
      <c r="C844" s="535" t="s">
        <v>1460</v>
      </c>
      <c r="D844" s="487" t="s">
        <v>819</v>
      </c>
      <c r="E844" s="474">
        <v>1820000</v>
      </c>
      <c r="F844" s="1088"/>
      <c r="G844" s="484"/>
      <c r="H844" s="484"/>
      <c r="I844" s="484"/>
      <c r="J844" s="485"/>
      <c r="K844" s="485"/>
    </row>
    <row r="845" spans="1:11" s="508" customFormat="1">
      <c r="A845" s="479">
        <v>727</v>
      </c>
      <c r="B845" s="611" t="s">
        <v>1463</v>
      </c>
      <c r="C845" s="535" t="s">
        <v>1461</v>
      </c>
      <c r="D845" s="487" t="s">
        <v>819</v>
      </c>
      <c r="E845" s="474">
        <v>1920000</v>
      </c>
      <c r="F845" s="1088"/>
      <c r="G845" s="484"/>
      <c r="H845" s="484"/>
      <c r="I845" s="484"/>
      <c r="J845" s="485"/>
      <c r="K845" s="485"/>
    </row>
    <row r="846" spans="1:11" s="508" customFormat="1">
      <c r="A846" s="479">
        <v>728</v>
      </c>
      <c r="B846" s="611" t="s">
        <v>1464</v>
      </c>
      <c r="C846" s="535" t="s">
        <v>1455</v>
      </c>
      <c r="D846" s="487" t="s">
        <v>819</v>
      </c>
      <c r="E846" s="474">
        <v>580000</v>
      </c>
      <c r="F846" s="1088"/>
      <c r="G846" s="484"/>
      <c r="H846" s="484"/>
      <c r="I846" s="484"/>
      <c r="J846" s="485"/>
      <c r="K846" s="485"/>
    </row>
    <row r="847" spans="1:11" s="508" customFormat="1">
      <c r="A847" s="479">
        <v>729</v>
      </c>
      <c r="B847" s="611" t="s">
        <v>1464</v>
      </c>
      <c r="C847" s="535" t="s">
        <v>1460</v>
      </c>
      <c r="D847" s="487" t="s">
        <v>819</v>
      </c>
      <c r="E847" s="474">
        <v>2820000</v>
      </c>
      <c r="F847" s="1088"/>
      <c r="G847" s="484"/>
      <c r="H847" s="484"/>
      <c r="I847" s="484"/>
      <c r="J847" s="485"/>
      <c r="K847" s="485"/>
    </row>
    <row r="848" spans="1:11" s="508" customFormat="1">
      <c r="A848" s="479">
        <v>730</v>
      </c>
      <c r="B848" s="611" t="s">
        <v>1464</v>
      </c>
      <c r="C848" s="535" t="s">
        <v>1461</v>
      </c>
      <c r="D848" s="487" t="s">
        <v>819</v>
      </c>
      <c r="E848" s="474">
        <v>3020000</v>
      </c>
      <c r="F848" s="1088"/>
      <c r="G848" s="484"/>
      <c r="H848" s="484"/>
      <c r="I848" s="484"/>
      <c r="J848" s="485"/>
      <c r="K848" s="485"/>
    </row>
    <row r="849" spans="1:11" s="512" customFormat="1" ht="15.75" customHeight="1">
      <c r="A849" s="479">
        <v>731</v>
      </c>
      <c r="B849" s="500" t="s">
        <v>1465</v>
      </c>
      <c r="C849" s="481" t="s">
        <v>1466</v>
      </c>
      <c r="D849" s="481" t="s">
        <v>819</v>
      </c>
      <c r="E849" s="482">
        <v>69000</v>
      </c>
      <c r="F849" s="1088"/>
      <c r="G849" s="538"/>
      <c r="H849" s="538"/>
      <c r="I849" s="538"/>
      <c r="J849" s="493"/>
      <c r="K849" s="493"/>
    </row>
    <row r="850" spans="1:11" s="508" customFormat="1">
      <c r="A850" s="479">
        <v>732</v>
      </c>
      <c r="B850" s="489" t="s">
        <v>1467</v>
      </c>
      <c r="C850" s="487" t="s">
        <v>1466</v>
      </c>
      <c r="D850" s="487" t="s">
        <v>819</v>
      </c>
      <c r="E850" s="474">
        <v>73000</v>
      </c>
      <c r="F850" s="1088"/>
      <c r="G850" s="484"/>
      <c r="H850" s="484"/>
      <c r="I850" s="484"/>
      <c r="J850" s="485"/>
      <c r="K850" s="485"/>
    </row>
    <row r="851" spans="1:11" s="508" customFormat="1">
      <c r="A851" s="479">
        <v>733</v>
      </c>
      <c r="B851" s="489" t="s">
        <v>1468</v>
      </c>
      <c r="C851" s="487" t="s">
        <v>1469</v>
      </c>
      <c r="D851" s="487" t="s">
        <v>819</v>
      </c>
      <c r="E851" s="474">
        <v>360000</v>
      </c>
      <c r="F851" s="1088"/>
      <c r="G851" s="484"/>
      <c r="H851" s="484"/>
      <c r="I851" s="484"/>
      <c r="J851" s="485"/>
      <c r="K851" s="485"/>
    </row>
    <row r="852" spans="1:11" s="508" customFormat="1">
      <c r="A852" s="479">
        <v>734</v>
      </c>
      <c r="B852" s="489" t="s">
        <v>1468</v>
      </c>
      <c r="C852" s="487" t="s">
        <v>1470</v>
      </c>
      <c r="D852" s="487" t="s">
        <v>819</v>
      </c>
      <c r="E852" s="474">
        <v>440000</v>
      </c>
      <c r="F852" s="1088"/>
      <c r="G852" s="484"/>
      <c r="H852" s="484"/>
      <c r="I852" s="484"/>
      <c r="J852" s="485"/>
      <c r="K852" s="485"/>
    </row>
    <row r="853" spans="1:11" s="508" customFormat="1">
      <c r="A853" s="479">
        <v>735</v>
      </c>
      <c r="B853" s="489" t="s">
        <v>1471</v>
      </c>
      <c r="C853" s="487"/>
      <c r="D853" s="487" t="s">
        <v>819</v>
      </c>
      <c r="E853" s="474">
        <v>93000</v>
      </c>
      <c r="F853" s="1088"/>
      <c r="G853" s="484"/>
      <c r="H853" s="484"/>
      <c r="I853" s="484"/>
      <c r="J853" s="485"/>
      <c r="K853" s="485"/>
    </row>
    <row r="854" spans="1:11" s="508" customFormat="1">
      <c r="A854" s="479">
        <v>736</v>
      </c>
      <c r="B854" s="489" t="s">
        <v>1472</v>
      </c>
      <c r="C854" s="487"/>
      <c r="D854" s="487" t="s">
        <v>819</v>
      </c>
      <c r="E854" s="474">
        <v>126000</v>
      </c>
      <c r="F854" s="1088"/>
      <c r="G854" s="484"/>
      <c r="H854" s="484"/>
      <c r="I854" s="484"/>
      <c r="J854" s="485"/>
      <c r="K854" s="485"/>
    </row>
    <row r="855" spans="1:11" s="508" customFormat="1">
      <c r="A855" s="479">
        <v>737</v>
      </c>
      <c r="B855" s="489" t="s">
        <v>1473</v>
      </c>
      <c r="C855" s="487"/>
      <c r="D855" s="487" t="s">
        <v>819</v>
      </c>
      <c r="E855" s="474">
        <v>210000</v>
      </c>
      <c r="F855" s="1088"/>
      <c r="G855" s="484"/>
      <c r="H855" s="484"/>
      <c r="I855" s="484"/>
      <c r="J855" s="485"/>
      <c r="K855" s="485"/>
    </row>
    <row r="856" spans="1:11" s="508" customFormat="1">
      <c r="A856" s="479">
        <v>738</v>
      </c>
      <c r="B856" s="489" t="s">
        <v>1474</v>
      </c>
      <c r="C856" s="487"/>
      <c r="D856" s="487" t="s">
        <v>819</v>
      </c>
      <c r="E856" s="474">
        <v>280000</v>
      </c>
      <c r="F856" s="1088"/>
      <c r="G856" s="484"/>
      <c r="H856" s="484"/>
      <c r="I856" s="484"/>
      <c r="J856" s="485"/>
      <c r="K856" s="485"/>
    </row>
    <row r="857" spans="1:11" s="508" customFormat="1" ht="28">
      <c r="A857" s="479">
        <v>739</v>
      </c>
      <c r="B857" s="489" t="s">
        <v>1475</v>
      </c>
      <c r="C857" s="487" t="s">
        <v>1476</v>
      </c>
      <c r="D857" s="487" t="s">
        <v>819</v>
      </c>
      <c r="E857" s="474">
        <v>675000</v>
      </c>
      <c r="F857" s="1088"/>
      <c r="G857" s="484"/>
      <c r="H857" s="484"/>
      <c r="I857" s="484"/>
      <c r="J857" s="485"/>
      <c r="K857" s="485"/>
    </row>
    <row r="858" spans="1:11" s="508" customFormat="1">
      <c r="A858" s="479">
        <v>740</v>
      </c>
      <c r="B858" s="489" t="s">
        <v>1477</v>
      </c>
      <c r="C858" s="487" t="s">
        <v>1478</v>
      </c>
      <c r="D858" s="487" t="s">
        <v>819</v>
      </c>
      <c r="E858" s="474">
        <v>144000</v>
      </c>
      <c r="F858" s="1088"/>
      <c r="G858" s="484"/>
      <c r="H858" s="484"/>
      <c r="I858" s="484"/>
      <c r="J858" s="485"/>
      <c r="K858" s="485"/>
    </row>
    <row r="859" spans="1:11" s="508" customFormat="1">
      <c r="A859" s="479">
        <v>741</v>
      </c>
      <c r="B859" s="489" t="s">
        <v>1479</v>
      </c>
      <c r="C859" s="487" t="s">
        <v>1480</v>
      </c>
      <c r="D859" s="487" t="s">
        <v>819</v>
      </c>
      <c r="E859" s="474">
        <v>219000</v>
      </c>
      <c r="F859" s="1088"/>
      <c r="G859" s="484"/>
      <c r="H859" s="484"/>
      <c r="I859" s="484"/>
      <c r="J859" s="485"/>
      <c r="K859" s="485"/>
    </row>
    <row r="860" spans="1:11" s="508" customFormat="1" ht="28">
      <c r="A860" s="479">
        <v>742</v>
      </c>
      <c r="B860" s="489" t="s">
        <v>1481</v>
      </c>
      <c r="C860" s="487" t="s">
        <v>1482</v>
      </c>
      <c r="D860" s="487" t="s">
        <v>819</v>
      </c>
      <c r="E860" s="474">
        <v>95500</v>
      </c>
      <c r="F860" s="1088"/>
      <c r="G860" s="484"/>
      <c r="H860" s="484"/>
      <c r="I860" s="484"/>
      <c r="J860" s="485"/>
      <c r="K860" s="485"/>
    </row>
    <row r="861" spans="1:11" s="508" customFormat="1" ht="28">
      <c r="A861" s="479">
        <v>743</v>
      </c>
      <c r="B861" s="489" t="s">
        <v>1483</v>
      </c>
      <c r="C861" s="487" t="s">
        <v>1484</v>
      </c>
      <c r="D861" s="487" t="s">
        <v>819</v>
      </c>
      <c r="E861" s="474">
        <v>151000</v>
      </c>
      <c r="F861" s="1088"/>
      <c r="G861" s="484"/>
      <c r="H861" s="484"/>
      <c r="I861" s="484"/>
      <c r="J861" s="485"/>
      <c r="K861" s="485"/>
    </row>
    <row r="862" spans="1:11" s="508" customFormat="1" ht="28">
      <c r="A862" s="479">
        <v>744</v>
      </c>
      <c r="B862" s="489" t="s">
        <v>1485</v>
      </c>
      <c r="C862" s="487" t="s">
        <v>1486</v>
      </c>
      <c r="D862" s="487" t="s">
        <v>819</v>
      </c>
      <c r="E862" s="474">
        <v>238000</v>
      </c>
      <c r="F862" s="1088"/>
      <c r="G862" s="484"/>
      <c r="H862" s="484"/>
      <c r="I862" s="484"/>
      <c r="J862" s="485"/>
      <c r="K862" s="485"/>
    </row>
    <row r="863" spans="1:11" s="508" customFormat="1" ht="15.75" customHeight="1">
      <c r="A863" s="495" t="s">
        <v>369</v>
      </c>
      <c r="B863" s="496" t="s">
        <v>1487</v>
      </c>
      <c r="C863" s="527"/>
      <c r="D863" s="527"/>
      <c r="E863" s="498"/>
      <c r="F863" s="528"/>
      <c r="G863" s="484"/>
      <c r="H863" s="484"/>
      <c r="I863" s="484"/>
      <c r="J863" s="485"/>
      <c r="K863" s="478"/>
    </row>
    <row r="864" spans="1:11" s="508" customFormat="1">
      <c r="A864" s="479">
        <v>745</v>
      </c>
      <c r="B864" s="489" t="s">
        <v>1488</v>
      </c>
      <c r="C864" s="487" t="s">
        <v>1489</v>
      </c>
      <c r="D864" s="487" t="s">
        <v>819</v>
      </c>
      <c r="E864" s="474">
        <v>29500</v>
      </c>
      <c r="F864" s="1088" t="s">
        <v>450</v>
      </c>
      <c r="G864" s="484"/>
      <c r="H864" s="484"/>
      <c r="I864" s="484"/>
      <c r="J864" s="485"/>
      <c r="K864" s="485"/>
    </row>
    <row r="865" spans="1:11" s="508" customFormat="1">
      <c r="A865" s="479">
        <v>746</v>
      </c>
      <c r="B865" s="489" t="s">
        <v>1490</v>
      </c>
      <c r="C865" s="487" t="s">
        <v>1489</v>
      </c>
      <c r="D865" s="487" t="s">
        <v>819</v>
      </c>
      <c r="E865" s="474">
        <v>44600</v>
      </c>
      <c r="F865" s="1088"/>
      <c r="G865" s="484"/>
      <c r="H865" s="484"/>
      <c r="I865" s="484"/>
      <c r="J865" s="485"/>
      <c r="K865" s="485"/>
    </row>
    <row r="866" spans="1:11" s="508" customFormat="1">
      <c r="A866" s="479">
        <v>747</v>
      </c>
      <c r="B866" s="489" t="s">
        <v>1491</v>
      </c>
      <c r="C866" s="487" t="s">
        <v>1489</v>
      </c>
      <c r="D866" s="487" t="s">
        <v>819</v>
      </c>
      <c r="E866" s="474">
        <v>54800</v>
      </c>
      <c r="F866" s="1088"/>
      <c r="G866" s="484"/>
      <c r="H866" s="484"/>
      <c r="I866" s="484"/>
      <c r="J866" s="485"/>
      <c r="K866" s="485"/>
    </row>
    <row r="867" spans="1:11" s="508" customFormat="1">
      <c r="A867" s="479">
        <v>748</v>
      </c>
      <c r="B867" s="489" t="s">
        <v>1492</v>
      </c>
      <c r="C867" s="487" t="s">
        <v>1489</v>
      </c>
      <c r="D867" s="487" t="s">
        <v>819</v>
      </c>
      <c r="E867" s="474">
        <v>36200</v>
      </c>
      <c r="F867" s="1088"/>
      <c r="G867" s="484"/>
      <c r="H867" s="484"/>
      <c r="I867" s="484"/>
      <c r="J867" s="485"/>
      <c r="K867" s="485"/>
    </row>
    <row r="868" spans="1:11" s="508" customFormat="1">
      <c r="A868" s="479">
        <v>749</v>
      </c>
      <c r="B868" s="489" t="s">
        <v>1493</v>
      </c>
      <c r="C868" s="487" t="s">
        <v>1489</v>
      </c>
      <c r="D868" s="487" t="s">
        <v>819</v>
      </c>
      <c r="E868" s="474">
        <v>43500</v>
      </c>
      <c r="F868" s="1088"/>
      <c r="G868" s="484"/>
      <c r="H868" s="484"/>
      <c r="I868" s="484"/>
      <c r="J868" s="485"/>
      <c r="K868" s="485"/>
    </row>
    <row r="869" spans="1:11" s="508" customFormat="1">
      <c r="A869" s="479">
        <v>750</v>
      </c>
      <c r="B869" s="489" t="s">
        <v>1494</v>
      </c>
      <c r="C869" s="487" t="s">
        <v>1489</v>
      </c>
      <c r="D869" s="487" t="s">
        <v>819</v>
      </c>
      <c r="E869" s="474">
        <v>41800</v>
      </c>
      <c r="F869" s="1088"/>
      <c r="G869" s="484"/>
      <c r="H869" s="484"/>
      <c r="I869" s="484"/>
      <c r="J869" s="485"/>
      <c r="K869" s="485"/>
    </row>
    <row r="870" spans="1:11" s="508" customFormat="1">
      <c r="A870" s="479">
        <v>751</v>
      </c>
      <c r="B870" s="489" t="s">
        <v>1495</v>
      </c>
      <c r="C870" s="487" t="s">
        <v>1489</v>
      </c>
      <c r="D870" s="487" t="s">
        <v>819</v>
      </c>
      <c r="E870" s="474">
        <v>57000</v>
      </c>
      <c r="F870" s="1088"/>
      <c r="G870" s="484"/>
      <c r="H870" s="484"/>
      <c r="I870" s="484"/>
      <c r="J870" s="485"/>
      <c r="K870" s="485"/>
    </row>
    <row r="871" spans="1:11" s="508" customFormat="1">
      <c r="A871" s="479">
        <v>752</v>
      </c>
      <c r="B871" s="489" t="s">
        <v>1496</v>
      </c>
      <c r="C871" s="487" t="s">
        <v>1489</v>
      </c>
      <c r="D871" s="487" t="s">
        <v>819</v>
      </c>
      <c r="E871" s="474">
        <v>44500</v>
      </c>
      <c r="F871" s="1088"/>
      <c r="G871" s="484"/>
      <c r="H871" s="484"/>
      <c r="I871" s="484"/>
      <c r="J871" s="485"/>
      <c r="K871" s="485"/>
    </row>
    <row r="872" spans="1:11" s="508" customFormat="1">
      <c r="A872" s="479">
        <v>753</v>
      </c>
      <c r="B872" s="489" t="s">
        <v>1497</v>
      </c>
      <c r="C872" s="487" t="s">
        <v>1498</v>
      </c>
      <c r="D872" s="487" t="s">
        <v>819</v>
      </c>
      <c r="E872" s="474">
        <v>8500</v>
      </c>
      <c r="F872" s="1088"/>
      <c r="G872" s="484"/>
      <c r="H872" s="484"/>
      <c r="I872" s="484"/>
      <c r="J872" s="485"/>
      <c r="K872" s="485"/>
    </row>
    <row r="873" spans="1:11" s="508" customFormat="1" ht="28">
      <c r="A873" s="479">
        <v>754</v>
      </c>
      <c r="B873" s="489" t="s">
        <v>1499</v>
      </c>
      <c r="C873" s="487" t="s">
        <v>1500</v>
      </c>
      <c r="D873" s="487" t="s">
        <v>819</v>
      </c>
      <c r="E873" s="474">
        <v>15000</v>
      </c>
      <c r="F873" s="1088"/>
      <c r="G873" s="484"/>
      <c r="H873" s="484"/>
      <c r="I873" s="484"/>
      <c r="J873" s="485"/>
      <c r="K873" s="485"/>
    </row>
    <row r="874" spans="1:11" s="508" customFormat="1" ht="28">
      <c r="A874" s="479">
        <v>755</v>
      </c>
      <c r="B874" s="489" t="s">
        <v>1501</v>
      </c>
      <c r="C874" s="487" t="s">
        <v>1502</v>
      </c>
      <c r="D874" s="487" t="s">
        <v>819</v>
      </c>
      <c r="E874" s="474">
        <v>60500</v>
      </c>
      <c r="F874" s="1088"/>
      <c r="G874" s="484"/>
      <c r="H874" s="484"/>
      <c r="I874" s="484"/>
      <c r="J874" s="485"/>
      <c r="K874" s="485"/>
    </row>
    <row r="875" spans="1:11" s="508" customFormat="1">
      <c r="A875" s="479">
        <v>756</v>
      </c>
      <c r="B875" s="489" t="s">
        <v>1503</v>
      </c>
      <c r="C875" s="487" t="s">
        <v>1504</v>
      </c>
      <c r="D875" s="487" t="s">
        <v>819</v>
      </c>
      <c r="E875" s="474">
        <v>37200</v>
      </c>
      <c r="F875" s="1088"/>
      <c r="G875" s="484"/>
      <c r="H875" s="484"/>
      <c r="I875" s="484"/>
      <c r="J875" s="485"/>
      <c r="K875" s="485"/>
    </row>
    <row r="876" spans="1:11" s="508" customFormat="1">
      <c r="A876" s="479">
        <v>757</v>
      </c>
      <c r="B876" s="489" t="s">
        <v>1505</v>
      </c>
      <c r="C876" s="487" t="s">
        <v>1506</v>
      </c>
      <c r="D876" s="487" t="s">
        <v>819</v>
      </c>
      <c r="E876" s="474">
        <v>45800</v>
      </c>
      <c r="F876" s="1088"/>
      <c r="G876" s="484"/>
      <c r="H876" s="484"/>
      <c r="I876" s="484"/>
      <c r="J876" s="485"/>
      <c r="K876" s="485"/>
    </row>
    <row r="877" spans="1:11" s="508" customFormat="1">
      <c r="A877" s="479">
        <v>758</v>
      </c>
      <c r="B877" s="489" t="s">
        <v>1507</v>
      </c>
      <c r="C877" s="487" t="s">
        <v>1508</v>
      </c>
      <c r="D877" s="487" t="s">
        <v>819</v>
      </c>
      <c r="E877" s="474">
        <v>60500</v>
      </c>
      <c r="F877" s="1088"/>
      <c r="G877" s="484"/>
      <c r="H877" s="484"/>
      <c r="I877" s="484"/>
      <c r="J877" s="485"/>
      <c r="K877" s="485"/>
    </row>
    <row r="878" spans="1:11" s="508" customFormat="1">
      <c r="A878" s="479">
        <v>759</v>
      </c>
      <c r="B878" s="489" t="s">
        <v>1509</v>
      </c>
      <c r="C878" s="487" t="s">
        <v>1510</v>
      </c>
      <c r="D878" s="487" t="s">
        <v>819</v>
      </c>
      <c r="E878" s="474">
        <v>15200</v>
      </c>
      <c r="F878" s="1088"/>
      <c r="G878" s="484"/>
      <c r="H878" s="484"/>
      <c r="I878" s="484"/>
      <c r="J878" s="485"/>
      <c r="K878" s="485"/>
    </row>
    <row r="879" spans="1:11" s="508" customFormat="1" ht="28">
      <c r="A879" s="479">
        <v>760</v>
      </c>
      <c r="B879" s="489" t="s">
        <v>1511</v>
      </c>
      <c r="C879" s="487" t="s">
        <v>1512</v>
      </c>
      <c r="D879" s="487" t="s">
        <v>819</v>
      </c>
      <c r="E879" s="474">
        <v>17200</v>
      </c>
      <c r="F879" s="1088"/>
      <c r="G879" s="484"/>
      <c r="H879" s="484"/>
      <c r="I879" s="484"/>
      <c r="J879" s="485"/>
      <c r="K879" s="485"/>
    </row>
    <row r="880" spans="1:11" s="508" customFormat="1" ht="28">
      <c r="A880" s="479">
        <v>761</v>
      </c>
      <c r="B880" s="489" t="s">
        <v>1513</v>
      </c>
      <c r="C880" s="487"/>
      <c r="D880" s="487" t="s">
        <v>819</v>
      </c>
      <c r="E880" s="474">
        <v>50400</v>
      </c>
      <c r="F880" s="1088"/>
      <c r="G880" s="484"/>
      <c r="H880" s="484"/>
      <c r="I880" s="484"/>
      <c r="J880" s="485"/>
      <c r="K880" s="485"/>
    </row>
    <row r="881" spans="1:11" s="508" customFormat="1">
      <c r="A881" s="479">
        <v>762</v>
      </c>
      <c r="B881" s="489" t="s">
        <v>1514</v>
      </c>
      <c r="C881" s="487"/>
      <c r="D881" s="487" t="s">
        <v>819</v>
      </c>
      <c r="E881" s="474">
        <v>50400</v>
      </c>
      <c r="F881" s="1088"/>
      <c r="G881" s="484"/>
      <c r="H881" s="484"/>
      <c r="I881" s="484"/>
      <c r="J881" s="485"/>
      <c r="K881" s="485"/>
    </row>
    <row r="882" spans="1:11" s="508" customFormat="1">
      <c r="A882" s="479">
        <v>763</v>
      </c>
      <c r="B882" s="489" t="s">
        <v>1515</v>
      </c>
      <c r="C882" s="487"/>
      <c r="D882" s="487" t="s">
        <v>819</v>
      </c>
      <c r="E882" s="474">
        <v>70500</v>
      </c>
      <c r="F882" s="1088"/>
      <c r="G882" s="484"/>
      <c r="H882" s="484"/>
      <c r="I882" s="484"/>
      <c r="J882" s="485"/>
      <c r="K882" s="485"/>
    </row>
    <row r="883" spans="1:11" s="508" customFormat="1">
      <c r="A883" s="479">
        <v>764</v>
      </c>
      <c r="B883" s="489" t="s">
        <v>1516</v>
      </c>
      <c r="C883" s="487"/>
      <c r="D883" s="487" t="s">
        <v>819</v>
      </c>
      <c r="E883" s="474">
        <v>173000</v>
      </c>
      <c r="F883" s="1088"/>
      <c r="G883" s="484"/>
      <c r="H883" s="484"/>
      <c r="I883" s="484"/>
      <c r="J883" s="485"/>
      <c r="K883" s="485"/>
    </row>
    <row r="884" spans="1:11" s="508" customFormat="1">
      <c r="A884" s="479">
        <v>765</v>
      </c>
      <c r="B884" s="489" t="s">
        <v>1517</v>
      </c>
      <c r="C884" s="487">
        <v>703</v>
      </c>
      <c r="D884" s="487" t="s">
        <v>819</v>
      </c>
      <c r="E884" s="474">
        <v>89200</v>
      </c>
      <c r="F884" s="1088"/>
      <c r="G884" s="484"/>
      <c r="H884" s="484"/>
      <c r="I884" s="484"/>
      <c r="J884" s="485"/>
      <c r="K884" s="485"/>
    </row>
    <row r="885" spans="1:11" s="508" customFormat="1">
      <c r="A885" s="479">
        <v>766</v>
      </c>
      <c r="B885" s="489" t="s">
        <v>1518</v>
      </c>
      <c r="C885" s="487" t="s">
        <v>1519</v>
      </c>
      <c r="D885" s="487" t="s">
        <v>819</v>
      </c>
      <c r="E885" s="474">
        <v>14870</v>
      </c>
      <c r="F885" s="1088"/>
      <c r="G885" s="484"/>
      <c r="H885" s="484"/>
      <c r="I885" s="484"/>
      <c r="J885" s="485"/>
      <c r="K885" s="485"/>
    </row>
    <row r="886" spans="1:11" s="508" customFormat="1" ht="28">
      <c r="A886" s="479">
        <v>767</v>
      </c>
      <c r="B886" s="489" t="s">
        <v>1520</v>
      </c>
      <c r="C886" s="487" t="s">
        <v>1521</v>
      </c>
      <c r="D886" s="487" t="s">
        <v>819</v>
      </c>
      <c r="E886" s="474">
        <v>28740</v>
      </c>
      <c r="F886" s="1088"/>
      <c r="G886" s="484"/>
      <c r="H886" s="484"/>
      <c r="I886" s="484"/>
      <c r="J886" s="485"/>
      <c r="K886" s="485"/>
    </row>
    <row r="887" spans="1:11" s="508" customFormat="1">
      <c r="A887" s="479">
        <v>768</v>
      </c>
      <c r="B887" s="489" t="s">
        <v>1522</v>
      </c>
      <c r="C887" s="487" t="s">
        <v>1523</v>
      </c>
      <c r="D887" s="487" t="s">
        <v>819</v>
      </c>
      <c r="E887" s="474">
        <v>90060</v>
      </c>
      <c r="F887" s="1088"/>
      <c r="G887" s="484"/>
      <c r="H887" s="484"/>
      <c r="I887" s="484"/>
      <c r="J887" s="485"/>
      <c r="K887" s="485"/>
    </row>
    <row r="888" spans="1:11" s="508" customFormat="1" ht="28">
      <c r="A888" s="479">
        <v>769</v>
      </c>
      <c r="B888" s="489" t="s">
        <v>1524</v>
      </c>
      <c r="C888" s="487" t="s">
        <v>1525</v>
      </c>
      <c r="D888" s="487" t="s">
        <v>819</v>
      </c>
      <c r="E888" s="474">
        <v>23000</v>
      </c>
      <c r="F888" s="1088"/>
      <c r="G888" s="484"/>
      <c r="H888" s="484"/>
      <c r="I888" s="484"/>
      <c r="J888" s="485"/>
      <c r="K888" s="485"/>
    </row>
    <row r="889" spans="1:11" s="508" customFormat="1">
      <c r="A889" s="479">
        <v>770</v>
      </c>
      <c r="B889" s="489" t="s">
        <v>1526</v>
      </c>
      <c r="C889" s="487" t="s">
        <v>1527</v>
      </c>
      <c r="D889" s="487" t="s">
        <v>819</v>
      </c>
      <c r="E889" s="474">
        <v>18000</v>
      </c>
      <c r="F889" s="1088"/>
      <c r="G889" s="484"/>
      <c r="H889" s="484"/>
      <c r="I889" s="484"/>
      <c r="J889" s="485"/>
      <c r="K889" s="485"/>
    </row>
    <row r="890" spans="1:11" s="508" customFormat="1" ht="28">
      <c r="A890" s="479">
        <v>771</v>
      </c>
      <c r="B890" s="489" t="s">
        <v>1528</v>
      </c>
      <c r="C890" s="487" t="s">
        <v>1529</v>
      </c>
      <c r="D890" s="487" t="s">
        <v>819</v>
      </c>
      <c r="E890" s="474">
        <v>46000</v>
      </c>
      <c r="F890" s="1088"/>
      <c r="G890" s="484"/>
      <c r="H890" s="484"/>
      <c r="I890" s="484"/>
      <c r="J890" s="485"/>
      <c r="K890" s="485"/>
    </row>
    <row r="891" spans="1:11" s="508" customFormat="1" ht="28">
      <c r="A891" s="479">
        <v>772</v>
      </c>
      <c r="B891" s="489" t="s">
        <v>1530</v>
      </c>
      <c r="C891" s="487" t="s">
        <v>1531</v>
      </c>
      <c r="D891" s="487" t="s">
        <v>819</v>
      </c>
      <c r="E891" s="474">
        <v>43000</v>
      </c>
      <c r="F891" s="1088"/>
      <c r="G891" s="484"/>
      <c r="H891" s="484"/>
      <c r="I891" s="484"/>
      <c r="J891" s="485"/>
      <c r="K891" s="485"/>
    </row>
    <row r="892" spans="1:11" s="508" customFormat="1">
      <c r="A892" s="479">
        <v>773</v>
      </c>
      <c r="B892" s="489" t="s">
        <v>1532</v>
      </c>
      <c r="C892" s="487" t="s">
        <v>1533</v>
      </c>
      <c r="D892" s="487" t="s">
        <v>819</v>
      </c>
      <c r="E892" s="474">
        <v>75000</v>
      </c>
      <c r="F892" s="1088"/>
      <c r="G892" s="484"/>
      <c r="H892" s="484"/>
      <c r="I892" s="484"/>
      <c r="J892" s="485"/>
      <c r="K892" s="485"/>
    </row>
    <row r="893" spans="1:11" s="508" customFormat="1" ht="28">
      <c r="A893" s="479">
        <v>774</v>
      </c>
      <c r="B893" s="489" t="s">
        <v>1534</v>
      </c>
      <c r="C893" s="487" t="s">
        <v>1535</v>
      </c>
      <c r="D893" s="487" t="s">
        <v>819</v>
      </c>
      <c r="E893" s="474">
        <v>40000</v>
      </c>
      <c r="F893" s="1088"/>
      <c r="G893" s="484"/>
      <c r="H893" s="484"/>
      <c r="I893" s="484"/>
      <c r="J893" s="485"/>
      <c r="K893" s="485"/>
    </row>
    <row r="894" spans="1:11" s="508" customFormat="1" ht="28">
      <c r="A894" s="479">
        <v>775</v>
      </c>
      <c r="B894" s="489" t="s">
        <v>1536</v>
      </c>
      <c r="C894" s="487" t="s">
        <v>1537</v>
      </c>
      <c r="D894" s="487" t="s">
        <v>819</v>
      </c>
      <c r="E894" s="474">
        <v>54000</v>
      </c>
      <c r="F894" s="1088"/>
      <c r="G894" s="484"/>
      <c r="H894" s="484"/>
      <c r="I894" s="484"/>
      <c r="J894" s="485"/>
      <c r="K894" s="485"/>
    </row>
    <row r="895" spans="1:11" s="508" customFormat="1" ht="28">
      <c r="A895" s="479">
        <v>776</v>
      </c>
      <c r="B895" s="489" t="s">
        <v>1538</v>
      </c>
      <c r="C895" s="487" t="s">
        <v>1539</v>
      </c>
      <c r="D895" s="487" t="s">
        <v>819</v>
      </c>
      <c r="E895" s="474">
        <v>94000</v>
      </c>
      <c r="F895" s="1088"/>
      <c r="G895" s="484"/>
      <c r="H895" s="484"/>
      <c r="I895" s="484"/>
      <c r="J895" s="485"/>
      <c r="K895" s="485"/>
    </row>
    <row r="896" spans="1:11" s="508" customFormat="1" ht="28">
      <c r="A896" s="479">
        <v>777</v>
      </c>
      <c r="B896" s="489" t="s">
        <v>1540</v>
      </c>
      <c r="C896" s="487" t="s">
        <v>1541</v>
      </c>
      <c r="D896" s="487" t="s">
        <v>819</v>
      </c>
      <c r="E896" s="474">
        <v>42000</v>
      </c>
      <c r="F896" s="1088"/>
      <c r="G896" s="484"/>
      <c r="H896" s="484"/>
      <c r="I896" s="484"/>
      <c r="J896" s="485"/>
      <c r="K896" s="485"/>
    </row>
    <row r="897" spans="1:11" s="508" customFormat="1" ht="28">
      <c r="A897" s="479">
        <v>778</v>
      </c>
      <c r="B897" s="489" t="s">
        <v>1542</v>
      </c>
      <c r="C897" s="487" t="s">
        <v>1543</v>
      </c>
      <c r="D897" s="487" t="s">
        <v>819</v>
      </c>
      <c r="E897" s="474">
        <v>81000</v>
      </c>
      <c r="F897" s="1088"/>
      <c r="G897" s="484"/>
      <c r="H897" s="484"/>
      <c r="I897" s="484"/>
      <c r="J897" s="485"/>
      <c r="K897" s="485"/>
    </row>
    <row r="898" spans="1:11" s="508" customFormat="1">
      <c r="A898" s="479">
        <v>779</v>
      </c>
      <c r="B898" s="489" t="s">
        <v>1544</v>
      </c>
      <c r="C898" s="487" t="s">
        <v>1545</v>
      </c>
      <c r="D898" s="487" t="s">
        <v>819</v>
      </c>
      <c r="E898" s="474">
        <v>16100</v>
      </c>
      <c r="F898" s="1088"/>
      <c r="G898" s="484"/>
      <c r="H898" s="484"/>
      <c r="I898" s="484"/>
      <c r="J898" s="485"/>
      <c r="K898" s="485"/>
    </row>
    <row r="899" spans="1:11" s="508" customFormat="1" ht="28">
      <c r="A899" s="479">
        <v>780</v>
      </c>
      <c r="B899" s="489" t="s">
        <v>1546</v>
      </c>
      <c r="C899" s="487"/>
      <c r="D899" s="487" t="s">
        <v>819</v>
      </c>
      <c r="E899" s="474">
        <v>59400</v>
      </c>
      <c r="F899" s="1088"/>
      <c r="G899" s="484"/>
      <c r="H899" s="484"/>
      <c r="I899" s="484"/>
      <c r="J899" s="485"/>
      <c r="K899" s="485"/>
    </row>
    <row r="900" spans="1:11" s="508" customFormat="1" ht="28">
      <c r="A900" s="479">
        <v>781</v>
      </c>
      <c r="B900" s="489" t="s">
        <v>1547</v>
      </c>
      <c r="C900" s="487"/>
      <c r="D900" s="487" t="s">
        <v>819</v>
      </c>
      <c r="E900" s="474">
        <v>91999</v>
      </c>
      <c r="F900" s="1088"/>
      <c r="G900" s="484"/>
      <c r="H900" s="484"/>
      <c r="I900" s="484"/>
      <c r="J900" s="485"/>
      <c r="K900" s="485"/>
    </row>
    <row r="901" spans="1:11" s="508" customFormat="1">
      <c r="A901" s="479">
        <v>782</v>
      </c>
      <c r="B901" s="489" t="s">
        <v>1548</v>
      </c>
      <c r="C901" s="487" t="s">
        <v>1549</v>
      </c>
      <c r="D901" s="487" t="s">
        <v>819</v>
      </c>
      <c r="E901" s="474">
        <v>91999</v>
      </c>
      <c r="F901" s="1088"/>
      <c r="G901" s="484"/>
      <c r="H901" s="484"/>
      <c r="I901" s="484"/>
      <c r="J901" s="485"/>
      <c r="K901" s="485"/>
    </row>
    <row r="902" spans="1:11" s="514" customFormat="1" ht="24.75" customHeight="1">
      <c r="A902" s="479">
        <v>783</v>
      </c>
      <c r="B902" s="516" t="s">
        <v>1550</v>
      </c>
      <c r="C902" s="487" t="s">
        <v>1551</v>
      </c>
      <c r="D902" s="487" t="s">
        <v>819</v>
      </c>
      <c r="E902" s="474">
        <v>167200</v>
      </c>
      <c r="F902" s="1088"/>
      <c r="G902" s="484"/>
      <c r="H902" s="484"/>
      <c r="I902" s="484"/>
      <c r="J902" s="485"/>
      <c r="K902" s="485"/>
    </row>
    <row r="903" spans="1:11" s="612" customFormat="1">
      <c r="A903" s="479">
        <v>784</v>
      </c>
      <c r="B903" s="489" t="s">
        <v>1552</v>
      </c>
      <c r="C903" s="487" t="s">
        <v>1553</v>
      </c>
      <c r="D903" s="487" t="s">
        <v>819</v>
      </c>
      <c r="E903" s="474">
        <v>77000</v>
      </c>
      <c r="F903" s="1088"/>
      <c r="G903" s="484"/>
      <c r="H903" s="484"/>
      <c r="I903" s="484"/>
      <c r="J903" s="485"/>
      <c r="K903" s="485"/>
    </row>
    <row r="904" spans="1:11" s="612" customFormat="1">
      <c r="A904" s="479">
        <v>785</v>
      </c>
      <c r="B904" s="489" t="s">
        <v>1554</v>
      </c>
      <c r="C904" s="487" t="s">
        <v>1555</v>
      </c>
      <c r="D904" s="487" t="s">
        <v>819</v>
      </c>
      <c r="E904" s="474">
        <v>9200</v>
      </c>
      <c r="F904" s="1088"/>
      <c r="G904" s="484"/>
      <c r="H904" s="484"/>
      <c r="I904" s="484"/>
      <c r="J904" s="485"/>
      <c r="K904" s="485"/>
    </row>
    <row r="905" spans="1:11" s="612" customFormat="1">
      <c r="A905" s="479">
        <v>786</v>
      </c>
      <c r="B905" s="489" t="s">
        <v>1556</v>
      </c>
      <c r="C905" s="487" t="s">
        <v>1555</v>
      </c>
      <c r="D905" s="487" t="s">
        <v>819</v>
      </c>
      <c r="E905" s="474">
        <v>16200</v>
      </c>
      <c r="F905" s="1088"/>
      <c r="G905" s="484"/>
      <c r="H905" s="484"/>
      <c r="I905" s="484"/>
      <c r="J905" s="485"/>
      <c r="K905" s="485"/>
    </row>
    <row r="906" spans="1:11" s="613" customFormat="1" ht="15.75" customHeight="1">
      <c r="A906" s="479">
        <v>787</v>
      </c>
      <c r="B906" s="500" t="s">
        <v>1557</v>
      </c>
      <c r="C906" s="481" t="s">
        <v>1558</v>
      </c>
      <c r="D906" s="481" t="s">
        <v>819</v>
      </c>
      <c r="E906" s="482">
        <v>19000</v>
      </c>
      <c r="F906" s="1088"/>
      <c r="G906" s="538"/>
      <c r="H906" s="538"/>
      <c r="I906" s="538"/>
      <c r="J906" s="493"/>
      <c r="K906" s="493"/>
    </row>
    <row r="907" spans="1:11" s="612" customFormat="1">
      <c r="A907" s="479">
        <v>788</v>
      </c>
      <c r="B907" s="489" t="s">
        <v>1559</v>
      </c>
      <c r="C907" s="487" t="s">
        <v>1558</v>
      </c>
      <c r="D907" s="487" t="s">
        <v>819</v>
      </c>
      <c r="E907" s="474">
        <v>28000</v>
      </c>
      <c r="F907" s="1088"/>
      <c r="G907" s="484"/>
      <c r="H907" s="484"/>
      <c r="I907" s="484"/>
      <c r="J907" s="485"/>
      <c r="K907" s="485"/>
    </row>
    <row r="908" spans="1:11" s="612" customFormat="1" ht="15" customHeight="1">
      <c r="A908" s="495" t="s">
        <v>723</v>
      </c>
      <c r="B908" s="1098" t="s">
        <v>1560</v>
      </c>
      <c r="C908" s="1098"/>
      <c r="D908" s="527"/>
      <c r="E908" s="498"/>
      <c r="F908" s="528"/>
      <c r="G908" s="484"/>
      <c r="H908" s="484"/>
      <c r="I908" s="484"/>
      <c r="J908" s="485"/>
      <c r="K908" s="478"/>
    </row>
    <row r="909" spans="1:11" s="612" customFormat="1">
      <c r="A909" s="479">
        <v>789</v>
      </c>
      <c r="B909" s="489" t="s">
        <v>1561</v>
      </c>
      <c r="C909" s="487" t="s">
        <v>1562</v>
      </c>
      <c r="D909" s="487" t="s">
        <v>819</v>
      </c>
      <c r="E909" s="474">
        <v>5800</v>
      </c>
      <c r="F909" s="1088" t="s">
        <v>450</v>
      </c>
      <c r="G909" s="484"/>
      <c r="H909" s="484"/>
      <c r="I909" s="484"/>
      <c r="J909" s="485"/>
      <c r="K909" s="485"/>
    </row>
    <row r="910" spans="1:11" s="612" customFormat="1">
      <c r="A910" s="479">
        <v>790</v>
      </c>
      <c r="B910" s="489" t="s">
        <v>1563</v>
      </c>
      <c r="C910" s="487" t="s">
        <v>1564</v>
      </c>
      <c r="D910" s="487" t="s">
        <v>819</v>
      </c>
      <c r="E910" s="474">
        <v>6000</v>
      </c>
      <c r="F910" s="1088"/>
      <c r="G910" s="484"/>
      <c r="H910" s="484"/>
      <c r="I910" s="484"/>
      <c r="J910" s="485"/>
      <c r="K910" s="485"/>
    </row>
    <row r="911" spans="1:11" s="612" customFormat="1">
      <c r="A911" s="479">
        <v>791</v>
      </c>
      <c r="B911" s="489" t="s">
        <v>1565</v>
      </c>
      <c r="C911" s="487" t="s">
        <v>1566</v>
      </c>
      <c r="D911" s="487" t="s">
        <v>819</v>
      </c>
      <c r="E911" s="474">
        <v>6800</v>
      </c>
      <c r="F911" s="1088"/>
      <c r="G911" s="484"/>
      <c r="H911" s="484"/>
      <c r="I911" s="484"/>
      <c r="J911" s="485"/>
      <c r="K911" s="485"/>
    </row>
    <row r="912" spans="1:11" s="612" customFormat="1" ht="28">
      <c r="A912" s="479">
        <v>792</v>
      </c>
      <c r="B912" s="489" t="s">
        <v>1567</v>
      </c>
      <c r="C912" s="487" t="s">
        <v>1568</v>
      </c>
      <c r="D912" s="487" t="s">
        <v>819</v>
      </c>
      <c r="E912" s="474">
        <v>4250</v>
      </c>
      <c r="F912" s="1088"/>
      <c r="G912" s="484"/>
      <c r="H912" s="484"/>
      <c r="I912" s="484"/>
      <c r="J912" s="485"/>
      <c r="K912" s="485"/>
    </row>
    <row r="913" spans="1:46" s="612" customFormat="1">
      <c r="A913" s="479">
        <v>793</v>
      </c>
      <c r="B913" s="489" t="s">
        <v>1569</v>
      </c>
      <c r="C913" s="487" t="s">
        <v>1570</v>
      </c>
      <c r="D913" s="487" t="s">
        <v>819</v>
      </c>
      <c r="E913" s="474">
        <v>11200</v>
      </c>
      <c r="F913" s="1088"/>
      <c r="G913" s="484"/>
      <c r="H913" s="484"/>
      <c r="I913" s="484"/>
      <c r="J913" s="485"/>
      <c r="K913" s="485"/>
    </row>
    <row r="914" spans="1:46" s="612" customFormat="1">
      <c r="A914" s="479">
        <v>794</v>
      </c>
      <c r="B914" s="489" t="s">
        <v>1571</v>
      </c>
      <c r="C914" s="487" t="s">
        <v>1572</v>
      </c>
      <c r="D914" s="487" t="s">
        <v>819</v>
      </c>
      <c r="E914" s="474">
        <v>15800</v>
      </c>
      <c r="F914" s="1088"/>
      <c r="G914" s="484"/>
      <c r="H914" s="484"/>
      <c r="I914" s="484"/>
      <c r="J914" s="485"/>
      <c r="K914" s="485"/>
    </row>
    <row r="915" spans="1:46" s="612" customFormat="1" ht="28">
      <c r="A915" s="479">
        <v>795</v>
      </c>
      <c r="B915" s="489" t="s">
        <v>1573</v>
      </c>
      <c r="C915" s="487" t="s">
        <v>1574</v>
      </c>
      <c r="D915" s="487" t="s">
        <v>819</v>
      </c>
      <c r="E915" s="474">
        <v>104000</v>
      </c>
      <c r="F915" s="1088"/>
      <c r="G915" s="484"/>
      <c r="H915" s="484"/>
      <c r="I915" s="484"/>
      <c r="J915" s="485"/>
      <c r="K915" s="485"/>
    </row>
    <row r="916" spans="1:46" s="612" customFormat="1">
      <c r="A916" s="479">
        <v>796</v>
      </c>
      <c r="B916" s="489" t="s">
        <v>1575</v>
      </c>
      <c r="C916" s="487"/>
      <c r="D916" s="487" t="s">
        <v>819</v>
      </c>
      <c r="E916" s="474">
        <v>11200</v>
      </c>
      <c r="F916" s="1088"/>
      <c r="G916" s="484"/>
      <c r="H916" s="484"/>
      <c r="I916" s="484"/>
      <c r="J916" s="485"/>
      <c r="K916" s="485"/>
    </row>
    <row r="917" spans="1:46" s="612" customFormat="1">
      <c r="A917" s="479">
        <v>797</v>
      </c>
      <c r="B917" s="489" t="s">
        <v>1576</v>
      </c>
      <c r="C917" s="487"/>
      <c r="D917" s="487" t="s">
        <v>819</v>
      </c>
      <c r="E917" s="474">
        <v>16000</v>
      </c>
      <c r="F917" s="1088"/>
      <c r="G917" s="484"/>
      <c r="H917" s="484"/>
      <c r="I917" s="484"/>
      <c r="J917" s="485"/>
      <c r="K917" s="485"/>
    </row>
    <row r="918" spans="1:46" s="612" customFormat="1">
      <c r="A918" s="479">
        <v>798</v>
      </c>
      <c r="B918" s="489" t="s">
        <v>1577</v>
      </c>
      <c r="C918" s="487"/>
      <c r="D918" s="487" t="s">
        <v>819</v>
      </c>
      <c r="E918" s="474">
        <v>30000</v>
      </c>
      <c r="F918" s="1088"/>
      <c r="G918" s="484"/>
      <c r="H918" s="484"/>
      <c r="I918" s="484"/>
      <c r="J918" s="485"/>
      <c r="K918" s="485"/>
    </row>
    <row r="919" spans="1:46" s="612" customFormat="1">
      <c r="A919" s="479">
        <v>799</v>
      </c>
      <c r="B919" s="489" t="s">
        <v>1578</v>
      </c>
      <c r="C919" s="487" t="s">
        <v>1579</v>
      </c>
      <c r="D919" s="487" t="s">
        <v>819</v>
      </c>
      <c r="E919" s="474">
        <v>17000</v>
      </c>
      <c r="F919" s="1088"/>
      <c r="G919" s="484"/>
      <c r="H919" s="484"/>
      <c r="I919" s="484"/>
      <c r="J919" s="485"/>
      <c r="K919" s="485"/>
    </row>
    <row r="920" spans="1:46" s="612" customFormat="1">
      <c r="A920" s="479">
        <v>800</v>
      </c>
      <c r="B920" s="489" t="s">
        <v>1580</v>
      </c>
      <c r="C920" s="487" t="s">
        <v>1581</v>
      </c>
      <c r="D920" s="487" t="s">
        <v>819</v>
      </c>
      <c r="E920" s="474">
        <v>17700</v>
      </c>
      <c r="F920" s="1088"/>
      <c r="G920" s="484"/>
      <c r="H920" s="484"/>
      <c r="I920" s="484"/>
      <c r="J920" s="485"/>
      <c r="K920" s="485"/>
    </row>
    <row r="921" spans="1:46" s="612" customFormat="1">
      <c r="A921" s="479">
        <v>801</v>
      </c>
      <c r="B921" s="489" t="s">
        <v>1582</v>
      </c>
      <c r="C921" s="487" t="s">
        <v>1149</v>
      </c>
      <c r="D921" s="487" t="s">
        <v>819</v>
      </c>
      <c r="E921" s="474">
        <v>4200</v>
      </c>
      <c r="F921" s="1088"/>
      <c r="G921" s="484"/>
      <c r="H921" s="484"/>
      <c r="I921" s="484"/>
      <c r="J921" s="485"/>
      <c r="K921" s="485"/>
    </row>
    <row r="922" spans="1:46" s="612" customFormat="1">
      <c r="A922" s="479">
        <v>802</v>
      </c>
      <c r="B922" s="489" t="s">
        <v>1583</v>
      </c>
      <c r="C922" s="487" t="s">
        <v>1149</v>
      </c>
      <c r="D922" s="487" t="s">
        <v>819</v>
      </c>
      <c r="E922" s="474">
        <v>3700</v>
      </c>
      <c r="F922" s="1088"/>
      <c r="G922" s="484"/>
      <c r="H922" s="484"/>
      <c r="I922" s="484"/>
      <c r="J922" s="485"/>
      <c r="K922" s="485"/>
    </row>
    <row r="923" spans="1:46" s="612" customFormat="1">
      <c r="A923" s="479">
        <v>803</v>
      </c>
      <c r="B923" s="489" t="s">
        <v>1584</v>
      </c>
      <c r="C923" s="487" t="s">
        <v>1149</v>
      </c>
      <c r="D923" s="487" t="s">
        <v>819</v>
      </c>
      <c r="E923" s="474">
        <v>7500</v>
      </c>
      <c r="F923" s="1088"/>
      <c r="G923" s="484"/>
      <c r="H923" s="484"/>
      <c r="I923" s="484"/>
      <c r="J923" s="485"/>
      <c r="K923" s="485"/>
    </row>
    <row r="924" spans="1:46" s="612" customFormat="1">
      <c r="A924" s="479">
        <v>804</v>
      </c>
      <c r="B924" s="489" t="s">
        <v>1585</v>
      </c>
      <c r="C924" s="487"/>
      <c r="D924" s="487" t="s">
        <v>819</v>
      </c>
      <c r="E924" s="474">
        <v>6300</v>
      </c>
      <c r="F924" s="1088"/>
      <c r="G924" s="484"/>
      <c r="H924" s="484"/>
      <c r="I924" s="484"/>
      <c r="J924" s="485"/>
      <c r="K924" s="485"/>
    </row>
    <row r="925" spans="1:46" s="612" customFormat="1">
      <c r="A925" s="479">
        <v>805</v>
      </c>
      <c r="B925" s="489" t="s">
        <v>1586</v>
      </c>
      <c r="C925" s="487"/>
      <c r="D925" s="487" t="s">
        <v>819</v>
      </c>
      <c r="E925" s="474">
        <v>4300</v>
      </c>
      <c r="F925" s="1088"/>
      <c r="G925" s="484"/>
      <c r="H925" s="484"/>
      <c r="I925" s="484"/>
      <c r="J925" s="485"/>
      <c r="K925" s="485"/>
    </row>
    <row r="926" spans="1:46" s="612" customFormat="1">
      <c r="A926" s="479">
        <v>806</v>
      </c>
      <c r="B926" s="489" t="s">
        <v>1587</v>
      </c>
      <c r="C926" s="487"/>
      <c r="D926" s="487" t="s">
        <v>819</v>
      </c>
      <c r="E926" s="474">
        <v>4500</v>
      </c>
      <c r="F926" s="1088"/>
      <c r="G926" s="484"/>
      <c r="H926" s="484"/>
      <c r="I926" s="484"/>
      <c r="J926" s="485"/>
      <c r="K926" s="485"/>
    </row>
    <row r="927" spans="1:46" s="614" customFormat="1" ht="15.75" customHeight="1">
      <c r="A927" s="495" t="s">
        <v>761</v>
      </c>
      <c r="B927" s="496" t="s">
        <v>1588</v>
      </c>
      <c r="C927" s="497"/>
      <c r="D927" s="497"/>
      <c r="E927" s="498"/>
      <c r="F927" s="499"/>
      <c r="G927" s="477"/>
      <c r="H927" s="477"/>
      <c r="I927" s="477"/>
      <c r="J927" s="501"/>
      <c r="K927" s="518"/>
    </row>
    <row r="928" spans="1:46" s="620" customFormat="1" ht="15" customHeight="1">
      <c r="A928" s="479">
        <v>807</v>
      </c>
      <c r="B928" s="615" t="s">
        <v>1589</v>
      </c>
      <c r="C928" s="1135" t="s">
        <v>1590</v>
      </c>
      <c r="D928" s="616" t="s">
        <v>699</v>
      </c>
      <c r="E928" s="617">
        <v>3729</v>
      </c>
      <c r="F928" s="1088" t="s">
        <v>1591</v>
      </c>
      <c r="G928" s="484"/>
      <c r="H928" s="484"/>
      <c r="I928" s="484"/>
      <c r="J928" s="618"/>
      <c r="K928" s="619"/>
      <c r="L928" s="619"/>
      <c r="M928" s="619"/>
      <c r="N928" s="619"/>
      <c r="O928" s="619"/>
      <c r="P928" s="619"/>
      <c r="Q928" s="619"/>
      <c r="R928" s="619"/>
      <c r="S928" s="619"/>
      <c r="T928" s="619"/>
      <c r="U928" s="619"/>
      <c r="V928" s="619"/>
      <c r="W928" s="619"/>
      <c r="X928" s="619"/>
      <c r="Y928" s="619"/>
      <c r="Z928" s="619"/>
      <c r="AA928" s="619"/>
      <c r="AB928" s="619"/>
      <c r="AC928" s="619"/>
      <c r="AD928" s="619"/>
      <c r="AE928" s="619"/>
      <c r="AF928" s="619"/>
      <c r="AG928" s="619"/>
      <c r="AH928" s="619"/>
      <c r="AI928" s="619"/>
      <c r="AJ928" s="619"/>
      <c r="AK928" s="619"/>
      <c r="AL928" s="619"/>
      <c r="AM928" s="619"/>
      <c r="AN928" s="619"/>
      <c r="AO928" s="619"/>
      <c r="AP928" s="619"/>
      <c r="AQ928" s="619"/>
      <c r="AR928" s="619"/>
      <c r="AS928" s="619"/>
      <c r="AT928" s="619"/>
    </row>
    <row r="929" spans="1:46" s="626" customFormat="1" ht="14">
      <c r="A929" s="479">
        <v>808</v>
      </c>
      <c r="B929" s="621" t="s">
        <v>1592</v>
      </c>
      <c r="C929" s="1135"/>
      <c r="D929" s="622" t="s">
        <v>699</v>
      </c>
      <c r="E929" s="623">
        <v>6160</v>
      </c>
      <c r="F929" s="1088"/>
      <c r="G929" s="484"/>
      <c r="H929" s="484"/>
      <c r="I929" s="484"/>
      <c r="J929" s="624"/>
      <c r="K929" s="625"/>
      <c r="L929" s="625"/>
      <c r="M929" s="625"/>
      <c r="N929" s="625"/>
      <c r="O929" s="625"/>
      <c r="P929" s="625"/>
      <c r="Q929" s="625"/>
      <c r="R929" s="625"/>
      <c r="S929" s="625"/>
      <c r="T929" s="625"/>
      <c r="U929" s="625"/>
      <c r="V929" s="625"/>
      <c r="W929" s="625"/>
      <c r="X929" s="625"/>
      <c r="Y929" s="625"/>
      <c r="Z929" s="625"/>
      <c r="AA929" s="625"/>
      <c r="AB929" s="625"/>
      <c r="AC929" s="625"/>
      <c r="AD929" s="625"/>
      <c r="AE929" s="625"/>
      <c r="AF929" s="625"/>
      <c r="AG929" s="625"/>
      <c r="AH929" s="625"/>
      <c r="AI929" s="625"/>
      <c r="AJ929" s="625"/>
      <c r="AK929" s="625"/>
      <c r="AL929" s="625"/>
      <c r="AM929" s="625"/>
      <c r="AN929" s="625"/>
      <c r="AO929" s="625"/>
      <c r="AP929" s="625"/>
      <c r="AQ929" s="625"/>
      <c r="AR929" s="625"/>
      <c r="AS929" s="625"/>
      <c r="AT929" s="625"/>
    </row>
    <row r="930" spans="1:46" s="626" customFormat="1" ht="14">
      <c r="A930" s="479">
        <v>809</v>
      </c>
      <c r="B930" s="621" t="s">
        <v>1593</v>
      </c>
      <c r="C930" s="1135"/>
      <c r="D930" s="622" t="s">
        <v>699</v>
      </c>
      <c r="E930" s="623">
        <v>22550</v>
      </c>
      <c r="F930" s="1088"/>
      <c r="G930" s="484"/>
      <c r="H930" s="484"/>
      <c r="I930" s="484"/>
      <c r="J930" s="624"/>
      <c r="K930" s="625"/>
      <c r="L930" s="625"/>
      <c r="M930" s="625"/>
      <c r="N930" s="625"/>
      <c r="O930" s="625"/>
      <c r="P930" s="625"/>
      <c r="Q930" s="625"/>
      <c r="R930" s="625"/>
      <c r="S930" s="625"/>
      <c r="T930" s="625"/>
      <c r="U930" s="625"/>
      <c r="V930" s="625"/>
      <c r="W930" s="625"/>
      <c r="X930" s="625"/>
      <c r="Y930" s="625"/>
      <c r="Z930" s="625"/>
      <c r="AA930" s="625"/>
      <c r="AB930" s="625"/>
      <c r="AC930" s="625"/>
      <c r="AD930" s="625"/>
      <c r="AE930" s="625"/>
      <c r="AF930" s="625"/>
      <c r="AG930" s="625"/>
      <c r="AH930" s="625"/>
      <c r="AI930" s="625"/>
      <c r="AJ930" s="625"/>
      <c r="AK930" s="625"/>
      <c r="AL930" s="625"/>
      <c r="AM930" s="625"/>
      <c r="AN930" s="625"/>
      <c r="AO930" s="625"/>
      <c r="AP930" s="625"/>
      <c r="AQ930" s="625"/>
      <c r="AR930" s="625"/>
      <c r="AS930" s="625"/>
      <c r="AT930" s="625"/>
    </row>
    <row r="931" spans="1:46" s="626" customFormat="1" ht="14">
      <c r="A931" s="479">
        <v>810</v>
      </c>
      <c r="B931" s="621" t="s">
        <v>1594</v>
      </c>
      <c r="C931" s="1135"/>
      <c r="D931" s="622" t="s">
        <v>699</v>
      </c>
      <c r="E931" s="623">
        <v>100980</v>
      </c>
      <c r="F931" s="1088"/>
      <c r="G931" s="484"/>
      <c r="H931" s="484"/>
      <c r="I931" s="484"/>
      <c r="J931" s="624"/>
      <c r="K931" s="625"/>
      <c r="L931" s="625"/>
      <c r="M931" s="625"/>
      <c r="N931" s="625"/>
      <c r="O931" s="625"/>
      <c r="P931" s="625"/>
      <c r="Q931" s="625"/>
      <c r="R931" s="625"/>
      <c r="S931" s="625"/>
      <c r="T931" s="625"/>
      <c r="U931" s="625"/>
      <c r="V931" s="625"/>
      <c r="W931" s="625"/>
      <c r="X931" s="625"/>
      <c r="Y931" s="625"/>
      <c r="Z931" s="625"/>
      <c r="AA931" s="625"/>
      <c r="AB931" s="625"/>
      <c r="AC931" s="625"/>
      <c r="AD931" s="625"/>
      <c r="AE931" s="625"/>
      <c r="AF931" s="625"/>
      <c r="AG931" s="625"/>
      <c r="AH931" s="625"/>
      <c r="AI931" s="625"/>
      <c r="AJ931" s="625"/>
      <c r="AK931" s="625"/>
      <c r="AL931" s="625"/>
      <c r="AM931" s="625"/>
      <c r="AN931" s="625"/>
      <c r="AO931" s="625"/>
      <c r="AP931" s="625"/>
      <c r="AQ931" s="625"/>
      <c r="AR931" s="625"/>
      <c r="AS931" s="625"/>
      <c r="AT931" s="625"/>
    </row>
    <row r="932" spans="1:46" s="626" customFormat="1" ht="14">
      <c r="A932" s="479">
        <v>811</v>
      </c>
      <c r="B932" s="621" t="s">
        <v>1595</v>
      </c>
      <c r="C932" s="1135"/>
      <c r="D932" s="622" t="s">
        <v>699</v>
      </c>
      <c r="E932" s="623">
        <v>507980</v>
      </c>
      <c r="F932" s="1088"/>
      <c r="G932" s="484"/>
      <c r="H932" s="484"/>
      <c r="I932" s="484"/>
      <c r="J932" s="624"/>
      <c r="K932" s="625"/>
      <c r="L932" s="625"/>
      <c r="M932" s="625"/>
      <c r="N932" s="625"/>
      <c r="O932" s="625"/>
      <c r="P932" s="625"/>
      <c r="Q932" s="625"/>
      <c r="R932" s="625"/>
      <c r="S932" s="625"/>
      <c r="T932" s="625"/>
      <c r="U932" s="625"/>
      <c r="V932" s="625"/>
      <c r="W932" s="625"/>
      <c r="X932" s="625"/>
      <c r="Y932" s="625"/>
      <c r="Z932" s="625"/>
      <c r="AA932" s="625"/>
      <c r="AB932" s="625"/>
      <c r="AC932" s="625"/>
      <c r="AD932" s="625"/>
      <c r="AE932" s="625"/>
      <c r="AF932" s="625"/>
      <c r="AG932" s="625"/>
      <c r="AH932" s="625"/>
      <c r="AI932" s="625"/>
      <c r="AJ932" s="625"/>
      <c r="AK932" s="625"/>
      <c r="AL932" s="625"/>
      <c r="AM932" s="625"/>
      <c r="AN932" s="625"/>
      <c r="AO932" s="625"/>
      <c r="AP932" s="625"/>
      <c r="AQ932" s="625"/>
      <c r="AR932" s="625"/>
      <c r="AS932" s="625"/>
      <c r="AT932" s="625"/>
    </row>
    <row r="933" spans="1:46" s="626" customFormat="1" ht="14">
      <c r="A933" s="479">
        <v>812</v>
      </c>
      <c r="B933" s="621" t="s">
        <v>1596</v>
      </c>
      <c r="C933" s="1135"/>
      <c r="D933" s="622" t="s">
        <v>699</v>
      </c>
      <c r="E933" s="623">
        <v>637120</v>
      </c>
      <c r="F933" s="1088"/>
      <c r="G933" s="484"/>
      <c r="H933" s="484"/>
      <c r="I933" s="484"/>
      <c r="J933" s="624"/>
      <c r="K933" s="625"/>
      <c r="L933" s="625"/>
      <c r="M933" s="625"/>
      <c r="N933" s="625"/>
      <c r="O933" s="625"/>
      <c r="P933" s="625"/>
      <c r="Q933" s="625"/>
      <c r="R933" s="625"/>
      <c r="S933" s="625"/>
      <c r="T933" s="625"/>
      <c r="U933" s="625"/>
      <c r="V933" s="625"/>
      <c r="W933" s="625"/>
      <c r="X933" s="625"/>
      <c r="Y933" s="625"/>
      <c r="Z933" s="625"/>
      <c r="AA933" s="625"/>
      <c r="AB933" s="625"/>
      <c r="AC933" s="625"/>
      <c r="AD933" s="625"/>
      <c r="AE933" s="625"/>
      <c r="AF933" s="625"/>
      <c r="AG933" s="625"/>
      <c r="AH933" s="625"/>
      <c r="AI933" s="625"/>
      <c r="AJ933" s="625"/>
      <c r="AK933" s="625"/>
      <c r="AL933" s="625"/>
      <c r="AM933" s="625"/>
      <c r="AN933" s="625"/>
      <c r="AO933" s="625"/>
      <c r="AP933" s="625"/>
      <c r="AQ933" s="625"/>
      <c r="AR933" s="625"/>
      <c r="AS933" s="625"/>
      <c r="AT933" s="625"/>
    </row>
    <row r="934" spans="1:46" s="626" customFormat="1" ht="14">
      <c r="A934" s="479">
        <v>813</v>
      </c>
      <c r="B934" s="621" t="s">
        <v>1597</v>
      </c>
      <c r="C934" s="1135" t="s">
        <v>1598</v>
      </c>
      <c r="D934" s="622" t="s">
        <v>699</v>
      </c>
      <c r="E934" s="623">
        <v>4389</v>
      </c>
      <c r="F934" s="1088"/>
      <c r="G934" s="484"/>
      <c r="H934" s="484"/>
      <c r="I934" s="484"/>
      <c r="J934" s="624"/>
      <c r="K934" s="625"/>
      <c r="L934" s="625"/>
      <c r="M934" s="625"/>
      <c r="N934" s="625"/>
      <c r="O934" s="625"/>
      <c r="P934" s="625"/>
      <c r="Q934" s="625"/>
      <c r="R934" s="625"/>
      <c r="S934" s="625"/>
      <c r="T934" s="625"/>
      <c r="U934" s="625"/>
      <c r="V934" s="625"/>
      <c r="W934" s="625"/>
      <c r="X934" s="625"/>
      <c r="Y934" s="625"/>
      <c r="Z934" s="625"/>
      <c r="AA934" s="625"/>
      <c r="AB934" s="625"/>
      <c r="AC934" s="625"/>
      <c r="AD934" s="625"/>
      <c r="AE934" s="625"/>
      <c r="AF934" s="625"/>
      <c r="AG934" s="625"/>
      <c r="AH934" s="625"/>
      <c r="AI934" s="625"/>
      <c r="AJ934" s="625"/>
      <c r="AK934" s="625"/>
      <c r="AL934" s="625"/>
      <c r="AM934" s="625"/>
      <c r="AN934" s="625"/>
      <c r="AO934" s="625"/>
      <c r="AP934" s="625"/>
      <c r="AQ934" s="625"/>
      <c r="AR934" s="625"/>
      <c r="AS934" s="625"/>
      <c r="AT934" s="625"/>
    </row>
    <row r="935" spans="1:46" s="626" customFormat="1" ht="14">
      <c r="A935" s="479">
        <v>814</v>
      </c>
      <c r="B935" s="621" t="s">
        <v>1599</v>
      </c>
      <c r="C935" s="1135"/>
      <c r="D935" s="622" t="s">
        <v>699</v>
      </c>
      <c r="E935" s="623">
        <v>5599</v>
      </c>
      <c r="F935" s="1088"/>
      <c r="G935" s="484"/>
      <c r="H935" s="484"/>
      <c r="I935" s="484"/>
      <c r="J935" s="624"/>
      <c r="K935" s="625"/>
      <c r="L935" s="625"/>
      <c r="M935" s="625"/>
      <c r="N935" s="625"/>
      <c r="O935" s="625"/>
      <c r="P935" s="625"/>
      <c r="Q935" s="625"/>
      <c r="R935" s="625"/>
      <c r="S935" s="625"/>
      <c r="T935" s="625"/>
      <c r="U935" s="625"/>
      <c r="V935" s="625"/>
      <c r="W935" s="625"/>
      <c r="X935" s="625"/>
      <c r="Y935" s="625"/>
      <c r="Z935" s="625"/>
      <c r="AA935" s="625"/>
      <c r="AB935" s="625"/>
      <c r="AC935" s="625"/>
      <c r="AD935" s="625"/>
      <c r="AE935" s="625"/>
      <c r="AF935" s="625"/>
      <c r="AG935" s="625"/>
      <c r="AH935" s="625"/>
      <c r="AI935" s="625"/>
      <c r="AJ935" s="625"/>
      <c r="AK935" s="625"/>
      <c r="AL935" s="625"/>
      <c r="AM935" s="625"/>
      <c r="AN935" s="625"/>
      <c r="AO935" s="625"/>
      <c r="AP935" s="625"/>
      <c r="AQ935" s="625"/>
      <c r="AR935" s="625"/>
      <c r="AS935" s="625"/>
      <c r="AT935" s="625"/>
    </row>
    <row r="936" spans="1:46" s="700" customFormat="1" ht="14">
      <c r="A936" s="684">
        <v>815</v>
      </c>
      <c r="B936" s="695" t="s">
        <v>1600</v>
      </c>
      <c r="C936" s="1135"/>
      <c r="D936" s="696" t="s">
        <v>699</v>
      </c>
      <c r="E936" s="697">
        <v>16016</v>
      </c>
      <c r="F936" s="1088"/>
      <c r="G936" s="594"/>
      <c r="H936" s="594"/>
      <c r="I936" s="594"/>
      <c r="J936" s="698"/>
      <c r="K936" s="699"/>
      <c r="L936" s="699"/>
      <c r="M936" s="699"/>
      <c r="N936" s="699"/>
      <c r="O936" s="699"/>
      <c r="P936" s="699"/>
      <c r="Q936" s="699"/>
      <c r="R936" s="699"/>
      <c r="S936" s="699"/>
      <c r="T936" s="699"/>
      <c r="U936" s="699"/>
      <c r="V936" s="699"/>
      <c r="W936" s="699"/>
      <c r="X936" s="699"/>
      <c r="Y936" s="699"/>
      <c r="Z936" s="699"/>
      <c r="AA936" s="699"/>
      <c r="AB936" s="699"/>
      <c r="AC936" s="699"/>
      <c r="AD936" s="699"/>
      <c r="AE936" s="699"/>
      <c r="AF936" s="699"/>
      <c r="AG936" s="699"/>
      <c r="AH936" s="699"/>
      <c r="AI936" s="699"/>
      <c r="AJ936" s="699"/>
      <c r="AK936" s="699"/>
      <c r="AL936" s="699"/>
      <c r="AM936" s="699"/>
      <c r="AN936" s="699"/>
      <c r="AO936" s="699"/>
      <c r="AP936" s="699"/>
      <c r="AQ936" s="699"/>
      <c r="AR936" s="699"/>
      <c r="AS936" s="699"/>
      <c r="AT936" s="699"/>
    </row>
    <row r="937" spans="1:46" s="626" customFormat="1" ht="14">
      <c r="A937" s="479">
        <v>816</v>
      </c>
      <c r="B937" s="621" t="s">
        <v>1601</v>
      </c>
      <c r="C937" s="1135"/>
      <c r="D937" s="622" t="s">
        <v>699</v>
      </c>
      <c r="E937" s="623">
        <v>56320</v>
      </c>
      <c r="F937" s="1088"/>
      <c r="G937" s="484"/>
      <c r="H937" s="484"/>
      <c r="I937" s="484"/>
      <c r="J937" s="624"/>
      <c r="K937" s="625"/>
      <c r="L937" s="625"/>
      <c r="M937" s="625"/>
      <c r="N937" s="625"/>
      <c r="O937" s="625"/>
      <c r="P937" s="625"/>
      <c r="Q937" s="625"/>
      <c r="R937" s="625"/>
      <c r="S937" s="625"/>
      <c r="T937" s="625"/>
      <c r="U937" s="625"/>
      <c r="V937" s="625"/>
      <c r="W937" s="625"/>
      <c r="X937" s="625"/>
      <c r="Y937" s="625"/>
      <c r="Z937" s="625"/>
      <c r="AA937" s="625"/>
      <c r="AB937" s="625"/>
      <c r="AC937" s="625"/>
      <c r="AD937" s="625"/>
      <c r="AE937" s="625"/>
      <c r="AF937" s="625"/>
      <c r="AG937" s="625"/>
      <c r="AH937" s="625"/>
      <c r="AI937" s="625"/>
      <c r="AJ937" s="625"/>
      <c r="AK937" s="625"/>
      <c r="AL937" s="625"/>
      <c r="AM937" s="625"/>
      <c r="AN937" s="625"/>
      <c r="AO937" s="625"/>
      <c r="AP937" s="625"/>
      <c r="AQ937" s="625"/>
      <c r="AR937" s="625"/>
      <c r="AS937" s="625"/>
      <c r="AT937" s="625"/>
    </row>
    <row r="938" spans="1:46" s="626" customFormat="1" ht="14">
      <c r="A938" s="479">
        <v>817</v>
      </c>
      <c r="B938" s="621" t="s">
        <v>1602</v>
      </c>
      <c r="C938" s="1135"/>
      <c r="D938" s="622" t="s">
        <v>699</v>
      </c>
      <c r="E938" s="623">
        <v>103620</v>
      </c>
      <c r="F938" s="1088"/>
      <c r="G938" s="484"/>
      <c r="H938" s="484"/>
      <c r="I938" s="484"/>
      <c r="J938" s="624"/>
      <c r="K938" s="625"/>
      <c r="L938" s="625"/>
      <c r="M938" s="625"/>
      <c r="N938" s="625"/>
      <c r="O938" s="625"/>
      <c r="P938" s="625"/>
      <c r="Q938" s="625"/>
      <c r="R938" s="625"/>
      <c r="S938" s="625"/>
      <c r="T938" s="625"/>
      <c r="U938" s="625"/>
      <c r="V938" s="625"/>
      <c r="W938" s="625"/>
      <c r="X938" s="625"/>
      <c r="Y938" s="625"/>
      <c r="Z938" s="625"/>
      <c r="AA938" s="625"/>
      <c r="AB938" s="625"/>
      <c r="AC938" s="625"/>
      <c r="AD938" s="625"/>
      <c r="AE938" s="625"/>
      <c r="AF938" s="625"/>
      <c r="AG938" s="625"/>
      <c r="AH938" s="625"/>
      <c r="AI938" s="625"/>
      <c r="AJ938" s="625"/>
      <c r="AK938" s="625"/>
      <c r="AL938" s="625"/>
      <c r="AM938" s="625"/>
      <c r="AN938" s="625"/>
      <c r="AO938" s="625"/>
      <c r="AP938" s="625"/>
      <c r="AQ938" s="625"/>
      <c r="AR938" s="625"/>
      <c r="AS938" s="625"/>
      <c r="AT938" s="625"/>
    </row>
    <row r="939" spans="1:46" s="626" customFormat="1" ht="14">
      <c r="A939" s="479">
        <v>818</v>
      </c>
      <c r="B939" s="621" t="s">
        <v>1603</v>
      </c>
      <c r="C939" s="1135"/>
      <c r="D939" s="622" t="s">
        <v>699</v>
      </c>
      <c r="E939" s="623">
        <v>201850</v>
      </c>
      <c r="F939" s="1088"/>
      <c r="G939" s="484"/>
      <c r="H939" s="484"/>
      <c r="I939" s="484"/>
      <c r="J939" s="624"/>
      <c r="K939" s="625"/>
      <c r="L939" s="625"/>
      <c r="M939" s="625"/>
      <c r="N939" s="625"/>
      <c r="O939" s="625"/>
      <c r="P939" s="625"/>
      <c r="Q939" s="625"/>
      <c r="R939" s="625"/>
      <c r="S939" s="625"/>
      <c r="T939" s="625"/>
      <c r="U939" s="625"/>
      <c r="V939" s="625"/>
      <c r="W939" s="625"/>
      <c r="X939" s="625"/>
      <c r="Y939" s="625"/>
      <c r="Z939" s="625"/>
      <c r="AA939" s="625"/>
      <c r="AB939" s="625"/>
      <c r="AC939" s="625"/>
      <c r="AD939" s="625"/>
      <c r="AE939" s="625"/>
      <c r="AF939" s="625"/>
      <c r="AG939" s="625"/>
      <c r="AH939" s="625"/>
      <c r="AI939" s="625"/>
      <c r="AJ939" s="625"/>
      <c r="AK939" s="625"/>
      <c r="AL939" s="625"/>
      <c r="AM939" s="625"/>
      <c r="AN939" s="625"/>
      <c r="AO939" s="625"/>
      <c r="AP939" s="625"/>
      <c r="AQ939" s="625"/>
      <c r="AR939" s="625"/>
      <c r="AS939" s="625"/>
      <c r="AT939" s="625"/>
    </row>
    <row r="940" spans="1:46" s="625" customFormat="1" ht="14">
      <c r="A940" s="479">
        <v>819</v>
      </c>
      <c r="B940" s="621" t="s">
        <v>1604</v>
      </c>
      <c r="C940" s="1135"/>
      <c r="D940" s="622" t="s">
        <v>699</v>
      </c>
      <c r="E940" s="623">
        <v>319660</v>
      </c>
      <c r="F940" s="1088"/>
      <c r="G940" s="484"/>
      <c r="H940" s="484"/>
      <c r="I940" s="484"/>
      <c r="J940" s="624"/>
    </row>
    <row r="941" spans="1:46" s="626" customFormat="1" ht="18.75" customHeight="1">
      <c r="A941" s="479">
        <v>820</v>
      </c>
      <c r="B941" s="621" t="s">
        <v>1605</v>
      </c>
      <c r="C941" s="1136" t="s">
        <v>1606</v>
      </c>
      <c r="D941" s="622" t="s">
        <v>699</v>
      </c>
      <c r="E941" s="623">
        <v>25410</v>
      </c>
      <c r="F941" s="1088"/>
      <c r="G941" s="484"/>
      <c r="H941" s="484"/>
      <c r="I941" s="484"/>
      <c r="J941" s="624"/>
      <c r="K941" s="625"/>
      <c r="L941" s="625"/>
      <c r="M941" s="625"/>
      <c r="N941" s="625"/>
      <c r="O941" s="625"/>
      <c r="P941" s="625"/>
      <c r="Q941" s="625"/>
      <c r="R941" s="625"/>
      <c r="S941" s="625"/>
      <c r="T941" s="625"/>
      <c r="U941" s="625"/>
      <c r="V941" s="625"/>
      <c r="W941" s="625"/>
      <c r="X941" s="625"/>
      <c r="Y941" s="625"/>
      <c r="Z941" s="625"/>
      <c r="AA941" s="625"/>
      <c r="AB941" s="625"/>
      <c r="AC941" s="625"/>
      <c r="AD941" s="625"/>
      <c r="AE941" s="625"/>
      <c r="AF941" s="625"/>
      <c r="AG941" s="625"/>
      <c r="AH941" s="625"/>
      <c r="AI941" s="625"/>
      <c r="AJ941" s="625"/>
      <c r="AK941" s="625"/>
      <c r="AL941" s="625"/>
      <c r="AM941" s="625"/>
      <c r="AN941" s="625"/>
      <c r="AO941" s="625"/>
      <c r="AP941" s="625"/>
      <c r="AQ941" s="625"/>
      <c r="AR941" s="625"/>
      <c r="AS941" s="625"/>
      <c r="AT941" s="625"/>
    </row>
    <row r="942" spans="1:46" s="626" customFormat="1" ht="14">
      <c r="A942" s="479">
        <v>821</v>
      </c>
      <c r="B942" s="621" t="s">
        <v>1607</v>
      </c>
      <c r="C942" s="1136"/>
      <c r="D942" s="622" t="s">
        <v>699</v>
      </c>
      <c r="E942" s="623">
        <v>56760</v>
      </c>
      <c r="F942" s="1088"/>
      <c r="G942" s="484"/>
      <c r="H942" s="484"/>
      <c r="I942" s="484"/>
      <c r="J942" s="624"/>
      <c r="K942" s="625"/>
      <c r="L942" s="625"/>
      <c r="M942" s="625"/>
      <c r="N942" s="625"/>
      <c r="O942" s="625"/>
      <c r="P942" s="625"/>
      <c r="Q942" s="625"/>
      <c r="R942" s="625"/>
      <c r="S942" s="625"/>
      <c r="T942" s="625"/>
      <c r="U942" s="625"/>
      <c r="V942" s="625"/>
      <c r="W942" s="625"/>
      <c r="X942" s="625"/>
      <c r="Y942" s="625"/>
      <c r="Z942" s="625"/>
      <c r="AA942" s="625"/>
      <c r="AB942" s="625"/>
      <c r="AC942" s="625"/>
      <c r="AD942" s="625"/>
      <c r="AE942" s="625"/>
      <c r="AF942" s="625"/>
      <c r="AG942" s="625"/>
      <c r="AH942" s="625"/>
      <c r="AI942" s="625"/>
      <c r="AJ942" s="625"/>
      <c r="AK942" s="625"/>
      <c r="AL942" s="625"/>
      <c r="AM942" s="625"/>
      <c r="AN942" s="625"/>
      <c r="AO942" s="625"/>
      <c r="AP942" s="625"/>
      <c r="AQ942" s="625"/>
      <c r="AR942" s="625"/>
      <c r="AS942" s="625"/>
      <c r="AT942" s="625"/>
    </row>
    <row r="943" spans="1:46" s="626" customFormat="1" ht="14">
      <c r="A943" s="479">
        <v>822</v>
      </c>
      <c r="B943" s="621" t="s">
        <v>1608</v>
      </c>
      <c r="C943" s="1137" t="s">
        <v>1609</v>
      </c>
      <c r="D943" s="622" t="s">
        <v>699</v>
      </c>
      <c r="E943" s="623">
        <v>15840</v>
      </c>
      <c r="F943" s="1088"/>
      <c r="G943" s="484"/>
      <c r="H943" s="484"/>
      <c r="I943" s="484"/>
      <c r="J943" s="624"/>
      <c r="K943" s="625"/>
      <c r="L943" s="625"/>
      <c r="M943" s="625"/>
      <c r="N943" s="625"/>
      <c r="O943" s="625"/>
      <c r="P943" s="625"/>
      <c r="Q943" s="625"/>
      <c r="R943" s="625"/>
      <c r="S943" s="625"/>
      <c r="T943" s="625"/>
      <c r="U943" s="625"/>
      <c r="V943" s="625"/>
      <c r="W943" s="625"/>
      <c r="X943" s="625"/>
      <c r="Y943" s="625"/>
      <c r="Z943" s="625"/>
      <c r="AA943" s="625"/>
      <c r="AB943" s="625"/>
      <c r="AC943" s="625"/>
      <c r="AD943" s="625"/>
      <c r="AE943" s="625"/>
      <c r="AF943" s="625"/>
      <c r="AG943" s="625"/>
      <c r="AH943" s="625"/>
      <c r="AI943" s="625"/>
      <c r="AJ943" s="625"/>
      <c r="AK943" s="625"/>
      <c r="AL943" s="625"/>
      <c r="AM943" s="625"/>
      <c r="AN943" s="625"/>
      <c r="AO943" s="625"/>
      <c r="AP943" s="625"/>
      <c r="AQ943" s="625"/>
      <c r="AR943" s="625"/>
      <c r="AS943" s="625"/>
      <c r="AT943" s="625"/>
    </row>
    <row r="944" spans="1:46" s="626" customFormat="1" ht="14">
      <c r="A944" s="479">
        <v>823</v>
      </c>
      <c r="B944" s="621" t="s">
        <v>1610</v>
      </c>
      <c r="C944" s="1137"/>
      <c r="D944" s="622" t="s">
        <v>699</v>
      </c>
      <c r="E944" s="623">
        <v>23430</v>
      </c>
      <c r="F944" s="1088"/>
      <c r="G944" s="484"/>
      <c r="H944" s="484"/>
      <c r="I944" s="484"/>
      <c r="J944" s="624"/>
      <c r="K944" s="625"/>
      <c r="L944" s="625"/>
      <c r="M944" s="625"/>
      <c r="N944" s="625"/>
      <c r="O944" s="625"/>
      <c r="P944" s="625"/>
      <c r="Q944" s="625"/>
      <c r="R944" s="625"/>
      <c r="S944" s="625"/>
      <c r="T944" s="625"/>
      <c r="U944" s="625"/>
      <c r="V944" s="625"/>
      <c r="W944" s="625"/>
      <c r="X944" s="625"/>
      <c r="Y944" s="625"/>
      <c r="Z944" s="625"/>
      <c r="AA944" s="625"/>
      <c r="AB944" s="625"/>
      <c r="AC944" s="625"/>
      <c r="AD944" s="625"/>
      <c r="AE944" s="625"/>
      <c r="AF944" s="625"/>
      <c r="AG944" s="625"/>
      <c r="AH944" s="625"/>
      <c r="AI944" s="625"/>
      <c r="AJ944" s="625"/>
      <c r="AK944" s="625"/>
      <c r="AL944" s="625"/>
      <c r="AM944" s="625"/>
      <c r="AN944" s="625"/>
      <c r="AO944" s="625"/>
      <c r="AP944" s="625"/>
      <c r="AQ944" s="625"/>
      <c r="AR944" s="625"/>
      <c r="AS944" s="625"/>
      <c r="AT944" s="625"/>
    </row>
    <row r="945" spans="1:46" s="626" customFormat="1" ht="14">
      <c r="A945" s="479">
        <v>824</v>
      </c>
      <c r="B945" s="621" t="s">
        <v>1611</v>
      </c>
      <c r="C945" s="1137"/>
      <c r="D945" s="622" t="s">
        <v>699</v>
      </c>
      <c r="E945" s="623">
        <v>48510</v>
      </c>
      <c r="F945" s="1088"/>
      <c r="G945" s="484"/>
      <c r="H945" s="484"/>
      <c r="I945" s="484"/>
      <c r="J945" s="624"/>
      <c r="K945" s="625"/>
      <c r="L945" s="625"/>
      <c r="M945" s="625"/>
      <c r="N945" s="625"/>
      <c r="O945" s="625"/>
      <c r="P945" s="625"/>
      <c r="Q945" s="625"/>
      <c r="R945" s="625"/>
      <c r="S945" s="625"/>
      <c r="T945" s="625"/>
      <c r="U945" s="625"/>
      <c r="V945" s="625"/>
      <c r="W945" s="625"/>
      <c r="X945" s="625"/>
      <c r="Y945" s="625"/>
      <c r="Z945" s="625"/>
      <c r="AA945" s="625"/>
      <c r="AB945" s="625"/>
      <c r="AC945" s="625"/>
      <c r="AD945" s="625"/>
      <c r="AE945" s="625"/>
      <c r="AF945" s="625"/>
      <c r="AG945" s="625"/>
      <c r="AH945" s="625"/>
      <c r="AI945" s="625"/>
      <c r="AJ945" s="625"/>
      <c r="AK945" s="625"/>
      <c r="AL945" s="625"/>
      <c r="AM945" s="625"/>
      <c r="AN945" s="625"/>
      <c r="AO945" s="625"/>
      <c r="AP945" s="625"/>
      <c r="AQ945" s="625"/>
      <c r="AR945" s="625"/>
      <c r="AS945" s="625"/>
      <c r="AT945" s="625"/>
    </row>
    <row r="946" spans="1:46" s="626" customFormat="1" ht="15.75" customHeight="1">
      <c r="A946" s="479">
        <v>825</v>
      </c>
      <c r="B946" s="621" t="s">
        <v>1612</v>
      </c>
      <c r="C946" s="1138" t="s">
        <v>1613</v>
      </c>
      <c r="D946" s="622" t="s">
        <v>699</v>
      </c>
      <c r="E946" s="623">
        <v>20086</v>
      </c>
      <c r="F946" s="1088"/>
      <c r="G946" s="484"/>
      <c r="H946" s="484"/>
      <c r="I946" s="484"/>
      <c r="J946" s="624"/>
      <c r="K946" s="625"/>
      <c r="L946" s="625"/>
      <c r="M946" s="625"/>
      <c r="N946" s="625"/>
      <c r="O946" s="625"/>
      <c r="P946" s="625"/>
      <c r="Q946" s="625"/>
      <c r="R946" s="625"/>
      <c r="S946" s="625"/>
      <c r="T946" s="625"/>
      <c r="U946" s="625"/>
      <c r="V946" s="625"/>
      <c r="W946" s="625"/>
      <c r="X946" s="625"/>
      <c r="Y946" s="625"/>
      <c r="Z946" s="625"/>
      <c r="AA946" s="625"/>
      <c r="AB946" s="625"/>
      <c r="AC946" s="625"/>
      <c r="AD946" s="625"/>
      <c r="AE946" s="625"/>
      <c r="AF946" s="625"/>
      <c r="AG946" s="625"/>
      <c r="AH946" s="625"/>
      <c r="AI946" s="625"/>
      <c r="AJ946" s="625"/>
      <c r="AK946" s="625"/>
      <c r="AL946" s="625"/>
      <c r="AM946" s="625"/>
      <c r="AN946" s="625"/>
      <c r="AO946" s="625"/>
      <c r="AP946" s="625"/>
      <c r="AQ946" s="625"/>
      <c r="AR946" s="625"/>
      <c r="AS946" s="625"/>
      <c r="AT946" s="625"/>
    </row>
    <row r="947" spans="1:46" s="626" customFormat="1" ht="14">
      <c r="A947" s="479">
        <v>826</v>
      </c>
      <c r="B947" s="621" t="s">
        <v>1614</v>
      </c>
      <c r="C947" s="1138"/>
      <c r="D947" s="622" t="s">
        <v>699</v>
      </c>
      <c r="E947" s="623">
        <v>29810</v>
      </c>
      <c r="F947" s="1088"/>
      <c r="G947" s="484"/>
      <c r="H947" s="484"/>
      <c r="I947" s="484"/>
      <c r="J947" s="624"/>
      <c r="K947" s="625"/>
      <c r="L947" s="625"/>
      <c r="M947" s="625"/>
      <c r="N947" s="625"/>
      <c r="O947" s="625"/>
      <c r="P947" s="625"/>
      <c r="Q947" s="625"/>
      <c r="R947" s="625"/>
      <c r="S947" s="625"/>
      <c r="T947" s="625"/>
      <c r="U947" s="625"/>
      <c r="V947" s="625"/>
      <c r="W947" s="625"/>
      <c r="X947" s="625"/>
      <c r="Y947" s="625"/>
      <c r="Z947" s="625"/>
      <c r="AA947" s="625"/>
      <c r="AB947" s="625"/>
      <c r="AC947" s="625"/>
      <c r="AD947" s="625"/>
      <c r="AE947" s="625"/>
      <c r="AF947" s="625"/>
      <c r="AG947" s="625"/>
      <c r="AH947" s="625"/>
      <c r="AI947" s="625"/>
      <c r="AJ947" s="625"/>
      <c r="AK947" s="625"/>
      <c r="AL947" s="625"/>
      <c r="AM947" s="625"/>
      <c r="AN947" s="625"/>
      <c r="AO947" s="625"/>
      <c r="AP947" s="625"/>
      <c r="AQ947" s="625"/>
      <c r="AR947" s="625"/>
      <c r="AS947" s="625"/>
      <c r="AT947" s="625"/>
    </row>
    <row r="948" spans="1:46" s="626" customFormat="1" ht="14">
      <c r="A948" s="479">
        <v>827</v>
      </c>
      <c r="B948" s="621" t="s">
        <v>1615</v>
      </c>
      <c r="C948" s="1139" t="s">
        <v>1616</v>
      </c>
      <c r="D948" s="622" t="s">
        <v>699</v>
      </c>
      <c r="E948" s="623">
        <v>84810</v>
      </c>
      <c r="F948" s="1088"/>
      <c r="G948" s="484"/>
      <c r="H948" s="484"/>
      <c r="I948" s="484"/>
      <c r="J948" s="624"/>
      <c r="K948" s="625"/>
      <c r="L948" s="625"/>
      <c r="M948" s="625"/>
      <c r="N948" s="625"/>
      <c r="O948" s="625"/>
      <c r="P948" s="625"/>
      <c r="Q948" s="625"/>
      <c r="R948" s="625"/>
      <c r="S948" s="625"/>
      <c r="T948" s="625"/>
      <c r="U948" s="625"/>
      <c r="V948" s="625"/>
      <c r="W948" s="625"/>
      <c r="X948" s="625"/>
      <c r="Y948" s="625"/>
      <c r="Z948" s="625"/>
      <c r="AA948" s="625"/>
      <c r="AB948" s="625"/>
      <c r="AC948" s="625"/>
      <c r="AD948" s="625"/>
      <c r="AE948" s="625"/>
      <c r="AF948" s="625"/>
      <c r="AG948" s="625"/>
      <c r="AH948" s="625"/>
      <c r="AI948" s="625"/>
      <c r="AJ948" s="625"/>
      <c r="AK948" s="625"/>
      <c r="AL948" s="625"/>
      <c r="AM948" s="625"/>
      <c r="AN948" s="625"/>
      <c r="AO948" s="625"/>
      <c r="AP948" s="625"/>
      <c r="AQ948" s="625"/>
      <c r="AR948" s="625"/>
      <c r="AS948" s="625"/>
      <c r="AT948" s="625"/>
    </row>
    <row r="949" spans="1:46" s="626" customFormat="1" ht="14">
      <c r="A949" s="479">
        <v>828</v>
      </c>
      <c r="B949" s="621" t="s">
        <v>1617</v>
      </c>
      <c r="C949" s="1139"/>
      <c r="D949" s="622" t="s">
        <v>699</v>
      </c>
      <c r="E949" s="623">
        <v>124630</v>
      </c>
      <c r="F949" s="1088"/>
      <c r="G949" s="627"/>
      <c r="H949" s="484"/>
      <c r="I949" s="484"/>
      <c r="J949" s="624"/>
      <c r="K949" s="625"/>
      <c r="L949" s="625"/>
      <c r="M949" s="625"/>
      <c r="N949" s="625"/>
      <c r="O949" s="625"/>
      <c r="P949" s="625"/>
      <c r="Q949" s="625"/>
      <c r="R949" s="625"/>
      <c r="S949" s="625"/>
      <c r="T949" s="625"/>
      <c r="U949" s="625"/>
      <c r="V949" s="625"/>
      <c r="W949" s="625"/>
      <c r="X949" s="625"/>
      <c r="Y949" s="625"/>
      <c r="Z949" s="625"/>
      <c r="AA949" s="625"/>
      <c r="AB949" s="625"/>
      <c r="AC949" s="625"/>
      <c r="AD949" s="625"/>
      <c r="AE949" s="625"/>
      <c r="AF949" s="625"/>
      <c r="AG949" s="625"/>
      <c r="AH949" s="625"/>
      <c r="AI949" s="625"/>
      <c r="AJ949" s="625"/>
      <c r="AK949" s="625"/>
      <c r="AL949" s="625"/>
      <c r="AM949" s="625"/>
      <c r="AN949" s="625"/>
      <c r="AO949" s="625"/>
      <c r="AP949" s="625"/>
      <c r="AQ949" s="625"/>
      <c r="AR949" s="625"/>
      <c r="AS949" s="625"/>
      <c r="AT949" s="625"/>
    </row>
    <row r="950" spans="1:46" s="626" customFormat="1" ht="14">
      <c r="A950" s="479">
        <v>829</v>
      </c>
      <c r="B950" s="621" t="s">
        <v>1618</v>
      </c>
      <c r="C950" s="1139"/>
      <c r="D950" s="622" t="s">
        <v>699</v>
      </c>
      <c r="E950" s="623">
        <v>671000</v>
      </c>
      <c r="F950" s="1088"/>
      <c r="G950" s="484"/>
      <c r="H950" s="484"/>
      <c r="I950" s="484"/>
      <c r="J950" s="624"/>
      <c r="K950" s="625"/>
      <c r="L950" s="625"/>
      <c r="M950" s="625"/>
      <c r="N950" s="625"/>
      <c r="O950" s="625"/>
      <c r="P950" s="625"/>
      <c r="Q950" s="625"/>
      <c r="R950" s="625"/>
      <c r="S950" s="625"/>
      <c r="T950" s="625"/>
      <c r="U950" s="625"/>
      <c r="V950" s="625"/>
      <c r="W950" s="625"/>
      <c r="X950" s="625"/>
      <c r="Y950" s="625"/>
      <c r="Z950" s="625"/>
      <c r="AA950" s="625"/>
      <c r="AB950" s="625"/>
      <c r="AC950" s="625"/>
      <c r="AD950" s="625"/>
      <c r="AE950" s="625"/>
      <c r="AF950" s="625"/>
      <c r="AG950" s="625"/>
      <c r="AH950" s="625"/>
      <c r="AI950" s="625"/>
      <c r="AJ950" s="625"/>
      <c r="AK950" s="625"/>
      <c r="AL950" s="625"/>
      <c r="AM950" s="625"/>
      <c r="AN950" s="625"/>
      <c r="AO950" s="625"/>
      <c r="AP950" s="625"/>
      <c r="AQ950" s="625"/>
      <c r="AR950" s="625"/>
      <c r="AS950" s="625"/>
      <c r="AT950" s="625"/>
    </row>
    <row r="951" spans="1:46" s="626" customFormat="1" ht="14">
      <c r="A951" s="479">
        <v>830</v>
      </c>
      <c r="B951" s="621" t="s">
        <v>1619</v>
      </c>
      <c r="C951" s="1130" t="s">
        <v>1620</v>
      </c>
      <c r="D951" s="622" t="s">
        <v>699</v>
      </c>
      <c r="E951" s="623">
        <v>117920</v>
      </c>
      <c r="F951" s="1088"/>
      <c r="G951" s="484"/>
      <c r="H951" s="484"/>
      <c r="I951" s="484"/>
      <c r="J951" s="624"/>
      <c r="K951" s="625"/>
      <c r="L951" s="625"/>
      <c r="M951" s="625"/>
      <c r="N951" s="625"/>
      <c r="O951" s="625"/>
      <c r="P951" s="625"/>
      <c r="Q951" s="625"/>
      <c r="R951" s="625"/>
      <c r="S951" s="625"/>
      <c r="T951" s="625"/>
      <c r="U951" s="625"/>
      <c r="V951" s="625"/>
      <c r="W951" s="625"/>
      <c r="X951" s="625"/>
      <c r="Y951" s="625"/>
      <c r="Z951" s="625"/>
      <c r="AA951" s="625"/>
      <c r="AB951" s="625"/>
      <c r="AC951" s="625"/>
      <c r="AD951" s="625"/>
      <c r="AE951" s="625"/>
      <c r="AF951" s="625"/>
      <c r="AG951" s="625"/>
      <c r="AH951" s="625"/>
      <c r="AI951" s="625"/>
      <c r="AJ951" s="625"/>
      <c r="AK951" s="625"/>
      <c r="AL951" s="625"/>
      <c r="AM951" s="625"/>
      <c r="AN951" s="625"/>
      <c r="AO951" s="625"/>
      <c r="AP951" s="625"/>
      <c r="AQ951" s="625"/>
      <c r="AR951" s="625"/>
      <c r="AS951" s="625"/>
      <c r="AT951" s="625"/>
    </row>
    <row r="952" spans="1:46" s="626" customFormat="1" ht="14">
      <c r="A952" s="479">
        <v>831</v>
      </c>
      <c r="B952" s="621" t="s">
        <v>1621</v>
      </c>
      <c r="C952" s="1130"/>
      <c r="D952" s="622" t="s">
        <v>699</v>
      </c>
      <c r="E952" s="623">
        <v>320320</v>
      </c>
      <c r="F952" s="1088"/>
      <c r="G952" s="484"/>
      <c r="H952" s="484"/>
      <c r="I952" s="484"/>
      <c r="J952" s="624"/>
      <c r="K952" s="625"/>
      <c r="L952" s="625"/>
      <c r="M952" s="625"/>
      <c r="N952" s="625"/>
      <c r="O952" s="625"/>
      <c r="P952" s="625"/>
      <c r="Q952" s="625"/>
      <c r="R952" s="625"/>
      <c r="S952" s="625"/>
      <c r="T952" s="625"/>
      <c r="U952" s="625"/>
      <c r="V952" s="625"/>
      <c r="W952" s="625"/>
      <c r="X952" s="625"/>
      <c r="Y952" s="625"/>
      <c r="Z952" s="625"/>
      <c r="AA952" s="625"/>
      <c r="AB952" s="625"/>
      <c r="AC952" s="625"/>
      <c r="AD952" s="625"/>
      <c r="AE952" s="625"/>
      <c r="AF952" s="625"/>
      <c r="AG952" s="625"/>
      <c r="AH952" s="625"/>
      <c r="AI952" s="625"/>
      <c r="AJ952" s="625"/>
      <c r="AK952" s="625"/>
      <c r="AL952" s="625"/>
      <c r="AM952" s="625"/>
      <c r="AN952" s="625"/>
      <c r="AO952" s="625"/>
      <c r="AP952" s="625"/>
      <c r="AQ952" s="625"/>
      <c r="AR952" s="625"/>
      <c r="AS952" s="625"/>
      <c r="AT952" s="625"/>
    </row>
    <row r="953" spans="1:46" s="626" customFormat="1" ht="14">
      <c r="A953" s="479">
        <v>832</v>
      </c>
      <c r="B953" s="621" t="s">
        <v>1622</v>
      </c>
      <c r="C953" s="1130"/>
      <c r="D953" s="622" t="s">
        <v>699</v>
      </c>
      <c r="E953" s="623">
        <v>622820</v>
      </c>
      <c r="F953" s="1088"/>
      <c r="G953" s="484"/>
      <c r="H953" s="484"/>
      <c r="I953" s="484"/>
      <c r="J953" s="624"/>
      <c r="K953" s="625"/>
      <c r="L953" s="625"/>
      <c r="M953" s="625"/>
      <c r="N953" s="625"/>
      <c r="O953" s="625"/>
      <c r="P953" s="625"/>
      <c r="Q953" s="625"/>
      <c r="R953" s="625"/>
      <c r="S953" s="625"/>
      <c r="T953" s="625"/>
      <c r="U953" s="625"/>
      <c r="V953" s="625"/>
      <c r="W953" s="625"/>
      <c r="X953" s="625"/>
      <c r="Y953" s="625"/>
      <c r="Z953" s="625"/>
      <c r="AA953" s="625"/>
      <c r="AB953" s="625"/>
      <c r="AC953" s="625"/>
      <c r="AD953" s="625"/>
      <c r="AE953" s="625"/>
      <c r="AF953" s="625"/>
      <c r="AG953" s="625"/>
      <c r="AH953" s="625"/>
      <c r="AI953" s="625"/>
      <c r="AJ953" s="625"/>
      <c r="AK953" s="625"/>
      <c r="AL953" s="625"/>
      <c r="AM953" s="625"/>
      <c r="AN953" s="625"/>
      <c r="AO953" s="625"/>
      <c r="AP953" s="625"/>
      <c r="AQ953" s="625"/>
      <c r="AR953" s="625"/>
      <c r="AS953" s="625"/>
      <c r="AT953" s="625"/>
    </row>
    <row r="954" spans="1:46" s="626" customFormat="1" ht="14">
      <c r="A954" s="479">
        <v>833</v>
      </c>
      <c r="B954" s="621" t="s">
        <v>1623</v>
      </c>
      <c r="C954" s="1130"/>
      <c r="D954" s="622" t="s">
        <v>699</v>
      </c>
      <c r="E954" s="623">
        <v>806630</v>
      </c>
      <c r="F954" s="1088"/>
      <c r="G954" s="484"/>
      <c r="H954" s="484"/>
      <c r="I954" s="484"/>
      <c r="J954" s="624"/>
      <c r="K954" s="625"/>
      <c r="L954" s="625"/>
      <c r="M954" s="625"/>
      <c r="N954" s="625"/>
      <c r="O954" s="625"/>
      <c r="P954" s="625"/>
      <c r="Q954" s="625"/>
      <c r="R954" s="625"/>
      <c r="S954" s="625"/>
      <c r="T954" s="625"/>
      <c r="U954" s="625"/>
      <c r="V954" s="625"/>
      <c r="W954" s="625"/>
      <c r="X954" s="625"/>
      <c r="Y954" s="625"/>
      <c r="Z954" s="625"/>
      <c r="AA954" s="625"/>
      <c r="AB954" s="625"/>
      <c r="AC954" s="625"/>
      <c r="AD954" s="625"/>
      <c r="AE954" s="625"/>
      <c r="AF954" s="625"/>
      <c r="AG954" s="625"/>
      <c r="AH954" s="625"/>
      <c r="AI954" s="625"/>
      <c r="AJ954" s="625"/>
      <c r="AK954" s="625"/>
      <c r="AL954" s="625"/>
      <c r="AM954" s="625"/>
      <c r="AN954" s="625"/>
      <c r="AO954" s="625"/>
      <c r="AP954" s="625"/>
      <c r="AQ954" s="625"/>
      <c r="AR954" s="625"/>
      <c r="AS954" s="625"/>
      <c r="AT954" s="625"/>
    </row>
    <row r="955" spans="1:46" s="626" customFormat="1" ht="14">
      <c r="A955" s="479">
        <v>834</v>
      </c>
      <c r="B955" s="621" t="s">
        <v>1624</v>
      </c>
      <c r="C955" s="1130" t="s">
        <v>1625</v>
      </c>
      <c r="D955" s="622" t="s">
        <v>699</v>
      </c>
      <c r="E955" s="623">
        <v>152130</v>
      </c>
      <c r="F955" s="1088"/>
      <c r="G955" s="484"/>
      <c r="H955" s="484"/>
      <c r="I955" s="484"/>
      <c r="J955" s="624"/>
      <c r="K955" s="625"/>
      <c r="L955" s="625"/>
      <c r="M955" s="625"/>
      <c r="N955" s="625"/>
      <c r="O955" s="625"/>
      <c r="P955" s="625"/>
      <c r="Q955" s="625"/>
      <c r="R955" s="625"/>
      <c r="S955" s="625"/>
      <c r="T955" s="625"/>
      <c r="U955" s="625"/>
      <c r="V955" s="625"/>
      <c r="W955" s="625"/>
      <c r="X955" s="625"/>
      <c r="Y955" s="625"/>
      <c r="Z955" s="625"/>
      <c r="AA955" s="625"/>
      <c r="AB955" s="625"/>
      <c r="AC955" s="625"/>
      <c r="AD955" s="625"/>
      <c r="AE955" s="625"/>
      <c r="AF955" s="625"/>
      <c r="AG955" s="625"/>
      <c r="AH955" s="625"/>
      <c r="AI955" s="625"/>
      <c r="AJ955" s="625"/>
      <c r="AK955" s="625"/>
      <c r="AL955" s="625"/>
      <c r="AM955" s="625"/>
      <c r="AN955" s="625"/>
      <c r="AO955" s="625"/>
      <c r="AP955" s="625"/>
      <c r="AQ955" s="625"/>
      <c r="AR955" s="625"/>
      <c r="AS955" s="625"/>
      <c r="AT955" s="625"/>
    </row>
    <row r="956" spans="1:46" s="626" customFormat="1" ht="14">
      <c r="A956" s="479">
        <v>835</v>
      </c>
      <c r="B956" s="621" t="s">
        <v>1626</v>
      </c>
      <c r="C956" s="1130"/>
      <c r="D956" s="622" t="s">
        <v>699</v>
      </c>
      <c r="E956" s="623">
        <v>231440</v>
      </c>
      <c r="F956" s="1088"/>
      <c r="G956" s="484"/>
      <c r="H956" s="484"/>
      <c r="I956" s="484"/>
      <c r="J956" s="624"/>
      <c r="K956" s="625"/>
      <c r="L956" s="625"/>
      <c r="M956" s="625"/>
      <c r="N956" s="625"/>
      <c r="O956" s="625"/>
      <c r="P956" s="625"/>
      <c r="Q956" s="625"/>
      <c r="R956" s="625"/>
      <c r="S956" s="625"/>
      <c r="T956" s="625"/>
      <c r="U956" s="625"/>
      <c r="V956" s="625"/>
      <c r="W956" s="625"/>
      <c r="X956" s="625"/>
      <c r="Y956" s="625"/>
      <c r="Z956" s="625"/>
      <c r="AA956" s="625"/>
      <c r="AB956" s="625"/>
      <c r="AC956" s="625"/>
      <c r="AD956" s="625"/>
      <c r="AE956" s="625"/>
      <c r="AF956" s="625"/>
      <c r="AG956" s="625"/>
      <c r="AH956" s="625"/>
      <c r="AI956" s="625"/>
      <c r="AJ956" s="625"/>
      <c r="AK956" s="625"/>
      <c r="AL956" s="625"/>
      <c r="AM956" s="625"/>
      <c r="AN956" s="625"/>
      <c r="AO956" s="625"/>
      <c r="AP956" s="625"/>
      <c r="AQ956" s="625"/>
      <c r="AR956" s="625"/>
      <c r="AS956" s="625"/>
      <c r="AT956" s="625"/>
    </row>
    <row r="957" spans="1:46" s="626" customFormat="1" ht="14">
      <c r="A957" s="479">
        <v>836</v>
      </c>
      <c r="B957" s="621" t="s">
        <v>1627</v>
      </c>
      <c r="C957" s="1130"/>
      <c r="D957" s="622" t="s">
        <v>699</v>
      </c>
      <c r="E957" s="623">
        <v>422290</v>
      </c>
      <c r="F957" s="1088"/>
      <c r="G957" s="484"/>
      <c r="H957" s="484"/>
      <c r="I957" s="484"/>
      <c r="J957" s="624"/>
      <c r="K957" s="625"/>
      <c r="L957" s="625"/>
      <c r="M957" s="625"/>
      <c r="N957" s="625"/>
      <c r="O957" s="625"/>
      <c r="P957" s="625"/>
      <c r="Q957" s="625"/>
      <c r="R957" s="625"/>
      <c r="S957" s="625"/>
      <c r="T957" s="625"/>
      <c r="U957" s="625"/>
      <c r="V957" s="625"/>
      <c r="W957" s="625"/>
      <c r="X957" s="625"/>
      <c r="Y957" s="625"/>
      <c r="Z957" s="625"/>
      <c r="AA957" s="625"/>
      <c r="AB957" s="625"/>
      <c r="AC957" s="625"/>
      <c r="AD957" s="625"/>
      <c r="AE957" s="625"/>
      <c r="AF957" s="625"/>
      <c r="AG957" s="625"/>
      <c r="AH957" s="625"/>
      <c r="AI957" s="625"/>
      <c r="AJ957" s="625"/>
      <c r="AK957" s="625"/>
      <c r="AL957" s="625"/>
      <c r="AM957" s="625"/>
      <c r="AN957" s="625"/>
      <c r="AO957" s="625"/>
      <c r="AP957" s="625"/>
      <c r="AQ957" s="625"/>
      <c r="AR957" s="625"/>
      <c r="AS957" s="625"/>
      <c r="AT957" s="625"/>
    </row>
    <row r="958" spans="1:46" s="626" customFormat="1" ht="14">
      <c r="A958" s="479">
        <v>837</v>
      </c>
      <c r="B958" s="621" t="s">
        <v>1628</v>
      </c>
      <c r="C958" s="1130"/>
      <c r="D958" s="622" t="s">
        <v>699</v>
      </c>
      <c r="E958" s="623">
        <v>1068870</v>
      </c>
      <c r="F958" s="1088"/>
      <c r="G958" s="484"/>
      <c r="H958" s="484"/>
      <c r="I958" s="484"/>
      <c r="J958" s="624"/>
      <c r="K958" s="625"/>
      <c r="L958" s="625"/>
      <c r="M958" s="625"/>
      <c r="N958" s="625"/>
      <c r="O958" s="625"/>
      <c r="P958" s="625"/>
      <c r="Q958" s="625"/>
      <c r="R958" s="625"/>
      <c r="S958" s="625"/>
      <c r="T958" s="625"/>
      <c r="U958" s="625"/>
      <c r="V958" s="625"/>
      <c r="W958" s="625"/>
      <c r="X958" s="625"/>
      <c r="Y958" s="625"/>
      <c r="Z958" s="625"/>
      <c r="AA958" s="625"/>
      <c r="AB958" s="625"/>
      <c r="AC958" s="625"/>
      <c r="AD958" s="625"/>
      <c r="AE958" s="625"/>
      <c r="AF958" s="625"/>
      <c r="AG958" s="625"/>
      <c r="AH958" s="625"/>
      <c r="AI958" s="625"/>
      <c r="AJ958" s="625"/>
      <c r="AK958" s="625"/>
      <c r="AL958" s="625"/>
      <c r="AM958" s="625"/>
      <c r="AN958" s="625"/>
      <c r="AO958" s="625"/>
      <c r="AP958" s="625"/>
      <c r="AQ958" s="625"/>
      <c r="AR958" s="625"/>
      <c r="AS958" s="625"/>
      <c r="AT958" s="625"/>
    </row>
    <row r="959" spans="1:46" s="626" customFormat="1" ht="14">
      <c r="A959" s="479">
        <v>838</v>
      </c>
      <c r="B959" s="621" t="s">
        <v>1629</v>
      </c>
      <c r="C959" s="1130"/>
      <c r="D959" s="622" t="s">
        <v>699</v>
      </c>
      <c r="E959" s="623">
        <v>1587300</v>
      </c>
      <c r="F959" s="1088"/>
      <c r="G959" s="484"/>
      <c r="H959" s="484"/>
      <c r="I959" s="484"/>
      <c r="J959" s="624"/>
      <c r="K959" s="625"/>
      <c r="L959" s="625"/>
      <c r="M959" s="625"/>
      <c r="N959" s="625"/>
      <c r="O959" s="625"/>
      <c r="P959" s="625"/>
      <c r="Q959" s="625"/>
      <c r="R959" s="625"/>
      <c r="S959" s="625"/>
      <c r="T959" s="625"/>
      <c r="U959" s="625"/>
      <c r="V959" s="625"/>
      <c r="W959" s="625"/>
      <c r="X959" s="625"/>
      <c r="Y959" s="625"/>
      <c r="Z959" s="625"/>
      <c r="AA959" s="625"/>
      <c r="AB959" s="625"/>
      <c r="AC959" s="625"/>
      <c r="AD959" s="625"/>
      <c r="AE959" s="625"/>
      <c r="AF959" s="625"/>
      <c r="AG959" s="625"/>
      <c r="AH959" s="625"/>
      <c r="AI959" s="625"/>
      <c r="AJ959" s="625"/>
      <c r="AK959" s="625"/>
      <c r="AL959" s="625"/>
      <c r="AM959" s="625"/>
      <c r="AN959" s="625"/>
      <c r="AO959" s="625"/>
      <c r="AP959" s="625"/>
      <c r="AQ959" s="625"/>
      <c r="AR959" s="625"/>
      <c r="AS959" s="625"/>
      <c r="AT959" s="625"/>
    </row>
    <row r="960" spans="1:46" s="620" customFormat="1" ht="15" customHeight="1">
      <c r="A960" s="479">
        <v>839</v>
      </c>
      <c r="B960" s="615" t="s">
        <v>1630</v>
      </c>
      <c r="C960" s="1130" t="s">
        <v>1631</v>
      </c>
      <c r="D960" s="616" t="s">
        <v>699</v>
      </c>
      <c r="E960" s="617">
        <v>211530</v>
      </c>
      <c r="F960" s="1088"/>
      <c r="G960" s="484"/>
      <c r="H960" s="484"/>
      <c r="I960" s="484"/>
      <c r="J960" s="618"/>
      <c r="K960" s="619"/>
      <c r="L960" s="619"/>
      <c r="M960" s="619"/>
      <c r="N960" s="619"/>
      <c r="O960" s="619"/>
      <c r="P960" s="619"/>
      <c r="Q960" s="619"/>
      <c r="R960" s="619"/>
      <c r="S960" s="619"/>
      <c r="T960" s="619"/>
      <c r="U960" s="619"/>
      <c r="V960" s="619"/>
      <c r="W960" s="619"/>
      <c r="X960" s="619"/>
      <c r="Y960" s="619"/>
      <c r="Z960" s="619"/>
      <c r="AA960" s="619"/>
      <c r="AB960" s="619"/>
      <c r="AC960" s="619"/>
      <c r="AD960" s="619"/>
      <c r="AE960" s="619"/>
      <c r="AF960" s="619"/>
      <c r="AG960" s="619"/>
      <c r="AH960" s="619"/>
      <c r="AI960" s="619"/>
      <c r="AJ960" s="619"/>
      <c r="AK960" s="619"/>
      <c r="AL960" s="619"/>
      <c r="AM960" s="619"/>
      <c r="AN960" s="619"/>
      <c r="AO960" s="619"/>
      <c r="AP960" s="619"/>
      <c r="AQ960" s="619"/>
      <c r="AR960" s="619"/>
      <c r="AS960" s="619"/>
      <c r="AT960" s="619"/>
    </row>
    <row r="961" spans="1:46" s="626" customFormat="1" ht="14">
      <c r="A961" s="479">
        <v>840</v>
      </c>
      <c r="B961" s="621" t="s">
        <v>1632</v>
      </c>
      <c r="C961" s="1130"/>
      <c r="D961" s="622" t="s">
        <v>699</v>
      </c>
      <c r="E961" s="623">
        <v>375430</v>
      </c>
      <c r="F961" s="1088"/>
      <c r="G961" s="484"/>
      <c r="H961" s="484"/>
      <c r="I961" s="484"/>
      <c r="J961" s="624"/>
      <c r="K961" s="625"/>
      <c r="L961" s="625"/>
      <c r="M961" s="625"/>
      <c r="N961" s="625"/>
      <c r="O961" s="625"/>
      <c r="P961" s="625"/>
      <c r="Q961" s="625"/>
      <c r="R961" s="625"/>
      <c r="S961" s="625"/>
      <c r="T961" s="625"/>
      <c r="U961" s="625"/>
      <c r="V961" s="625"/>
      <c r="W961" s="625"/>
      <c r="X961" s="625"/>
      <c r="Y961" s="625"/>
      <c r="Z961" s="625"/>
      <c r="AA961" s="625"/>
      <c r="AB961" s="625"/>
      <c r="AC961" s="625"/>
      <c r="AD961" s="625"/>
      <c r="AE961" s="625"/>
      <c r="AF961" s="625"/>
      <c r="AG961" s="625"/>
      <c r="AH961" s="625"/>
      <c r="AI961" s="625"/>
      <c r="AJ961" s="625"/>
      <c r="AK961" s="625"/>
      <c r="AL961" s="625"/>
      <c r="AM961" s="625"/>
      <c r="AN961" s="625"/>
      <c r="AO961" s="625"/>
      <c r="AP961" s="625"/>
      <c r="AQ961" s="625"/>
      <c r="AR961" s="625"/>
      <c r="AS961" s="625"/>
      <c r="AT961" s="625"/>
    </row>
    <row r="962" spans="1:46" s="626" customFormat="1" ht="14">
      <c r="A962" s="479">
        <v>841</v>
      </c>
      <c r="B962" s="621" t="s">
        <v>1633</v>
      </c>
      <c r="C962" s="1130"/>
      <c r="D962" s="622" t="s">
        <v>699</v>
      </c>
      <c r="E962" s="623">
        <v>724350</v>
      </c>
      <c r="F962" s="1088"/>
      <c r="G962" s="484"/>
      <c r="H962" s="484"/>
      <c r="I962" s="484"/>
      <c r="J962" s="624"/>
      <c r="K962" s="625"/>
      <c r="L962" s="625"/>
      <c r="M962" s="625"/>
      <c r="N962" s="625"/>
      <c r="O962" s="625"/>
      <c r="P962" s="625"/>
      <c r="Q962" s="625"/>
      <c r="R962" s="625"/>
      <c r="S962" s="625"/>
      <c r="T962" s="625"/>
      <c r="U962" s="625"/>
      <c r="V962" s="625"/>
      <c r="W962" s="625"/>
      <c r="X962" s="625"/>
      <c r="Y962" s="625"/>
      <c r="Z962" s="625"/>
      <c r="AA962" s="625"/>
      <c r="AB962" s="625"/>
      <c r="AC962" s="625"/>
      <c r="AD962" s="625"/>
      <c r="AE962" s="625"/>
      <c r="AF962" s="625"/>
      <c r="AG962" s="625"/>
      <c r="AH962" s="625"/>
      <c r="AI962" s="625"/>
      <c r="AJ962" s="625"/>
      <c r="AK962" s="625"/>
      <c r="AL962" s="625"/>
      <c r="AM962" s="625"/>
      <c r="AN962" s="625"/>
      <c r="AO962" s="625"/>
      <c r="AP962" s="625"/>
      <c r="AQ962" s="625"/>
      <c r="AR962" s="625"/>
      <c r="AS962" s="625"/>
      <c r="AT962" s="625"/>
    </row>
    <row r="963" spans="1:46" s="626" customFormat="1" ht="14">
      <c r="A963" s="479">
        <v>842</v>
      </c>
      <c r="B963" s="621" t="s">
        <v>1634</v>
      </c>
      <c r="C963" s="1130"/>
      <c r="D963" s="622" t="s">
        <v>699</v>
      </c>
      <c r="E963" s="623">
        <v>955680</v>
      </c>
      <c r="F963" s="1088"/>
      <c r="G963" s="484"/>
      <c r="H963" s="484"/>
      <c r="I963" s="484"/>
      <c r="J963" s="624"/>
      <c r="K963" s="625"/>
      <c r="L963" s="625"/>
      <c r="M963" s="625"/>
      <c r="N963" s="625"/>
      <c r="O963" s="625"/>
      <c r="P963" s="625"/>
      <c r="Q963" s="625"/>
      <c r="R963" s="625"/>
      <c r="S963" s="625"/>
      <c r="T963" s="625"/>
      <c r="U963" s="625"/>
      <c r="V963" s="625"/>
      <c r="W963" s="625"/>
      <c r="X963" s="625"/>
      <c r="Y963" s="625"/>
      <c r="Z963" s="625"/>
      <c r="AA963" s="625"/>
      <c r="AB963" s="625"/>
      <c r="AC963" s="625"/>
      <c r="AD963" s="625"/>
      <c r="AE963" s="625"/>
      <c r="AF963" s="625"/>
      <c r="AG963" s="625"/>
      <c r="AH963" s="625"/>
      <c r="AI963" s="625"/>
      <c r="AJ963" s="625"/>
      <c r="AK963" s="625"/>
      <c r="AL963" s="625"/>
      <c r="AM963" s="625"/>
      <c r="AN963" s="625"/>
      <c r="AO963" s="625"/>
      <c r="AP963" s="625"/>
      <c r="AQ963" s="625"/>
      <c r="AR963" s="625"/>
      <c r="AS963" s="625"/>
      <c r="AT963" s="625"/>
    </row>
    <row r="964" spans="1:46" s="626" customFormat="1" ht="18" customHeight="1">
      <c r="A964" s="479">
        <v>843</v>
      </c>
      <c r="B964" s="621" t="s">
        <v>1635</v>
      </c>
      <c r="C964" s="1131" t="s">
        <v>1636</v>
      </c>
      <c r="D964" s="622" t="s">
        <v>699</v>
      </c>
      <c r="E964" s="623">
        <v>40700</v>
      </c>
      <c r="F964" s="1088"/>
      <c r="G964" s="484"/>
      <c r="H964" s="484"/>
      <c r="I964" s="484"/>
      <c r="J964" s="624"/>
      <c r="K964" s="625"/>
      <c r="L964" s="625"/>
      <c r="M964" s="625"/>
      <c r="N964" s="625"/>
      <c r="O964" s="625"/>
      <c r="P964" s="625"/>
      <c r="Q964" s="625"/>
      <c r="R964" s="625"/>
      <c r="S964" s="625"/>
      <c r="T964" s="625"/>
      <c r="U964" s="625"/>
      <c r="V964" s="625"/>
      <c r="W964" s="625"/>
      <c r="X964" s="625"/>
      <c r="Y964" s="625"/>
      <c r="Z964" s="625"/>
      <c r="AA964" s="625"/>
      <c r="AB964" s="625"/>
      <c r="AC964" s="625"/>
      <c r="AD964" s="625"/>
      <c r="AE964" s="625"/>
      <c r="AF964" s="625"/>
      <c r="AG964" s="625"/>
      <c r="AH964" s="625"/>
      <c r="AI964" s="625"/>
      <c r="AJ964" s="625"/>
      <c r="AK964" s="625"/>
      <c r="AL964" s="625"/>
      <c r="AM964" s="625"/>
      <c r="AN964" s="625"/>
      <c r="AO964" s="625"/>
      <c r="AP964" s="625"/>
      <c r="AQ964" s="625"/>
      <c r="AR964" s="625"/>
      <c r="AS964" s="625"/>
      <c r="AT964" s="625"/>
    </row>
    <row r="965" spans="1:46" s="626" customFormat="1" ht="15.75" customHeight="1">
      <c r="A965" s="479">
        <v>844</v>
      </c>
      <c r="B965" s="621" t="s">
        <v>1637</v>
      </c>
      <c r="C965" s="1131"/>
      <c r="D965" s="622" t="s">
        <v>699</v>
      </c>
      <c r="E965" s="623">
        <v>72930</v>
      </c>
      <c r="F965" s="1088"/>
      <c r="G965" s="484"/>
      <c r="H965" s="484"/>
      <c r="I965" s="484"/>
      <c r="J965" s="624"/>
      <c r="K965" s="625"/>
      <c r="L965" s="625"/>
      <c r="M965" s="625"/>
      <c r="N965" s="625"/>
      <c r="O965" s="625"/>
      <c r="P965" s="625"/>
      <c r="Q965" s="625"/>
      <c r="R965" s="625"/>
      <c r="S965" s="625"/>
      <c r="T965" s="625"/>
      <c r="U965" s="625"/>
      <c r="V965" s="625"/>
      <c r="W965" s="625"/>
      <c r="X965" s="625"/>
      <c r="Y965" s="625"/>
      <c r="Z965" s="625"/>
      <c r="AA965" s="625"/>
      <c r="AB965" s="625"/>
      <c r="AC965" s="625"/>
      <c r="AD965" s="625"/>
      <c r="AE965" s="625"/>
      <c r="AF965" s="625"/>
      <c r="AG965" s="625"/>
      <c r="AH965" s="625"/>
      <c r="AI965" s="625"/>
      <c r="AJ965" s="625"/>
      <c r="AK965" s="625"/>
      <c r="AL965" s="625"/>
      <c r="AM965" s="625"/>
      <c r="AN965" s="625"/>
      <c r="AO965" s="625"/>
      <c r="AP965" s="625"/>
      <c r="AQ965" s="625"/>
      <c r="AR965" s="625"/>
      <c r="AS965" s="625"/>
      <c r="AT965" s="625"/>
    </row>
    <row r="966" spans="1:46" s="626" customFormat="1" ht="14">
      <c r="A966" s="479">
        <v>845</v>
      </c>
      <c r="B966" s="621" t="s">
        <v>1638</v>
      </c>
      <c r="C966" s="1132" t="s">
        <v>1639</v>
      </c>
      <c r="D966" s="622" t="s">
        <v>699</v>
      </c>
      <c r="E966" s="623">
        <v>51700</v>
      </c>
      <c r="F966" s="1088"/>
      <c r="G966" s="484"/>
      <c r="H966" s="484"/>
      <c r="I966" s="484"/>
      <c r="J966" s="624"/>
      <c r="K966" s="625"/>
      <c r="L966" s="625"/>
      <c r="M966" s="625"/>
      <c r="N966" s="625"/>
      <c r="O966" s="625"/>
      <c r="P966" s="625"/>
      <c r="Q966" s="625"/>
      <c r="R966" s="625"/>
      <c r="S966" s="625"/>
      <c r="T966" s="625"/>
      <c r="U966" s="625"/>
      <c r="V966" s="625"/>
      <c r="W966" s="625"/>
      <c r="X966" s="625"/>
      <c r="Y966" s="625"/>
      <c r="Z966" s="625"/>
      <c r="AA966" s="625"/>
      <c r="AB966" s="625"/>
      <c r="AC966" s="625"/>
      <c r="AD966" s="625"/>
      <c r="AE966" s="625"/>
      <c r="AF966" s="625"/>
      <c r="AG966" s="625"/>
      <c r="AH966" s="625"/>
      <c r="AI966" s="625"/>
      <c r="AJ966" s="625"/>
      <c r="AK966" s="625"/>
      <c r="AL966" s="625"/>
      <c r="AM966" s="625"/>
      <c r="AN966" s="625"/>
      <c r="AO966" s="625"/>
      <c r="AP966" s="625"/>
      <c r="AQ966" s="625"/>
      <c r="AR966" s="625"/>
      <c r="AS966" s="625"/>
      <c r="AT966" s="625"/>
    </row>
    <row r="967" spans="1:46" s="626" customFormat="1" ht="14">
      <c r="A967" s="479">
        <v>846</v>
      </c>
      <c r="B967" s="621" t="s">
        <v>1640</v>
      </c>
      <c r="C967" s="1132"/>
      <c r="D967" s="622" t="s">
        <v>699</v>
      </c>
      <c r="E967" s="623">
        <v>135190</v>
      </c>
      <c r="F967" s="1088"/>
      <c r="G967" s="484"/>
      <c r="H967" s="484"/>
      <c r="I967" s="484"/>
      <c r="J967" s="624"/>
      <c r="K967" s="625"/>
      <c r="L967" s="625"/>
      <c r="M967" s="625"/>
      <c r="N967" s="625"/>
      <c r="O967" s="625"/>
      <c r="P967" s="625"/>
      <c r="Q967" s="625"/>
      <c r="R967" s="625"/>
      <c r="S967" s="625"/>
      <c r="T967" s="625"/>
      <c r="U967" s="625"/>
      <c r="V967" s="625"/>
      <c r="W967" s="625"/>
      <c r="X967" s="625"/>
      <c r="Y967" s="625"/>
      <c r="Z967" s="625"/>
      <c r="AA967" s="625"/>
      <c r="AB967" s="625"/>
      <c r="AC967" s="625"/>
      <c r="AD967" s="625"/>
      <c r="AE967" s="625"/>
      <c r="AF967" s="625"/>
      <c r="AG967" s="625"/>
      <c r="AH967" s="625"/>
      <c r="AI967" s="625"/>
      <c r="AJ967" s="625"/>
      <c r="AK967" s="625"/>
      <c r="AL967" s="625"/>
      <c r="AM967" s="625"/>
      <c r="AN967" s="625"/>
      <c r="AO967" s="625"/>
      <c r="AP967" s="625"/>
      <c r="AQ967" s="625"/>
      <c r="AR967" s="625"/>
      <c r="AS967" s="625"/>
      <c r="AT967" s="625"/>
    </row>
    <row r="968" spans="1:46" s="626" customFormat="1" ht="14">
      <c r="A968" s="479">
        <v>847</v>
      </c>
      <c r="B968" s="621" t="s">
        <v>1641</v>
      </c>
      <c r="C968" s="1132"/>
      <c r="D968" s="622" t="s">
        <v>699</v>
      </c>
      <c r="E968" s="623">
        <v>348370</v>
      </c>
      <c r="F968" s="1088"/>
      <c r="G968" s="484"/>
      <c r="H968" s="484"/>
      <c r="I968" s="484"/>
      <c r="J968" s="624"/>
      <c r="K968" s="625"/>
      <c r="L968" s="625"/>
      <c r="M968" s="625"/>
      <c r="N968" s="625"/>
      <c r="O968" s="625"/>
      <c r="P968" s="625"/>
      <c r="Q968" s="625"/>
      <c r="R968" s="625"/>
      <c r="S968" s="625"/>
      <c r="T968" s="625"/>
      <c r="U968" s="625"/>
      <c r="V968" s="625"/>
      <c r="W968" s="625"/>
      <c r="X968" s="625"/>
      <c r="Y968" s="625"/>
      <c r="Z968" s="625"/>
      <c r="AA968" s="625"/>
      <c r="AB968" s="625"/>
      <c r="AC968" s="625"/>
      <c r="AD968" s="625"/>
      <c r="AE968" s="625"/>
      <c r="AF968" s="625"/>
      <c r="AG968" s="625"/>
      <c r="AH968" s="625"/>
      <c r="AI968" s="625"/>
      <c r="AJ968" s="625"/>
      <c r="AK968" s="625"/>
      <c r="AL968" s="625"/>
      <c r="AM968" s="625"/>
      <c r="AN968" s="625"/>
      <c r="AO968" s="625"/>
      <c r="AP968" s="625"/>
      <c r="AQ968" s="625"/>
      <c r="AR968" s="625"/>
      <c r="AS968" s="625"/>
      <c r="AT968" s="625"/>
    </row>
    <row r="969" spans="1:46" s="626" customFormat="1" ht="14">
      <c r="A969" s="479">
        <v>848</v>
      </c>
      <c r="B969" s="621" t="s">
        <v>1642</v>
      </c>
      <c r="C969" s="1132"/>
      <c r="D969" s="622" t="s">
        <v>699</v>
      </c>
      <c r="E969" s="623">
        <v>1293490</v>
      </c>
      <c r="F969" s="1088"/>
      <c r="G969" s="484"/>
      <c r="H969" s="484"/>
      <c r="I969" s="484"/>
      <c r="J969" s="624"/>
      <c r="K969" s="625"/>
      <c r="L969" s="625"/>
      <c r="M969" s="625"/>
      <c r="N969" s="625"/>
      <c r="O969" s="625"/>
      <c r="P969" s="625"/>
      <c r="Q969" s="625"/>
      <c r="R969" s="625"/>
      <c r="S969" s="625"/>
      <c r="T969" s="625"/>
      <c r="U969" s="625"/>
      <c r="V969" s="625"/>
      <c r="W969" s="625"/>
      <c r="X969" s="625"/>
      <c r="Y969" s="625"/>
      <c r="Z969" s="625"/>
      <c r="AA969" s="625"/>
      <c r="AB969" s="625"/>
      <c r="AC969" s="625"/>
      <c r="AD969" s="625"/>
      <c r="AE969" s="625"/>
      <c r="AF969" s="625"/>
      <c r="AG969" s="625"/>
      <c r="AH969" s="625"/>
      <c r="AI969" s="625"/>
      <c r="AJ969" s="625"/>
      <c r="AK969" s="625"/>
      <c r="AL969" s="625"/>
      <c r="AM969" s="625"/>
      <c r="AN969" s="625"/>
      <c r="AO969" s="625"/>
      <c r="AP969" s="625"/>
      <c r="AQ969" s="625"/>
      <c r="AR969" s="625"/>
      <c r="AS969" s="625"/>
      <c r="AT969" s="625"/>
    </row>
    <row r="970" spans="1:46" s="626" customFormat="1" ht="14">
      <c r="A970" s="479">
        <v>849</v>
      </c>
      <c r="B970" s="621" t="s">
        <v>1643</v>
      </c>
      <c r="C970" s="1133" t="s">
        <v>1644</v>
      </c>
      <c r="D970" s="622" t="s">
        <v>699</v>
      </c>
      <c r="E970" s="623">
        <v>59400</v>
      </c>
      <c r="F970" s="1088"/>
      <c r="G970" s="484"/>
      <c r="H970" s="484"/>
      <c r="I970" s="484"/>
      <c r="J970" s="624"/>
      <c r="K970" s="625"/>
      <c r="L970" s="625"/>
      <c r="M970" s="625"/>
      <c r="N970" s="625"/>
      <c r="O970" s="625"/>
      <c r="P970" s="625"/>
      <c r="Q970" s="625"/>
      <c r="R970" s="625"/>
      <c r="S970" s="625"/>
      <c r="T970" s="625"/>
      <c r="U970" s="625"/>
      <c r="V970" s="625"/>
      <c r="W970" s="625"/>
      <c r="X970" s="625"/>
      <c r="Y970" s="625"/>
      <c r="Z970" s="625"/>
      <c r="AA970" s="625"/>
      <c r="AB970" s="625"/>
      <c r="AC970" s="625"/>
      <c r="AD970" s="625"/>
      <c r="AE970" s="625"/>
      <c r="AF970" s="625"/>
      <c r="AG970" s="625"/>
      <c r="AH970" s="625"/>
      <c r="AI970" s="625"/>
      <c r="AJ970" s="625"/>
      <c r="AK970" s="625"/>
      <c r="AL970" s="625"/>
      <c r="AM970" s="625"/>
      <c r="AN970" s="625"/>
      <c r="AO970" s="625"/>
      <c r="AP970" s="625"/>
      <c r="AQ970" s="625"/>
      <c r="AR970" s="625"/>
      <c r="AS970" s="625"/>
      <c r="AT970" s="625"/>
    </row>
    <row r="971" spans="1:46" s="626" customFormat="1" ht="14">
      <c r="A971" s="479">
        <v>850</v>
      </c>
      <c r="B971" s="621" t="s">
        <v>1645</v>
      </c>
      <c r="C971" s="1133"/>
      <c r="D971" s="622" t="s">
        <v>699</v>
      </c>
      <c r="E971" s="623">
        <v>162250</v>
      </c>
      <c r="F971" s="1088"/>
      <c r="G971" s="484"/>
      <c r="H971" s="484"/>
      <c r="I971" s="484"/>
      <c r="J971" s="624"/>
      <c r="K971" s="625"/>
      <c r="L971" s="625"/>
      <c r="M971" s="625"/>
      <c r="N971" s="625"/>
      <c r="O971" s="625"/>
      <c r="P971" s="625"/>
      <c r="Q971" s="625"/>
      <c r="R971" s="625"/>
      <c r="S971" s="625"/>
      <c r="T971" s="625"/>
      <c r="U971" s="625"/>
      <c r="V971" s="625"/>
      <c r="W971" s="625"/>
      <c r="X971" s="625"/>
      <c r="Y971" s="625"/>
      <c r="Z971" s="625"/>
      <c r="AA971" s="625"/>
      <c r="AB971" s="625"/>
      <c r="AC971" s="625"/>
      <c r="AD971" s="625"/>
      <c r="AE971" s="625"/>
      <c r="AF971" s="625"/>
      <c r="AG971" s="625"/>
      <c r="AH971" s="625"/>
      <c r="AI971" s="625"/>
      <c r="AJ971" s="625"/>
      <c r="AK971" s="625"/>
      <c r="AL971" s="625"/>
      <c r="AM971" s="625"/>
      <c r="AN971" s="625"/>
      <c r="AO971" s="625"/>
      <c r="AP971" s="625"/>
      <c r="AQ971" s="625"/>
      <c r="AR971" s="625"/>
      <c r="AS971" s="625"/>
      <c r="AT971" s="625"/>
    </row>
    <row r="972" spans="1:46" s="626" customFormat="1" ht="14">
      <c r="A972" s="479">
        <v>851</v>
      </c>
      <c r="B972" s="621" t="s">
        <v>1646</v>
      </c>
      <c r="C972" s="1133"/>
      <c r="D972" s="622" t="s">
        <v>699</v>
      </c>
      <c r="E972" s="623">
        <v>406010</v>
      </c>
      <c r="F972" s="1088"/>
      <c r="G972" s="484"/>
      <c r="H972" s="484"/>
      <c r="I972" s="484"/>
      <c r="J972" s="624"/>
      <c r="K972" s="625"/>
      <c r="L972" s="625"/>
      <c r="M972" s="625"/>
      <c r="N972" s="625"/>
      <c r="O972" s="625"/>
      <c r="P972" s="625"/>
      <c r="Q972" s="625"/>
      <c r="R972" s="625"/>
      <c r="S972" s="625"/>
      <c r="T972" s="625"/>
      <c r="U972" s="625"/>
      <c r="V972" s="625"/>
      <c r="W972" s="625"/>
      <c r="X972" s="625"/>
      <c r="Y972" s="625"/>
      <c r="Z972" s="625"/>
      <c r="AA972" s="625"/>
      <c r="AB972" s="625"/>
      <c r="AC972" s="625"/>
      <c r="AD972" s="625"/>
      <c r="AE972" s="625"/>
      <c r="AF972" s="625"/>
      <c r="AG972" s="625"/>
      <c r="AH972" s="625"/>
      <c r="AI972" s="625"/>
      <c r="AJ972" s="625"/>
      <c r="AK972" s="625"/>
      <c r="AL972" s="625"/>
      <c r="AM972" s="625"/>
      <c r="AN972" s="625"/>
      <c r="AO972" s="625"/>
      <c r="AP972" s="625"/>
      <c r="AQ972" s="625"/>
      <c r="AR972" s="625"/>
      <c r="AS972" s="625"/>
      <c r="AT972" s="625"/>
    </row>
    <row r="973" spans="1:46" s="626" customFormat="1" ht="19.5" customHeight="1">
      <c r="A973" s="479">
        <v>852</v>
      </c>
      <c r="B973" s="621" t="s">
        <v>1647</v>
      </c>
      <c r="C973" s="1131" t="s">
        <v>1648</v>
      </c>
      <c r="D973" s="622" t="s">
        <v>699</v>
      </c>
      <c r="E973" s="623">
        <v>67320</v>
      </c>
      <c r="F973" s="1088"/>
      <c r="G973" s="484"/>
      <c r="H973" s="484"/>
      <c r="I973" s="484"/>
      <c r="J973" s="624"/>
      <c r="K973" s="625"/>
      <c r="L973" s="625"/>
      <c r="M973" s="625"/>
      <c r="N973" s="625"/>
      <c r="O973" s="625"/>
      <c r="P973" s="625"/>
      <c r="Q973" s="625"/>
      <c r="R973" s="625"/>
      <c r="S973" s="625"/>
      <c r="T973" s="625"/>
      <c r="U973" s="625"/>
      <c r="V973" s="625"/>
      <c r="W973" s="625"/>
      <c r="X973" s="625"/>
      <c r="Y973" s="625"/>
      <c r="Z973" s="625"/>
      <c r="AA973" s="625"/>
      <c r="AB973" s="625"/>
      <c r="AC973" s="625"/>
      <c r="AD973" s="625"/>
      <c r="AE973" s="625"/>
      <c r="AF973" s="625"/>
      <c r="AG973" s="625"/>
      <c r="AH973" s="625"/>
      <c r="AI973" s="625"/>
      <c r="AJ973" s="625"/>
      <c r="AK973" s="625"/>
      <c r="AL973" s="625"/>
      <c r="AM973" s="625"/>
      <c r="AN973" s="625"/>
      <c r="AO973" s="625"/>
      <c r="AP973" s="625"/>
      <c r="AQ973" s="625"/>
      <c r="AR973" s="625"/>
      <c r="AS973" s="625"/>
      <c r="AT973" s="625"/>
    </row>
    <row r="974" spans="1:46" s="626" customFormat="1" ht="14">
      <c r="A974" s="479">
        <v>853</v>
      </c>
      <c r="B974" s="621" t="s">
        <v>1649</v>
      </c>
      <c r="C974" s="1131"/>
      <c r="D974" s="622" t="s">
        <v>699</v>
      </c>
      <c r="E974" s="623">
        <v>553190</v>
      </c>
      <c r="F974" s="1088"/>
      <c r="G974" s="484"/>
      <c r="H974" s="484"/>
      <c r="I974" s="484"/>
      <c r="J974" s="624"/>
      <c r="K974" s="625"/>
      <c r="L974" s="625"/>
      <c r="M974" s="625"/>
      <c r="N974" s="625"/>
      <c r="O974" s="625"/>
      <c r="P974" s="625"/>
      <c r="Q974" s="625"/>
      <c r="R974" s="625"/>
      <c r="S974" s="625"/>
      <c r="T974" s="625"/>
      <c r="U974" s="625"/>
      <c r="V974" s="625"/>
      <c r="W974" s="625"/>
      <c r="X974" s="625"/>
      <c r="Y974" s="625"/>
      <c r="Z974" s="625"/>
      <c r="AA974" s="625"/>
      <c r="AB974" s="625"/>
      <c r="AC974" s="625"/>
      <c r="AD974" s="625"/>
      <c r="AE974" s="625"/>
      <c r="AF974" s="625"/>
      <c r="AG974" s="625"/>
      <c r="AH974" s="625"/>
      <c r="AI974" s="625"/>
      <c r="AJ974" s="625"/>
      <c r="AK974" s="625"/>
      <c r="AL974" s="625"/>
      <c r="AM974" s="625"/>
      <c r="AN974" s="625"/>
      <c r="AO974" s="625"/>
      <c r="AP974" s="625"/>
      <c r="AQ974" s="625"/>
      <c r="AR974" s="625"/>
      <c r="AS974" s="625"/>
      <c r="AT974" s="625"/>
    </row>
    <row r="975" spans="1:46" s="626" customFormat="1" ht="14">
      <c r="A975" s="479">
        <v>854</v>
      </c>
      <c r="B975" s="621" t="s">
        <v>1650</v>
      </c>
      <c r="C975" s="628"/>
      <c r="D975" s="622" t="s">
        <v>699</v>
      </c>
      <c r="E975" s="623">
        <v>36410</v>
      </c>
      <c r="F975" s="1088"/>
      <c r="G975" s="484"/>
      <c r="H975" s="484"/>
      <c r="I975" s="484"/>
      <c r="J975" s="624"/>
      <c r="K975" s="625"/>
      <c r="L975" s="625"/>
      <c r="M975" s="625"/>
      <c r="N975" s="625"/>
      <c r="O975" s="625"/>
      <c r="P975" s="625"/>
      <c r="Q975" s="625"/>
      <c r="R975" s="625"/>
      <c r="S975" s="625"/>
      <c r="T975" s="625"/>
      <c r="U975" s="625"/>
      <c r="V975" s="625"/>
      <c r="W975" s="625"/>
      <c r="X975" s="625"/>
      <c r="Y975" s="625"/>
      <c r="Z975" s="625"/>
      <c r="AA975" s="625"/>
      <c r="AB975" s="625"/>
      <c r="AC975" s="625"/>
      <c r="AD975" s="625"/>
      <c r="AE975" s="625"/>
      <c r="AF975" s="625"/>
      <c r="AG975" s="625"/>
      <c r="AH975" s="625"/>
      <c r="AI975" s="625"/>
      <c r="AJ975" s="625"/>
      <c r="AK975" s="625"/>
      <c r="AL975" s="625"/>
      <c r="AM975" s="625"/>
      <c r="AN975" s="625"/>
      <c r="AO975" s="625"/>
      <c r="AP975" s="625"/>
      <c r="AQ975" s="625"/>
      <c r="AR975" s="625"/>
      <c r="AS975" s="625"/>
      <c r="AT975" s="625"/>
    </row>
    <row r="976" spans="1:46" s="626" customFormat="1" ht="14">
      <c r="A976" s="479">
        <v>855</v>
      </c>
      <c r="B976" s="621" t="s">
        <v>1651</v>
      </c>
      <c r="C976" s="628"/>
      <c r="D976" s="622" t="s">
        <v>699</v>
      </c>
      <c r="E976" s="623">
        <v>46530</v>
      </c>
      <c r="F976" s="1088"/>
      <c r="G976" s="484"/>
      <c r="H976" s="484"/>
      <c r="I976" s="484"/>
      <c r="J976" s="624"/>
      <c r="K976" s="625"/>
      <c r="L976" s="625"/>
      <c r="M976" s="625"/>
      <c r="N976" s="625"/>
      <c r="O976" s="625"/>
      <c r="P976" s="625"/>
      <c r="Q976" s="625"/>
      <c r="R976" s="625"/>
      <c r="S976" s="625"/>
      <c r="T976" s="625"/>
      <c r="U976" s="625"/>
      <c r="V976" s="625"/>
      <c r="W976" s="625"/>
      <c r="X976" s="625"/>
      <c r="Y976" s="625"/>
      <c r="Z976" s="625"/>
      <c r="AA976" s="625"/>
      <c r="AB976" s="625"/>
      <c r="AC976" s="625"/>
      <c r="AD976" s="625"/>
      <c r="AE976" s="625"/>
      <c r="AF976" s="625"/>
      <c r="AG976" s="625"/>
      <c r="AH976" s="625"/>
      <c r="AI976" s="625"/>
      <c r="AJ976" s="625"/>
      <c r="AK976" s="625"/>
      <c r="AL976" s="625"/>
      <c r="AM976" s="625"/>
      <c r="AN976" s="625"/>
      <c r="AO976" s="625"/>
      <c r="AP976" s="625"/>
      <c r="AQ976" s="625"/>
      <c r="AR976" s="625"/>
      <c r="AS976" s="625"/>
      <c r="AT976" s="625"/>
    </row>
    <row r="977" spans="1:46" s="626" customFormat="1" ht="14">
      <c r="A977" s="479">
        <v>856</v>
      </c>
      <c r="B977" s="621" t="s">
        <v>1652</v>
      </c>
      <c r="C977" s="628"/>
      <c r="D977" s="622" t="s">
        <v>699</v>
      </c>
      <c r="E977" s="623">
        <v>74580</v>
      </c>
      <c r="F977" s="1088"/>
      <c r="G977" s="484"/>
      <c r="H977" s="484"/>
      <c r="I977" s="484"/>
      <c r="J977" s="624"/>
      <c r="K977" s="625"/>
      <c r="L977" s="625"/>
      <c r="M977" s="625"/>
      <c r="N977" s="625"/>
      <c r="O977" s="625"/>
      <c r="P977" s="625"/>
      <c r="Q977" s="625"/>
      <c r="R977" s="625"/>
      <c r="S977" s="625"/>
      <c r="T977" s="625"/>
      <c r="U977" s="625"/>
      <c r="V977" s="625"/>
      <c r="W977" s="625"/>
      <c r="X977" s="625"/>
      <c r="Y977" s="625"/>
      <c r="Z977" s="625"/>
      <c r="AA977" s="625"/>
      <c r="AB977" s="625"/>
      <c r="AC977" s="625"/>
      <c r="AD977" s="625"/>
      <c r="AE977" s="625"/>
      <c r="AF977" s="625"/>
      <c r="AG977" s="625"/>
      <c r="AH977" s="625"/>
      <c r="AI977" s="625"/>
      <c r="AJ977" s="625"/>
      <c r="AK977" s="625"/>
      <c r="AL977" s="625"/>
      <c r="AM977" s="625"/>
      <c r="AN977" s="625"/>
      <c r="AO977" s="625"/>
      <c r="AP977" s="625"/>
      <c r="AQ977" s="625"/>
      <c r="AR977" s="625"/>
      <c r="AS977" s="625"/>
      <c r="AT977" s="625"/>
    </row>
    <row r="978" spans="1:46" s="626" customFormat="1" ht="14">
      <c r="A978" s="479">
        <v>857</v>
      </c>
      <c r="B978" s="621" t="s">
        <v>1653</v>
      </c>
      <c r="C978" s="628"/>
      <c r="D978" s="622" t="s">
        <v>699</v>
      </c>
      <c r="E978" s="623">
        <v>72270</v>
      </c>
      <c r="F978" s="1088"/>
      <c r="G978" s="484"/>
      <c r="H978" s="484"/>
      <c r="I978" s="484"/>
      <c r="J978" s="624"/>
      <c r="K978" s="625"/>
      <c r="L978" s="625"/>
      <c r="M978" s="625"/>
      <c r="N978" s="625"/>
      <c r="O978" s="625"/>
      <c r="P978" s="625"/>
      <c r="Q978" s="625"/>
      <c r="R978" s="625"/>
      <c r="S978" s="625"/>
      <c r="T978" s="625"/>
      <c r="U978" s="625"/>
      <c r="V978" s="625"/>
      <c r="W978" s="625"/>
      <c r="X978" s="625"/>
      <c r="Y978" s="625"/>
      <c r="Z978" s="625"/>
      <c r="AA978" s="625"/>
      <c r="AB978" s="625"/>
      <c r="AC978" s="625"/>
      <c r="AD978" s="625"/>
      <c r="AE978" s="625"/>
      <c r="AF978" s="625"/>
      <c r="AG978" s="625"/>
      <c r="AH978" s="625"/>
      <c r="AI978" s="625"/>
      <c r="AJ978" s="625"/>
      <c r="AK978" s="625"/>
      <c r="AL978" s="625"/>
      <c r="AM978" s="625"/>
      <c r="AN978" s="625"/>
      <c r="AO978" s="625"/>
      <c r="AP978" s="625"/>
      <c r="AQ978" s="625"/>
      <c r="AR978" s="625"/>
      <c r="AS978" s="625"/>
      <c r="AT978" s="625"/>
    </row>
    <row r="979" spans="1:46" s="514" customFormat="1" ht="15.75" customHeight="1">
      <c r="A979" s="495" t="s">
        <v>790</v>
      </c>
      <c r="B979" s="573" t="s">
        <v>1654</v>
      </c>
      <c r="C979" s="567"/>
      <c r="D979" s="567"/>
      <c r="E979" s="629"/>
      <c r="F979" s="630"/>
      <c r="G979" s="631"/>
      <c r="H979" s="631"/>
      <c r="I979" s="631"/>
      <c r="J979" s="518"/>
      <c r="K979" s="501"/>
    </row>
    <row r="980" spans="1:46" s="508" customFormat="1">
      <c r="A980" s="479">
        <v>858</v>
      </c>
      <c r="B980" s="581" t="s">
        <v>1655</v>
      </c>
      <c r="C980" s="632" t="s">
        <v>1656</v>
      </c>
      <c r="D980" s="555" t="s">
        <v>18</v>
      </c>
      <c r="E980" s="556">
        <v>2900</v>
      </c>
      <c r="F980" s="1134" t="s">
        <v>1657</v>
      </c>
      <c r="G980" s="577"/>
      <c r="H980" s="577"/>
      <c r="I980" s="577"/>
      <c r="J980" s="485"/>
      <c r="K980" s="485"/>
    </row>
    <row r="981" spans="1:46" s="508" customFormat="1">
      <c r="A981" s="479">
        <v>859</v>
      </c>
      <c r="B981" s="581" t="s">
        <v>1658</v>
      </c>
      <c r="C981" s="632" t="s">
        <v>1659</v>
      </c>
      <c r="D981" s="555" t="s">
        <v>18</v>
      </c>
      <c r="E981" s="556">
        <v>4700</v>
      </c>
      <c r="F981" s="1134"/>
      <c r="G981" s="577"/>
      <c r="H981" s="577"/>
      <c r="I981" s="577"/>
      <c r="J981" s="485"/>
      <c r="K981" s="485"/>
    </row>
    <row r="982" spans="1:46" s="508" customFormat="1">
      <c r="A982" s="479">
        <v>860</v>
      </c>
      <c r="B982" s="581" t="s">
        <v>1660</v>
      </c>
      <c r="C982" s="632" t="s">
        <v>1661</v>
      </c>
      <c r="D982" s="555" t="s">
        <v>18</v>
      </c>
      <c r="E982" s="556">
        <v>3100</v>
      </c>
      <c r="F982" s="1134"/>
      <c r="G982" s="577"/>
      <c r="H982" s="577"/>
      <c r="I982" s="577"/>
      <c r="J982" s="485"/>
      <c r="K982" s="485"/>
    </row>
    <row r="983" spans="1:46" s="508" customFormat="1">
      <c r="A983" s="479">
        <v>861</v>
      </c>
      <c r="B983" s="581" t="s">
        <v>1662</v>
      </c>
      <c r="C983" s="632" t="s">
        <v>1663</v>
      </c>
      <c r="D983" s="555" t="s">
        <v>18</v>
      </c>
      <c r="E983" s="556">
        <v>5000</v>
      </c>
      <c r="F983" s="1134"/>
      <c r="G983" s="577"/>
      <c r="H983" s="577"/>
      <c r="I983" s="577"/>
      <c r="J983" s="485"/>
      <c r="K983" s="485"/>
    </row>
    <row r="984" spans="1:46" s="508" customFormat="1">
      <c r="A984" s="479">
        <v>862</v>
      </c>
      <c r="B984" s="581" t="s">
        <v>1664</v>
      </c>
      <c r="C984" s="632" t="s">
        <v>1665</v>
      </c>
      <c r="D984" s="555" t="s">
        <v>18</v>
      </c>
      <c r="E984" s="556">
        <v>3100</v>
      </c>
      <c r="F984" s="1134"/>
      <c r="G984" s="577"/>
      <c r="H984" s="577"/>
      <c r="I984" s="577"/>
      <c r="J984" s="485"/>
      <c r="K984" s="485"/>
    </row>
    <row r="985" spans="1:46" s="508" customFormat="1">
      <c r="A985" s="479">
        <v>863</v>
      </c>
      <c r="B985" s="581" t="s">
        <v>1666</v>
      </c>
      <c r="C985" s="632" t="s">
        <v>1667</v>
      </c>
      <c r="D985" s="555" t="s">
        <v>18</v>
      </c>
      <c r="E985" s="556">
        <v>5200</v>
      </c>
      <c r="F985" s="1134"/>
      <c r="G985" s="577"/>
      <c r="H985" s="577"/>
      <c r="I985" s="577"/>
      <c r="J985" s="485"/>
      <c r="K985" s="485"/>
    </row>
    <row r="986" spans="1:46" s="508" customFormat="1">
      <c r="A986" s="479">
        <v>864</v>
      </c>
      <c r="B986" s="581" t="s">
        <v>1668</v>
      </c>
      <c r="C986" s="632" t="s">
        <v>1669</v>
      </c>
      <c r="D986" s="555" t="s">
        <v>18</v>
      </c>
      <c r="E986" s="556">
        <v>7700</v>
      </c>
      <c r="F986" s="1134"/>
      <c r="G986" s="577"/>
      <c r="H986" s="577"/>
      <c r="I986" s="577"/>
      <c r="J986" s="485"/>
      <c r="K986" s="485"/>
    </row>
    <row r="987" spans="1:46" s="508" customFormat="1">
      <c r="A987" s="479">
        <v>865</v>
      </c>
      <c r="B987" s="581" t="s">
        <v>1670</v>
      </c>
      <c r="C987" s="632" t="s">
        <v>1671</v>
      </c>
      <c r="D987" s="555" t="s">
        <v>18</v>
      </c>
      <c r="E987" s="556">
        <v>11100</v>
      </c>
      <c r="F987" s="1134"/>
      <c r="G987" s="577"/>
      <c r="H987" s="577"/>
      <c r="I987" s="577"/>
      <c r="J987" s="485"/>
      <c r="K987" s="485"/>
    </row>
    <row r="988" spans="1:46" s="508" customFormat="1">
      <c r="A988" s="479">
        <v>866</v>
      </c>
      <c r="B988" s="581" t="s">
        <v>1672</v>
      </c>
      <c r="C988" s="632" t="s">
        <v>1673</v>
      </c>
      <c r="D988" s="555" t="s">
        <v>18</v>
      </c>
      <c r="E988" s="556">
        <v>18500</v>
      </c>
      <c r="F988" s="1134"/>
      <c r="G988" s="577"/>
      <c r="H988" s="577"/>
      <c r="I988" s="577"/>
      <c r="J988" s="485"/>
      <c r="K988" s="485"/>
    </row>
    <row r="989" spans="1:46" s="508" customFormat="1">
      <c r="A989" s="479">
        <v>867</v>
      </c>
      <c r="B989" s="581" t="s">
        <v>1674</v>
      </c>
      <c r="C989" s="632" t="s">
        <v>1675</v>
      </c>
      <c r="D989" s="555" t="s">
        <v>18</v>
      </c>
      <c r="E989" s="556">
        <v>28900</v>
      </c>
      <c r="F989" s="1134"/>
      <c r="G989" s="577"/>
      <c r="H989" s="577"/>
      <c r="I989" s="577"/>
      <c r="J989" s="485"/>
      <c r="K989" s="485"/>
    </row>
    <row r="990" spans="1:46" s="508" customFormat="1">
      <c r="A990" s="479">
        <v>868</v>
      </c>
      <c r="B990" s="581" t="s">
        <v>1676</v>
      </c>
      <c r="C990" s="632" t="s">
        <v>1677</v>
      </c>
      <c r="D990" s="555" t="s">
        <v>18</v>
      </c>
      <c r="E990" s="556">
        <v>45600</v>
      </c>
      <c r="F990" s="1134"/>
      <c r="G990" s="577"/>
      <c r="H990" s="577"/>
      <c r="I990" s="577"/>
      <c r="J990" s="485"/>
      <c r="K990" s="485"/>
    </row>
    <row r="991" spans="1:46" s="508" customFormat="1">
      <c r="A991" s="479">
        <v>869</v>
      </c>
      <c r="B991" s="581" t="s">
        <v>1678</v>
      </c>
      <c r="C991" s="632" t="s">
        <v>1679</v>
      </c>
      <c r="D991" s="555" t="s">
        <v>18</v>
      </c>
      <c r="E991" s="556">
        <v>62900</v>
      </c>
      <c r="F991" s="1134"/>
      <c r="G991" s="577"/>
      <c r="H991" s="577"/>
      <c r="I991" s="577"/>
      <c r="J991" s="485"/>
      <c r="K991" s="485"/>
    </row>
    <row r="992" spans="1:46" s="508" customFormat="1" ht="13.5" customHeight="1">
      <c r="A992" s="479">
        <v>870</v>
      </c>
      <c r="B992" s="581" t="s">
        <v>1680</v>
      </c>
      <c r="C992" s="632" t="s">
        <v>1681</v>
      </c>
      <c r="D992" s="555" t="s">
        <v>18</v>
      </c>
      <c r="E992" s="556">
        <v>87300</v>
      </c>
      <c r="F992" s="1134"/>
      <c r="G992" s="577"/>
      <c r="H992" s="577"/>
      <c r="I992" s="577"/>
      <c r="J992" s="485"/>
      <c r="K992" s="485"/>
    </row>
    <row r="993" spans="1:11" s="508" customFormat="1" ht="14.25" customHeight="1">
      <c r="A993" s="479">
        <v>871</v>
      </c>
      <c r="B993" s="581" t="s">
        <v>1682</v>
      </c>
      <c r="C993" s="632" t="s">
        <v>1683</v>
      </c>
      <c r="D993" s="555" t="s">
        <v>18</v>
      </c>
      <c r="E993" s="556">
        <v>4000</v>
      </c>
      <c r="F993" s="1134"/>
      <c r="G993" s="577"/>
      <c r="H993" s="577"/>
      <c r="I993" s="577"/>
      <c r="J993" s="485"/>
      <c r="K993" s="485"/>
    </row>
    <row r="994" spans="1:11" s="508" customFormat="1">
      <c r="A994" s="690">
        <v>872</v>
      </c>
      <c r="B994" s="691" t="s">
        <v>1684</v>
      </c>
      <c r="C994" s="692" t="s">
        <v>1685</v>
      </c>
      <c r="D994" s="693" t="s">
        <v>18</v>
      </c>
      <c r="E994" s="694">
        <v>5000</v>
      </c>
      <c r="F994" s="1134"/>
      <c r="G994" s="577"/>
      <c r="H994" s="577"/>
      <c r="I994" s="577"/>
      <c r="J994" s="485"/>
      <c r="K994" s="485"/>
    </row>
    <row r="995" spans="1:11" s="508" customFormat="1">
      <c r="A995" s="479">
        <v>873</v>
      </c>
      <c r="B995" s="581" t="s">
        <v>1686</v>
      </c>
      <c r="C995" s="632" t="s">
        <v>1687</v>
      </c>
      <c r="D995" s="555" t="s">
        <v>18</v>
      </c>
      <c r="E995" s="556">
        <v>7100</v>
      </c>
      <c r="F995" s="1134"/>
      <c r="G995" s="577"/>
      <c r="H995" s="577"/>
      <c r="I995" s="577"/>
      <c r="J995" s="485"/>
      <c r="K995" s="485"/>
    </row>
    <row r="996" spans="1:11" s="508" customFormat="1">
      <c r="A996" s="479">
        <v>874</v>
      </c>
      <c r="B996" s="581" t="s">
        <v>1688</v>
      </c>
      <c r="C996" s="632" t="s">
        <v>1689</v>
      </c>
      <c r="D996" s="555" t="s">
        <v>18</v>
      </c>
      <c r="E996" s="556">
        <v>11300</v>
      </c>
      <c r="F996" s="1134"/>
      <c r="G996" s="577"/>
      <c r="H996" s="577"/>
      <c r="I996" s="577"/>
      <c r="J996" s="485"/>
      <c r="K996" s="485"/>
    </row>
    <row r="997" spans="1:11" s="508" customFormat="1">
      <c r="A997" s="479">
        <v>875</v>
      </c>
      <c r="B997" s="581" t="s">
        <v>1690</v>
      </c>
      <c r="C997" s="632" t="s">
        <v>1691</v>
      </c>
      <c r="D997" s="555" t="s">
        <v>18</v>
      </c>
      <c r="E997" s="556">
        <v>9800</v>
      </c>
      <c r="F997" s="1134"/>
      <c r="G997" s="577"/>
      <c r="H997" s="577"/>
      <c r="I997" s="577"/>
      <c r="J997" s="485"/>
      <c r="K997" s="485"/>
    </row>
    <row r="998" spans="1:11" s="508" customFormat="1">
      <c r="A998" s="690">
        <v>876</v>
      </c>
      <c r="B998" s="691" t="s">
        <v>1692</v>
      </c>
      <c r="C998" s="692" t="s">
        <v>1693</v>
      </c>
      <c r="D998" s="693" t="s">
        <v>18</v>
      </c>
      <c r="E998" s="694">
        <v>14200</v>
      </c>
      <c r="F998" s="1134"/>
      <c r="G998" s="577"/>
      <c r="H998" s="577"/>
      <c r="I998" s="577"/>
      <c r="J998" s="485"/>
      <c r="K998" s="485"/>
    </row>
    <row r="999" spans="1:11" s="508" customFormat="1">
      <c r="A999" s="479">
        <v>877</v>
      </c>
      <c r="B999" s="581" t="s">
        <v>1694</v>
      </c>
      <c r="C999" s="632" t="s">
        <v>1695</v>
      </c>
      <c r="D999" s="555" t="s">
        <v>18</v>
      </c>
      <c r="E999" s="556">
        <v>20500</v>
      </c>
      <c r="F999" s="1134"/>
      <c r="G999" s="577"/>
      <c r="H999" s="577"/>
      <c r="I999" s="577"/>
      <c r="J999" s="485"/>
      <c r="K999" s="485"/>
    </row>
    <row r="1000" spans="1:11" s="508" customFormat="1">
      <c r="A1000" s="479">
        <v>878</v>
      </c>
      <c r="B1000" s="581" t="s">
        <v>1696</v>
      </c>
      <c r="C1000" s="632" t="s">
        <v>1697</v>
      </c>
      <c r="D1000" s="555" t="s">
        <v>18</v>
      </c>
      <c r="E1000" s="556">
        <v>28600</v>
      </c>
      <c r="F1000" s="1134"/>
      <c r="G1000" s="577"/>
      <c r="H1000" s="577"/>
      <c r="I1000" s="577"/>
      <c r="J1000" s="485"/>
      <c r="K1000" s="485"/>
    </row>
    <row r="1001" spans="1:11" s="508" customFormat="1">
      <c r="A1001" s="479">
        <v>879</v>
      </c>
      <c r="B1001" s="581" t="s">
        <v>1698</v>
      </c>
      <c r="C1001" s="633" t="s">
        <v>1699</v>
      </c>
      <c r="D1001" s="555" t="s">
        <v>18</v>
      </c>
      <c r="E1001" s="556">
        <v>79000</v>
      </c>
      <c r="F1001" s="1134"/>
      <c r="G1001" s="577"/>
      <c r="H1001" s="577"/>
      <c r="I1001" s="577"/>
      <c r="J1001" s="485"/>
      <c r="K1001" s="485"/>
    </row>
    <row r="1002" spans="1:11" s="508" customFormat="1">
      <c r="A1002" s="479">
        <v>880</v>
      </c>
      <c r="B1002" s="581" t="s">
        <v>1700</v>
      </c>
      <c r="C1002" s="633" t="s">
        <v>1701</v>
      </c>
      <c r="D1002" s="555" t="s">
        <v>18</v>
      </c>
      <c r="E1002" s="556">
        <v>122000</v>
      </c>
      <c r="F1002" s="1134"/>
      <c r="G1002" s="577"/>
      <c r="H1002" s="577"/>
      <c r="I1002" s="577"/>
      <c r="J1002" s="485"/>
      <c r="K1002" s="485"/>
    </row>
    <row r="1003" spans="1:11" s="508" customFormat="1">
      <c r="A1003" s="479">
        <v>881</v>
      </c>
      <c r="B1003" s="581" t="s">
        <v>1702</v>
      </c>
      <c r="C1003" s="633" t="s">
        <v>1703</v>
      </c>
      <c r="D1003" s="555" t="s">
        <v>18</v>
      </c>
      <c r="E1003" s="556">
        <v>61500</v>
      </c>
      <c r="F1003" s="1134"/>
      <c r="G1003" s="577"/>
      <c r="H1003" s="577"/>
      <c r="I1003" s="577"/>
      <c r="J1003" s="485"/>
      <c r="K1003" s="485"/>
    </row>
    <row r="1004" spans="1:11" s="508" customFormat="1">
      <c r="A1004" s="479">
        <v>882</v>
      </c>
      <c r="B1004" s="581" t="s">
        <v>1704</v>
      </c>
      <c r="C1004" s="633" t="s">
        <v>1699</v>
      </c>
      <c r="D1004" s="555" t="s">
        <v>18</v>
      </c>
      <c r="E1004" s="556">
        <v>92900</v>
      </c>
      <c r="F1004" s="1134"/>
      <c r="G1004" s="577"/>
      <c r="H1004" s="577"/>
      <c r="I1004" s="577"/>
      <c r="J1004" s="485"/>
      <c r="K1004" s="485"/>
    </row>
    <row r="1005" spans="1:11" s="508" customFormat="1">
      <c r="A1005" s="479">
        <v>883</v>
      </c>
      <c r="B1005" s="581" t="s">
        <v>1705</v>
      </c>
      <c r="C1005" s="633" t="s">
        <v>1703</v>
      </c>
      <c r="D1005" s="555" t="s">
        <v>18</v>
      </c>
      <c r="E1005" s="556">
        <v>50500</v>
      </c>
      <c r="F1005" s="1134"/>
      <c r="G1005" s="577"/>
      <c r="H1005" s="577"/>
      <c r="I1005" s="577"/>
      <c r="J1005" s="485"/>
      <c r="K1005" s="485"/>
    </row>
    <row r="1006" spans="1:11" s="508" customFormat="1">
      <c r="A1006" s="479">
        <v>884</v>
      </c>
      <c r="B1006" s="581" t="s">
        <v>1706</v>
      </c>
      <c r="C1006" s="633" t="s">
        <v>1699</v>
      </c>
      <c r="D1006" s="555" t="s">
        <v>18</v>
      </c>
      <c r="E1006" s="556">
        <v>79600</v>
      </c>
      <c r="F1006" s="1134"/>
      <c r="G1006" s="577"/>
      <c r="H1006" s="577"/>
      <c r="I1006" s="577"/>
      <c r="J1006" s="485"/>
      <c r="K1006" s="485"/>
    </row>
    <row r="1007" spans="1:11" s="508" customFormat="1">
      <c r="A1007" s="479">
        <v>885</v>
      </c>
      <c r="B1007" s="581" t="s">
        <v>1707</v>
      </c>
      <c r="C1007" s="633" t="s">
        <v>1701</v>
      </c>
      <c r="D1007" s="555" t="s">
        <v>18</v>
      </c>
      <c r="E1007" s="556">
        <v>120000</v>
      </c>
      <c r="F1007" s="1134"/>
      <c r="G1007" s="577"/>
      <c r="H1007" s="577"/>
      <c r="I1007" s="577"/>
      <c r="J1007" s="485"/>
      <c r="K1007" s="485"/>
    </row>
    <row r="1008" spans="1:11" s="508" customFormat="1">
      <c r="A1008" s="479">
        <v>886</v>
      </c>
      <c r="B1008" s="581" t="s">
        <v>1708</v>
      </c>
      <c r="C1008" s="633" t="s">
        <v>1699</v>
      </c>
      <c r="D1008" s="555" t="s">
        <v>18</v>
      </c>
      <c r="E1008" s="556">
        <v>91700</v>
      </c>
      <c r="F1008" s="1134"/>
      <c r="G1008" s="577"/>
      <c r="H1008" s="577"/>
      <c r="I1008" s="577"/>
      <c r="J1008" s="485"/>
      <c r="K1008" s="485"/>
    </row>
    <row r="1009" spans="1:11" s="508" customFormat="1">
      <c r="A1009" s="479">
        <v>887</v>
      </c>
      <c r="B1009" s="581" t="s">
        <v>1709</v>
      </c>
      <c r="C1009" s="633" t="s">
        <v>1701</v>
      </c>
      <c r="D1009" s="555" t="s">
        <v>18</v>
      </c>
      <c r="E1009" s="556">
        <v>133000</v>
      </c>
      <c r="F1009" s="1134"/>
      <c r="G1009" s="577"/>
      <c r="H1009" s="577"/>
      <c r="I1009" s="577"/>
      <c r="J1009" s="485"/>
      <c r="K1009" s="485"/>
    </row>
    <row r="1010" spans="1:11" s="508" customFormat="1">
      <c r="A1010" s="479">
        <v>888</v>
      </c>
      <c r="B1010" s="581" t="s">
        <v>1710</v>
      </c>
      <c r="C1010" s="632" t="s">
        <v>1711</v>
      </c>
      <c r="D1010" s="555" t="s">
        <v>18</v>
      </c>
      <c r="E1010" s="556">
        <v>11800</v>
      </c>
      <c r="F1010" s="1134"/>
      <c r="G1010" s="577"/>
      <c r="H1010" s="577"/>
      <c r="I1010" s="577"/>
      <c r="J1010" s="485"/>
      <c r="K1010" s="485"/>
    </row>
    <row r="1011" spans="1:11" s="508" customFormat="1">
      <c r="A1011" s="479">
        <v>889</v>
      </c>
      <c r="B1011" s="581" t="s">
        <v>1712</v>
      </c>
      <c r="C1011" s="632" t="s">
        <v>1713</v>
      </c>
      <c r="D1011" s="555" t="s">
        <v>18</v>
      </c>
      <c r="E1011" s="556">
        <v>16300</v>
      </c>
      <c r="F1011" s="1134"/>
      <c r="G1011" s="577"/>
      <c r="H1011" s="577"/>
      <c r="I1011" s="577"/>
      <c r="J1011" s="485"/>
      <c r="K1011" s="485"/>
    </row>
    <row r="1012" spans="1:11" s="508" customFormat="1">
      <c r="A1012" s="684">
        <v>890</v>
      </c>
      <c r="B1012" s="685" t="s">
        <v>1714</v>
      </c>
      <c r="C1012" s="686" t="s">
        <v>1715</v>
      </c>
      <c r="D1012" s="687" t="s">
        <v>18</v>
      </c>
      <c r="E1012" s="688">
        <v>53900</v>
      </c>
      <c r="F1012" s="1134"/>
      <c r="G1012" s="577"/>
      <c r="H1012" s="577"/>
      <c r="I1012" s="577"/>
      <c r="J1012" s="485"/>
      <c r="K1012" s="485"/>
    </row>
    <row r="1013" spans="1:11" s="508" customFormat="1">
      <c r="A1013" s="479">
        <v>891</v>
      </c>
      <c r="B1013" s="581" t="s">
        <v>1716</v>
      </c>
      <c r="C1013" s="632" t="s">
        <v>1717</v>
      </c>
      <c r="D1013" s="555" t="s">
        <v>18</v>
      </c>
      <c r="E1013" s="556">
        <v>77600</v>
      </c>
      <c r="F1013" s="1134"/>
      <c r="G1013" s="577"/>
      <c r="H1013" s="577"/>
      <c r="I1013" s="577"/>
      <c r="J1013" s="485"/>
      <c r="K1013" s="485"/>
    </row>
    <row r="1014" spans="1:11" s="508" customFormat="1">
      <c r="A1014" s="479">
        <v>892</v>
      </c>
      <c r="B1014" s="581" t="s">
        <v>1718</v>
      </c>
      <c r="C1014" s="632" t="s">
        <v>1719</v>
      </c>
      <c r="D1014" s="555" t="s">
        <v>18</v>
      </c>
      <c r="E1014" s="556">
        <v>103900</v>
      </c>
      <c r="F1014" s="1134"/>
      <c r="G1014" s="577"/>
      <c r="H1014" s="577"/>
      <c r="I1014" s="577"/>
      <c r="J1014" s="485"/>
      <c r="K1014" s="485"/>
    </row>
    <row r="1015" spans="1:11" s="508" customFormat="1">
      <c r="A1015" s="479">
        <v>893</v>
      </c>
      <c r="B1015" s="581" t="s">
        <v>1720</v>
      </c>
      <c r="C1015" s="632" t="s">
        <v>1721</v>
      </c>
      <c r="D1015" s="555" t="s">
        <v>18</v>
      </c>
      <c r="E1015" s="556">
        <v>127800</v>
      </c>
      <c r="F1015" s="1134"/>
      <c r="G1015" s="577"/>
      <c r="H1015" s="577"/>
      <c r="I1015" s="577"/>
      <c r="J1015" s="485"/>
      <c r="K1015" s="485"/>
    </row>
    <row r="1016" spans="1:11" s="469" customFormat="1" ht="15.75" customHeight="1">
      <c r="A1016" s="495" t="s">
        <v>803</v>
      </c>
      <c r="B1016" s="1098" t="s">
        <v>1722</v>
      </c>
      <c r="C1016" s="1098"/>
      <c r="D1016" s="1098"/>
      <c r="E1016" s="546"/>
      <c r="F1016" s="499"/>
      <c r="G1016" s="477"/>
      <c r="H1016" s="477"/>
      <c r="I1016" s="477"/>
    </row>
    <row r="1017" spans="1:11" s="469" customFormat="1">
      <c r="A1017" s="479">
        <v>894</v>
      </c>
      <c r="B1017" s="489" t="s">
        <v>1723</v>
      </c>
      <c r="C1017" s="487" t="s">
        <v>1724</v>
      </c>
      <c r="D1017" s="487" t="s">
        <v>1725</v>
      </c>
      <c r="E1017" s="474">
        <v>18000</v>
      </c>
      <c r="F1017" s="1088" t="s">
        <v>450</v>
      </c>
      <c r="G1017" s="484"/>
      <c r="H1017" s="484"/>
      <c r="I1017" s="484"/>
      <c r="K1017" s="485"/>
    </row>
    <row r="1018" spans="1:11" s="469" customFormat="1">
      <c r="A1018" s="479">
        <v>895</v>
      </c>
      <c r="B1018" s="489" t="s">
        <v>1726</v>
      </c>
      <c r="C1018" s="487" t="s">
        <v>1727</v>
      </c>
      <c r="D1018" s="487" t="s">
        <v>1725</v>
      </c>
      <c r="E1018" s="474">
        <v>25500</v>
      </c>
      <c r="F1018" s="1088"/>
      <c r="G1018" s="484"/>
      <c r="H1018" s="484"/>
      <c r="I1018" s="484"/>
      <c r="K1018" s="485"/>
    </row>
    <row r="1019" spans="1:11" s="469" customFormat="1">
      <c r="A1019" s="479">
        <v>896</v>
      </c>
      <c r="B1019" s="489" t="s">
        <v>1728</v>
      </c>
      <c r="C1019" s="487" t="s">
        <v>1729</v>
      </c>
      <c r="D1019" s="487" t="s">
        <v>1725</v>
      </c>
      <c r="E1019" s="474">
        <v>34800</v>
      </c>
      <c r="F1019" s="1088"/>
      <c r="G1019" s="484"/>
      <c r="H1019" s="484"/>
      <c r="I1019" s="484"/>
      <c r="K1019" s="485"/>
    </row>
    <row r="1020" spans="1:11" s="469" customFormat="1">
      <c r="A1020" s="479">
        <v>897</v>
      </c>
      <c r="B1020" s="489" t="s">
        <v>1730</v>
      </c>
      <c r="C1020" s="487" t="s">
        <v>1731</v>
      </c>
      <c r="D1020" s="487" t="s">
        <v>1725</v>
      </c>
      <c r="E1020" s="474">
        <v>70000</v>
      </c>
      <c r="F1020" s="1088"/>
      <c r="G1020" s="484"/>
      <c r="H1020" s="484"/>
      <c r="I1020" s="484"/>
      <c r="K1020" s="485"/>
    </row>
    <row r="1021" spans="1:11" s="469" customFormat="1">
      <c r="A1021" s="479">
        <v>898</v>
      </c>
      <c r="B1021" s="489" t="s">
        <v>1732</v>
      </c>
      <c r="C1021" s="487" t="s">
        <v>1733</v>
      </c>
      <c r="D1021" s="487" t="s">
        <v>45</v>
      </c>
      <c r="E1021" s="474">
        <v>900</v>
      </c>
      <c r="F1021" s="1088"/>
      <c r="G1021" s="484"/>
      <c r="H1021" s="484"/>
      <c r="I1021" s="484"/>
      <c r="K1021" s="485"/>
    </row>
    <row r="1022" spans="1:11" s="469" customFormat="1">
      <c r="A1022" s="479">
        <v>899</v>
      </c>
      <c r="B1022" s="489" t="s">
        <v>1734</v>
      </c>
      <c r="C1022" s="487" t="s">
        <v>1735</v>
      </c>
      <c r="D1022" s="487" t="s">
        <v>45</v>
      </c>
      <c r="E1022" s="474">
        <v>980</v>
      </c>
      <c r="F1022" s="1088"/>
      <c r="G1022" s="484"/>
      <c r="H1022" s="484"/>
      <c r="I1022" s="484"/>
      <c r="K1022" s="485"/>
    </row>
    <row r="1023" spans="1:11" s="469" customFormat="1">
      <c r="A1023" s="479">
        <v>900</v>
      </c>
      <c r="B1023" s="489" t="s">
        <v>1736</v>
      </c>
      <c r="C1023" s="487" t="s">
        <v>1737</v>
      </c>
      <c r="D1023" s="487" t="s">
        <v>45</v>
      </c>
      <c r="E1023" s="474">
        <v>1600</v>
      </c>
      <c r="F1023" s="1088"/>
      <c r="G1023" s="484"/>
      <c r="H1023" s="484"/>
      <c r="I1023" s="484"/>
      <c r="K1023" s="485"/>
    </row>
    <row r="1024" spans="1:11" s="469" customFormat="1">
      <c r="A1024" s="479">
        <v>901</v>
      </c>
      <c r="B1024" s="489" t="s">
        <v>1738</v>
      </c>
      <c r="C1024" s="487" t="s">
        <v>1739</v>
      </c>
      <c r="D1024" s="487" t="s">
        <v>45</v>
      </c>
      <c r="E1024" s="474">
        <v>2200</v>
      </c>
      <c r="F1024" s="1088"/>
      <c r="G1024" s="484"/>
      <c r="H1024" s="484"/>
      <c r="I1024" s="484"/>
      <c r="K1024" s="485"/>
    </row>
    <row r="1025" spans="1:11" s="469" customFormat="1">
      <c r="A1025" s="479">
        <v>902</v>
      </c>
      <c r="B1025" s="489" t="s">
        <v>1740</v>
      </c>
      <c r="C1025" s="487" t="s">
        <v>1741</v>
      </c>
      <c r="D1025" s="487" t="s">
        <v>45</v>
      </c>
      <c r="E1025" s="474">
        <v>3380</v>
      </c>
      <c r="F1025" s="1088"/>
      <c r="G1025" s="484"/>
      <c r="H1025" s="484"/>
      <c r="I1025" s="484"/>
      <c r="K1025" s="485"/>
    </row>
    <row r="1026" spans="1:11" s="469" customFormat="1">
      <c r="A1026" s="479">
        <v>903</v>
      </c>
      <c r="B1026" s="489" t="s">
        <v>1742</v>
      </c>
      <c r="C1026" s="487" t="s">
        <v>1743</v>
      </c>
      <c r="D1026" s="487" t="s">
        <v>45</v>
      </c>
      <c r="E1026" s="474">
        <v>4850</v>
      </c>
      <c r="F1026" s="1088"/>
      <c r="G1026" s="484"/>
      <c r="H1026" s="484"/>
      <c r="I1026" s="484"/>
      <c r="K1026" s="485"/>
    </row>
    <row r="1027" spans="1:11" s="469" customFormat="1">
      <c r="A1027" s="479">
        <v>904</v>
      </c>
      <c r="B1027" s="489" t="s">
        <v>1744</v>
      </c>
      <c r="C1027" s="487" t="s">
        <v>1745</v>
      </c>
      <c r="D1027" s="487" t="s">
        <v>45</v>
      </c>
      <c r="E1027" s="474">
        <v>8000</v>
      </c>
      <c r="F1027" s="1088"/>
      <c r="G1027" s="484"/>
      <c r="H1027" s="484"/>
      <c r="I1027" s="484"/>
      <c r="K1027" s="485"/>
    </row>
    <row r="1028" spans="1:11" s="466" customFormat="1">
      <c r="A1028" s="479">
        <v>905</v>
      </c>
      <c r="B1028" s="489" t="s">
        <v>1746</v>
      </c>
      <c r="C1028" s="487" t="s">
        <v>1747</v>
      </c>
      <c r="D1028" s="487" t="s">
        <v>45</v>
      </c>
      <c r="E1028" s="474">
        <v>11600</v>
      </c>
      <c r="F1028" s="1088"/>
      <c r="G1028" s="484"/>
      <c r="H1028" s="484"/>
      <c r="I1028" s="484"/>
      <c r="K1028" s="485"/>
    </row>
    <row r="1029" spans="1:11" s="469" customFormat="1">
      <c r="A1029" s="479">
        <v>906</v>
      </c>
      <c r="B1029" s="489" t="s">
        <v>1748</v>
      </c>
      <c r="C1029" s="487" t="s">
        <v>1749</v>
      </c>
      <c r="D1029" s="487" t="s">
        <v>45</v>
      </c>
      <c r="E1029" s="474">
        <v>4900</v>
      </c>
      <c r="F1029" s="1088"/>
      <c r="G1029" s="484"/>
      <c r="H1029" s="484"/>
      <c r="I1029" s="484"/>
      <c r="K1029" s="485"/>
    </row>
    <row r="1030" spans="1:11" s="469" customFormat="1">
      <c r="A1030" s="479">
        <v>907</v>
      </c>
      <c r="B1030" s="489" t="s">
        <v>1750</v>
      </c>
      <c r="C1030" s="487" t="s">
        <v>1751</v>
      </c>
      <c r="D1030" s="487" t="s">
        <v>45</v>
      </c>
      <c r="E1030" s="474">
        <v>6850</v>
      </c>
      <c r="F1030" s="1088"/>
      <c r="G1030" s="484"/>
      <c r="H1030" s="484"/>
      <c r="I1030" s="484"/>
      <c r="K1030" s="485"/>
    </row>
    <row r="1031" spans="1:11" s="469" customFormat="1">
      <c r="A1031" s="479">
        <v>908</v>
      </c>
      <c r="B1031" s="489" t="s">
        <v>1752</v>
      </c>
      <c r="C1031" s="487" t="s">
        <v>1753</v>
      </c>
      <c r="D1031" s="487" t="s">
        <v>45</v>
      </c>
      <c r="E1031" s="474">
        <v>8750</v>
      </c>
      <c r="F1031" s="1088"/>
      <c r="G1031" s="484"/>
      <c r="H1031" s="484"/>
      <c r="I1031" s="484"/>
      <c r="K1031" s="485"/>
    </row>
    <row r="1032" spans="1:11" s="469" customFormat="1">
      <c r="A1032" s="479">
        <v>909</v>
      </c>
      <c r="B1032" s="489" t="s">
        <v>1754</v>
      </c>
      <c r="C1032" s="487" t="s">
        <v>1755</v>
      </c>
      <c r="D1032" s="487" t="s">
        <v>45</v>
      </c>
      <c r="E1032" s="474">
        <v>11200</v>
      </c>
      <c r="F1032" s="1088"/>
      <c r="G1032" s="484"/>
      <c r="H1032" s="484"/>
      <c r="I1032" s="484"/>
      <c r="K1032" s="485"/>
    </row>
    <row r="1033" spans="1:11" s="508" customFormat="1" ht="15.75" customHeight="1">
      <c r="A1033" s="476" t="s">
        <v>1756</v>
      </c>
      <c r="B1033" s="1090" t="s">
        <v>1757</v>
      </c>
      <c r="C1033" s="1090"/>
      <c r="D1033" s="1090"/>
      <c r="E1033" s="1090"/>
      <c r="F1033" s="1091"/>
      <c r="G1033" s="477"/>
      <c r="H1033" s="477"/>
      <c r="I1033" s="477"/>
      <c r="J1033" s="485"/>
      <c r="K1033" s="478"/>
    </row>
    <row r="1034" spans="1:11" s="508" customFormat="1" ht="15.75" customHeight="1">
      <c r="A1034" s="495" t="s">
        <v>367</v>
      </c>
      <c r="B1034" s="496" t="s">
        <v>1758</v>
      </c>
      <c r="C1034" s="527"/>
      <c r="D1034" s="527"/>
      <c r="E1034" s="498"/>
      <c r="F1034" s="586"/>
      <c r="G1034" s="484"/>
      <c r="H1034" s="484"/>
      <c r="I1034" s="484"/>
      <c r="J1034" s="485"/>
      <c r="K1034" s="478"/>
    </row>
    <row r="1035" spans="1:11" s="508" customFormat="1" ht="15.75" customHeight="1">
      <c r="A1035" s="509"/>
      <c r="B1035" s="1094" t="s">
        <v>1759</v>
      </c>
      <c r="C1035" s="1094"/>
      <c r="D1035" s="487"/>
      <c r="E1035" s="511"/>
      <c r="F1035" s="1088" t="s">
        <v>1760</v>
      </c>
      <c r="G1035" s="484"/>
      <c r="H1035" s="484"/>
      <c r="I1035" s="484"/>
      <c r="J1035" s="485"/>
      <c r="K1035" s="478"/>
    </row>
    <row r="1036" spans="1:11" s="508" customFormat="1">
      <c r="A1036" s="479">
        <v>910</v>
      </c>
      <c r="B1036" s="489"/>
      <c r="C1036" s="487" t="s">
        <v>1761</v>
      </c>
      <c r="D1036" s="487" t="s">
        <v>699</v>
      </c>
      <c r="E1036" s="474">
        <v>21000</v>
      </c>
      <c r="F1036" s="1088"/>
      <c r="G1036" s="484"/>
      <c r="H1036" s="484"/>
      <c r="I1036" s="484"/>
      <c r="J1036" s="485"/>
      <c r="K1036" s="485"/>
    </row>
    <row r="1037" spans="1:11" s="508" customFormat="1">
      <c r="A1037" s="479">
        <v>911</v>
      </c>
      <c r="B1037" s="489"/>
      <c r="C1037" s="487" t="s">
        <v>1762</v>
      </c>
      <c r="D1037" s="487" t="s">
        <v>699</v>
      </c>
      <c r="E1037" s="474">
        <v>23400</v>
      </c>
      <c r="F1037" s="1088"/>
      <c r="G1037" s="484"/>
      <c r="H1037" s="484"/>
      <c r="I1037" s="484"/>
      <c r="J1037" s="485"/>
      <c r="K1037" s="485"/>
    </row>
    <row r="1038" spans="1:11" s="508" customFormat="1">
      <c r="A1038" s="479">
        <v>912</v>
      </c>
      <c r="B1038" s="489"/>
      <c r="C1038" s="487" t="s">
        <v>1763</v>
      </c>
      <c r="D1038" s="487" t="s">
        <v>699</v>
      </c>
      <c r="E1038" s="474">
        <v>29800</v>
      </c>
      <c r="F1038" s="1088"/>
      <c r="G1038" s="484"/>
      <c r="H1038" s="484"/>
      <c r="I1038" s="484"/>
      <c r="J1038" s="485"/>
      <c r="K1038" s="485"/>
    </row>
    <row r="1039" spans="1:11" s="508" customFormat="1">
      <c r="A1039" s="479">
        <v>913</v>
      </c>
      <c r="B1039" s="489"/>
      <c r="C1039" s="487" t="s">
        <v>1764</v>
      </c>
      <c r="D1039" s="487" t="s">
        <v>699</v>
      </c>
      <c r="E1039" s="474">
        <v>26900</v>
      </c>
      <c r="F1039" s="1088"/>
      <c r="G1039" s="484"/>
      <c r="H1039" s="484"/>
      <c r="I1039" s="484"/>
      <c r="J1039" s="485"/>
      <c r="K1039" s="485"/>
    </row>
    <row r="1040" spans="1:11" s="508" customFormat="1">
      <c r="A1040" s="479">
        <v>914</v>
      </c>
      <c r="B1040" s="489"/>
      <c r="C1040" s="487" t="s">
        <v>1765</v>
      </c>
      <c r="D1040" s="487" t="s">
        <v>699</v>
      </c>
      <c r="E1040" s="474">
        <v>29700</v>
      </c>
      <c r="F1040" s="1088"/>
      <c r="G1040" s="484"/>
      <c r="H1040" s="484"/>
      <c r="I1040" s="484"/>
      <c r="J1040" s="485"/>
      <c r="K1040" s="485"/>
    </row>
    <row r="1041" spans="1:11" s="508" customFormat="1">
      <c r="A1041" s="479">
        <v>915</v>
      </c>
      <c r="B1041" s="489"/>
      <c r="C1041" s="487" t="s">
        <v>1766</v>
      </c>
      <c r="D1041" s="487" t="s">
        <v>699</v>
      </c>
      <c r="E1041" s="474">
        <v>31600</v>
      </c>
      <c r="F1041" s="1088"/>
      <c r="G1041" s="484"/>
      <c r="H1041" s="484"/>
      <c r="I1041" s="484"/>
      <c r="J1041" s="485"/>
      <c r="K1041" s="485"/>
    </row>
    <row r="1042" spans="1:11" s="508" customFormat="1">
      <c r="A1042" s="479">
        <v>916</v>
      </c>
      <c r="B1042" s="489"/>
      <c r="C1042" s="487" t="s">
        <v>1767</v>
      </c>
      <c r="D1042" s="487" t="s">
        <v>699</v>
      </c>
      <c r="E1042" s="474">
        <v>38400</v>
      </c>
      <c r="F1042" s="1088"/>
      <c r="G1042" s="484"/>
      <c r="H1042" s="484"/>
      <c r="I1042" s="484"/>
      <c r="J1042" s="485"/>
      <c r="K1042" s="485"/>
    </row>
    <row r="1043" spans="1:11" s="508" customFormat="1">
      <c r="A1043" s="479">
        <v>917</v>
      </c>
      <c r="B1043" s="489"/>
      <c r="C1043" s="487" t="s">
        <v>1768</v>
      </c>
      <c r="D1043" s="487" t="s">
        <v>699</v>
      </c>
      <c r="E1043" s="474">
        <v>34200</v>
      </c>
      <c r="F1043" s="1088"/>
      <c r="G1043" s="484"/>
      <c r="H1043" s="484"/>
      <c r="I1043" s="484"/>
      <c r="J1043" s="485"/>
      <c r="K1043" s="485"/>
    </row>
    <row r="1044" spans="1:11" s="508" customFormat="1">
      <c r="A1044" s="479">
        <v>918</v>
      </c>
      <c r="B1044" s="489"/>
      <c r="C1044" s="487" t="s">
        <v>1769</v>
      </c>
      <c r="D1044" s="487" t="s">
        <v>699</v>
      </c>
      <c r="E1044" s="474">
        <v>38000</v>
      </c>
      <c r="F1044" s="1088"/>
      <c r="G1044" s="484"/>
      <c r="H1044" s="484"/>
      <c r="I1044" s="484"/>
      <c r="J1044" s="485"/>
      <c r="K1044" s="485"/>
    </row>
    <row r="1045" spans="1:11" s="508" customFormat="1">
      <c r="A1045" s="479">
        <v>919</v>
      </c>
      <c r="B1045" s="489"/>
      <c r="C1045" s="487" t="s">
        <v>1770</v>
      </c>
      <c r="D1045" s="487" t="s">
        <v>699</v>
      </c>
      <c r="E1045" s="474">
        <v>40100</v>
      </c>
      <c r="F1045" s="1088"/>
      <c r="G1045" s="484"/>
      <c r="H1045" s="484"/>
      <c r="I1045" s="484"/>
      <c r="J1045" s="485"/>
      <c r="K1045" s="485"/>
    </row>
    <row r="1046" spans="1:11" s="508" customFormat="1">
      <c r="A1046" s="479">
        <v>920</v>
      </c>
      <c r="B1046" s="489"/>
      <c r="C1046" s="487" t="s">
        <v>1771</v>
      </c>
      <c r="D1046" s="487" t="s">
        <v>699</v>
      </c>
      <c r="E1046" s="474">
        <v>44000</v>
      </c>
      <c r="F1046" s="1088"/>
      <c r="G1046" s="484"/>
      <c r="H1046" s="484"/>
      <c r="I1046" s="484"/>
      <c r="J1046" s="485"/>
      <c r="K1046" s="485"/>
    </row>
    <row r="1047" spans="1:11" s="508" customFormat="1">
      <c r="A1047" s="479">
        <v>921</v>
      </c>
      <c r="B1047" s="489"/>
      <c r="C1047" s="487" t="s">
        <v>1772</v>
      </c>
      <c r="D1047" s="487" t="s">
        <v>699</v>
      </c>
      <c r="E1047" s="474">
        <v>59300</v>
      </c>
      <c r="F1047" s="1088"/>
      <c r="G1047" s="484"/>
      <c r="H1047" s="484"/>
      <c r="I1047" s="484"/>
      <c r="J1047" s="485"/>
      <c r="K1047" s="485"/>
    </row>
    <row r="1048" spans="1:11" s="508" customFormat="1">
      <c r="A1048" s="479">
        <v>922</v>
      </c>
      <c r="B1048" s="489"/>
      <c r="C1048" s="487" t="s">
        <v>1773</v>
      </c>
      <c r="D1048" s="487" t="s">
        <v>699</v>
      </c>
      <c r="E1048" s="474">
        <v>43500</v>
      </c>
      <c r="F1048" s="1088"/>
      <c r="G1048" s="484"/>
      <c r="H1048" s="484"/>
      <c r="I1048" s="484"/>
      <c r="J1048" s="485"/>
      <c r="K1048" s="485"/>
    </row>
    <row r="1049" spans="1:11" s="508" customFormat="1">
      <c r="A1049" s="479">
        <v>923</v>
      </c>
      <c r="B1049" s="489"/>
      <c r="C1049" s="487" t="s">
        <v>1774</v>
      </c>
      <c r="D1049" s="487" t="s">
        <v>699</v>
      </c>
      <c r="E1049" s="474">
        <v>48400</v>
      </c>
      <c r="F1049" s="1088"/>
      <c r="G1049" s="484"/>
      <c r="H1049" s="484"/>
      <c r="I1049" s="484"/>
      <c r="J1049" s="485"/>
      <c r="K1049" s="485"/>
    </row>
    <row r="1050" spans="1:11" s="612" customFormat="1">
      <c r="A1050" s="479">
        <v>924</v>
      </c>
      <c r="B1050" s="489"/>
      <c r="C1050" s="487" t="s">
        <v>1775</v>
      </c>
      <c r="D1050" s="487" t="s">
        <v>699</v>
      </c>
      <c r="E1050" s="474">
        <v>51200</v>
      </c>
      <c r="F1050" s="1088"/>
      <c r="G1050" s="484"/>
      <c r="H1050" s="484"/>
      <c r="I1050" s="484"/>
      <c r="J1050" s="485"/>
      <c r="K1050" s="485"/>
    </row>
    <row r="1051" spans="1:11" s="612" customFormat="1">
      <c r="A1051" s="479">
        <v>925</v>
      </c>
      <c r="B1051" s="489"/>
      <c r="C1051" s="487" t="s">
        <v>1776</v>
      </c>
      <c r="D1051" s="487" t="s">
        <v>699</v>
      </c>
      <c r="E1051" s="474">
        <v>55600</v>
      </c>
      <c r="F1051" s="1088"/>
      <c r="G1051" s="484"/>
      <c r="H1051" s="484"/>
      <c r="I1051" s="484"/>
      <c r="J1051" s="485"/>
      <c r="K1051" s="485"/>
    </row>
    <row r="1052" spans="1:11" s="612" customFormat="1">
      <c r="A1052" s="479">
        <v>926</v>
      </c>
      <c r="B1052" s="489"/>
      <c r="C1052" s="487" t="s">
        <v>1777</v>
      </c>
      <c r="D1052" s="487" t="s">
        <v>699</v>
      </c>
      <c r="E1052" s="474">
        <v>76300</v>
      </c>
      <c r="F1052" s="1088"/>
      <c r="G1052" s="484"/>
      <c r="H1052" s="484"/>
      <c r="I1052" s="484"/>
      <c r="J1052" s="485"/>
      <c r="K1052" s="485"/>
    </row>
    <row r="1053" spans="1:11" s="612" customFormat="1">
      <c r="A1053" s="479">
        <v>927</v>
      </c>
      <c r="B1053" s="489"/>
      <c r="C1053" s="487" t="s">
        <v>1778</v>
      </c>
      <c r="D1053" s="487" t="s">
        <v>699</v>
      </c>
      <c r="E1053" s="474">
        <v>58700</v>
      </c>
      <c r="F1053" s="1088"/>
      <c r="G1053" s="484"/>
      <c r="H1053" s="484"/>
      <c r="I1053" s="484"/>
      <c r="J1053" s="485"/>
      <c r="K1053" s="485"/>
    </row>
    <row r="1054" spans="1:11" s="612" customFormat="1">
      <c r="A1054" s="479">
        <v>928</v>
      </c>
      <c r="B1054" s="489"/>
      <c r="C1054" s="487" t="s">
        <v>1779</v>
      </c>
      <c r="D1054" s="487" t="s">
        <v>699</v>
      </c>
      <c r="E1054" s="474">
        <v>61100</v>
      </c>
      <c r="F1054" s="1088"/>
      <c r="G1054" s="484"/>
      <c r="H1054" s="484"/>
      <c r="I1054" s="484"/>
      <c r="J1054" s="485"/>
      <c r="K1054" s="485"/>
    </row>
    <row r="1055" spans="1:11" s="612" customFormat="1">
      <c r="A1055" s="479">
        <v>929</v>
      </c>
      <c r="B1055" s="489"/>
      <c r="C1055" s="487" t="s">
        <v>1780</v>
      </c>
      <c r="D1055" s="487" t="s">
        <v>699</v>
      </c>
      <c r="E1055" s="474">
        <v>64000</v>
      </c>
      <c r="F1055" s="1088"/>
      <c r="G1055" s="484"/>
      <c r="H1055" s="484"/>
      <c r="I1055" s="484"/>
      <c r="J1055" s="485"/>
      <c r="K1055" s="485"/>
    </row>
    <row r="1056" spans="1:11" s="612" customFormat="1">
      <c r="A1056" s="479">
        <v>930</v>
      </c>
      <c r="B1056" s="489"/>
      <c r="C1056" s="549" t="s">
        <v>1781</v>
      </c>
      <c r="D1056" s="487" t="s">
        <v>699</v>
      </c>
      <c r="E1056" s="474">
        <v>69700</v>
      </c>
      <c r="F1056" s="1088"/>
      <c r="G1056" s="484"/>
      <c r="H1056" s="484"/>
      <c r="I1056" s="484"/>
      <c r="J1056" s="485"/>
      <c r="K1056" s="485"/>
    </row>
    <row r="1057" spans="1:11" s="612" customFormat="1">
      <c r="A1057" s="479">
        <v>931</v>
      </c>
      <c r="B1057" s="489"/>
      <c r="C1057" s="487" t="s">
        <v>1782</v>
      </c>
      <c r="D1057" s="487" t="s">
        <v>699</v>
      </c>
      <c r="E1057" s="474">
        <v>87900</v>
      </c>
      <c r="F1057" s="1088"/>
      <c r="G1057" s="484"/>
      <c r="H1057" s="484"/>
      <c r="I1057" s="484"/>
      <c r="J1057" s="485"/>
      <c r="K1057" s="485"/>
    </row>
    <row r="1058" spans="1:11" s="612" customFormat="1">
      <c r="A1058" s="479">
        <v>932</v>
      </c>
      <c r="B1058" s="489"/>
      <c r="C1058" s="487" t="s">
        <v>1783</v>
      </c>
      <c r="D1058" s="487" t="s">
        <v>699</v>
      </c>
      <c r="E1058" s="474">
        <v>110700</v>
      </c>
      <c r="F1058" s="1088"/>
      <c r="G1058" s="484"/>
      <c r="H1058" s="484"/>
      <c r="I1058" s="484"/>
      <c r="J1058" s="485"/>
      <c r="K1058" s="485"/>
    </row>
    <row r="1059" spans="1:11" s="612" customFormat="1">
      <c r="A1059" s="479">
        <v>933</v>
      </c>
      <c r="B1059" s="489"/>
      <c r="C1059" s="487" t="s">
        <v>1784</v>
      </c>
      <c r="D1059" s="487" t="s">
        <v>699</v>
      </c>
      <c r="E1059" s="474">
        <v>123800</v>
      </c>
      <c r="F1059" s="1088"/>
      <c r="G1059" s="484"/>
      <c r="H1059" s="484"/>
      <c r="I1059" s="484"/>
      <c r="J1059" s="485"/>
      <c r="K1059" s="485"/>
    </row>
    <row r="1060" spans="1:11" s="612" customFormat="1">
      <c r="A1060" s="479">
        <v>934</v>
      </c>
      <c r="B1060" s="489"/>
      <c r="C1060" s="487" t="s">
        <v>1785</v>
      </c>
      <c r="D1060" s="487" t="s">
        <v>699</v>
      </c>
      <c r="E1060" s="474">
        <v>128700</v>
      </c>
      <c r="F1060" s="1088"/>
      <c r="G1060" s="484"/>
      <c r="H1060" s="484"/>
      <c r="I1060" s="484"/>
      <c r="J1060" s="485"/>
      <c r="K1060" s="485"/>
    </row>
    <row r="1061" spans="1:11" s="612" customFormat="1">
      <c r="A1061" s="479">
        <v>935</v>
      </c>
      <c r="B1061" s="489"/>
      <c r="C1061" s="487" t="s">
        <v>1786</v>
      </c>
      <c r="D1061" s="487" t="s">
        <v>699</v>
      </c>
      <c r="E1061" s="474">
        <v>158200</v>
      </c>
      <c r="F1061" s="1088"/>
      <c r="G1061" s="484"/>
      <c r="H1061" s="484"/>
      <c r="I1061" s="484"/>
      <c r="J1061" s="485"/>
      <c r="K1061" s="485"/>
    </row>
    <row r="1062" spans="1:11" s="612" customFormat="1">
      <c r="A1062" s="479">
        <v>936</v>
      </c>
      <c r="B1062" s="489"/>
      <c r="C1062" s="487" t="s">
        <v>1787</v>
      </c>
      <c r="D1062" s="487" t="s">
        <v>699</v>
      </c>
      <c r="E1062" s="474">
        <v>151000</v>
      </c>
      <c r="F1062" s="1088"/>
      <c r="G1062" s="484"/>
      <c r="H1062" s="484"/>
      <c r="I1062" s="484"/>
      <c r="J1062" s="485"/>
      <c r="K1062" s="485"/>
    </row>
    <row r="1063" spans="1:11" s="612" customFormat="1">
      <c r="A1063" s="479">
        <v>937</v>
      </c>
      <c r="B1063" s="489"/>
      <c r="C1063" s="487" t="s">
        <v>1788</v>
      </c>
      <c r="D1063" s="487" t="s">
        <v>699</v>
      </c>
      <c r="E1063" s="474">
        <v>205900</v>
      </c>
      <c r="F1063" s="1088"/>
      <c r="G1063" s="484"/>
      <c r="H1063" s="484"/>
      <c r="I1063" s="484"/>
      <c r="J1063" s="485"/>
      <c r="K1063" s="485"/>
    </row>
    <row r="1064" spans="1:11" s="612" customFormat="1">
      <c r="A1064" s="479">
        <v>938</v>
      </c>
      <c r="B1064" s="489"/>
      <c r="C1064" s="487" t="s">
        <v>1789</v>
      </c>
      <c r="D1064" s="487" t="s">
        <v>699</v>
      </c>
      <c r="E1064" s="474">
        <v>215600</v>
      </c>
      <c r="F1064" s="1088"/>
      <c r="G1064" s="484"/>
      <c r="H1064" s="484"/>
      <c r="I1064" s="484"/>
      <c r="J1064" s="485"/>
      <c r="K1064" s="485"/>
    </row>
    <row r="1065" spans="1:11" s="612" customFormat="1">
      <c r="A1065" s="479">
        <v>939</v>
      </c>
      <c r="B1065" s="489"/>
      <c r="C1065" s="487" t="s">
        <v>1790</v>
      </c>
      <c r="D1065" s="487" t="s">
        <v>699</v>
      </c>
      <c r="E1065" s="474">
        <v>265900</v>
      </c>
      <c r="F1065" s="1088"/>
      <c r="G1065" s="484"/>
      <c r="H1065" s="484"/>
      <c r="I1065" s="484"/>
      <c r="J1065" s="485"/>
      <c r="K1065" s="485"/>
    </row>
    <row r="1066" spans="1:11" s="612" customFormat="1">
      <c r="A1066" s="479">
        <v>940</v>
      </c>
      <c r="B1066" s="489"/>
      <c r="C1066" s="487" t="s">
        <v>1791</v>
      </c>
      <c r="D1066" s="487" t="s">
        <v>699</v>
      </c>
      <c r="E1066" s="474">
        <v>300200</v>
      </c>
      <c r="F1066" s="1088"/>
      <c r="G1066" s="484"/>
      <c r="H1066" s="484"/>
      <c r="I1066" s="484"/>
      <c r="J1066" s="485"/>
      <c r="K1066" s="485"/>
    </row>
    <row r="1067" spans="1:11" s="612" customFormat="1" ht="15.75" customHeight="1">
      <c r="A1067" s="495" t="s">
        <v>368</v>
      </c>
      <c r="B1067" s="496" t="s">
        <v>1792</v>
      </c>
      <c r="C1067" s="527"/>
      <c r="D1067" s="527"/>
      <c r="E1067" s="527"/>
      <c r="F1067" s="1088"/>
      <c r="G1067" s="484"/>
      <c r="H1067" s="484"/>
      <c r="I1067" s="484"/>
      <c r="J1067" s="485"/>
      <c r="K1067" s="478"/>
    </row>
    <row r="1068" spans="1:11" s="612" customFormat="1" ht="15.75" customHeight="1">
      <c r="A1068" s="509">
        <v>1</v>
      </c>
      <c r="B1068" s="1094" t="s">
        <v>1793</v>
      </c>
      <c r="C1068" s="1094"/>
      <c r="D1068" s="487"/>
      <c r="E1068" s="511"/>
      <c r="F1068" s="1088"/>
      <c r="G1068" s="484"/>
      <c r="H1068" s="484"/>
      <c r="I1068" s="484"/>
      <c r="J1068" s="485"/>
      <c r="K1068" s="478"/>
    </row>
    <row r="1069" spans="1:11" s="612" customFormat="1" ht="15.75" customHeight="1">
      <c r="A1069" s="479">
        <v>941</v>
      </c>
      <c r="B1069" s="489" t="s">
        <v>1794</v>
      </c>
      <c r="C1069" s="487" t="s">
        <v>1795</v>
      </c>
      <c r="D1069" s="487" t="s">
        <v>699</v>
      </c>
      <c r="E1069" s="474">
        <v>6820</v>
      </c>
      <c r="F1069" s="1088"/>
      <c r="G1069" s="484"/>
      <c r="H1069" s="484"/>
      <c r="I1069" s="484"/>
      <c r="J1069" s="485"/>
      <c r="K1069" s="485"/>
    </row>
    <row r="1070" spans="1:11" s="612" customFormat="1">
      <c r="A1070" s="479">
        <v>942</v>
      </c>
      <c r="B1070" s="489" t="s">
        <v>1794</v>
      </c>
      <c r="C1070" s="487" t="s">
        <v>1796</v>
      </c>
      <c r="D1070" s="487" t="s">
        <v>699</v>
      </c>
      <c r="E1070" s="474">
        <v>12100</v>
      </c>
      <c r="F1070" s="1088"/>
      <c r="G1070" s="484"/>
      <c r="H1070" s="484"/>
      <c r="I1070" s="484"/>
      <c r="J1070" s="485"/>
      <c r="K1070" s="485"/>
    </row>
    <row r="1071" spans="1:11" s="612" customFormat="1">
      <c r="A1071" s="479">
        <v>943</v>
      </c>
      <c r="B1071" s="489" t="s">
        <v>1794</v>
      </c>
      <c r="C1071" s="487" t="s">
        <v>1797</v>
      </c>
      <c r="D1071" s="487" t="s">
        <v>699</v>
      </c>
      <c r="E1071" s="474">
        <v>9680</v>
      </c>
      <c r="F1071" s="1088"/>
      <c r="G1071" s="484"/>
      <c r="H1071" s="484"/>
      <c r="I1071" s="484"/>
      <c r="J1071" s="485"/>
      <c r="K1071" s="485"/>
    </row>
    <row r="1072" spans="1:11" s="612" customFormat="1">
      <c r="A1072" s="479">
        <v>944</v>
      </c>
      <c r="B1072" s="489" t="s">
        <v>1794</v>
      </c>
      <c r="C1072" s="487" t="s">
        <v>1798</v>
      </c>
      <c r="D1072" s="487" t="s">
        <v>699</v>
      </c>
      <c r="E1072" s="474">
        <v>15070</v>
      </c>
      <c r="F1072" s="1088"/>
      <c r="G1072" s="484"/>
      <c r="H1072" s="484"/>
      <c r="I1072" s="484"/>
      <c r="J1072" s="485"/>
      <c r="K1072" s="485"/>
    </row>
    <row r="1073" spans="1:11" s="612" customFormat="1">
      <c r="A1073" s="479">
        <v>945</v>
      </c>
      <c r="B1073" s="489" t="s">
        <v>1794</v>
      </c>
      <c r="C1073" s="487" t="s">
        <v>1799</v>
      </c>
      <c r="D1073" s="487" t="s">
        <v>699</v>
      </c>
      <c r="E1073" s="474">
        <v>13530</v>
      </c>
      <c r="F1073" s="1088"/>
      <c r="G1073" s="484"/>
      <c r="H1073" s="484"/>
      <c r="I1073" s="484"/>
      <c r="J1073" s="485"/>
      <c r="K1073" s="485"/>
    </row>
    <row r="1074" spans="1:11" s="612" customFormat="1">
      <c r="A1074" s="479">
        <v>946</v>
      </c>
      <c r="B1074" s="489" t="s">
        <v>1794</v>
      </c>
      <c r="C1074" s="487" t="s">
        <v>1800</v>
      </c>
      <c r="D1074" s="487" t="s">
        <v>699</v>
      </c>
      <c r="E1074" s="474">
        <v>19690</v>
      </c>
      <c r="F1074" s="1088"/>
      <c r="G1074" s="484"/>
      <c r="H1074" s="484"/>
      <c r="I1074" s="484"/>
      <c r="J1074" s="485"/>
      <c r="K1074" s="485"/>
    </row>
    <row r="1075" spans="1:11" s="612" customFormat="1">
      <c r="A1075" s="479">
        <v>947</v>
      </c>
      <c r="B1075" s="489" t="s">
        <v>1794</v>
      </c>
      <c r="C1075" s="487" t="s">
        <v>1801</v>
      </c>
      <c r="D1075" s="487" t="s">
        <v>699</v>
      </c>
      <c r="E1075" s="474">
        <v>18040</v>
      </c>
      <c r="F1075" s="1088"/>
      <c r="G1075" s="484"/>
      <c r="H1075" s="484"/>
      <c r="I1075" s="484"/>
      <c r="J1075" s="485"/>
      <c r="K1075" s="485"/>
    </row>
    <row r="1076" spans="1:11" s="612" customFormat="1">
      <c r="A1076" s="479">
        <v>948</v>
      </c>
      <c r="B1076" s="489" t="s">
        <v>1794</v>
      </c>
      <c r="C1076" s="487" t="s">
        <v>1802</v>
      </c>
      <c r="D1076" s="487" t="s">
        <v>699</v>
      </c>
      <c r="E1076" s="474">
        <v>29700</v>
      </c>
      <c r="F1076" s="1088"/>
      <c r="G1076" s="484"/>
      <c r="H1076" s="484"/>
      <c r="I1076" s="484"/>
      <c r="J1076" s="485"/>
      <c r="K1076" s="485"/>
    </row>
    <row r="1077" spans="1:11" s="612" customFormat="1">
      <c r="A1077" s="479">
        <v>949</v>
      </c>
      <c r="B1077" s="489" t="s">
        <v>1794</v>
      </c>
      <c r="C1077" s="487" t="s">
        <v>1803</v>
      </c>
      <c r="D1077" s="487" t="s">
        <v>699</v>
      </c>
      <c r="E1077" s="474">
        <v>23540</v>
      </c>
      <c r="F1077" s="1088"/>
      <c r="G1077" s="484"/>
      <c r="H1077" s="484"/>
      <c r="I1077" s="484"/>
      <c r="J1077" s="485"/>
      <c r="K1077" s="485"/>
    </row>
    <row r="1078" spans="1:11" s="612" customFormat="1">
      <c r="A1078" s="479">
        <v>950</v>
      </c>
      <c r="B1078" s="489" t="s">
        <v>1794</v>
      </c>
      <c r="C1078" s="487" t="s">
        <v>1804</v>
      </c>
      <c r="D1078" s="487" t="s">
        <v>699</v>
      </c>
      <c r="E1078" s="474">
        <v>32450</v>
      </c>
      <c r="F1078" s="1088"/>
      <c r="G1078" s="484"/>
      <c r="H1078" s="484"/>
      <c r="I1078" s="484"/>
      <c r="J1078" s="485"/>
      <c r="K1078" s="485"/>
    </row>
    <row r="1079" spans="1:11" s="612" customFormat="1">
      <c r="A1079" s="479">
        <v>951</v>
      </c>
      <c r="B1079" s="489" t="s">
        <v>1794</v>
      </c>
      <c r="C1079" s="487" t="s">
        <v>1805</v>
      </c>
      <c r="D1079" s="487" t="s">
        <v>699</v>
      </c>
      <c r="E1079" s="474">
        <v>29480</v>
      </c>
      <c r="F1079" s="1088"/>
      <c r="G1079" s="484"/>
      <c r="H1079" s="484"/>
      <c r="I1079" s="484"/>
      <c r="J1079" s="485"/>
      <c r="K1079" s="485"/>
    </row>
    <row r="1080" spans="1:11" s="612" customFormat="1">
      <c r="A1080" s="479">
        <v>952</v>
      </c>
      <c r="B1080" s="489" t="s">
        <v>1794</v>
      </c>
      <c r="C1080" s="487" t="s">
        <v>1806</v>
      </c>
      <c r="D1080" s="487" t="s">
        <v>699</v>
      </c>
      <c r="E1080" s="474">
        <v>34320</v>
      </c>
      <c r="F1080" s="1088"/>
      <c r="G1080" s="484"/>
      <c r="H1080" s="484"/>
      <c r="I1080" s="484"/>
      <c r="J1080" s="485"/>
      <c r="K1080" s="485"/>
    </row>
    <row r="1081" spans="1:11" s="612" customFormat="1">
      <c r="A1081" s="479">
        <v>953</v>
      </c>
      <c r="B1081" s="489" t="s">
        <v>1794</v>
      </c>
      <c r="C1081" s="487" t="s">
        <v>1807</v>
      </c>
      <c r="D1081" s="487" t="s">
        <v>699</v>
      </c>
      <c r="E1081" s="474">
        <v>45430</v>
      </c>
      <c r="F1081" s="1088"/>
      <c r="G1081" s="484"/>
      <c r="H1081" s="484"/>
      <c r="I1081" s="484"/>
      <c r="J1081" s="485"/>
      <c r="K1081" s="485"/>
    </row>
    <row r="1082" spans="1:11" s="612" customFormat="1" ht="15.75" customHeight="1">
      <c r="A1082" s="479">
        <v>954</v>
      </c>
      <c r="B1082" s="489" t="s">
        <v>1794</v>
      </c>
      <c r="C1082" s="487" t="s">
        <v>1808</v>
      </c>
      <c r="D1082" s="487" t="s">
        <v>699</v>
      </c>
      <c r="E1082" s="474">
        <v>53460</v>
      </c>
      <c r="F1082" s="1088"/>
      <c r="G1082" s="484"/>
      <c r="H1082" s="484"/>
      <c r="I1082" s="484"/>
      <c r="J1082" s="485"/>
      <c r="K1082" s="485"/>
    </row>
    <row r="1083" spans="1:11" s="612" customFormat="1">
      <c r="A1083" s="479">
        <v>955</v>
      </c>
      <c r="B1083" s="489" t="s">
        <v>1794</v>
      </c>
      <c r="C1083" s="487" t="s">
        <v>1809</v>
      </c>
      <c r="D1083" s="487" t="s">
        <v>699</v>
      </c>
      <c r="E1083" s="474">
        <v>44770</v>
      </c>
      <c r="F1083" s="1088"/>
      <c r="G1083" s="484"/>
      <c r="H1083" s="484"/>
      <c r="I1083" s="484"/>
      <c r="J1083" s="485"/>
      <c r="K1083" s="485"/>
    </row>
    <row r="1084" spans="1:11" s="612" customFormat="1">
      <c r="A1084" s="479">
        <v>956</v>
      </c>
      <c r="B1084" s="489" t="s">
        <v>1794</v>
      </c>
      <c r="C1084" s="487" t="s">
        <v>1810</v>
      </c>
      <c r="D1084" s="487" t="s">
        <v>699</v>
      </c>
      <c r="E1084" s="474">
        <v>45100</v>
      </c>
      <c r="F1084" s="1088"/>
      <c r="G1084" s="484"/>
      <c r="H1084" s="484"/>
      <c r="I1084" s="484"/>
      <c r="J1084" s="485"/>
      <c r="K1084" s="485"/>
    </row>
    <row r="1085" spans="1:11" s="612" customFormat="1">
      <c r="A1085" s="479">
        <v>957</v>
      </c>
      <c r="B1085" s="489" t="s">
        <v>1794</v>
      </c>
      <c r="C1085" s="487" t="s">
        <v>1811</v>
      </c>
      <c r="D1085" s="487" t="s">
        <v>699</v>
      </c>
      <c r="E1085" s="474">
        <v>76230</v>
      </c>
      <c r="F1085" s="1088"/>
      <c r="G1085" s="484"/>
      <c r="H1085" s="484"/>
      <c r="I1085" s="484"/>
      <c r="J1085" s="485"/>
      <c r="K1085" s="485"/>
    </row>
    <row r="1086" spans="1:11" s="612" customFormat="1">
      <c r="A1086" s="479">
        <v>958</v>
      </c>
      <c r="B1086" s="489" t="s">
        <v>1794</v>
      </c>
      <c r="C1086" s="487" t="s">
        <v>1812</v>
      </c>
      <c r="D1086" s="487" t="s">
        <v>699</v>
      </c>
      <c r="E1086" s="474">
        <v>105600</v>
      </c>
      <c r="F1086" s="1088"/>
      <c r="G1086" s="484"/>
      <c r="H1086" s="484"/>
      <c r="I1086" s="484"/>
      <c r="J1086" s="485"/>
      <c r="K1086" s="485"/>
    </row>
    <row r="1087" spans="1:11" s="612" customFormat="1">
      <c r="A1087" s="479">
        <v>959</v>
      </c>
      <c r="B1087" s="489" t="s">
        <v>1794</v>
      </c>
      <c r="C1087" s="487" t="s">
        <v>1813</v>
      </c>
      <c r="D1087" s="487" t="s">
        <v>699</v>
      </c>
      <c r="E1087" s="474">
        <v>53680</v>
      </c>
      <c r="F1087" s="1088"/>
      <c r="G1087" s="484"/>
      <c r="H1087" s="484"/>
      <c r="I1087" s="484"/>
      <c r="J1087" s="485"/>
      <c r="K1087" s="485"/>
    </row>
    <row r="1088" spans="1:11" s="612" customFormat="1">
      <c r="A1088" s="479">
        <v>960</v>
      </c>
      <c r="B1088" s="489" t="s">
        <v>1794</v>
      </c>
      <c r="C1088" s="487" t="s">
        <v>1814</v>
      </c>
      <c r="D1088" s="487" t="s">
        <v>699</v>
      </c>
      <c r="E1088" s="474">
        <v>69520</v>
      </c>
      <c r="F1088" s="1088"/>
      <c r="G1088" s="484"/>
      <c r="H1088" s="484"/>
      <c r="I1088" s="484"/>
      <c r="J1088" s="485"/>
      <c r="K1088" s="485"/>
    </row>
    <row r="1089" spans="1:11" s="613" customFormat="1" ht="15.75" customHeight="1">
      <c r="A1089" s="479">
        <v>961</v>
      </c>
      <c r="B1089" s="500" t="s">
        <v>1794</v>
      </c>
      <c r="C1089" s="481" t="s">
        <v>1815</v>
      </c>
      <c r="D1089" s="481" t="s">
        <v>699</v>
      </c>
      <c r="E1089" s="482">
        <v>77660</v>
      </c>
      <c r="F1089" s="1088"/>
      <c r="G1089" s="484"/>
      <c r="H1089" s="484"/>
      <c r="I1089" s="484"/>
      <c r="J1089" s="493"/>
      <c r="K1089" s="493"/>
    </row>
    <row r="1090" spans="1:11" s="612" customFormat="1">
      <c r="A1090" s="479">
        <v>962</v>
      </c>
      <c r="B1090" s="489" t="s">
        <v>1794</v>
      </c>
      <c r="C1090" s="487" t="s">
        <v>1816</v>
      </c>
      <c r="D1090" s="487" t="s">
        <v>699</v>
      </c>
      <c r="E1090" s="474">
        <v>114070</v>
      </c>
      <c r="F1090" s="1088"/>
      <c r="G1090" s="484"/>
      <c r="H1090" s="484"/>
      <c r="I1090" s="484"/>
      <c r="J1090" s="485"/>
      <c r="K1090" s="485"/>
    </row>
    <row r="1091" spans="1:11" s="612" customFormat="1">
      <c r="A1091" s="479">
        <v>963</v>
      </c>
      <c r="B1091" s="489" t="s">
        <v>1794</v>
      </c>
      <c r="C1091" s="487" t="s">
        <v>1817</v>
      </c>
      <c r="D1091" s="487" t="s">
        <v>699</v>
      </c>
      <c r="E1091" s="474">
        <v>167420</v>
      </c>
      <c r="F1091" s="1088"/>
      <c r="G1091" s="484"/>
      <c r="H1091" s="484"/>
      <c r="I1091" s="484"/>
      <c r="J1091" s="485"/>
      <c r="K1091" s="485"/>
    </row>
    <row r="1092" spans="1:11" s="612" customFormat="1">
      <c r="A1092" s="479">
        <v>964</v>
      </c>
      <c r="B1092" s="489" t="s">
        <v>1794</v>
      </c>
      <c r="C1092" s="487" t="s">
        <v>1818</v>
      </c>
      <c r="D1092" s="487" t="s">
        <v>699</v>
      </c>
      <c r="E1092" s="474">
        <v>155210</v>
      </c>
      <c r="F1092" s="1088"/>
      <c r="G1092" s="484"/>
      <c r="H1092" s="484"/>
      <c r="I1092" s="484"/>
      <c r="J1092" s="485"/>
      <c r="K1092" s="485"/>
    </row>
    <row r="1093" spans="1:11" s="612" customFormat="1">
      <c r="A1093" s="479">
        <v>965</v>
      </c>
      <c r="B1093" s="489" t="s">
        <v>1794</v>
      </c>
      <c r="C1093" s="487" t="s">
        <v>1819</v>
      </c>
      <c r="D1093" s="487" t="s">
        <v>699</v>
      </c>
      <c r="E1093" s="474">
        <v>297220</v>
      </c>
      <c r="F1093" s="1088"/>
      <c r="G1093" s="484"/>
      <c r="H1093" s="484"/>
      <c r="I1093" s="484"/>
      <c r="J1093" s="485"/>
      <c r="K1093" s="485"/>
    </row>
    <row r="1094" spans="1:11" s="612" customFormat="1" ht="15.75" customHeight="1">
      <c r="A1094" s="509">
        <v>2</v>
      </c>
      <c r="B1094" s="1094" t="s">
        <v>1820</v>
      </c>
      <c r="C1094" s="1094"/>
      <c r="D1094" s="634"/>
      <c r="E1094" s="635"/>
      <c r="F1094" s="1088"/>
      <c r="G1094" s="484"/>
      <c r="H1094" s="484"/>
      <c r="I1094" s="484"/>
      <c r="J1094" s="485"/>
      <c r="K1094" s="478"/>
    </row>
    <row r="1095" spans="1:11" s="612" customFormat="1" ht="15.75" customHeight="1">
      <c r="A1095" s="509" t="s">
        <v>519</v>
      </c>
      <c r="B1095" s="530" t="s">
        <v>1821</v>
      </c>
      <c r="C1095" s="634"/>
      <c r="D1095" s="634"/>
      <c r="E1095" s="635"/>
      <c r="F1095" s="1088"/>
      <c r="G1095" s="484"/>
      <c r="H1095" s="484"/>
      <c r="I1095" s="484"/>
      <c r="J1095" s="485"/>
      <c r="K1095" s="478"/>
    </row>
    <row r="1096" spans="1:11" s="612" customFormat="1">
      <c r="A1096" s="479">
        <v>966</v>
      </c>
      <c r="B1096" s="636" t="s">
        <v>1822</v>
      </c>
      <c r="C1096" s="487"/>
      <c r="D1096" s="487" t="s">
        <v>1182</v>
      </c>
      <c r="E1096" s="474">
        <v>1760</v>
      </c>
      <c r="F1096" s="1088"/>
      <c r="G1096" s="484"/>
      <c r="H1096" s="484"/>
      <c r="I1096" s="484"/>
      <c r="J1096" s="485"/>
      <c r="K1096" s="485"/>
    </row>
    <row r="1097" spans="1:11" s="612" customFormat="1">
      <c r="A1097" s="479">
        <v>967</v>
      </c>
      <c r="B1097" s="636" t="s">
        <v>1823</v>
      </c>
      <c r="C1097" s="487"/>
      <c r="D1097" s="487" t="s">
        <v>1182</v>
      </c>
      <c r="E1097" s="474">
        <v>2420</v>
      </c>
      <c r="F1097" s="1088"/>
      <c r="G1097" s="484"/>
      <c r="H1097" s="484"/>
      <c r="I1097" s="484"/>
      <c r="J1097" s="485"/>
      <c r="K1097" s="485"/>
    </row>
    <row r="1098" spans="1:11" s="612" customFormat="1">
      <c r="A1098" s="479">
        <v>968</v>
      </c>
      <c r="B1098" s="636" t="s">
        <v>1824</v>
      </c>
      <c r="C1098" s="487"/>
      <c r="D1098" s="487" t="s">
        <v>1182</v>
      </c>
      <c r="E1098" s="474">
        <v>4070</v>
      </c>
      <c r="F1098" s="1088"/>
      <c r="G1098" s="484"/>
      <c r="H1098" s="484"/>
      <c r="I1098" s="484"/>
      <c r="J1098" s="485"/>
      <c r="K1098" s="485"/>
    </row>
    <row r="1099" spans="1:11" s="612" customFormat="1">
      <c r="A1099" s="479">
        <v>969</v>
      </c>
      <c r="B1099" s="636" t="s">
        <v>1825</v>
      </c>
      <c r="C1099" s="487"/>
      <c r="D1099" s="487" t="s">
        <v>1182</v>
      </c>
      <c r="E1099" s="474">
        <v>5500</v>
      </c>
      <c r="F1099" s="1088"/>
      <c r="G1099" s="484"/>
      <c r="H1099" s="484"/>
      <c r="I1099" s="484"/>
      <c r="J1099" s="485"/>
      <c r="K1099" s="485"/>
    </row>
    <row r="1100" spans="1:11" s="612" customFormat="1">
      <c r="A1100" s="479">
        <v>970</v>
      </c>
      <c r="B1100" s="636" t="s">
        <v>1826</v>
      </c>
      <c r="C1100" s="487"/>
      <c r="D1100" s="487" t="s">
        <v>1182</v>
      </c>
      <c r="E1100" s="474">
        <v>8690</v>
      </c>
      <c r="F1100" s="1088"/>
      <c r="G1100" s="484"/>
      <c r="H1100" s="484"/>
      <c r="I1100" s="484"/>
      <c r="J1100" s="485"/>
      <c r="K1100" s="485"/>
    </row>
    <row r="1101" spans="1:11" s="612" customFormat="1">
      <c r="A1101" s="479">
        <v>971</v>
      </c>
      <c r="B1101" s="636" t="s">
        <v>1827</v>
      </c>
      <c r="C1101" s="487"/>
      <c r="D1101" s="487" t="s">
        <v>1182</v>
      </c>
      <c r="E1101" s="474">
        <v>13420</v>
      </c>
      <c r="F1101" s="1088"/>
      <c r="G1101" s="484"/>
      <c r="H1101" s="484"/>
      <c r="I1101" s="484"/>
      <c r="J1101" s="485"/>
      <c r="K1101" s="485"/>
    </row>
    <row r="1102" spans="1:11" s="612" customFormat="1">
      <c r="A1102" s="479">
        <v>972</v>
      </c>
      <c r="B1102" s="636" t="s">
        <v>1828</v>
      </c>
      <c r="C1102" s="487"/>
      <c r="D1102" s="487" t="s">
        <v>1182</v>
      </c>
      <c r="E1102" s="474">
        <v>26620</v>
      </c>
      <c r="F1102" s="1088"/>
      <c r="G1102" s="484"/>
      <c r="H1102" s="484"/>
      <c r="I1102" s="484"/>
      <c r="J1102" s="485"/>
      <c r="K1102" s="485"/>
    </row>
    <row r="1103" spans="1:11" s="612" customFormat="1">
      <c r="A1103" s="479">
        <v>973</v>
      </c>
      <c r="B1103" s="636" t="s">
        <v>1829</v>
      </c>
      <c r="C1103" s="487"/>
      <c r="D1103" s="487" t="s">
        <v>1182</v>
      </c>
      <c r="E1103" s="474">
        <v>27280</v>
      </c>
      <c r="F1103" s="1088"/>
      <c r="G1103" s="484"/>
      <c r="H1103" s="484"/>
      <c r="I1103" s="484"/>
      <c r="J1103" s="485"/>
      <c r="K1103" s="485"/>
    </row>
    <row r="1104" spans="1:11" s="612" customFormat="1">
      <c r="A1104" s="479">
        <v>974</v>
      </c>
      <c r="B1104" s="636" t="s">
        <v>1830</v>
      </c>
      <c r="C1104" s="487"/>
      <c r="D1104" s="487" t="s">
        <v>1182</v>
      </c>
      <c r="E1104" s="474">
        <v>57640</v>
      </c>
      <c r="F1104" s="1088"/>
      <c r="G1104" s="484"/>
      <c r="H1104" s="484"/>
      <c r="I1104" s="484"/>
      <c r="J1104" s="485"/>
      <c r="K1104" s="485"/>
    </row>
    <row r="1105" spans="1:11" s="612" customFormat="1">
      <c r="A1105" s="479">
        <v>975</v>
      </c>
      <c r="B1105" s="636" t="s">
        <v>1831</v>
      </c>
      <c r="C1105" s="487"/>
      <c r="D1105" s="487" t="s">
        <v>1182</v>
      </c>
      <c r="E1105" s="474">
        <v>93720</v>
      </c>
      <c r="F1105" s="1088"/>
      <c r="G1105" s="484"/>
      <c r="H1105" s="484"/>
      <c r="I1105" s="484"/>
      <c r="J1105" s="485"/>
      <c r="K1105" s="485"/>
    </row>
    <row r="1106" spans="1:11" s="612" customFormat="1">
      <c r="A1106" s="479">
        <v>976</v>
      </c>
      <c r="B1106" s="636" t="s">
        <v>1832</v>
      </c>
      <c r="C1106" s="487"/>
      <c r="D1106" s="487" t="s">
        <v>1182</v>
      </c>
      <c r="E1106" s="474">
        <v>490050</v>
      </c>
      <c r="F1106" s="1088"/>
      <c r="G1106" s="484"/>
      <c r="H1106" s="484"/>
      <c r="I1106" s="484"/>
      <c r="J1106" s="485"/>
      <c r="K1106" s="485"/>
    </row>
    <row r="1107" spans="1:11" s="612" customFormat="1" ht="15.75" customHeight="1">
      <c r="A1107" s="509" t="s">
        <v>536</v>
      </c>
      <c r="B1107" s="530" t="s">
        <v>1833</v>
      </c>
      <c r="C1107" s="487"/>
      <c r="D1107" s="487"/>
      <c r="E1107" s="511"/>
      <c r="F1107" s="1088"/>
      <c r="G1107" s="484"/>
      <c r="H1107" s="484"/>
      <c r="I1107" s="484"/>
      <c r="J1107" s="485"/>
      <c r="K1107" s="478"/>
    </row>
    <row r="1108" spans="1:11" s="612" customFormat="1">
      <c r="A1108" s="479">
        <v>977</v>
      </c>
      <c r="B1108" s="636" t="s">
        <v>1822</v>
      </c>
      <c r="C1108" s="487"/>
      <c r="D1108" s="487" t="s">
        <v>1182</v>
      </c>
      <c r="E1108" s="474">
        <v>3300</v>
      </c>
      <c r="F1108" s="1088"/>
      <c r="G1108" s="484"/>
      <c r="H1108" s="484"/>
      <c r="I1108" s="484"/>
      <c r="J1108" s="485"/>
      <c r="K1108" s="485"/>
    </row>
    <row r="1109" spans="1:11" s="612" customFormat="1">
      <c r="A1109" s="479">
        <v>978</v>
      </c>
      <c r="B1109" s="636" t="s">
        <v>1823</v>
      </c>
      <c r="C1109" s="487"/>
      <c r="D1109" s="487" t="s">
        <v>1182</v>
      </c>
      <c r="E1109" s="474">
        <v>5060</v>
      </c>
      <c r="F1109" s="1088"/>
      <c r="G1109" s="484"/>
      <c r="H1109" s="484"/>
      <c r="I1109" s="484"/>
      <c r="J1109" s="485"/>
      <c r="K1109" s="485"/>
    </row>
    <row r="1110" spans="1:11" s="612" customFormat="1">
      <c r="A1110" s="479">
        <v>979</v>
      </c>
      <c r="B1110" s="636" t="s">
        <v>1824</v>
      </c>
      <c r="C1110" s="487"/>
      <c r="D1110" s="487" t="s">
        <v>1182</v>
      </c>
      <c r="E1110" s="474">
        <v>8140</v>
      </c>
      <c r="F1110" s="1088"/>
      <c r="G1110" s="484"/>
      <c r="H1110" s="484"/>
      <c r="I1110" s="484"/>
      <c r="J1110" s="485"/>
      <c r="K1110" s="485"/>
    </row>
    <row r="1111" spans="1:11" s="612" customFormat="1">
      <c r="A1111" s="479">
        <v>980</v>
      </c>
      <c r="B1111" s="636" t="s">
        <v>1825</v>
      </c>
      <c r="C1111" s="487"/>
      <c r="D1111" s="487" t="s">
        <v>1182</v>
      </c>
      <c r="E1111" s="474">
        <v>10780</v>
      </c>
      <c r="F1111" s="1088"/>
      <c r="G1111" s="484"/>
      <c r="H1111" s="484"/>
      <c r="I1111" s="484"/>
      <c r="J1111" s="485"/>
      <c r="K1111" s="485"/>
    </row>
    <row r="1112" spans="1:11" s="612" customFormat="1">
      <c r="A1112" s="479">
        <v>981</v>
      </c>
      <c r="B1112" s="636" t="s">
        <v>1826</v>
      </c>
      <c r="C1112" s="487"/>
      <c r="D1112" s="487" t="s">
        <v>1182</v>
      </c>
      <c r="E1112" s="474">
        <v>15950</v>
      </c>
      <c r="F1112" s="1088"/>
      <c r="G1112" s="484"/>
      <c r="H1112" s="484"/>
      <c r="I1112" s="484"/>
      <c r="J1112" s="485"/>
      <c r="K1112" s="485"/>
    </row>
    <row r="1113" spans="1:11" s="612" customFormat="1">
      <c r="A1113" s="479">
        <v>982</v>
      </c>
      <c r="B1113" s="636" t="s">
        <v>1827</v>
      </c>
      <c r="C1113" s="487"/>
      <c r="D1113" s="487" t="s">
        <v>1182</v>
      </c>
      <c r="E1113" s="474">
        <v>27170</v>
      </c>
      <c r="F1113" s="1088"/>
      <c r="G1113" s="484"/>
      <c r="H1113" s="484"/>
      <c r="I1113" s="484"/>
      <c r="J1113" s="485"/>
      <c r="K1113" s="485"/>
    </row>
    <row r="1114" spans="1:11" s="612" customFormat="1">
      <c r="A1114" s="479">
        <v>983</v>
      </c>
      <c r="B1114" s="636" t="s">
        <v>1828</v>
      </c>
      <c r="C1114" s="487"/>
      <c r="D1114" s="487" t="s">
        <v>1182</v>
      </c>
      <c r="E1114" s="474">
        <v>51700</v>
      </c>
      <c r="F1114" s="1088"/>
      <c r="G1114" s="484"/>
      <c r="H1114" s="484"/>
      <c r="I1114" s="484"/>
      <c r="J1114" s="485"/>
      <c r="K1114" s="485"/>
    </row>
    <row r="1115" spans="1:11" s="612" customFormat="1">
      <c r="A1115" s="479">
        <v>984</v>
      </c>
      <c r="B1115" s="636" t="s">
        <v>1829</v>
      </c>
      <c r="C1115" s="487"/>
      <c r="D1115" s="487" t="s">
        <v>1182</v>
      </c>
      <c r="E1115" s="474">
        <v>68420</v>
      </c>
      <c r="F1115" s="1088"/>
      <c r="G1115" s="484"/>
      <c r="H1115" s="484"/>
      <c r="I1115" s="484"/>
      <c r="J1115" s="485"/>
      <c r="K1115" s="485"/>
    </row>
    <row r="1116" spans="1:11" s="612" customFormat="1">
      <c r="A1116" s="479">
        <v>985</v>
      </c>
      <c r="B1116" s="636" t="s">
        <v>1830</v>
      </c>
      <c r="C1116" s="487"/>
      <c r="D1116" s="487" t="s">
        <v>1182</v>
      </c>
      <c r="E1116" s="474">
        <v>139590</v>
      </c>
      <c r="F1116" s="1088"/>
      <c r="G1116" s="484"/>
      <c r="H1116" s="484"/>
      <c r="I1116" s="484"/>
      <c r="J1116" s="485"/>
      <c r="K1116" s="485"/>
    </row>
    <row r="1117" spans="1:11" s="612" customFormat="1">
      <c r="A1117" s="479">
        <v>986</v>
      </c>
      <c r="B1117" s="636" t="s">
        <v>1831</v>
      </c>
      <c r="C1117" s="487"/>
      <c r="D1117" s="487" t="s">
        <v>1182</v>
      </c>
      <c r="E1117" s="474">
        <v>246840</v>
      </c>
      <c r="F1117" s="1088"/>
      <c r="G1117" s="484"/>
      <c r="H1117" s="484"/>
      <c r="I1117" s="484"/>
      <c r="J1117" s="485"/>
      <c r="K1117" s="485"/>
    </row>
    <row r="1118" spans="1:11" s="612" customFormat="1">
      <c r="A1118" s="479">
        <v>987</v>
      </c>
      <c r="B1118" s="636" t="s">
        <v>1832</v>
      </c>
      <c r="C1118" s="487"/>
      <c r="D1118" s="487" t="s">
        <v>1182</v>
      </c>
      <c r="E1118" s="474">
        <v>855690</v>
      </c>
      <c r="F1118" s="1088"/>
      <c r="G1118" s="484"/>
      <c r="H1118" s="484"/>
      <c r="I1118" s="484"/>
      <c r="J1118" s="485"/>
      <c r="K1118" s="485"/>
    </row>
    <row r="1119" spans="1:11" s="612" customFormat="1" ht="15.75" customHeight="1">
      <c r="A1119" s="509" t="s">
        <v>550</v>
      </c>
      <c r="B1119" s="530" t="s">
        <v>1834</v>
      </c>
      <c r="C1119" s="487"/>
      <c r="D1119" s="487"/>
      <c r="E1119" s="511"/>
      <c r="F1119" s="1088"/>
      <c r="G1119" s="484"/>
      <c r="H1119" s="484"/>
      <c r="I1119" s="484"/>
      <c r="J1119" s="485"/>
      <c r="K1119" s="478"/>
    </row>
    <row r="1120" spans="1:11" s="612" customFormat="1">
      <c r="A1120" s="479">
        <v>988</v>
      </c>
      <c r="B1120" s="636" t="s">
        <v>1822</v>
      </c>
      <c r="C1120" s="487"/>
      <c r="D1120" s="487" t="s">
        <v>1182</v>
      </c>
      <c r="E1120" s="474">
        <v>2310</v>
      </c>
      <c r="F1120" s="1088"/>
      <c r="G1120" s="484"/>
      <c r="H1120" s="484"/>
      <c r="I1120" s="484"/>
      <c r="J1120" s="485"/>
      <c r="K1120" s="485"/>
    </row>
    <row r="1121" spans="1:11" s="612" customFormat="1">
      <c r="A1121" s="479">
        <v>989</v>
      </c>
      <c r="B1121" s="636" t="s">
        <v>1823</v>
      </c>
      <c r="C1121" s="487"/>
      <c r="D1121" s="487" t="s">
        <v>1182</v>
      </c>
      <c r="E1121" s="474">
        <v>3740</v>
      </c>
      <c r="F1121" s="1088"/>
      <c r="G1121" s="484"/>
      <c r="H1121" s="484"/>
      <c r="I1121" s="484"/>
      <c r="J1121" s="485"/>
      <c r="K1121" s="485"/>
    </row>
    <row r="1122" spans="1:11" s="612" customFormat="1">
      <c r="A1122" s="479">
        <v>990</v>
      </c>
      <c r="B1122" s="636" t="s">
        <v>1824</v>
      </c>
      <c r="C1122" s="487"/>
      <c r="D1122" s="487" t="s">
        <v>1182</v>
      </c>
      <c r="E1122" s="474">
        <v>5280</v>
      </c>
      <c r="F1122" s="1088"/>
      <c r="G1122" s="484"/>
      <c r="H1122" s="484"/>
      <c r="I1122" s="484"/>
      <c r="J1122" s="485"/>
      <c r="K1122" s="485"/>
    </row>
    <row r="1123" spans="1:11" s="612" customFormat="1">
      <c r="A1123" s="479">
        <v>991</v>
      </c>
      <c r="B1123" s="636" t="s">
        <v>1825</v>
      </c>
      <c r="C1123" s="487"/>
      <c r="D1123" s="487" t="s">
        <v>1182</v>
      </c>
      <c r="E1123" s="474">
        <v>8030</v>
      </c>
      <c r="F1123" s="1088"/>
      <c r="G1123" s="484"/>
      <c r="H1123" s="484"/>
      <c r="I1123" s="484"/>
      <c r="J1123" s="485"/>
      <c r="K1123" s="485"/>
    </row>
    <row r="1124" spans="1:11" s="612" customFormat="1">
      <c r="A1124" s="479">
        <v>992</v>
      </c>
      <c r="B1124" s="636" t="s">
        <v>1826</v>
      </c>
      <c r="C1124" s="487"/>
      <c r="D1124" s="487" t="s">
        <v>1182</v>
      </c>
      <c r="E1124" s="474">
        <v>12430</v>
      </c>
      <c r="F1124" s="1088"/>
      <c r="G1124" s="484"/>
      <c r="H1124" s="484"/>
      <c r="I1124" s="484"/>
      <c r="J1124" s="485"/>
      <c r="K1124" s="485"/>
    </row>
    <row r="1125" spans="1:11" s="612" customFormat="1">
      <c r="A1125" s="479">
        <v>993</v>
      </c>
      <c r="B1125" s="636" t="s">
        <v>1827</v>
      </c>
      <c r="C1125" s="487"/>
      <c r="D1125" s="487" t="s">
        <v>1182</v>
      </c>
      <c r="E1125" s="474">
        <v>19910</v>
      </c>
      <c r="F1125" s="1088"/>
      <c r="G1125" s="484"/>
      <c r="H1125" s="484"/>
      <c r="I1125" s="484"/>
      <c r="J1125" s="485"/>
      <c r="K1125" s="485"/>
    </row>
    <row r="1126" spans="1:11" s="612" customFormat="1">
      <c r="A1126" s="479">
        <v>994</v>
      </c>
      <c r="B1126" s="636" t="s">
        <v>1828</v>
      </c>
      <c r="C1126" s="487"/>
      <c r="D1126" s="487" t="s">
        <v>1182</v>
      </c>
      <c r="E1126" s="474">
        <v>38500</v>
      </c>
      <c r="F1126" s="1088"/>
      <c r="G1126" s="484"/>
      <c r="H1126" s="484"/>
      <c r="I1126" s="484"/>
      <c r="J1126" s="485"/>
      <c r="K1126" s="485"/>
    </row>
    <row r="1127" spans="1:11" s="612" customFormat="1">
      <c r="A1127" s="479">
        <v>995</v>
      </c>
      <c r="B1127" s="636" t="s">
        <v>1829</v>
      </c>
      <c r="C1127" s="487"/>
      <c r="D1127" s="487" t="s">
        <v>1182</v>
      </c>
      <c r="E1127" s="474">
        <v>49610</v>
      </c>
      <c r="F1127" s="1088"/>
      <c r="G1127" s="484"/>
      <c r="H1127" s="484"/>
      <c r="I1127" s="484"/>
      <c r="J1127" s="485"/>
      <c r="K1127" s="485"/>
    </row>
    <row r="1128" spans="1:11" s="508" customFormat="1">
      <c r="A1128" s="479">
        <v>996</v>
      </c>
      <c r="B1128" s="636" t="s">
        <v>1830</v>
      </c>
      <c r="C1128" s="487"/>
      <c r="D1128" s="487" t="s">
        <v>1182</v>
      </c>
      <c r="E1128" s="474">
        <v>114400</v>
      </c>
      <c r="F1128" s="1088"/>
      <c r="G1128" s="484"/>
      <c r="H1128" s="484"/>
      <c r="I1128" s="484"/>
      <c r="J1128" s="485"/>
      <c r="K1128" s="485"/>
    </row>
    <row r="1129" spans="1:11" s="508" customFormat="1">
      <c r="A1129" s="479">
        <v>997</v>
      </c>
      <c r="B1129" s="636" t="s">
        <v>1831</v>
      </c>
      <c r="C1129" s="487"/>
      <c r="D1129" s="487" t="s">
        <v>1182</v>
      </c>
      <c r="E1129" s="474">
        <v>147070</v>
      </c>
      <c r="F1129" s="1088"/>
      <c r="G1129" s="484"/>
      <c r="H1129" s="484"/>
      <c r="I1129" s="484"/>
      <c r="J1129" s="485"/>
      <c r="K1129" s="485"/>
    </row>
    <row r="1130" spans="1:11" s="508" customFormat="1">
      <c r="A1130" s="479">
        <v>998</v>
      </c>
      <c r="B1130" s="636" t="s">
        <v>1832</v>
      </c>
      <c r="C1130" s="487"/>
      <c r="D1130" s="487" t="s">
        <v>1182</v>
      </c>
      <c r="E1130" s="474">
        <v>642950</v>
      </c>
      <c r="F1130" s="1088"/>
      <c r="G1130" s="484"/>
      <c r="H1130" s="484"/>
      <c r="I1130" s="484"/>
      <c r="J1130" s="485"/>
      <c r="K1130" s="485"/>
    </row>
    <row r="1131" spans="1:11" s="508" customFormat="1" ht="15.75" customHeight="1">
      <c r="A1131" s="509" t="s">
        <v>559</v>
      </c>
      <c r="B1131" s="530" t="s">
        <v>1835</v>
      </c>
      <c r="C1131" s="487"/>
      <c r="D1131" s="487"/>
      <c r="E1131" s="511"/>
      <c r="F1131" s="1088"/>
      <c r="G1131" s="484"/>
      <c r="H1131" s="484"/>
      <c r="I1131" s="484"/>
      <c r="J1131" s="485"/>
      <c r="K1131" s="478"/>
    </row>
    <row r="1132" spans="1:11" s="508" customFormat="1">
      <c r="A1132" s="479">
        <v>999</v>
      </c>
      <c r="B1132" s="636" t="s">
        <v>1822</v>
      </c>
      <c r="C1132" s="487"/>
      <c r="D1132" s="487" t="s">
        <v>1182</v>
      </c>
      <c r="E1132" s="474">
        <v>2090</v>
      </c>
      <c r="F1132" s="1088"/>
      <c r="G1132" s="484"/>
      <c r="H1132" s="484"/>
      <c r="I1132" s="484"/>
      <c r="J1132" s="485"/>
      <c r="K1132" s="485"/>
    </row>
    <row r="1133" spans="1:11" s="508" customFormat="1">
      <c r="A1133" s="479">
        <v>1000</v>
      </c>
      <c r="B1133" s="636" t="s">
        <v>1823</v>
      </c>
      <c r="C1133" s="487"/>
      <c r="D1133" s="487" t="s">
        <v>1182</v>
      </c>
      <c r="E1133" s="474">
        <v>3080</v>
      </c>
      <c r="F1133" s="1088"/>
      <c r="G1133" s="484"/>
      <c r="H1133" s="484"/>
      <c r="I1133" s="484"/>
      <c r="J1133" s="485"/>
      <c r="K1133" s="485"/>
    </row>
    <row r="1134" spans="1:11" s="508" customFormat="1">
      <c r="A1134" s="479">
        <v>1001</v>
      </c>
      <c r="B1134" s="636" t="s">
        <v>1824</v>
      </c>
      <c r="C1134" s="487"/>
      <c r="D1134" s="487" t="s">
        <v>1182</v>
      </c>
      <c r="E1134" s="474">
        <v>4950</v>
      </c>
      <c r="F1134" s="1088"/>
      <c r="G1134" s="484"/>
      <c r="H1134" s="484"/>
      <c r="I1134" s="484"/>
      <c r="J1134" s="485"/>
      <c r="K1134" s="485"/>
    </row>
    <row r="1135" spans="1:11" s="508" customFormat="1">
      <c r="A1135" s="479">
        <v>1002</v>
      </c>
      <c r="B1135" s="636" t="s">
        <v>1825</v>
      </c>
      <c r="C1135" s="487"/>
      <c r="D1135" s="487" t="s">
        <v>1182</v>
      </c>
      <c r="E1135" s="474">
        <v>6820</v>
      </c>
      <c r="F1135" s="1088"/>
      <c r="G1135" s="484"/>
      <c r="H1135" s="484"/>
      <c r="I1135" s="484"/>
      <c r="J1135" s="485"/>
      <c r="K1135" s="485"/>
    </row>
    <row r="1136" spans="1:11" s="508" customFormat="1">
      <c r="A1136" s="479">
        <v>1003</v>
      </c>
      <c r="B1136" s="636" t="s">
        <v>1826</v>
      </c>
      <c r="C1136" s="487"/>
      <c r="D1136" s="487" t="s">
        <v>1182</v>
      </c>
      <c r="E1136" s="474">
        <v>10560</v>
      </c>
      <c r="F1136" s="1088"/>
      <c r="G1136" s="484"/>
      <c r="H1136" s="484"/>
      <c r="I1136" s="484"/>
      <c r="J1136" s="485"/>
      <c r="K1136" s="485"/>
    </row>
    <row r="1137" spans="1:11" s="508" customFormat="1">
      <c r="A1137" s="479">
        <v>1004</v>
      </c>
      <c r="B1137" s="636" t="s">
        <v>1827</v>
      </c>
      <c r="C1137" s="487"/>
      <c r="D1137" s="487" t="s">
        <v>1182</v>
      </c>
      <c r="E1137" s="474">
        <v>16170</v>
      </c>
      <c r="F1137" s="1088"/>
      <c r="G1137" s="484"/>
      <c r="H1137" s="484"/>
      <c r="I1137" s="484"/>
      <c r="J1137" s="485"/>
      <c r="K1137" s="485"/>
    </row>
    <row r="1138" spans="1:11" s="612" customFormat="1">
      <c r="A1138" s="479">
        <v>1005</v>
      </c>
      <c r="B1138" s="636" t="s">
        <v>1828</v>
      </c>
      <c r="C1138" s="487"/>
      <c r="D1138" s="487" t="s">
        <v>1182</v>
      </c>
      <c r="E1138" s="474">
        <v>32890</v>
      </c>
      <c r="F1138" s="1088"/>
      <c r="G1138" s="484"/>
      <c r="H1138" s="484"/>
      <c r="I1138" s="484"/>
      <c r="J1138" s="485"/>
      <c r="K1138" s="485"/>
    </row>
    <row r="1139" spans="1:11" s="612" customFormat="1">
      <c r="A1139" s="479">
        <v>1006</v>
      </c>
      <c r="B1139" s="636" t="s">
        <v>1829</v>
      </c>
      <c r="C1139" s="487"/>
      <c r="D1139" s="487" t="s">
        <v>1182</v>
      </c>
      <c r="E1139" s="474">
        <v>36960</v>
      </c>
      <c r="F1139" s="1088"/>
      <c r="G1139" s="484"/>
      <c r="H1139" s="484"/>
      <c r="I1139" s="484"/>
      <c r="J1139" s="485"/>
      <c r="K1139" s="485"/>
    </row>
    <row r="1140" spans="1:11" s="612" customFormat="1">
      <c r="A1140" s="479">
        <v>1007</v>
      </c>
      <c r="B1140" s="636" t="s">
        <v>1830</v>
      </c>
      <c r="C1140" s="487"/>
      <c r="D1140" s="487" t="s">
        <v>1182</v>
      </c>
      <c r="E1140" s="474">
        <v>77220</v>
      </c>
      <c r="F1140" s="1088"/>
      <c r="G1140" s="484"/>
      <c r="H1140" s="484"/>
      <c r="I1140" s="484"/>
      <c r="J1140" s="485"/>
      <c r="K1140" s="485"/>
    </row>
    <row r="1141" spans="1:11" s="612" customFormat="1">
      <c r="A1141" s="479">
        <v>1008</v>
      </c>
      <c r="B1141" s="636" t="s">
        <v>1831</v>
      </c>
      <c r="C1141" s="487"/>
      <c r="D1141" s="487" t="s">
        <v>1182</v>
      </c>
      <c r="E1141" s="474">
        <v>127710</v>
      </c>
      <c r="F1141" s="1088"/>
      <c r="G1141" s="484"/>
      <c r="H1141" s="484"/>
      <c r="I1141" s="484"/>
      <c r="J1141" s="485"/>
      <c r="K1141" s="485"/>
    </row>
    <row r="1142" spans="1:11" s="612" customFormat="1">
      <c r="A1142" s="479">
        <v>1009</v>
      </c>
      <c r="B1142" s="636" t="s">
        <v>1832</v>
      </c>
      <c r="C1142" s="487"/>
      <c r="D1142" s="487" t="s">
        <v>1182</v>
      </c>
      <c r="E1142" s="474">
        <v>521730</v>
      </c>
      <c r="F1142" s="1088"/>
      <c r="G1142" s="484"/>
      <c r="H1142" s="484"/>
      <c r="I1142" s="484"/>
      <c r="J1142" s="485"/>
      <c r="K1142" s="485"/>
    </row>
    <row r="1143" spans="1:11" s="612" customFormat="1" ht="15.75" customHeight="1">
      <c r="A1143" s="509" t="s">
        <v>567</v>
      </c>
      <c r="B1143" s="530" t="s">
        <v>1836</v>
      </c>
      <c r="C1143" s="487"/>
      <c r="D1143" s="487"/>
      <c r="E1143" s="511"/>
      <c r="F1143" s="1088"/>
      <c r="G1143" s="484"/>
      <c r="H1143" s="484"/>
      <c r="I1143" s="484"/>
      <c r="J1143" s="485"/>
      <c r="K1143" s="478"/>
    </row>
    <row r="1144" spans="1:11" s="612" customFormat="1">
      <c r="A1144" s="479">
        <v>1010</v>
      </c>
      <c r="B1144" s="636" t="s">
        <v>1822</v>
      </c>
      <c r="C1144" s="487"/>
      <c r="D1144" s="487" t="s">
        <v>1182</v>
      </c>
      <c r="E1144" s="474">
        <v>2090</v>
      </c>
      <c r="F1144" s="1088"/>
      <c r="G1144" s="484"/>
      <c r="H1144" s="484"/>
      <c r="I1144" s="484"/>
      <c r="J1144" s="485"/>
      <c r="K1144" s="485"/>
    </row>
    <row r="1145" spans="1:11" s="612" customFormat="1">
      <c r="A1145" s="479">
        <v>1011</v>
      </c>
      <c r="B1145" s="636" t="s">
        <v>1823</v>
      </c>
      <c r="C1145" s="487"/>
      <c r="D1145" s="487" t="s">
        <v>1182</v>
      </c>
      <c r="E1145" s="474">
        <v>3960</v>
      </c>
      <c r="F1145" s="1088"/>
      <c r="G1145" s="484"/>
      <c r="H1145" s="484"/>
      <c r="I1145" s="484"/>
      <c r="J1145" s="485"/>
      <c r="K1145" s="485"/>
    </row>
    <row r="1146" spans="1:11" s="612" customFormat="1">
      <c r="A1146" s="479">
        <v>1012</v>
      </c>
      <c r="B1146" s="636" t="s">
        <v>1826</v>
      </c>
      <c r="C1146" s="487"/>
      <c r="D1146" s="487" t="s">
        <v>1182</v>
      </c>
      <c r="E1146" s="474">
        <v>41580</v>
      </c>
      <c r="F1146" s="1088"/>
      <c r="G1146" s="484"/>
      <c r="H1146" s="484"/>
      <c r="I1146" s="484"/>
      <c r="J1146" s="485"/>
      <c r="K1146" s="485"/>
    </row>
    <row r="1147" spans="1:11" s="612" customFormat="1">
      <c r="A1147" s="479">
        <v>1013</v>
      </c>
      <c r="B1147" s="636" t="s">
        <v>1827</v>
      </c>
      <c r="C1147" s="487"/>
      <c r="D1147" s="487" t="s">
        <v>1182</v>
      </c>
      <c r="E1147" s="474">
        <v>55220</v>
      </c>
      <c r="F1147" s="1088"/>
      <c r="G1147" s="484"/>
      <c r="H1147" s="484"/>
      <c r="I1147" s="484"/>
      <c r="J1147" s="485"/>
      <c r="K1147" s="485"/>
    </row>
    <row r="1148" spans="1:11" s="612" customFormat="1">
      <c r="A1148" s="479">
        <v>1014</v>
      </c>
      <c r="B1148" s="636" t="s">
        <v>1828</v>
      </c>
      <c r="C1148" s="487"/>
      <c r="D1148" s="487" t="s">
        <v>1182</v>
      </c>
      <c r="E1148" s="474">
        <v>68640</v>
      </c>
      <c r="F1148" s="1088"/>
      <c r="G1148" s="484"/>
      <c r="H1148" s="484"/>
      <c r="I1148" s="484"/>
      <c r="J1148" s="485"/>
      <c r="K1148" s="485"/>
    </row>
    <row r="1149" spans="1:11" s="612" customFormat="1">
      <c r="A1149" s="479">
        <v>1015</v>
      </c>
      <c r="B1149" s="636" t="s">
        <v>1829</v>
      </c>
      <c r="C1149" s="487"/>
      <c r="D1149" s="487" t="s">
        <v>1182</v>
      </c>
      <c r="E1149" s="474">
        <v>107030</v>
      </c>
      <c r="F1149" s="1088"/>
      <c r="G1149" s="484"/>
      <c r="H1149" s="484"/>
      <c r="I1149" s="484"/>
      <c r="J1149" s="485"/>
      <c r="K1149" s="485"/>
    </row>
    <row r="1150" spans="1:11" s="612" customFormat="1">
      <c r="A1150" s="479">
        <v>1016</v>
      </c>
      <c r="B1150" s="636" t="s">
        <v>1830</v>
      </c>
      <c r="C1150" s="487"/>
      <c r="D1150" s="487" t="s">
        <v>1182</v>
      </c>
      <c r="E1150" s="474">
        <v>177100</v>
      </c>
      <c r="F1150" s="1088"/>
      <c r="G1150" s="484"/>
      <c r="H1150" s="484"/>
      <c r="I1150" s="484"/>
      <c r="J1150" s="485"/>
      <c r="K1150" s="485"/>
    </row>
    <row r="1151" spans="1:11" s="612" customFormat="1">
      <c r="A1151" s="479">
        <v>1017</v>
      </c>
      <c r="B1151" s="636" t="s">
        <v>1831</v>
      </c>
      <c r="C1151" s="487"/>
      <c r="D1151" s="487" t="s">
        <v>1182</v>
      </c>
      <c r="E1151" s="474">
        <v>363330</v>
      </c>
      <c r="F1151" s="1088"/>
      <c r="G1151" s="484"/>
      <c r="H1151" s="484"/>
      <c r="I1151" s="484"/>
      <c r="J1151" s="485"/>
      <c r="K1151" s="485"/>
    </row>
    <row r="1152" spans="1:11" s="612" customFormat="1">
      <c r="A1152" s="479">
        <v>1018</v>
      </c>
      <c r="B1152" s="636" t="s">
        <v>1832</v>
      </c>
      <c r="C1152" s="487"/>
      <c r="D1152" s="487" t="s">
        <v>1182</v>
      </c>
      <c r="E1152" s="474">
        <v>1367300</v>
      </c>
      <c r="F1152" s="1088"/>
      <c r="G1152" s="484"/>
      <c r="H1152" s="484"/>
      <c r="I1152" s="484"/>
      <c r="J1152" s="485"/>
      <c r="K1152" s="485"/>
    </row>
    <row r="1153" spans="1:11" s="612" customFormat="1" ht="15.75" customHeight="1">
      <c r="A1153" s="509">
        <v>3</v>
      </c>
      <c r="B1153" s="1094" t="s">
        <v>1837</v>
      </c>
      <c r="C1153" s="1094"/>
      <c r="D1153" s="487"/>
      <c r="E1153" s="511"/>
      <c r="F1153" s="1088"/>
      <c r="G1153" s="484"/>
      <c r="H1153" s="484"/>
      <c r="I1153" s="484"/>
      <c r="J1153" s="485"/>
      <c r="K1153" s="478"/>
    </row>
    <row r="1154" spans="1:11" s="612" customFormat="1">
      <c r="A1154" s="479">
        <v>1019</v>
      </c>
      <c r="B1154" s="489" t="s">
        <v>1838</v>
      </c>
      <c r="C1154" s="487"/>
      <c r="D1154" s="487" t="s">
        <v>699</v>
      </c>
      <c r="E1154" s="474">
        <v>23400</v>
      </c>
      <c r="F1154" s="1088"/>
      <c r="G1154" s="484"/>
      <c r="H1154" s="484"/>
      <c r="I1154" s="484"/>
      <c r="J1154" s="485"/>
      <c r="K1154" s="485"/>
    </row>
    <row r="1155" spans="1:11" s="612" customFormat="1">
      <c r="A1155" s="479">
        <v>1020</v>
      </c>
      <c r="B1155" s="489" t="s">
        <v>1839</v>
      </c>
      <c r="C1155" s="487"/>
      <c r="D1155" s="487" t="s">
        <v>699</v>
      </c>
      <c r="E1155" s="474">
        <v>41600</v>
      </c>
      <c r="F1155" s="1088"/>
      <c r="G1155" s="484"/>
      <c r="H1155" s="484"/>
      <c r="I1155" s="484"/>
      <c r="J1155" s="485"/>
      <c r="K1155" s="485"/>
    </row>
    <row r="1156" spans="1:11" s="613" customFormat="1" ht="15.75" customHeight="1">
      <c r="A1156" s="479">
        <v>1021</v>
      </c>
      <c r="B1156" s="500" t="s">
        <v>1840</v>
      </c>
      <c r="C1156" s="481"/>
      <c r="D1156" s="481" t="s">
        <v>699</v>
      </c>
      <c r="E1156" s="482">
        <v>54100</v>
      </c>
      <c r="F1156" s="1088"/>
      <c r="G1156" s="484"/>
      <c r="H1156" s="484"/>
      <c r="I1156" s="484"/>
      <c r="J1156" s="493"/>
      <c r="K1156" s="493"/>
    </row>
    <row r="1157" spans="1:11" s="612" customFormat="1">
      <c r="A1157" s="479">
        <v>1022</v>
      </c>
      <c r="B1157" s="489" t="s">
        <v>1841</v>
      </c>
      <c r="C1157" s="487"/>
      <c r="D1157" s="487" t="s">
        <v>699</v>
      </c>
      <c r="E1157" s="474">
        <v>72500</v>
      </c>
      <c r="F1157" s="1088"/>
      <c r="G1157" s="484"/>
      <c r="H1157" s="484"/>
      <c r="I1157" s="484"/>
      <c r="J1157" s="485"/>
      <c r="K1157" s="485"/>
    </row>
    <row r="1158" spans="1:11" s="612" customFormat="1">
      <c r="A1158" s="479">
        <v>1023</v>
      </c>
      <c r="B1158" s="489" t="s">
        <v>1842</v>
      </c>
      <c r="C1158" s="487"/>
      <c r="D1158" s="487" t="s">
        <v>699</v>
      </c>
      <c r="E1158" s="474">
        <v>106300</v>
      </c>
      <c r="F1158" s="1088"/>
      <c r="G1158" s="484"/>
      <c r="H1158" s="484"/>
      <c r="I1158" s="484"/>
      <c r="J1158" s="485"/>
      <c r="K1158" s="485"/>
    </row>
    <row r="1159" spans="1:11" s="612" customFormat="1">
      <c r="A1159" s="479">
        <v>1024</v>
      </c>
      <c r="B1159" s="489" t="s">
        <v>1843</v>
      </c>
      <c r="C1159" s="487"/>
      <c r="D1159" s="487" t="s">
        <v>699</v>
      </c>
      <c r="E1159" s="474">
        <v>169500</v>
      </c>
      <c r="F1159" s="1088"/>
      <c r="G1159" s="484"/>
      <c r="H1159" s="484"/>
      <c r="I1159" s="484"/>
      <c r="J1159" s="485"/>
      <c r="K1159" s="485"/>
    </row>
    <row r="1160" spans="1:11" s="612" customFormat="1">
      <c r="A1160" s="479">
        <v>1025</v>
      </c>
      <c r="B1160" s="489" t="s">
        <v>1844</v>
      </c>
      <c r="C1160" s="487"/>
      <c r="D1160" s="487" t="s">
        <v>699</v>
      </c>
      <c r="E1160" s="474">
        <v>236700</v>
      </c>
      <c r="F1160" s="1088"/>
      <c r="G1160" s="484"/>
      <c r="H1160" s="484"/>
      <c r="I1160" s="484"/>
      <c r="J1160" s="485"/>
      <c r="K1160" s="485"/>
    </row>
    <row r="1161" spans="1:11" s="612" customFormat="1">
      <c r="A1161" s="479">
        <v>1026</v>
      </c>
      <c r="B1161" s="489" t="s">
        <v>1845</v>
      </c>
      <c r="C1161" s="487"/>
      <c r="D1161" s="487" t="s">
        <v>699</v>
      </c>
      <c r="E1161" s="474">
        <v>343400</v>
      </c>
      <c r="F1161" s="1088"/>
      <c r="G1161" s="484"/>
      <c r="H1161" s="484"/>
      <c r="I1161" s="484"/>
      <c r="J1161" s="485"/>
      <c r="K1161" s="485"/>
    </row>
    <row r="1162" spans="1:11" s="612" customFormat="1">
      <c r="A1162" s="479">
        <v>1027</v>
      </c>
      <c r="B1162" s="489" t="s">
        <v>1846</v>
      </c>
      <c r="C1162" s="487"/>
      <c r="D1162" s="487" t="s">
        <v>699</v>
      </c>
      <c r="E1162" s="474">
        <v>549200</v>
      </c>
      <c r="F1162" s="1088"/>
      <c r="G1162" s="484"/>
      <c r="H1162" s="484"/>
      <c r="I1162" s="484"/>
      <c r="J1162" s="485"/>
      <c r="K1162" s="485"/>
    </row>
    <row r="1163" spans="1:11" s="612" customFormat="1" ht="15.75" customHeight="1">
      <c r="A1163" s="509">
        <v>4</v>
      </c>
      <c r="B1163" s="1094" t="s">
        <v>1847</v>
      </c>
      <c r="C1163" s="1094"/>
      <c r="D1163" s="1094"/>
      <c r="E1163" s="635"/>
      <c r="F1163" s="1088"/>
      <c r="G1163" s="484"/>
      <c r="H1163" s="484"/>
      <c r="I1163" s="484"/>
      <c r="J1163" s="485"/>
      <c r="K1163" s="478"/>
    </row>
    <row r="1164" spans="1:11" s="612" customFormat="1" ht="16.5" customHeight="1">
      <c r="A1164" s="509" t="s">
        <v>519</v>
      </c>
      <c r="B1164" s="530" t="s">
        <v>1848</v>
      </c>
      <c r="C1164" s="487"/>
      <c r="D1164" s="487"/>
      <c r="E1164" s="511"/>
      <c r="F1164" s="1088"/>
      <c r="G1164" s="484"/>
      <c r="H1164" s="484"/>
      <c r="I1164" s="484"/>
      <c r="J1164" s="485"/>
      <c r="K1164" s="478"/>
    </row>
    <row r="1165" spans="1:11" s="612" customFormat="1">
      <c r="A1165" s="479">
        <v>1028</v>
      </c>
      <c r="B1165" s="489" t="s">
        <v>1849</v>
      </c>
      <c r="C1165" s="487" t="s">
        <v>1850</v>
      </c>
      <c r="D1165" s="487" t="s">
        <v>1182</v>
      </c>
      <c r="E1165" s="474">
        <v>42300</v>
      </c>
      <c r="F1165" s="1088"/>
      <c r="G1165" s="484"/>
      <c r="H1165" s="484"/>
      <c r="I1165" s="484"/>
      <c r="J1165" s="485"/>
      <c r="K1165" s="485"/>
    </row>
    <row r="1166" spans="1:11" s="612" customFormat="1">
      <c r="A1166" s="479">
        <v>1029</v>
      </c>
      <c r="B1166" s="489" t="s">
        <v>1849</v>
      </c>
      <c r="C1166" s="487" t="s">
        <v>1851</v>
      </c>
      <c r="D1166" s="487" t="s">
        <v>1182</v>
      </c>
      <c r="E1166" s="474">
        <v>48000</v>
      </c>
      <c r="F1166" s="1088"/>
      <c r="G1166" s="484"/>
      <c r="H1166" s="484"/>
      <c r="I1166" s="484"/>
      <c r="J1166" s="485"/>
      <c r="K1166" s="485"/>
    </row>
    <row r="1167" spans="1:11" s="612" customFormat="1">
      <c r="A1167" s="479">
        <v>1030</v>
      </c>
      <c r="B1167" s="489" t="s">
        <v>1849</v>
      </c>
      <c r="C1167" s="487" t="s">
        <v>1852</v>
      </c>
      <c r="D1167" s="487" t="s">
        <v>1182</v>
      </c>
      <c r="E1167" s="474">
        <v>64700</v>
      </c>
      <c r="F1167" s="1088"/>
      <c r="G1167" s="484"/>
      <c r="H1167" s="484"/>
      <c r="I1167" s="484"/>
      <c r="J1167" s="485"/>
      <c r="K1167" s="485"/>
    </row>
    <row r="1168" spans="1:11" s="612" customFormat="1">
      <c r="A1168" s="479">
        <v>1031</v>
      </c>
      <c r="B1168" s="489" t="s">
        <v>1849</v>
      </c>
      <c r="C1168" s="487" t="s">
        <v>1853</v>
      </c>
      <c r="D1168" s="487" t="s">
        <v>1182</v>
      </c>
      <c r="E1168" s="474">
        <v>119500</v>
      </c>
      <c r="F1168" s="1088"/>
      <c r="G1168" s="484"/>
      <c r="H1168" s="484"/>
      <c r="I1168" s="484"/>
      <c r="J1168" s="485"/>
      <c r="K1168" s="485"/>
    </row>
    <row r="1169" spans="1:11" s="612" customFormat="1" ht="16.5" customHeight="1">
      <c r="A1169" s="509" t="s">
        <v>536</v>
      </c>
      <c r="B1169" s="530" t="s">
        <v>1854</v>
      </c>
      <c r="C1169" s="487"/>
      <c r="D1169" s="487"/>
      <c r="E1169" s="511"/>
      <c r="F1169" s="1088"/>
      <c r="G1169" s="484"/>
      <c r="H1169" s="484"/>
      <c r="I1169" s="484"/>
      <c r="J1169" s="485"/>
      <c r="K1169" s="478"/>
    </row>
    <row r="1170" spans="1:11" s="612" customFormat="1">
      <c r="A1170" s="479">
        <v>1032</v>
      </c>
      <c r="B1170" s="489" t="s">
        <v>1849</v>
      </c>
      <c r="C1170" s="487" t="s">
        <v>1850</v>
      </c>
      <c r="D1170" s="487" t="s">
        <v>1182</v>
      </c>
      <c r="E1170" s="474">
        <v>59500</v>
      </c>
      <c r="F1170" s="1088"/>
      <c r="G1170" s="484"/>
      <c r="H1170" s="484"/>
      <c r="I1170" s="484"/>
      <c r="J1170" s="485"/>
      <c r="K1170" s="485"/>
    </row>
    <row r="1171" spans="1:11" s="612" customFormat="1">
      <c r="A1171" s="479">
        <v>1033</v>
      </c>
      <c r="B1171" s="489" t="s">
        <v>1849</v>
      </c>
      <c r="C1171" s="487" t="s">
        <v>1851</v>
      </c>
      <c r="D1171" s="487" t="s">
        <v>1182</v>
      </c>
      <c r="E1171" s="474">
        <v>67300</v>
      </c>
      <c r="F1171" s="1088"/>
      <c r="G1171" s="484"/>
      <c r="H1171" s="484"/>
      <c r="I1171" s="484"/>
      <c r="J1171" s="485"/>
      <c r="K1171" s="485"/>
    </row>
    <row r="1172" spans="1:11" s="612" customFormat="1">
      <c r="A1172" s="479">
        <v>1034</v>
      </c>
      <c r="B1172" s="489" t="s">
        <v>1849</v>
      </c>
      <c r="C1172" s="487" t="s">
        <v>1852</v>
      </c>
      <c r="D1172" s="487" t="s">
        <v>1182</v>
      </c>
      <c r="E1172" s="474">
        <v>83500</v>
      </c>
      <c r="F1172" s="1088"/>
      <c r="G1172" s="484"/>
      <c r="H1172" s="484"/>
      <c r="I1172" s="484"/>
      <c r="J1172" s="485"/>
      <c r="K1172" s="485"/>
    </row>
    <row r="1173" spans="1:11" s="612" customFormat="1">
      <c r="A1173" s="479">
        <v>1035</v>
      </c>
      <c r="B1173" s="489" t="s">
        <v>1849</v>
      </c>
      <c r="C1173" s="487" t="s">
        <v>1853</v>
      </c>
      <c r="D1173" s="487" t="s">
        <v>1182</v>
      </c>
      <c r="E1173" s="474">
        <v>126600</v>
      </c>
      <c r="F1173" s="1088"/>
      <c r="G1173" s="484"/>
      <c r="H1173" s="484"/>
      <c r="I1173" s="484"/>
      <c r="J1173" s="485"/>
      <c r="K1173" s="485"/>
    </row>
    <row r="1174" spans="1:11" s="612" customFormat="1" ht="15.75" customHeight="1">
      <c r="A1174" s="509" t="s">
        <v>550</v>
      </c>
      <c r="B1174" s="530" t="s">
        <v>1855</v>
      </c>
      <c r="C1174" s="487"/>
      <c r="D1174" s="487"/>
      <c r="E1174" s="511"/>
      <c r="F1174" s="1088"/>
      <c r="G1174" s="484"/>
      <c r="H1174" s="484"/>
      <c r="I1174" s="484"/>
      <c r="J1174" s="485"/>
      <c r="K1174" s="478"/>
    </row>
    <row r="1175" spans="1:11" s="612" customFormat="1">
      <c r="A1175" s="479">
        <v>1036</v>
      </c>
      <c r="B1175" s="489" t="s">
        <v>1856</v>
      </c>
      <c r="C1175" s="487" t="s">
        <v>1850</v>
      </c>
      <c r="D1175" s="487" t="s">
        <v>1182</v>
      </c>
      <c r="E1175" s="474">
        <v>38000</v>
      </c>
      <c r="F1175" s="1088"/>
      <c r="G1175" s="484"/>
      <c r="H1175" s="484"/>
      <c r="I1175" s="484"/>
      <c r="J1175" s="485"/>
      <c r="K1175" s="485"/>
    </row>
    <row r="1176" spans="1:11" s="612" customFormat="1">
      <c r="A1176" s="479">
        <v>1037</v>
      </c>
      <c r="B1176" s="489" t="s">
        <v>1856</v>
      </c>
      <c r="C1176" s="487" t="s">
        <v>1851</v>
      </c>
      <c r="D1176" s="487" t="s">
        <v>1182</v>
      </c>
      <c r="E1176" s="474">
        <v>47000</v>
      </c>
      <c r="F1176" s="1088"/>
      <c r="G1176" s="484"/>
      <c r="H1176" s="484"/>
      <c r="I1176" s="484"/>
      <c r="J1176" s="485"/>
      <c r="K1176" s="485"/>
    </row>
    <row r="1177" spans="1:11" s="612" customFormat="1">
      <c r="A1177" s="479">
        <v>1038</v>
      </c>
      <c r="B1177" s="489" t="s">
        <v>1856</v>
      </c>
      <c r="C1177" s="487" t="s">
        <v>1852</v>
      </c>
      <c r="D1177" s="487" t="s">
        <v>1182</v>
      </c>
      <c r="E1177" s="474">
        <v>51900</v>
      </c>
      <c r="F1177" s="1088"/>
      <c r="G1177" s="484"/>
      <c r="H1177" s="484"/>
      <c r="I1177" s="484"/>
      <c r="J1177" s="485"/>
      <c r="K1177" s="485"/>
    </row>
    <row r="1178" spans="1:11" s="612" customFormat="1">
      <c r="A1178" s="479">
        <v>1039</v>
      </c>
      <c r="B1178" s="489" t="s">
        <v>1856</v>
      </c>
      <c r="C1178" s="487" t="s">
        <v>1853</v>
      </c>
      <c r="D1178" s="487" t="s">
        <v>1182</v>
      </c>
      <c r="E1178" s="474">
        <v>84500</v>
      </c>
      <c r="F1178" s="1088"/>
      <c r="G1178" s="484"/>
      <c r="H1178" s="484"/>
      <c r="I1178" s="484"/>
      <c r="J1178" s="485"/>
      <c r="K1178" s="485"/>
    </row>
    <row r="1179" spans="1:11" s="612" customFormat="1">
      <c r="A1179" s="479">
        <v>1040</v>
      </c>
      <c r="B1179" s="489" t="s">
        <v>1856</v>
      </c>
      <c r="C1179" s="487" t="s">
        <v>1857</v>
      </c>
      <c r="D1179" s="487" t="s">
        <v>1182</v>
      </c>
      <c r="E1179" s="474">
        <v>220500</v>
      </c>
      <c r="F1179" s="1088"/>
      <c r="G1179" s="484"/>
      <c r="H1179" s="484"/>
      <c r="I1179" s="484"/>
      <c r="J1179" s="485"/>
      <c r="K1179" s="485"/>
    </row>
    <row r="1180" spans="1:11" s="612" customFormat="1">
      <c r="A1180" s="479">
        <v>1041</v>
      </c>
      <c r="B1180" s="489" t="s">
        <v>1856</v>
      </c>
      <c r="C1180" s="487" t="s">
        <v>1858</v>
      </c>
      <c r="D1180" s="487" t="s">
        <v>1182</v>
      </c>
      <c r="E1180" s="474">
        <v>298100</v>
      </c>
      <c r="F1180" s="1088"/>
      <c r="G1180" s="484"/>
      <c r="H1180" s="484"/>
      <c r="I1180" s="484"/>
      <c r="J1180" s="485"/>
      <c r="K1180" s="485"/>
    </row>
    <row r="1181" spans="1:11" s="612" customFormat="1">
      <c r="A1181" s="479">
        <v>1042</v>
      </c>
      <c r="B1181" s="489" t="s">
        <v>1856</v>
      </c>
      <c r="C1181" s="487" t="s">
        <v>1859</v>
      </c>
      <c r="D1181" s="487" t="s">
        <v>1182</v>
      </c>
      <c r="E1181" s="474">
        <v>562500</v>
      </c>
      <c r="F1181" s="1088"/>
      <c r="G1181" s="484"/>
      <c r="H1181" s="484"/>
      <c r="I1181" s="484"/>
      <c r="J1181" s="485"/>
      <c r="K1181" s="485"/>
    </row>
    <row r="1182" spans="1:11" s="614" customFormat="1" ht="15.75" customHeight="1">
      <c r="A1182" s="509" t="s">
        <v>559</v>
      </c>
      <c r="B1182" s="530" t="s">
        <v>1856</v>
      </c>
      <c r="C1182" s="487"/>
      <c r="D1182" s="487"/>
      <c r="E1182" s="511"/>
      <c r="F1182" s="1088"/>
      <c r="G1182" s="484"/>
      <c r="H1182" s="484"/>
      <c r="I1182" s="484"/>
      <c r="J1182" s="501"/>
      <c r="K1182" s="518"/>
    </row>
    <row r="1183" spans="1:11" s="612" customFormat="1">
      <c r="A1183" s="479">
        <v>1043</v>
      </c>
      <c r="B1183" s="489" t="s">
        <v>1856</v>
      </c>
      <c r="C1183" s="487" t="s">
        <v>1850</v>
      </c>
      <c r="D1183" s="487" t="s">
        <v>1182</v>
      </c>
      <c r="E1183" s="474">
        <v>48200</v>
      </c>
      <c r="F1183" s="1088"/>
      <c r="G1183" s="484"/>
      <c r="H1183" s="484"/>
      <c r="I1183" s="484"/>
      <c r="J1183" s="485"/>
      <c r="K1183" s="485"/>
    </row>
    <row r="1184" spans="1:11" s="612" customFormat="1">
      <c r="A1184" s="479">
        <v>1044</v>
      </c>
      <c r="B1184" s="489" t="s">
        <v>1856</v>
      </c>
      <c r="C1184" s="487" t="s">
        <v>1851</v>
      </c>
      <c r="D1184" s="487" t="s">
        <v>1182</v>
      </c>
      <c r="E1184" s="474">
        <v>56300</v>
      </c>
      <c r="F1184" s="1088"/>
      <c r="G1184" s="484"/>
      <c r="H1184" s="484"/>
      <c r="I1184" s="484"/>
      <c r="J1184" s="485"/>
      <c r="K1184" s="485"/>
    </row>
    <row r="1185" spans="1:11" s="612" customFormat="1">
      <c r="A1185" s="479">
        <v>1045</v>
      </c>
      <c r="B1185" s="489" t="s">
        <v>1856</v>
      </c>
      <c r="C1185" s="487" t="s">
        <v>1852</v>
      </c>
      <c r="D1185" s="487" t="s">
        <v>1182</v>
      </c>
      <c r="E1185" s="474">
        <v>67500</v>
      </c>
      <c r="F1185" s="1088"/>
      <c r="G1185" s="484"/>
      <c r="H1185" s="484"/>
      <c r="I1185" s="484"/>
      <c r="J1185" s="485"/>
      <c r="K1185" s="485"/>
    </row>
    <row r="1186" spans="1:11" s="612" customFormat="1">
      <c r="A1186" s="479">
        <v>1046</v>
      </c>
      <c r="B1186" s="489" t="s">
        <v>1856</v>
      </c>
      <c r="C1186" s="487" t="s">
        <v>1853</v>
      </c>
      <c r="D1186" s="487" t="s">
        <v>1182</v>
      </c>
      <c r="E1186" s="474">
        <v>99400</v>
      </c>
      <c r="F1186" s="1088"/>
      <c r="G1186" s="484"/>
      <c r="H1186" s="484"/>
      <c r="I1186" s="484"/>
      <c r="J1186" s="485"/>
      <c r="K1186" s="485"/>
    </row>
    <row r="1187" spans="1:11" s="612" customFormat="1">
      <c r="A1187" s="479">
        <v>1047</v>
      </c>
      <c r="B1187" s="489" t="s">
        <v>1856</v>
      </c>
      <c r="C1187" s="487" t="s">
        <v>1857</v>
      </c>
      <c r="D1187" s="487" t="s">
        <v>1182</v>
      </c>
      <c r="E1187" s="474">
        <v>303000</v>
      </c>
      <c r="F1187" s="1088"/>
      <c r="G1187" s="484"/>
      <c r="H1187" s="484"/>
      <c r="I1187" s="484"/>
      <c r="J1187" s="485"/>
      <c r="K1187" s="485"/>
    </row>
    <row r="1188" spans="1:11" s="612" customFormat="1">
      <c r="A1188" s="479">
        <v>1048</v>
      </c>
      <c r="B1188" s="489" t="s">
        <v>1856</v>
      </c>
      <c r="C1188" s="487" t="s">
        <v>1858</v>
      </c>
      <c r="D1188" s="487" t="s">
        <v>1182</v>
      </c>
      <c r="E1188" s="474">
        <v>378000</v>
      </c>
      <c r="F1188" s="1088"/>
      <c r="G1188" s="484"/>
      <c r="H1188" s="484"/>
      <c r="I1188" s="484"/>
      <c r="J1188" s="485"/>
      <c r="K1188" s="485"/>
    </row>
    <row r="1189" spans="1:11" s="612" customFormat="1">
      <c r="A1189" s="479">
        <v>1049</v>
      </c>
      <c r="B1189" s="489" t="s">
        <v>1856</v>
      </c>
      <c r="C1189" s="487" t="s">
        <v>1859</v>
      </c>
      <c r="D1189" s="487" t="s">
        <v>1182</v>
      </c>
      <c r="E1189" s="474">
        <v>610000</v>
      </c>
      <c r="F1189" s="1088"/>
      <c r="G1189" s="484"/>
      <c r="H1189" s="484"/>
      <c r="I1189" s="484"/>
      <c r="J1189" s="485"/>
      <c r="K1189" s="485"/>
    </row>
    <row r="1190" spans="1:11" s="612" customFormat="1" ht="15.75" customHeight="1">
      <c r="A1190" s="509" t="s">
        <v>567</v>
      </c>
      <c r="B1190" s="530" t="s">
        <v>1860</v>
      </c>
      <c r="C1190" s="487"/>
      <c r="D1190" s="487"/>
      <c r="E1190" s="511"/>
      <c r="F1190" s="1088"/>
      <c r="G1190" s="484"/>
      <c r="H1190" s="484"/>
      <c r="I1190" s="484"/>
      <c r="J1190" s="485"/>
      <c r="K1190" s="478"/>
    </row>
    <row r="1191" spans="1:11" s="612" customFormat="1">
      <c r="A1191" s="479">
        <v>1050</v>
      </c>
      <c r="B1191" s="489" t="s">
        <v>1860</v>
      </c>
      <c r="C1191" s="487" t="s">
        <v>1850</v>
      </c>
      <c r="D1191" s="487" t="s">
        <v>1182</v>
      </c>
      <c r="E1191" s="474">
        <v>42600</v>
      </c>
      <c r="F1191" s="1088"/>
      <c r="G1191" s="484"/>
      <c r="H1191" s="484"/>
      <c r="I1191" s="484"/>
      <c r="J1191" s="485"/>
      <c r="K1191" s="485"/>
    </row>
    <row r="1192" spans="1:11" s="612" customFormat="1">
      <c r="A1192" s="479">
        <v>1051</v>
      </c>
      <c r="B1192" s="489" t="s">
        <v>1860</v>
      </c>
      <c r="C1192" s="487" t="s">
        <v>1851</v>
      </c>
      <c r="D1192" s="487" t="s">
        <v>1182</v>
      </c>
      <c r="E1192" s="474">
        <v>45600</v>
      </c>
      <c r="F1192" s="1088"/>
      <c r="G1192" s="484"/>
      <c r="H1192" s="484"/>
      <c r="I1192" s="484"/>
      <c r="J1192" s="485"/>
      <c r="K1192" s="485"/>
    </row>
    <row r="1193" spans="1:11" s="612" customFormat="1">
      <c r="A1193" s="479">
        <v>1052</v>
      </c>
      <c r="B1193" s="489" t="s">
        <v>1860</v>
      </c>
      <c r="C1193" s="487" t="s">
        <v>1852</v>
      </c>
      <c r="D1193" s="487" t="s">
        <v>1182</v>
      </c>
      <c r="E1193" s="474">
        <v>66500</v>
      </c>
      <c r="F1193" s="1088"/>
      <c r="G1193" s="484"/>
      <c r="H1193" s="484"/>
      <c r="I1193" s="484"/>
      <c r="J1193" s="485"/>
      <c r="K1193" s="485"/>
    </row>
    <row r="1194" spans="1:11" s="612" customFormat="1" ht="15.75" customHeight="1">
      <c r="A1194" s="509" t="s">
        <v>618</v>
      </c>
      <c r="B1194" s="530" t="s">
        <v>1861</v>
      </c>
      <c r="C1194" s="487"/>
      <c r="D1194" s="487"/>
      <c r="E1194" s="511"/>
      <c r="F1194" s="1088"/>
      <c r="G1194" s="484"/>
      <c r="H1194" s="484"/>
      <c r="I1194" s="484"/>
      <c r="J1194" s="485"/>
      <c r="K1194" s="478"/>
    </row>
    <row r="1195" spans="1:11" s="612" customFormat="1">
      <c r="A1195" s="479">
        <v>1053</v>
      </c>
      <c r="B1195" s="489" t="s">
        <v>1861</v>
      </c>
      <c r="C1195" s="487" t="s">
        <v>1850</v>
      </c>
      <c r="D1195" s="487" t="s">
        <v>1182</v>
      </c>
      <c r="E1195" s="474">
        <v>52600</v>
      </c>
      <c r="F1195" s="1088"/>
      <c r="G1195" s="484"/>
      <c r="H1195" s="484"/>
      <c r="I1195" s="484"/>
      <c r="J1195" s="485"/>
      <c r="K1195" s="485"/>
    </row>
    <row r="1196" spans="1:11" s="612" customFormat="1">
      <c r="A1196" s="479">
        <v>1054</v>
      </c>
      <c r="B1196" s="489" t="s">
        <v>1861</v>
      </c>
      <c r="C1196" s="487" t="s">
        <v>1851</v>
      </c>
      <c r="D1196" s="487" t="s">
        <v>1182</v>
      </c>
      <c r="E1196" s="474">
        <v>57000</v>
      </c>
      <c r="F1196" s="1088"/>
      <c r="G1196" s="484"/>
      <c r="H1196" s="484"/>
      <c r="I1196" s="484"/>
      <c r="J1196" s="485"/>
      <c r="K1196" s="485"/>
    </row>
    <row r="1197" spans="1:11" s="612" customFormat="1">
      <c r="A1197" s="479">
        <v>1055</v>
      </c>
      <c r="B1197" s="489" t="s">
        <v>1861</v>
      </c>
      <c r="C1197" s="487" t="s">
        <v>1852</v>
      </c>
      <c r="D1197" s="487" t="s">
        <v>1182</v>
      </c>
      <c r="E1197" s="474">
        <v>72500</v>
      </c>
      <c r="F1197" s="1088"/>
      <c r="G1197" s="484"/>
      <c r="H1197" s="484"/>
      <c r="I1197" s="484"/>
      <c r="J1197" s="485"/>
      <c r="K1197" s="485"/>
    </row>
    <row r="1198" spans="1:11" s="612" customFormat="1" ht="15.75" customHeight="1">
      <c r="A1198" s="509" t="s">
        <v>621</v>
      </c>
      <c r="B1198" s="530" t="s">
        <v>1862</v>
      </c>
      <c r="C1198" s="487"/>
      <c r="D1198" s="487"/>
      <c r="E1198" s="511"/>
      <c r="F1198" s="1088"/>
      <c r="G1198" s="484"/>
      <c r="H1198" s="484"/>
      <c r="I1198" s="484"/>
      <c r="J1198" s="485"/>
      <c r="K1198" s="478"/>
    </row>
    <row r="1199" spans="1:11" s="612" customFormat="1">
      <c r="A1199" s="479">
        <v>1056</v>
      </c>
      <c r="B1199" s="489" t="s">
        <v>1862</v>
      </c>
      <c r="C1199" s="487" t="s">
        <v>1850</v>
      </c>
      <c r="D1199" s="487" t="s">
        <v>1182</v>
      </c>
      <c r="E1199" s="474">
        <v>90600</v>
      </c>
      <c r="F1199" s="1088"/>
      <c r="G1199" s="484"/>
      <c r="H1199" s="484"/>
      <c r="I1199" s="484"/>
      <c r="J1199" s="485"/>
      <c r="K1199" s="485"/>
    </row>
    <row r="1200" spans="1:11" s="612" customFormat="1" ht="15.75" customHeight="1">
      <c r="A1200" s="509" t="s">
        <v>9</v>
      </c>
      <c r="B1200" s="530" t="s">
        <v>1863</v>
      </c>
      <c r="C1200" s="487"/>
      <c r="D1200" s="487"/>
      <c r="E1200" s="511"/>
      <c r="F1200" s="1088"/>
      <c r="G1200" s="484"/>
      <c r="H1200" s="484"/>
      <c r="I1200" s="484"/>
      <c r="J1200" s="485"/>
      <c r="K1200" s="478"/>
    </row>
    <row r="1201" spans="1:11" s="612" customFormat="1">
      <c r="A1201" s="479">
        <v>1057</v>
      </c>
      <c r="B1201" s="489" t="s">
        <v>1863</v>
      </c>
      <c r="C1201" s="487" t="s">
        <v>1850</v>
      </c>
      <c r="D1201" s="487" t="s">
        <v>1182</v>
      </c>
      <c r="E1201" s="474">
        <v>96600</v>
      </c>
      <c r="F1201" s="1088"/>
      <c r="G1201" s="484"/>
      <c r="H1201" s="484"/>
      <c r="I1201" s="484"/>
      <c r="J1201" s="485"/>
      <c r="K1201" s="485"/>
    </row>
    <row r="1202" spans="1:11" s="508" customFormat="1">
      <c r="A1202" s="479">
        <v>1058</v>
      </c>
      <c r="B1202" s="489" t="s">
        <v>1863</v>
      </c>
      <c r="C1202" s="487" t="s">
        <v>1852</v>
      </c>
      <c r="D1202" s="487" t="s">
        <v>1182</v>
      </c>
      <c r="E1202" s="474">
        <v>144600</v>
      </c>
      <c r="F1202" s="1088"/>
      <c r="G1202" s="484"/>
      <c r="H1202" s="484"/>
      <c r="I1202" s="484"/>
      <c r="J1202" s="485"/>
      <c r="K1202" s="485"/>
    </row>
    <row r="1203" spans="1:11" s="508" customFormat="1">
      <c r="A1203" s="479">
        <v>1059</v>
      </c>
      <c r="B1203" s="489" t="s">
        <v>1863</v>
      </c>
      <c r="C1203" s="487" t="s">
        <v>1853</v>
      </c>
      <c r="D1203" s="487" t="s">
        <v>1182</v>
      </c>
      <c r="E1203" s="474">
        <v>241100</v>
      </c>
      <c r="F1203" s="1088"/>
      <c r="G1203" s="484"/>
      <c r="H1203" s="484"/>
      <c r="I1203" s="484"/>
      <c r="J1203" s="485"/>
      <c r="K1203" s="485"/>
    </row>
    <row r="1204" spans="1:11" s="508" customFormat="1">
      <c r="A1204" s="479">
        <v>1060</v>
      </c>
      <c r="B1204" s="489" t="s">
        <v>1863</v>
      </c>
      <c r="C1204" s="487" t="s">
        <v>1857</v>
      </c>
      <c r="D1204" s="487" t="s">
        <v>1182</v>
      </c>
      <c r="E1204" s="474">
        <v>380000</v>
      </c>
      <c r="F1204" s="1088"/>
      <c r="G1204" s="484"/>
      <c r="H1204" s="484"/>
      <c r="I1204" s="484"/>
      <c r="J1204" s="485"/>
      <c r="K1204" s="485"/>
    </row>
    <row r="1205" spans="1:11" s="508" customFormat="1">
      <c r="A1205" s="479">
        <v>1061</v>
      </c>
      <c r="B1205" s="489" t="s">
        <v>1863</v>
      </c>
      <c r="C1205" s="487" t="s">
        <v>1864</v>
      </c>
      <c r="D1205" s="487" t="s">
        <v>1182</v>
      </c>
      <c r="E1205" s="474">
        <v>606000</v>
      </c>
      <c r="F1205" s="1088"/>
      <c r="G1205" s="484"/>
      <c r="H1205" s="484"/>
      <c r="I1205" s="484"/>
      <c r="J1205" s="485"/>
      <c r="K1205" s="485"/>
    </row>
    <row r="1206" spans="1:11" s="508" customFormat="1">
      <c r="A1206" s="479">
        <v>1062</v>
      </c>
      <c r="B1206" s="489" t="s">
        <v>1863</v>
      </c>
      <c r="C1206" s="487" t="s">
        <v>1859</v>
      </c>
      <c r="D1206" s="487" t="s">
        <v>1182</v>
      </c>
      <c r="E1206" s="474">
        <v>843800</v>
      </c>
      <c r="F1206" s="1088"/>
      <c r="G1206" s="484"/>
      <c r="H1206" s="484"/>
      <c r="I1206" s="484"/>
      <c r="J1206" s="485"/>
      <c r="K1206" s="485"/>
    </row>
    <row r="1207" spans="1:11" s="508" customFormat="1" ht="15.75" customHeight="1">
      <c r="A1207" s="509">
        <v>5</v>
      </c>
      <c r="B1207" s="637" t="s">
        <v>1865</v>
      </c>
      <c r="C1207" s="638" t="s">
        <v>1866</v>
      </c>
      <c r="D1207" s="473"/>
      <c r="E1207" s="474"/>
      <c r="F1207" s="1088"/>
      <c r="G1207" s="484"/>
      <c r="H1207" s="484"/>
      <c r="I1207" s="484"/>
      <c r="J1207" s="485"/>
      <c r="K1207" s="478"/>
    </row>
    <row r="1208" spans="1:11" s="508" customFormat="1">
      <c r="A1208" s="479">
        <v>1063</v>
      </c>
      <c r="B1208" s="489" t="s">
        <v>1867</v>
      </c>
      <c r="C1208" s="487" t="s">
        <v>1868</v>
      </c>
      <c r="D1208" s="487" t="s">
        <v>699</v>
      </c>
      <c r="E1208" s="474">
        <v>10340</v>
      </c>
      <c r="F1208" s="1088"/>
      <c r="G1208" s="484"/>
      <c r="H1208" s="484"/>
      <c r="I1208" s="484"/>
      <c r="J1208" s="485"/>
      <c r="K1208" s="485"/>
    </row>
    <row r="1209" spans="1:11" s="508" customFormat="1">
      <c r="A1209" s="479">
        <v>1064</v>
      </c>
      <c r="B1209" s="489" t="s">
        <v>1867</v>
      </c>
      <c r="C1209" s="487" t="s">
        <v>1869</v>
      </c>
      <c r="D1209" s="487" t="s">
        <v>699</v>
      </c>
      <c r="E1209" s="474">
        <v>13200</v>
      </c>
      <c r="F1209" s="1088"/>
      <c r="G1209" s="484"/>
      <c r="H1209" s="484"/>
      <c r="I1209" s="484"/>
      <c r="J1209" s="485"/>
      <c r="K1209" s="485"/>
    </row>
    <row r="1210" spans="1:11" s="508" customFormat="1">
      <c r="A1210" s="479">
        <v>1065</v>
      </c>
      <c r="B1210" s="489" t="s">
        <v>1867</v>
      </c>
      <c r="C1210" s="487" t="s">
        <v>1870</v>
      </c>
      <c r="D1210" s="487" t="s">
        <v>699</v>
      </c>
      <c r="E1210" s="474">
        <v>16390</v>
      </c>
      <c r="F1210" s="1088"/>
      <c r="G1210" s="484"/>
      <c r="H1210" s="484"/>
      <c r="I1210" s="484"/>
      <c r="J1210" s="485"/>
      <c r="K1210" s="485"/>
    </row>
    <row r="1211" spans="1:11" s="512" customFormat="1" ht="15.75" customHeight="1">
      <c r="A1211" s="479">
        <v>1066</v>
      </c>
      <c r="B1211" s="500" t="s">
        <v>1867</v>
      </c>
      <c r="C1211" s="481" t="s">
        <v>1871</v>
      </c>
      <c r="D1211" s="481" t="s">
        <v>699</v>
      </c>
      <c r="E1211" s="482">
        <v>33330</v>
      </c>
      <c r="F1211" s="1088"/>
      <c r="G1211" s="484"/>
      <c r="H1211" s="484"/>
      <c r="I1211" s="484"/>
      <c r="J1211" s="493"/>
      <c r="K1211" s="493"/>
    </row>
    <row r="1212" spans="1:11" s="508" customFormat="1">
      <c r="A1212" s="479">
        <v>1067</v>
      </c>
      <c r="B1212" s="489" t="s">
        <v>1867</v>
      </c>
      <c r="C1212" s="487" t="s">
        <v>1872</v>
      </c>
      <c r="D1212" s="487" t="s">
        <v>699</v>
      </c>
      <c r="E1212" s="474">
        <v>51480</v>
      </c>
      <c r="F1212" s="1088"/>
      <c r="G1212" s="484"/>
      <c r="H1212" s="484"/>
      <c r="I1212" s="484"/>
      <c r="J1212" s="485"/>
      <c r="K1212" s="485"/>
    </row>
    <row r="1213" spans="1:11" s="508" customFormat="1">
      <c r="A1213" s="479">
        <v>1068</v>
      </c>
      <c r="B1213" s="489" t="s">
        <v>1867</v>
      </c>
      <c r="C1213" s="487" t="s">
        <v>1873</v>
      </c>
      <c r="D1213" s="487" t="s">
        <v>699</v>
      </c>
      <c r="E1213" s="474">
        <v>67650</v>
      </c>
      <c r="F1213" s="1088"/>
      <c r="G1213" s="484"/>
      <c r="H1213" s="484"/>
      <c r="I1213" s="484"/>
      <c r="J1213" s="485"/>
      <c r="K1213" s="485"/>
    </row>
    <row r="1214" spans="1:11" s="508" customFormat="1">
      <c r="A1214" s="479">
        <v>1069</v>
      </c>
      <c r="B1214" s="489" t="s">
        <v>1867</v>
      </c>
      <c r="C1214" s="487" t="s">
        <v>1874</v>
      </c>
      <c r="D1214" s="487" t="s">
        <v>699</v>
      </c>
      <c r="E1214" s="474">
        <v>78540</v>
      </c>
      <c r="F1214" s="1088"/>
      <c r="G1214" s="484"/>
      <c r="H1214" s="484"/>
      <c r="I1214" s="484"/>
      <c r="J1214" s="485"/>
      <c r="K1214" s="485"/>
    </row>
    <row r="1215" spans="1:11" s="508" customFormat="1">
      <c r="A1215" s="479">
        <v>1070</v>
      </c>
      <c r="B1215" s="489" t="s">
        <v>1867</v>
      </c>
      <c r="C1215" s="487" t="s">
        <v>1875</v>
      </c>
      <c r="D1215" s="487" t="s">
        <v>699</v>
      </c>
      <c r="E1215" s="474">
        <v>91630</v>
      </c>
      <c r="F1215" s="1088"/>
      <c r="G1215" s="484"/>
      <c r="H1215" s="484"/>
      <c r="I1215" s="484"/>
      <c r="J1215" s="485"/>
      <c r="K1215" s="485"/>
    </row>
    <row r="1216" spans="1:11" s="508" customFormat="1">
      <c r="A1216" s="479">
        <v>1071</v>
      </c>
      <c r="B1216" s="489" t="s">
        <v>1867</v>
      </c>
      <c r="C1216" s="487" t="s">
        <v>1876</v>
      </c>
      <c r="D1216" s="487" t="s">
        <v>699</v>
      </c>
      <c r="E1216" s="474">
        <v>137500</v>
      </c>
      <c r="F1216" s="1088"/>
      <c r="G1216" s="484"/>
      <c r="H1216" s="484"/>
      <c r="I1216" s="484"/>
      <c r="J1216" s="485"/>
      <c r="K1216" s="485"/>
    </row>
    <row r="1217" spans="1:11" s="508" customFormat="1">
      <c r="A1217" s="479">
        <v>1072</v>
      </c>
      <c r="B1217" s="489" t="s">
        <v>1867</v>
      </c>
      <c r="C1217" s="487" t="s">
        <v>1877</v>
      </c>
      <c r="D1217" s="487" t="s">
        <v>699</v>
      </c>
      <c r="E1217" s="474">
        <v>175780</v>
      </c>
      <c r="F1217" s="1088"/>
      <c r="G1217" s="484"/>
      <c r="H1217" s="484"/>
      <c r="I1217" s="484"/>
      <c r="J1217" s="485"/>
      <c r="K1217" s="485"/>
    </row>
    <row r="1218" spans="1:11" s="508" customFormat="1">
      <c r="A1218" s="479">
        <v>1073</v>
      </c>
      <c r="B1218" s="489" t="s">
        <v>1867</v>
      </c>
      <c r="C1218" s="487" t="s">
        <v>1878</v>
      </c>
      <c r="D1218" s="487" t="s">
        <v>699</v>
      </c>
      <c r="E1218" s="474">
        <v>220000</v>
      </c>
      <c r="F1218" s="1088"/>
      <c r="G1218" s="484"/>
      <c r="H1218" s="484"/>
      <c r="I1218" s="484"/>
      <c r="J1218" s="485"/>
      <c r="K1218" s="485"/>
    </row>
    <row r="1219" spans="1:11" s="508" customFormat="1">
      <c r="A1219" s="479">
        <v>1074</v>
      </c>
      <c r="B1219" s="489" t="s">
        <v>1867</v>
      </c>
      <c r="C1219" s="487" t="s">
        <v>1879</v>
      </c>
      <c r="D1219" s="487" t="s">
        <v>699</v>
      </c>
      <c r="E1219" s="474">
        <v>288420</v>
      </c>
      <c r="F1219" s="1088"/>
      <c r="G1219" s="484"/>
      <c r="H1219" s="484"/>
      <c r="I1219" s="484"/>
      <c r="J1219" s="485"/>
      <c r="K1219" s="485"/>
    </row>
    <row r="1220" spans="1:11" s="508" customFormat="1">
      <c r="A1220" s="479">
        <v>1075</v>
      </c>
      <c r="B1220" s="489" t="s">
        <v>1867</v>
      </c>
      <c r="C1220" s="487" t="s">
        <v>1880</v>
      </c>
      <c r="D1220" s="487" t="s">
        <v>699</v>
      </c>
      <c r="E1220" s="474">
        <v>362560</v>
      </c>
      <c r="F1220" s="1088"/>
      <c r="G1220" s="484"/>
      <c r="H1220" s="484"/>
      <c r="I1220" s="484"/>
      <c r="J1220" s="485"/>
      <c r="K1220" s="485"/>
    </row>
    <row r="1221" spans="1:11" s="508" customFormat="1">
      <c r="A1221" s="479">
        <v>1076</v>
      </c>
      <c r="B1221" s="489" t="s">
        <v>1867</v>
      </c>
      <c r="C1221" s="487" t="s">
        <v>1881</v>
      </c>
      <c r="D1221" s="487" t="s">
        <v>699</v>
      </c>
      <c r="E1221" s="474">
        <v>449130</v>
      </c>
      <c r="F1221" s="1088"/>
      <c r="G1221" s="484"/>
      <c r="H1221" s="484"/>
      <c r="I1221" s="484"/>
      <c r="J1221" s="485"/>
      <c r="K1221" s="485"/>
    </row>
    <row r="1222" spans="1:11" s="508" customFormat="1">
      <c r="A1222" s="479">
        <v>1077</v>
      </c>
      <c r="B1222" s="489" t="s">
        <v>1867</v>
      </c>
      <c r="C1222" s="487" t="s">
        <v>1882</v>
      </c>
      <c r="D1222" s="487" t="s">
        <v>699</v>
      </c>
      <c r="E1222" s="474">
        <v>567600</v>
      </c>
      <c r="F1222" s="1088"/>
      <c r="G1222" s="484"/>
      <c r="H1222" s="484"/>
      <c r="I1222" s="484"/>
      <c r="J1222" s="485"/>
      <c r="K1222" s="485"/>
    </row>
    <row r="1223" spans="1:11" s="508" customFormat="1">
      <c r="A1223" s="479">
        <v>1078</v>
      </c>
      <c r="B1223" s="489" t="s">
        <v>1867</v>
      </c>
      <c r="C1223" s="487" t="s">
        <v>1883</v>
      </c>
      <c r="D1223" s="487" t="s">
        <v>699</v>
      </c>
      <c r="E1223" s="474">
        <v>694650</v>
      </c>
      <c r="F1223" s="1088"/>
      <c r="G1223" s="484"/>
      <c r="H1223" s="484"/>
      <c r="I1223" s="484"/>
      <c r="J1223" s="485"/>
      <c r="K1223" s="485"/>
    </row>
    <row r="1224" spans="1:11" s="508" customFormat="1">
      <c r="A1224" s="479">
        <v>1079</v>
      </c>
      <c r="B1224" s="489" t="s">
        <v>1867</v>
      </c>
      <c r="C1224" s="487" t="s">
        <v>1884</v>
      </c>
      <c r="D1224" s="487" t="s">
        <v>699</v>
      </c>
      <c r="E1224" s="474">
        <v>876810</v>
      </c>
      <c r="F1224" s="1088"/>
      <c r="G1224" s="484"/>
      <c r="H1224" s="484"/>
      <c r="I1224" s="484"/>
      <c r="J1224" s="485"/>
      <c r="K1224" s="485"/>
    </row>
    <row r="1225" spans="1:11" s="508" customFormat="1">
      <c r="A1225" s="479">
        <v>1080</v>
      </c>
      <c r="B1225" s="489" t="s">
        <v>1867</v>
      </c>
      <c r="C1225" s="487" t="s">
        <v>1885</v>
      </c>
      <c r="D1225" s="487" t="s">
        <v>699</v>
      </c>
      <c r="E1225" s="474">
        <v>1101870</v>
      </c>
      <c r="F1225" s="1088"/>
      <c r="G1225" s="484"/>
      <c r="H1225" s="484"/>
      <c r="I1225" s="484"/>
      <c r="J1225" s="485"/>
      <c r="K1225" s="485"/>
    </row>
    <row r="1226" spans="1:11" s="508" customFormat="1">
      <c r="A1226" s="479">
        <v>1081</v>
      </c>
      <c r="B1226" s="489" t="s">
        <v>1867</v>
      </c>
      <c r="C1226" s="487" t="s">
        <v>1886</v>
      </c>
      <c r="D1226" s="487" t="s">
        <v>699</v>
      </c>
      <c r="E1226" s="474">
        <v>1398980</v>
      </c>
      <c r="F1226" s="1088"/>
      <c r="G1226" s="484"/>
      <c r="H1226" s="484"/>
      <c r="I1226" s="484"/>
      <c r="J1226" s="485"/>
      <c r="K1226" s="485"/>
    </row>
    <row r="1227" spans="1:11" s="508" customFormat="1" ht="15.75" customHeight="1">
      <c r="A1227" s="509">
        <v>6</v>
      </c>
      <c r="B1227" s="637" t="s">
        <v>1887</v>
      </c>
      <c r="C1227" s="638"/>
      <c r="D1227" s="473"/>
      <c r="E1227" s="474"/>
      <c r="F1227" s="504"/>
      <c r="G1227" s="484"/>
      <c r="H1227" s="484"/>
      <c r="I1227" s="484"/>
      <c r="J1227" s="485"/>
      <c r="K1227" s="478"/>
    </row>
    <row r="1228" spans="1:11" s="508" customFormat="1">
      <c r="A1228" s="479">
        <v>1082</v>
      </c>
      <c r="B1228" s="489" t="s">
        <v>1888</v>
      </c>
      <c r="C1228" s="487"/>
      <c r="D1228" s="487" t="s">
        <v>1182</v>
      </c>
      <c r="E1228" s="474">
        <v>2300</v>
      </c>
      <c r="F1228" s="1088" t="s">
        <v>1889</v>
      </c>
      <c r="G1228" s="484"/>
      <c r="H1228" s="484"/>
      <c r="I1228" s="484"/>
      <c r="J1228" s="485"/>
      <c r="K1228" s="485"/>
    </row>
    <row r="1229" spans="1:11" s="508" customFormat="1">
      <c r="A1229" s="479">
        <v>1083</v>
      </c>
      <c r="B1229" s="489" t="s">
        <v>1890</v>
      </c>
      <c r="C1229" s="487"/>
      <c r="D1229" s="487" t="s">
        <v>1182</v>
      </c>
      <c r="E1229" s="474">
        <v>3200</v>
      </c>
      <c r="F1229" s="1088"/>
      <c r="G1229" s="484"/>
      <c r="H1229" s="484"/>
      <c r="I1229" s="484"/>
      <c r="J1229" s="485"/>
      <c r="K1229" s="485"/>
    </row>
    <row r="1230" spans="1:11" s="508" customFormat="1">
      <c r="A1230" s="479">
        <v>1084</v>
      </c>
      <c r="B1230" s="489" t="s">
        <v>1891</v>
      </c>
      <c r="C1230" s="487"/>
      <c r="D1230" s="487" t="s">
        <v>1182</v>
      </c>
      <c r="E1230" s="474">
        <v>3200</v>
      </c>
      <c r="F1230" s="1088"/>
      <c r="G1230" s="484"/>
      <c r="H1230" s="484"/>
      <c r="I1230" s="484"/>
      <c r="J1230" s="485"/>
      <c r="K1230" s="485"/>
    </row>
    <row r="1231" spans="1:11" s="508" customFormat="1">
      <c r="A1231" s="479">
        <v>1085</v>
      </c>
      <c r="B1231" s="489" t="s">
        <v>1892</v>
      </c>
      <c r="C1231" s="487"/>
      <c r="D1231" s="487" t="s">
        <v>1182</v>
      </c>
      <c r="E1231" s="474">
        <v>3500</v>
      </c>
      <c r="F1231" s="1088"/>
      <c r="G1231" s="484"/>
      <c r="H1231" s="484"/>
      <c r="I1231" s="484"/>
      <c r="J1231" s="485"/>
      <c r="K1231" s="485"/>
    </row>
    <row r="1232" spans="1:11" s="508" customFormat="1">
      <c r="A1232" s="479">
        <v>1086</v>
      </c>
      <c r="B1232" s="489" t="s">
        <v>1893</v>
      </c>
      <c r="C1232" s="487"/>
      <c r="D1232" s="487" t="s">
        <v>1182</v>
      </c>
      <c r="E1232" s="474">
        <v>5000</v>
      </c>
      <c r="F1232" s="1088"/>
      <c r="G1232" s="484"/>
      <c r="H1232" s="484"/>
      <c r="I1232" s="484"/>
      <c r="J1232" s="485"/>
      <c r="K1232" s="485"/>
    </row>
    <row r="1233" spans="1:11" s="508" customFormat="1">
      <c r="A1233" s="479">
        <v>1087</v>
      </c>
      <c r="B1233" s="489" t="s">
        <v>1894</v>
      </c>
      <c r="C1233" s="487"/>
      <c r="D1233" s="487" t="s">
        <v>1182</v>
      </c>
      <c r="E1233" s="474">
        <v>1000</v>
      </c>
      <c r="F1233" s="1088"/>
      <c r="G1233" s="484"/>
      <c r="H1233" s="484"/>
      <c r="I1233" s="484"/>
      <c r="J1233" s="485"/>
      <c r="K1233" s="485"/>
    </row>
    <row r="1234" spans="1:11" s="508" customFormat="1">
      <c r="A1234" s="479">
        <v>1088</v>
      </c>
      <c r="B1234" s="489" t="s">
        <v>1895</v>
      </c>
      <c r="C1234" s="487"/>
      <c r="D1234" s="487" t="s">
        <v>1182</v>
      </c>
      <c r="E1234" s="474">
        <v>18300</v>
      </c>
      <c r="F1234" s="1088"/>
      <c r="G1234" s="484"/>
      <c r="H1234" s="484"/>
      <c r="I1234" s="484"/>
      <c r="J1234" s="485"/>
      <c r="K1234" s="485"/>
    </row>
    <row r="1235" spans="1:11" s="508" customFormat="1">
      <c r="A1235" s="479">
        <v>1089</v>
      </c>
      <c r="B1235" s="489" t="s">
        <v>1896</v>
      </c>
      <c r="C1235" s="487"/>
      <c r="D1235" s="487" t="s">
        <v>1182</v>
      </c>
      <c r="E1235" s="474">
        <v>2700</v>
      </c>
      <c r="F1235" s="1088"/>
      <c r="G1235" s="484"/>
      <c r="H1235" s="484"/>
      <c r="I1235" s="484"/>
      <c r="J1235" s="485"/>
      <c r="K1235" s="485"/>
    </row>
    <row r="1236" spans="1:11" s="508" customFormat="1">
      <c r="A1236" s="479">
        <v>1090</v>
      </c>
      <c r="B1236" s="489" t="s">
        <v>1897</v>
      </c>
      <c r="C1236" s="487"/>
      <c r="D1236" s="487" t="s">
        <v>1182</v>
      </c>
      <c r="E1236" s="474">
        <v>3400</v>
      </c>
      <c r="F1236" s="1088"/>
      <c r="G1236" s="484"/>
      <c r="H1236" s="484"/>
      <c r="I1236" s="484"/>
      <c r="J1236" s="485"/>
      <c r="K1236" s="485"/>
    </row>
    <row r="1237" spans="1:11" s="508" customFormat="1">
      <c r="A1237" s="479">
        <v>1091</v>
      </c>
      <c r="B1237" s="489" t="s">
        <v>1898</v>
      </c>
      <c r="C1237" s="487"/>
      <c r="D1237" s="487" t="s">
        <v>1182</v>
      </c>
      <c r="E1237" s="474">
        <v>3400</v>
      </c>
      <c r="F1237" s="1088"/>
      <c r="G1237" s="484"/>
      <c r="H1237" s="484"/>
      <c r="I1237" s="484"/>
      <c r="J1237" s="485"/>
      <c r="K1237" s="485"/>
    </row>
    <row r="1238" spans="1:11" s="508" customFormat="1">
      <c r="A1238" s="479">
        <v>1092</v>
      </c>
      <c r="B1238" s="489" t="s">
        <v>1899</v>
      </c>
      <c r="C1238" s="487"/>
      <c r="D1238" s="487" t="s">
        <v>1182</v>
      </c>
      <c r="E1238" s="474">
        <v>5500</v>
      </c>
      <c r="F1238" s="1088"/>
      <c r="G1238" s="484"/>
      <c r="H1238" s="484"/>
      <c r="I1238" s="484"/>
      <c r="J1238" s="485"/>
      <c r="K1238" s="485"/>
    </row>
    <row r="1239" spans="1:11" s="508" customFormat="1">
      <c r="A1239" s="479">
        <v>1093</v>
      </c>
      <c r="B1239" s="489" t="s">
        <v>1900</v>
      </c>
      <c r="C1239" s="487"/>
      <c r="D1239" s="487" t="s">
        <v>1182</v>
      </c>
      <c r="E1239" s="474">
        <v>6800</v>
      </c>
      <c r="F1239" s="1088"/>
      <c r="G1239" s="484"/>
      <c r="H1239" s="484"/>
      <c r="I1239" s="484"/>
      <c r="J1239" s="485"/>
      <c r="K1239" s="485"/>
    </row>
    <row r="1240" spans="1:11" s="508" customFormat="1">
      <c r="A1240" s="479">
        <v>1094</v>
      </c>
      <c r="B1240" s="489" t="s">
        <v>1901</v>
      </c>
      <c r="C1240" s="487"/>
      <c r="D1240" s="487" t="s">
        <v>1182</v>
      </c>
      <c r="E1240" s="474">
        <v>6800</v>
      </c>
      <c r="F1240" s="1088"/>
      <c r="G1240" s="484"/>
      <c r="H1240" s="484"/>
      <c r="I1240" s="484"/>
      <c r="J1240" s="485"/>
      <c r="K1240" s="485"/>
    </row>
    <row r="1241" spans="1:11" s="508" customFormat="1">
      <c r="A1241" s="479">
        <v>1095</v>
      </c>
      <c r="B1241" s="489" t="s">
        <v>1902</v>
      </c>
      <c r="C1241" s="487"/>
      <c r="D1241" s="487" t="s">
        <v>1182</v>
      </c>
      <c r="E1241" s="474">
        <v>7600</v>
      </c>
      <c r="F1241" s="1088"/>
      <c r="G1241" s="484"/>
      <c r="H1241" s="484"/>
      <c r="I1241" s="484"/>
      <c r="J1241" s="485"/>
      <c r="K1241" s="485"/>
    </row>
    <row r="1242" spans="1:11" s="508" customFormat="1">
      <c r="A1242" s="479">
        <v>1096</v>
      </c>
      <c r="B1242" s="489" t="s">
        <v>1903</v>
      </c>
      <c r="C1242" s="487"/>
      <c r="D1242" s="487" t="s">
        <v>1182</v>
      </c>
      <c r="E1242" s="474">
        <v>11000</v>
      </c>
      <c r="F1242" s="1088"/>
      <c r="G1242" s="484"/>
      <c r="H1242" s="484"/>
      <c r="I1242" s="484"/>
      <c r="J1242" s="485"/>
      <c r="K1242" s="485"/>
    </row>
    <row r="1243" spans="1:11" s="508" customFormat="1">
      <c r="A1243" s="479">
        <v>1097</v>
      </c>
      <c r="B1243" s="489" t="s">
        <v>1904</v>
      </c>
      <c r="C1243" s="487"/>
      <c r="D1243" s="487" t="s">
        <v>1182</v>
      </c>
      <c r="E1243" s="474">
        <v>11000</v>
      </c>
      <c r="F1243" s="1088"/>
      <c r="G1243" s="484"/>
      <c r="H1243" s="484"/>
      <c r="I1243" s="484"/>
      <c r="J1243" s="485"/>
      <c r="K1243" s="485"/>
    </row>
    <row r="1244" spans="1:11" s="508" customFormat="1">
      <c r="A1244" s="479">
        <v>1098</v>
      </c>
      <c r="B1244" s="489" t="s">
        <v>1905</v>
      </c>
      <c r="C1244" s="487"/>
      <c r="D1244" s="487" t="s">
        <v>1182</v>
      </c>
      <c r="E1244" s="474">
        <v>11200</v>
      </c>
      <c r="F1244" s="1088"/>
      <c r="G1244" s="484"/>
      <c r="H1244" s="484"/>
      <c r="I1244" s="484"/>
      <c r="J1244" s="485"/>
      <c r="K1244" s="485"/>
    </row>
    <row r="1245" spans="1:11" s="508" customFormat="1">
      <c r="A1245" s="479">
        <v>1099</v>
      </c>
      <c r="B1245" s="489" t="s">
        <v>1906</v>
      </c>
      <c r="C1245" s="487"/>
      <c r="D1245" s="487" t="s">
        <v>1182</v>
      </c>
      <c r="E1245" s="474">
        <v>22000</v>
      </c>
      <c r="F1245" s="1088"/>
      <c r="G1245" s="484"/>
      <c r="H1245" s="484"/>
      <c r="I1245" s="484"/>
      <c r="J1245" s="485"/>
      <c r="K1245" s="485"/>
    </row>
    <row r="1246" spans="1:11" s="508" customFormat="1">
      <c r="A1246" s="479">
        <v>1100</v>
      </c>
      <c r="B1246" s="489" t="s">
        <v>1907</v>
      </c>
      <c r="C1246" s="487"/>
      <c r="D1246" s="487" t="s">
        <v>1182</v>
      </c>
      <c r="E1246" s="474">
        <v>22800</v>
      </c>
      <c r="F1246" s="1088"/>
      <c r="G1246" s="484"/>
      <c r="H1246" s="484"/>
      <c r="I1246" s="484"/>
      <c r="J1246" s="485"/>
      <c r="K1246" s="485"/>
    </row>
    <row r="1247" spans="1:11" s="508" customFormat="1">
      <c r="A1247" s="479">
        <v>1101</v>
      </c>
      <c r="B1247" s="489" t="s">
        <v>1908</v>
      </c>
      <c r="C1247" s="487"/>
      <c r="D1247" s="487" t="s">
        <v>1182</v>
      </c>
      <c r="E1247" s="474">
        <v>19000</v>
      </c>
      <c r="F1247" s="1088"/>
      <c r="G1247" s="484"/>
      <c r="H1247" s="484"/>
      <c r="I1247" s="484"/>
      <c r="J1247" s="485"/>
      <c r="K1247" s="485"/>
    </row>
    <row r="1248" spans="1:11" s="508" customFormat="1">
      <c r="A1248" s="479">
        <v>1102</v>
      </c>
      <c r="B1248" s="489" t="s">
        <v>1909</v>
      </c>
      <c r="C1248" s="487"/>
      <c r="D1248" s="487" t="s">
        <v>1182</v>
      </c>
      <c r="E1248" s="474">
        <v>38000</v>
      </c>
      <c r="F1248" s="1088"/>
      <c r="G1248" s="484"/>
      <c r="H1248" s="484"/>
      <c r="I1248" s="484"/>
      <c r="J1248" s="485"/>
      <c r="K1248" s="485"/>
    </row>
    <row r="1249" spans="1:11" s="508" customFormat="1">
      <c r="A1249" s="479">
        <v>1103</v>
      </c>
      <c r="B1249" s="489" t="s">
        <v>1910</v>
      </c>
      <c r="C1249" s="487"/>
      <c r="D1249" s="487" t="s">
        <v>1182</v>
      </c>
      <c r="E1249" s="474">
        <v>42000</v>
      </c>
      <c r="F1249" s="1088"/>
      <c r="G1249" s="484"/>
      <c r="H1249" s="484"/>
      <c r="I1249" s="484"/>
      <c r="J1249" s="485"/>
      <c r="K1249" s="485"/>
    </row>
    <row r="1250" spans="1:11" s="508" customFormat="1">
      <c r="A1250" s="479">
        <v>1104</v>
      </c>
      <c r="B1250" s="489" t="s">
        <v>1911</v>
      </c>
      <c r="C1250" s="487"/>
      <c r="D1250" s="487" t="s">
        <v>1182</v>
      </c>
      <c r="E1250" s="474">
        <v>800</v>
      </c>
      <c r="F1250" s="1088"/>
      <c r="G1250" s="484"/>
      <c r="H1250" s="484"/>
      <c r="I1250" s="484"/>
      <c r="J1250" s="485"/>
      <c r="K1250" s="485"/>
    </row>
    <row r="1251" spans="1:11" s="508" customFormat="1">
      <c r="A1251" s="479">
        <v>1105</v>
      </c>
      <c r="B1251" s="489" t="s">
        <v>1912</v>
      </c>
      <c r="C1251" s="487"/>
      <c r="D1251" s="487" t="s">
        <v>1182</v>
      </c>
      <c r="E1251" s="474">
        <v>1200</v>
      </c>
      <c r="F1251" s="1088"/>
      <c r="G1251" s="484"/>
      <c r="H1251" s="484"/>
      <c r="I1251" s="484"/>
      <c r="J1251" s="485"/>
      <c r="K1251" s="485"/>
    </row>
    <row r="1252" spans="1:11" s="508" customFormat="1">
      <c r="A1252" s="479">
        <v>1106</v>
      </c>
      <c r="B1252" s="489" t="s">
        <v>1913</v>
      </c>
      <c r="C1252" s="487"/>
      <c r="D1252" s="487" t="s">
        <v>1182</v>
      </c>
      <c r="E1252" s="474">
        <v>1500</v>
      </c>
      <c r="F1252" s="1088"/>
      <c r="G1252" s="484"/>
      <c r="H1252" s="484"/>
      <c r="I1252" s="484"/>
      <c r="J1252" s="485"/>
      <c r="K1252" s="485"/>
    </row>
    <row r="1253" spans="1:11" s="508" customFormat="1">
      <c r="A1253" s="479">
        <v>1107</v>
      </c>
      <c r="B1253" s="489" t="s">
        <v>1914</v>
      </c>
      <c r="C1253" s="487"/>
      <c r="D1253" s="487" t="s">
        <v>1182</v>
      </c>
      <c r="E1253" s="474">
        <v>1800</v>
      </c>
      <c r="F1253" s="1088"/>
      <c r="G1253" s="484"/>
      <c r="H1253" s="484"/>
      <c r="I1253" s="484"/>
      <c r="J1253" s="485"/>
      <c r="K1253" s="485"/>
    </row>
    <row r="1254" spans="1:11" s="508" customFormat="1">
      <c r="A1254" s="479">
        <v>1108</v>
      </c>
      <c r="B1254" s="489" t="s">
        <v>1915</v>
      </c>
      <c r="C1254" s="487"/>
      <c r="D1254" s="487" t="s">
        <v>1182</v>
      </c>
      <c r="E1254" s="474">
        <v>2300</v>
      </c>
      <c r="F1254" s="1088"/>
      <c r="G1254" s="484"/>
      <c r="H1254" s="484"/>
      <c r="I1254" s="484"/>
      <c r="J1254" s="485"/>
      <c r="K1254" s="485"/>
    </row>
    <row r="1255" spans="1:11" s="508" customFormat="1">
      <c r="A1255" s="479">
        <v>1109</v>
      </c>
      <c r="B1255" s="489" t="s">
        <v>1916</v>
      </c>
      <c r="C1255" s="487"/>
      <c r="D1255" s="487" t="s">
        <v>1182</v>
      </c>
      <c r="E1255" s="474">
        <v>3300</v>
      </c>
      <c r="F1255" s="1088"/>
      <c r="G1255" s="484"/>
      <c r="H1255" s="484"/>
      <c r="I1255" s="484"/>
      <c r="J1255" s="485"/>
      <c r="K1255" s="485"/>
    </row>
    <row r="1256" spans="1:11" s="508" customFormat="1">
      <c r="A1256" s="479">
        <v>1110</v>
      </c>
      <c r="B1256" s="489" t="s">
        <v>1917</v>
      </c>
      <c r="C1256" s="487"/>
      <c r="D1256" s="487" t="s">
        <v>1182</v>
      </c>
      <c r="E1256" s="474">
        <v>5500</v>
      </c>
      <c r="F1256" s="1088"/>
      <c r="G1256" s="484"/>
      <c r="H1256" s="484"/>
      <c r="I1256" s="484"/>
      <c r="J1256" s="485"/>
      <c r="K1256" s="485"/>
    </row>
    <row r="1257" spans="1:11" s="508" customFormat="1">
      <c r="A1257" s="479">
        <v>1111</v>
      </c>
      <c r="B1257" s="489" t="s">
        <v>1918</v>
      </c>
      <c r="C1257" s="487"/>
      <c r="D1257" s="487" t="s">
        <v>1182</v>
      </c>
      <c r="E1257" s="474">
        <v>8300</v>
      </c>
      <c r="F1257" s="1088"/>
      <c r="G1257" s="484"/>
      <c r="H1257" s="484"/>
      <c r="I1257" s="484"/>
      <c r="J1257" s="485"/>
      <c r="K1257" s="485"/>
    </row>
    <row r="1258" spans="1:11" s="508" customFormat="1" ht="15.75" customHeight="1">
      <c r="A1258" s="509">
        <v>7</v>
      </c>
      <c r="B1258" s="637" t="s">
        <v>1919</v>
      </c>
      <c r="C1258" s="638"/>
      <c r="D1258" s="473"/>
      <c r="E1258" s="474"/>
      <c r="F1258" s="1088" t="s">
        <v>1920</v>
      </c>
    </row>
    <row r="1259" spans="1:11" s="508" customFormat="1" ht="14">
      <c r="A1259" s="479">
        <v>1112</v>
      </c>
      <c r="B1259" s="489" t="s">
        <v>1921</v>
      </c>
      <c r="C1259" s="487"/>
      <c r="D1259" s="487" t="s">
        <v>1182</v>
      </c>
      <c r="E1259" s="474">
        <v>151800</v>
      </c>
      <c r="F1259" s="1088"/>
    </row>
    <row r="1260" spans="1:11" s="508" customFormat="1" ht="14">
      <c r="A1260" s="479">
        <v>1113</v>
      </c>
      <c r="B1260" s="489" t="s">
        <v>1922</v>
      </c>
      <c r="C1260" s="487"/>
      <c r="D1260" s="487" t="s">
        <v>1182</v>
      </c>
      <c r="E1260" s="474">
        <v>172700</v>
      </c>
      <c r="F1260" s="1088"/>
    </row>
    <row r="1261" spans="1:11" s="508" customFormat="1" ht="14">
      <c r="A1261" s="479">
        <v>1114</v>
      </c>
      <c r="B1261" s="489" t="s">
        <v>1923</v>
      </c>
      <c r="C1261" s="487"/>
      <c r="D1261" s="487" t="s">
        <v>1182</v>
      </c>
      <c r="E1261" s="474">
        <v>246400</v>
      </c>
      <c r="F1261" s="1088"/>
    </row>
    <row r="1262" spans="1:11" s="508" customFormat="1" ht="14">
      <c r="A1262" s="479">
        <v>1115</v>
      </c>
      <c r="B1262" s="489" t="s">
        <v>1924</v>
      </c>
      <c r="C1262" s="487"/>
      <c r="D1262" s="487" t="s">
        <v>1182</v>
      </c>
      <c r="E1262" s="474">
        <v>418000</v>
      </c>
      <c r="F1262" s="1088"/>
    </row>
    <row r="1263" spans="1:11" s="508" customFormat="1" ht="14">
      <c r="A1263" s="479">
        <v>1116</v>
      </c>
      <c r="B1263" s="489" t="s">
        <v>1925</v>
      </c>
      <c r="C1263" s="487"/>
      <c r="D1263" s="487" t="s">
        <v>1182</v>
      </c>
      <c r="E1263" s="474">
        <v>654500</v>
      </c>
      <c r="F1263" s="1088"/>
    </row>
    <row r="1264" spans="1:11" s="508" customFormat="1" ht="14">
      <c r="A1264" s="479">
        <v>1117</v>
      </c>
      <c r="B1264" s="489" t="s">
        <v>1926</v>
      </c>
      <c r="C1264" s="487"/>
      <c r="D1264" s="487" t="s">
        <v>1182</v>
      </c>
      <c r="E1264" s="474">
        <v>1014200</v>
      </c>
      <c r="F1264" s="1088"/>
    </row>
    <row r="1265" spans="1:6" s="508" customFormat="1" ht="15.75" customHeight="1">
      <c r="A1265" s="479">
        <v>1118</v>
      </c>
      <c r="B1265" s="489" t="s">
        <v>1927</v>
      </c>
      <c r="C1265" s="487"/>
      <c r="D1265" s="487" t="s">
        <v>1182</v>
      </c>
      <c r="E1265" s="474">
        <v>78100</v>
      </c>
      <c r="F1265" s="1088"/>
    </row>
    <row r="1266" spans="1:6" s="508" customFormat="1" ht="14">
      <c r="A1266" s="479">
        <v>1119</v>
      </c>
      <c r="B1266" s="489" t="s">
        <v>1928</v>
      </c>
      <c r="C1266" s="487"/>
      <c r="D1266" s="487" t="s">
        <v>1182</v>
      </c>
      <c r="E1266" s="474">
        <v>78100</v>
      </c>
      <c r="F1266" s="1088"/>
    </row>
    <row r="1267" spans="1:6" s="508" customFormat="1" ht="14">
      <c r="A1267" s="479">
        <v>1120</v>
      </c>
      <c r="B1267" s="489" t="s">
        <v>1929</v>
      </c>
      <c r="C1267" s="487"/>
      <c r="D1267" s="487" t="s">
        <v>1182</v>
      </c>
      <c r="E1267" s="474">
        <v>83600</v>
      </c>
      <c r="F1267" s="1088"/>
    </row>
    <row r="1268" spans="1:6" s="508" customFormat="1" ht="14">
      <c r="A1268" s="479">
        <v>1121</v>
      </c>
      <c r="B1268" s="489" t="s">
        <v>1930</v>
      </c>
      <c r="C1268" s="487"/>
      <c r="D1268" s="487" t="s">
        <v>1182</v>
      </c>
      <c r="E1268" s="474">
        <v>100700</v>
      </c>
      <c r="F1268" s="1088"/>
    </row>
    <row r="1269" spans="1:6" s="508" customFormat="1" ht="14">
      <c r="A1269" s="479">
        <v>1122</v>
      </c>
      <c r="B1269" s="489" t="s">
        <v>1931</v>
      </c>
      <c r="C1269" s="487"/>
      <c r="D1269" s="487" t="s">
        <v>1182</v>
      </c>
      <c r="E1269" s="474">
        <v>152400</v>
      </c>
      <c r="F1269" s="1088"/>
    </row>
    <row r="1270" spans="1:6" s="508" customFormat="1" ht="14">
      <c r="A1270" s="479">
        <v>1123</v>
      </c>
      <c r="B1270" s="489" t="s">
        <v>1932</v>
      </c>
      <c r="C1270" s="487"/>
      <c r="D1270" s="487" t="s">
        <v>1182</v>
      </c>
      <c r="E1270" s="474">
        <v>229900</v>
      </c>
      <c r="F1270" s="1088"/>
    </row>
    <row r="1271" spans="1:6" s="508" customFormat="1" ht="14">
      <c r="A1271" s="479">
        <v>1124</v>
      </c>
      <c r="B1271" s="489" t="s">
        <v>1933</v>
      </c>
      <c r="C1271" s="487"/>
      <c r="D1271" s="487" t="s">
        <v>1182</v>
      </c>
      <c r="E1271" s="474">
        <v>307500</v>
      </c>
      <c r="F1271" s="1088"/>
    </row>
    <row r="1272" spans="1:6" s="508" customFormat="1" ht="14">
      <c r="A1272" s="479">
        <v>1125</v>
      </c>
      <c r="B1272" s="489" t="s">
        <v>1934</v>
      </c>
      <c r="C1272" s="487"/>
      <c r="D1272" s="487" t="s">
        <v>1182</v>
      </c>
      <c r="E1272" s="474">
        <v>430700</v>
      </c>
      <c r="F1272" s="1088"/>
    </row>
    <row r="1273" spans="1:6" s="508" customFormat="1" ht="14">
      <c r="A1273" s="479">
        <v>1126</v>
      </c>
      <c r="B1273" s="489" t="s">
        <v>1935</v>
      </c>
      <c r="C1273" s="487"/>
      <c r="D1273" s="487" t="s">
        <v>1182</v>
      </c>
      <c r="E1273" s="474">
        <v>944900</v>
      </c>
      <c r="F1273" s="1088"/>
    </row>
    <row r="1274" spans="1:6" s="508" customFormat="1" ht="14">
      <c r="A1274" s="479">
        <v>1127</v>
      </c>
      <c r="B1274" s="489" t="s">
        <v>1936</v>
      </c>
      <c r="C1274" s="487"/>
      <c r="D1274" s="487" t="s">
        <v>1182</v>
      </c>
      <c r="E1274" s="474">
        <v>1133000</v>
      </c>
      <c r="F1274" s="1088"/>
    </row>
    <row r="1275" spans="1:6" s="508" customFormat="1" ht="14">
      <c r="A1275" s="479">
        <v>1128</v>
      </c>
      <c r="B1275" s="489" t="s">
        <v>1937</v>
      </c>
      <c r="C1275" s="487"/>
      <c r="D1275" s="487" t="s">
        <v>1182</v>
      </c>
      <c r="E1275" s="474">
        <v>1894200</v>
      </c>
      <c r="F1275" s="1088"/>
    </row>
    <row r="1276" spans="1:6" s="508" customFormat="1" ht="15" customHeight="1">
      <c r="A1276" s="479">
        <v>1129</v>
      </c>
      <c r="B1276" s="489" t="s">
        <v>1938</v>
      </c>
      <c r="C1276" s="487"/>
      <c r="D1276" s="487" t="s">
        <v>1182</v>
      </c>
      <c r="E1276" s="474">
        <v>51200</v>
      </c>
      <c r="F1276" s="1088"/>
    </row>
    <row r="1277" spans="1:6" s="508" customFormat="1" ht="15" customHeight="1">
      <c r="A1277" s="479">
        <v>1130</v>
      </c>
      <c r="B1277" s="489" t="s">
        <v>1939</v>
      </c>
      <c r="C1277" s="487"/>
      <c r="D1277" s="487" t="s">
        <v>1182</v>
      </c>
      <c r="E1277" s="474">
        <v>67700</v>
      </c>
      <c r="F1277" s="1088"/>
    </row>
    <row r="1278" spans="1:6" s="508" customFormat="1" ht="15" customHeight="1">
      <c r="A1278" s="479">
        <v>1131</v>
      </c>
      <c r="B1278" s="489" t="s">
        <v>1940</v>
      </c>
      <c r="C1278" s="487"/>
      <c r="D1278" s="487" t="s">
        <v>1182</v>
      </c>
      <c r="E1278" s="474">
        <v>97900</v>
      </c>
      <c r="F1278" s="1088"/>
    </row>
    <row r="1279" spans="1:6" s="508" customFormat="1" ht="15" customHeight="1">
      <c r="A1279" s="479">
        <v>1132</v>
      </c>
      <c r="B1279" s="489" t="s">
        <v>1941</v>
      </c>
      <c r="C1279" s="487"/>
      <c r="D1279" s="487" t="s">
        <v>1182</v>
      </c>
      <c r="E1279" s="474">
        <v>198600</v>
      </c>
      <c r="F1279" s="1088"/>
    </row>
    <row r="1280" spans="1:6" s="508" customFormat="1" ht="15" customHeight="1">
      <c r="A1280" s="479">
        <v>1133</v>
      </c>
      <c r="B1280" s="489" t="s">
        <v>1942</v>
      </c>
      <c r="C1280" s="487"/>
      <c r="D1280" s="487" t="s">
        <v>1182</v>
      </c>
      <c r="E1280" s="474">
        <v>272800</v>
      </c>
      <c r="F1280" s="1088"/>
    </row>
    <row r="1281" spans="1:6" s="508" customFormat="1" ht="15" customHeight="1">
      <c r="A1281" s="479">
        <v>1134</v>
      </c>
      <c r="B1281" s="489" t="s">
        <v>1943</v>
      </c>
      <c r="C1281" s="487"/>
      <c r="D1281" s="487" t="s">
        <v>1182</v>
      </c>
      <c r="E1281" s="474">
        <v>398200</v>
      </c>
      <c r="F1281" s="1088"/>
    </row>
    <row r="1282" spans="1:6" s="508" customFormat="1" ht="15" customHeight="1">
      <c r="A1282" s="479">
        <v>1135</v>
      </c>
      <c r="B1282" s="489" t="s">
        <v>1944</v>
      </c>
      <c r="C1282" s="487"/>
      <c r="D1282" s="487" t="s">
        <v>1182</v>
      </c>
      <c r="E1282" s="474">
        <v>862400</v>
      </c>
      <c r="F1282" s="1088"/>
    </row>
    <row r="1283" spans="1:6" s="508" customFormat="1" ht="14">
      <c r="A1283" s="479">
        <v>1136</v>
      </c>
      <c r="B1283" s="489" t="s">
        <v>1945</v>
      </c>
      <c r="C1283" s="487"/>
      <c r="D1283" s="487" t="s">
        <v>1182</v>
      </c>
      <c r="E1283" s="474">
        <v>45100</v>
      </c>
      <c r="F1283" s="1088"/>
    </row>
    <row r="1284" spans="1:6" s="508" customFormat="1" ht="14">
      <c r="A1284" s="479">
        <v>1137</v>
      </c>
      <c r="B1284" s="489" t="s">
        <v>1946</v>
      </c>
      <c r="C1284" s="487"/>
      <c r="D1284" s="487" t="s">
        <v>1182</v>
      </c>
      <c r="E1284" s="474">
        <v>63300</v>
      </c>
      <c r="F1284" s="1088"/>
    </row>
    <row r="1285" spans="1:6" s="508" customFormat="1" ht="14">
      <c r="A1285" s="479">
        <v>1138</v>
      </c>
      <c r="B1285" s="489" t="s">
        <v>1947</v>
      </c>
      <c r="C1285" s="487"/>
      <c r="D1285" s="487" t="s">
        <v>1182</v>
      </c>
      <c r="E1285" s="474">
        <v>87500</v>
      </c>
      <c r="F1285" s="1088"/>
    </row>
    <row r="1286" spans="1:6" s="508" customFormat="1" ht="14">
      <c r="A1286" s="479">
        <v>1139</v>
      </c>
      <c r="B1286" s="489" t="s">
        <v>1948</v>
      </c>
      <c r="C1286" s="487"/>
      <c r="D1286" s="487" t="s">
        <v>1182</v>
      </c>
      <c r="E1286" s="474">
        <v>175500</v>
      </c>
      <c r="F1286" s="1088"/>
    </row>
    <row r="1287" spans="1:6" s="508" customFormat="1" ht="14">
      <c r="A1287" s="479">
        <v>1140</v>
      </c>
      <c r="B1287" s="489" t="s">
        <v>1949</v>
      </c>
      <c r="C1287" s="487"/>
      <c r="D1287" s="487" t="s">
        <v>1182</v>
      </c>
      <c r="E1287" s="474">
        <v>210700</v>
      </c>
      <c r="F1287" s="1088"/>
    </row>
    <row r="1288" spans="1:6" s="508" customFormat="1" ht="14">
      <c r="A1288" s="479">
        <v>1141</v>
      </c>
      <c r="B1288" s="489" t="s">
        <v>1950</v>
      </c>
      <c r="C1288" s="487"/>
      <c r="D1288" s="487" t="s">
        <v>1182</v>
      </c>
      <c r="E1288" s="474">
        <v>361900</v>
      </c>
      <c r="F1288" s="1088"/>
    </row>
    <row r="1289" spans="1:6" s="508" customFormat="1" ht="14">
      <c r="A1289" s="479">
        <v>1142</v>
      </c>
      <c r="B1289" s="489" t="s">
        <v>1951</v>
      </c>
      <c r="C1289" s="487"/>
      <c r="D1289" s="487" t="s">
        <v>1182</v>
      </c>
      <c r="E1289" s="474">
        <v>720500</v>
      </c>
      <c r="F1289" s="1088"/>
    </row>
    <row r="1290" spans="1:6" s="508" customFormat="1" ht="14">
      <c r="A1290" s="479">
        <v>1143</v>
      </c>
      <c r="B1290" s="489" t="s">
        <v>1952</v>
      </c>
      <c r="C1290" s="487"/>
      <c r="D1290" s="487" t="s">
        <v>1182</v>
      </c>
      <c r="E1290" s="474">
        <v>940500</v>
      </c>
      <c r="F1290" s="1088"/>
    </row>
    <row r="1291" spans="1:6" s="508" customFormat="1" ht="16.5" customHeight="1">
      <c r="A1291" s="479">
        <v>1144</v>
      </c>
      <c r="B1291" s="489" t="s">
        <v>1953</v>
      </c>
      <c r="C1291" s="487"/>
      <c r="D1291" s="487" t="s">
        <v>1182</v>
      </c>
      <c r="E1291" s="474">
        <v>1799600</v>
      </c>
      <c r="F1291" s="1088"/>
    </row>
    <row r="1292" spans="1:6" s="508" customFormat="1" ht="14">
      <c r="A1292" s="479">
        <v>1145</v>
      </c>
      <c r="B1292" s="489" t="s">
        <v>1954</v>
      </c>
      <c r="C1292" s="487"/>
      <c r="D1292" s="487" t="s">
        <v>1182</v>
      </c>
      <c r="E1292" s="474">
        <v>108900</v>
      </c>
      <c r="F1292" s="1088"/>
    </row>
    <row r="1293" spans="1:6" s="508" customFormat="1" ht="14">
      <c r="A1293" s="479">
        <v>1146</v>
      </c>
      <c r="B1293" s="489" t="s">
        <v>1955</v>
      </c>
      <c r="C1293" s="487"/>
      <c r="D1293" s="487" t="s">
        <v>1182</v>
      </c>
      <c r="E1293" s="474">
        <v>211400</v>
      </c>
      <c r="F1293" s="1088"/>
    </row>
    <row r="1294" spans="1:6" s="508" customFormat="1" ht="14">
      <c r="A1294" s="479">
        <v>1147</v>
      </c>
      <c r="B1294" s="489" t="s">
        <v>1956</v>
      </c>
      <c r="C1294" s="487"/>
      <c r="D1294" s="487" t="s">
        <v>1182</v>
      </c>
      <c r="E1294" s="474">
        <v>254100</v>
      </c>
      <c r="F1294" s="1088"/>
    </row>
    <row r="1295" spans="1:6" s="508" customFormat="1" ht="14">
      <c r="A1295" s="479">
        <v>1148</v>
      </c>
      <c r="B1295" s="489" t="s">
        <v>1957</v>
      </c>
      <c r="C1295" s="487"/>
      <c r="D1295" s="487" t="s">
        <v>1182</v>
      </c>
      <c r="E1295" s="474">
        <v>765600</v>
      </c>
      <c r="F1295" s="1088"/>
    </row>
    <row r="1296" spans="1:6" s="508" customFormat="1" ht="14">
      <c r="A1296" s="479">
        <v>1149</v>
      </c>
      <c r="B1296" s="489" t="s">
        <v>1958</v>
      </c>
      <c r="C1296" s="487"/>
      <c r="D1296" s="487" t="s">
        <v>1182</v>
      </c>
      <c r="E1296" s="474">
        <v>1007600</v>
      </c>
      <c r="F1296" s="1088"/>
    </row>
    <row r="1297" spans="1:11" s="508" customFormat="1" ht="14">
      <c r="A1297" s="479">
        <v>1150</v>
      </c>
      <c r="B1297" s="489" t="s">
        <v>1959</v>
      </c>
      <c r="C1297" s="487"/>
      <c r="D1297" s="487" t="s">
        <v>1182</v>
      </c>
      <c r="E1297" s="474">
        <v>1650000</v>
      </c>
      <c r="F1297" s="1088"/>
    </row>
    <row r="1298" spans="1:11" s="508" customFormat="1" ht="14">
      <c r="A1298" s="479">
        <v>1151</v>
      </c>
      <c r="B1298" s="489" t="s">
        <v>1960</v>
      </c>
      <c r="C1298" s="487"/>
      <c r="D1298" s="487" t="s">
        <v>1182</v>
      </c>
      <c r="E1298" s="474">
        <v>44600</v>
      </c>
      <c r="F1298" s="1088"/>
    </row>
    <row r="1299" spans="1:11" s="508" customFormat="1" ht="14">
      <c r="A1299" s="479">
        <v>1152</v>
      </c>
      <c r="B1299" s="489" t="s">
        <v>1961</v>
      </c>
      <c r="C1299" s="487"/>
      <c r="D1299" s="487" t="s">
        <v>1182</v>
      </c>
      <c r="E1299" s="474">
        <v>52300</v>
      </c>
      <c r="F1299" s="1088"/>
    </row>
    <row r="1300" spans="1:11" s="508" customFormat="1" ht="14">
      <c r="A1300" s="479">
        <v>1153</v>
      </c>
      <c r="B1300" s="489" t="s">
        <v>1962</v>
      </c>
      <c r="C1300" s="487"/>
      <c r="D1300" s="487" t="s">
        <v>1182</v>
      </c>
      <c r="E1300" s="474">
        <v>2258000</v>
      </c>
      <c r="F1300" s="1088"/>
    </row>
    <row r="1301" spans="1:11" s="508" customFormat="1" ht="14">
      <c r="A1301" s="479">
        <v>1154</v>
      </c>
      <c r="B1301" s="489" t="s">
        <v>1963</v>
      </c>
      <c r="C1301" s="487"/>
      <c r="D1301" s="487" t="s">
        <v>1182</v>
      </c>
      <c r="E1301" s="474">
        <v>3026000</v>
      </c>
      <c r="F1301" s="1088"/>
    </row>
    <row r="1302" spans="1:11" s="508" customFormat="1" ht="14">
      <c r="A1302" s="479">
        <v>1155</v>
      </c>
      <c r="B1302" s="489" t="s">
        <v>1964</v>
      </c>
      <c r="C1302" s="487"/>
      <c r="D1302" s="487" t="s">
        <v>1182</v>
      </c>
      <c r="E1302" s="474">
        <v>3522000</v>
      </c>
      <c r="F1302" s="1088"/>
    </row>
    <row r="1303" spans="1:11" s="508" customFormat="1" ht="14">
      <c r="A1303" s="479">
        <v>1156</v>
      </c>
      <c r="B1303" s="489" t="s">
        <v>1965</v>
      </c>
      <c r="C1303" s="487"/>
      <c r="D1303" s="487" t="s">
        <v>1182</v>
      </c>
      <c r="E1303" s="474">
        <v>6366000</v>
      </c>
      <c r="F1303" s="1088"/>
    </row>
    <row r="1304" spans="1:11" s="508" customFormat="1" ht="14">
      <c r="A1304" s="479">
        <v>1157</v>
      </c>
      <c r="B1304" s="489" t="s">
        <v>1966</v>
      </c>
      <c r="C1304" s="487"/>
      <c r="D1304" s="487" t="s">
        <v>1182</v>
      </c>
      <c r="E1304" s="474">
        <v>18600</v>
      </c>
      <c r="F1304" s="1088"/>
    </row>
    <row r="1305" spans="1:11" s="508" customFormat="1" ht="14">
      <c r="A1305" s="479">
        <v>1158</v>
      </c>
      <c r="B1305" s="489" t="s">
        <v>1967</v>
      </c>
      <c r="C1305" s="487"/>
      <c r="D1305" s="487" t="s">
        <v>1182</v>
      </c>
      <c r="E1305" s="474">
        <v>107800</v>
      </c>
      <c r="F1305" s="1088"/>
    </row>
    <row r="1306" spans="1:11" s="508" customFormat="1" ht="14">
      <c r="A1306" s="479">
        <v>1159</v>
      </c>
      <c r="B1306" s="489" t="s">
        <v>1968</v>
      </c>
      <c r="C1306" s="487"/>
      <c r="D1306" s="487" t="s">
        <v>1182</v>
      </c>
      <c r="E1306" s="474">
        <v>143550</v>
      </c>
      <c r="F1306" s="1088"/>
    </row>
    <row r="1307" spans="1:11" s="508" customFormat="1" ht="14">
      <c r="A1307" s="479">
        <v>1160</v>
      </c>
      <c r="B1307" s="489" t="s">
        <v>1969</v>
      </c>
      <c r="C1307" s="487"/>
      <c r="D1307" s="487" t="s">
        <v>1182</v>
      </c>
      <c r="E1307" s="474">
        <v>319000</v>
      </c>
      <c r="F1307" s="1088"/>
    </row>
    <row r="1308" spans="1:11" s="508" customFormat="1" ht="14">
      <c r="A1308" s="479">
        <v>1161</v>
      </c>
      <c r="B1308" s="489" t="s">
        <v>1970</v>
      </c>
      <c r="C1308" s="487"/>
      <c r="D1308" s="487" t="s">
        <v>1182</v>
      </c>
      <c r="E1308" s="474">
        <v>327800</v>
      </c>
      <c r="F1308" s="1088"/>
    </row>
    <row r="1309" spans="1:11" s="508" customFormat="1" ht="14">
      <c r="A1309" s="479">
        <v>1162</v>
      </c>
      <c r="B1309" s="489" t="s">
        <v>1971</v>
      </c>
      <c r="C1309" s="487"/>
      <c r="D1309" s="487" t="s">
        <v>1182</v>
      </c>
      <c r="E1309" s="474">
        <v>390500</v>
      </c>
      <c r="F1309" s="1088"/>
    </row>
    <row r="1310" spans="1:11" s="612" customFormat="1" ht="15.75" customHeight="1">
      <c r="A1310" s="534" t="s">
        <v>369</v>
      </c>
      <c r="B1310" s="637" t="s">
        <v>1972</v>
      </c>
      <c r="C1310" s="487"/>
      <c r="D1310" s="487"/>
      <c r="E1310" s="511"/>
      <c r="F1310" s="639"/>
      <c r="G1310" s="477"/>
      <c r="H1310" s="477"/>
      <c r="I1310" s="477"/>
      <c r="J1310" s="485"/>
      <c r="K1310" s="478"/>
    </row>
    <row r="1311" spans="1:11" s="508" customFormat="1">
      <c r="A1311" s="479">
        <v>1163</v>
      </c>
      <c r="B1311" s="1117" t="s">
        <v>1973</v>
      </c>
      <c r="C1311" s="1117"/>
      <c r="D1311" s="487" t="s">
        <v>699</v>
      </c>
      <c r="E1311" s="474">
        <v>165550</v>
      </c>
      <c r="F1311" s="1088" t="s">
        <v>1974</v>
      </c>
      <c r="G1311" s="484"/>
      <c r="H1311" s="484"/>
      <c r="I1311" s="484"/>
      <c r="J1311" s="485"/>
      <c r="K1311" s="485"/>
    </row>
    <row r="1312" spans="1:11" s="508" customFormat="1">
      <c r="A1312" s="479">
        <v>1164</v>
      </c>
      <c r="B1312" s="1117" t="s">
        <v>1975</v>
      </c>
      <c r="C1312" s="1117"/>
      <c r="D1312" s="487" t="s">
        <v>699</v>
      </c>
      <c r="E1312" s="474">
        <v>175450</v>
      </c>
      <c r="F1312" s="1088"/>
      <c r="G1312" s="484"/>
      <c r="H1312" s="484"/>
      <c r="I1312" s="484"/>
      <c r="J1312" s="485"/>
      <c r="K1312" s="485"/>
    </row>
    <row r="1313" spans="1:11" s="508" customFormat="1">
      <c r="A1313" s="479">
        <v>1165</v>
      </c>
      <c r="B1313" s="1117" t="s">
        <v>1976</v>
      </c>
      <c r="C1313" s="1117"/>
      <c r="D1313" s="487" t="s">
        <v>699</v>
      </c>
      <c r="E1313" s="474">
        <v>216700.00000000003</v>
      </c>
      <c r="F1313" s="1088"/>
      <c r="G1313" s="484"/>
      <c r="H1313" s="484"/>
      <c r="I1313" s="484"/>
      <c r="J1313" s="485"/>
      <c r="K1313" s="485"/>
    </row>
    <row r="1314" spans="1:11" s="508" customFormat="1">
      <c r="A1314" s="479">
        <v>1166</v>
      </c>
      <c r="B1314" s="1117" t="s">
        <v>1977</v>
      </c>
      <c r="C1314" s="1117"/>
      <c r="D1314" s="487" t="s">
        <v>699</v>
      </c>
      <c r="E1314" s="474">
        <v>227700.00000000003</v>
      </c>
      <c r="F1314" s="1088"/>
      <c r="G1314" s="484"/>
      <c r="H1314" s="484"/>
      <c r="I1314" s="484"/>
      <c r="J1314" s="485"/>
      <c r="K1314" s="485"/>
    </row>
    <row r="1315" spans="1:11" s="508" customFormat="1">
      <c r="A1315" s="479">
        <v>1167</v>
      </c>
      <c r="B1315" s="1117" t="s">
        <v>1978</v>
      </c>
      <c r="C1315" s="1117"/>
      <c r="D1315" s="487" t="s">
        <v>819</v>
      </c>
      <c r="E1315" s="474">
        <v>58960.000000000007</v>
      </c>
      <c r="F1315" s="1088"/>
      <c r="G1315" s="484"/>
      <c r="H1315" s="484"/>
      <c r="I1315" s="484"/>
      <c r="J1315" s="485"/>
      <c r="K1315" s="485"/>
    </row>
    <row r="1316" spans="1:11" s="508" customFormat="1">
      <c r="A1316" s="479">
        <v>1168</v>
      </c>
      <c r="B1316" s="1117" t="s">
        <v>1979</v>
      </c>
      <c r="C1316" s="1117"/>
      <c r="D1316" s="487" t="s">
        <v>819</v>
      </c>
      <c r="E1316" s="474">
        <v>127270.00000000001</v>
      </c>
      <c r="F1316" s="1088"/>
      <c r="G1316" s="484"/>
      <c r="H1316" s="484"/>
      <c r="I1316" s="484"/>
      <c r="J1316" s="485"/>
      <c r="K1316" s="485"/>
    </row>
    <row r="1317" spans="1:11" s="508" customFormat="1">
      <c r="A1317" s="479">
        <v>1169</v>
      </c>
      <c r="B1317" s="1117" t="s">
        <v>1980</v>
      </c>
      <c r="C1317" s="1117"/>
      <c r="D1317" s="487" t="s">
        <v>819</v>
      </c>
      <c r="E1317" s="474">
        <v>47850.000000000007</v>
      </c>
      <c r="F1317" s="1088"/>
      <c r="G1317" s="484"/>
      <c r="H1317" s="484"/>
      <c r="I1317" s="484"/>
      <c r="J1317" s="485"/>
      <c r="K1317" s="485"/>
    </row>
    <row r="1318" spans="1:11" s="508" customFormat="1">
      <c r="A1318" s="479">
        <v>1170</v>
      </c>
      <c r="B1318" s="1117" t="s">
        <v>1981</v>
      </c>
      <c r="C1318" s="1117"/>
      <c r="D1318" s="487" t="s">
        <v>819</v>
      </c>
      <c r="E1318" s="474">
        <v>54120.000000000007</v>
      </c>
      <c r="F1318" s="1088"/>
      <c r="G1318" s="484"/>
      <c r="H1318" s="484"/>
      <c r="I1318" s="484"/>
      <c r="J1318" s="485"/>
      <c r="K1318" s="485"/>
    </row>
    <row r="1319" spans="1:11" s="508" customFormat="1">
      <c r="A1319" s="479">
        <v>1171</v>
      </c>
      <c r="B1319" s="1117" t="s">
        <v>1982</v>
      </c>
      <c r="C1319" s="1117"/>
      <c r="D1319" s="487" t="s">
        <v>819</v>
      </c>
      <c r="E1319" s="474">
        <v>77990</v>
      </c>
      <c r="F1319" s="1088"/>
      <c r="G1319" s="484"/>
      <c r="H1319" s="484"/>
      <c r="I1319" s="484"/>
      <c r="J1319" s="485"/>
      <c r="K1319" s="485"/>
    </row>
    <row r="1320" spans="1:11" s="508" customFormat="1">
      <c r="A1320" s="479">
        <v>1172</v>
      </c>
      <c r="B1320" s="1117" t="s">
        <v>1983</v>
      </c>
      <c r="C1320" s="1117"/>
      <c r="D1320" s="487" t="s">
        <v>819</v>
      </c>
      <c r="E1320" s="474">
        <v>88330</v>
      </c>
      <c r="F1320" s="1088"/>
      <c r="G1320" s="484"/>
      <c r="H1320" s="484"/>
      <c r="I1320" s="484"/>
      <c r="J1320" s="485"/>
      <c r="K1320" s="485"/>
    </row>
    <row r="1321" spans="1:11" s="508" customFormat="1" ht="15.75" customHeight="1">
      <c r="A1321" s="534" t="s">
        <v>723</v>
      </c>
      <c r="B1321" s="637" t="s">
        <v>1984</v>
      </c>
      <c r="C1321" s="473" t="s">
        <v>1985</v>
      </c>
      <c r="D1321" s="487"/>
      <c r="E1321" s="511"/>
      <c r="F1321" s="503"/>
      <c r="G1321" s="484"/>
      <c r="H1321" s="484"/>
      <c r="I1321" s="484"/>
      <c r="J1321" s="485"/>
      <c r="K1321" s="478"/>
    </row>
    <row r="1322" spans="1:11" s="512" customFormat="1" ht="28">
      <c r="A1322" s="479">
        <v>1173</v>
      </c>
      <c r="B1322" s="500" t="s">
        <v>1986</v>
      </c>
      <c r="C1322" s="481" t="s">
        <v>1987</v>
      </c>
      <c r="D1322" s="481" t="s">
        <v>973</v>
      </c>
      <c r="E1322" s="482">
        <v>1820000</v>
      </c>
      <c r="F1322" s="1088" t="s">
        <v>1988</v>
      </c>
      <c r="G1322" s="572"/>
      <c r="H1322" s="484"/>
      <c r="I1322" s="484"/>
      <c r="J1322" s="493"/>
      <c r="K1322" s="493"/>
    </row>
    <row r="1323" spans="1:11" s="508" customFormat="1">
      <c r="A1323" s="479">
        <v>1174</v>
      </c>
      <c r="B1323" s="1117" t="s">
        <v>1989</v>
      </c>
      <c r="C1323" s="487" t="s">
        <v>1990</v>
      </c>
      <c r="D1323" s="487" t="s">
        <v>973</v>
      </c>
      <c r="E1323" s="474">
        <v>2040000</v>
      </c>
      <c r="F1323" s="1088"/>
      <c r="G1323" s="572"/>
      <c r="H1323" s="484"/>
      <c r="I1323" s="484"/>
      <c r="J1323" s="485"/>
      <c r="K1323" s="485"/>
    </row>
    <row r="1324" spans="1:11" s="478" customFormat="1" ht="15.75" customHeight="1">
      <c r="A1324" s="479">
        <v>1175</v>
      </c>
      <c r="B1324" s="1117"/>
      <c r="C1324" s="487" t="s">
        <v>1991</v>
      </c>
      <c r="D1324" s="487" t="s">
        <v>973</v>
      </c>
      <c r="E1324" s="474">
        <v>2250000</v>
      </c>
      <c r="F1324" s="1088"/>
      <c r="G1324" s="572"/>
      <c r="H1324" s="484"/>
      <c r="I1324" s="484"/>
      <c r="J1324" s="485"/>
      <c r="K1324" s="485"/>
    </row>
    <row r="1325" spans="1:11" s="514" customFormat="1" ht="15.75" customHeight="1">
      <c r="A1325" s="509" t="s">
        <v>1992</v>
      </c>
      <c r="B1325" s="1083" t="s">
        <v>1993</v>
      </c>
      <c r="C1325" s="1083"/>
      <c r="D1325" s="1083"/>
      <c r="E1325" s="1083"/>
      <c r="F1325" s="1141"/>
      <c r="G1325" s="477"/>
      <c r="H1325" s="477"/>
      <c r="I1325" s="477"/>
      <c r="J1325" s="501"/>
      <c r="K1325" s="501"/>
    </row>
    <row r="1326" spans="1:11" s="508" customFormat="1">
      <c r="A1326" s="479">
        <v>1176</v>
      </c>
      <c r="B1326" s="489" t="s">
        <v>1994</v>
      </c>
      <c r="C1326" s="487" t="s">
        <v>1995</v>
      </c>
      <c r="D1326" s="487" t="s">
        <v>16</v>
      </c>
      <c r="E1326" s="474">
        <v>19125</v>
      </c>
      <c r="F1326" s="1140" t="s">
        <v>1996</v>
      </c>
      <c r="G1326" s="572"/>
      <c r="H1326" s="484"/>
      <c r="I1326" s="484"/>
      <c r="J1326" s="485"/>
      <c r="K1326" s="485"/>
    </row>
    <row r="1327" spans="1:11" s="508" customFormat="1">
      <c r="A1327" s="479">
        <v>1177</v>
      </c>
      <c r="B1327" s="489" t="s">
        <v>1997</v>
      </c>
      <c r="C1327" s="487" t="s">
        <v>1998</v>
      </c>
      <c r="D1327" s="487" t="s">
        <v>16</v>
      </c>
      <c r="E1327" s="474">
        <v>25625</v>
      </c>
      <c r="F1327" s="1140"/>
      <c r="G1327" s="572"/>
      <c r="H1327" s="484"/>
      <c r="I1327" s="484"/>
      <c r="J1327" s="485"/>
      <c r="K1327" s="485"/>
    </row>
    <row r="1328" spans="1:11" s="514" customFormat="1" ht="15">
      <c r="A1328" s="509" t="s">
        <v>1999</v>
      </c>
      <c r="B1328" s="1083" t="s">
        <v>2000</v>
      </c>
      <c r="C1328" s="1083"/>
      <c r="D1328" s="1083"/>
      <c r="E1328" s="1083"/>
      <c r="F1328" s="1141"/>
      <c r="G1328" s="477"/>
      <c r="H1328" s="477"/>
      <c r="I1328" s="477"/>
      <c r="J1328" s="501"/>
      <c r="K1328" s="501"/>
    </row>
    <row r="1329" spans="1:11" s="508" customFormat="1" ht="71.25" customHeight="1">
      <c r="A1329" s="479">
        <v>1178</v>
      </c>
      <c r="B1329" s="1120" t="s">
        <v>2001</v>
      </c>
      <c r="C1329" s="1120"/>
      <c r="D1329" s="487" t="s">
        <v>16</v>
      </c>
      <c r="E1329" s="474">
        <v>142000</v>
      </c>
      <c r="F1329" s="1088" t="s">
        <v>2002</v>
      </c>
      <c r="G1329" s="484"/>
      <c r="H1329" s="594"/>
      <c r="I1329" s="594"/>
      <c r="J1329" s="477"/>
      <c r="K1329" s="640"/>
    </row>
    <row r="1330" spans="1:11" s="508" customFormat="1" ht="63" customHeight="1">
      <c r="A1330" s="479">
        <v>1179</v>
      </c>
      <c r="B1330" s="1120" t="s">
        <v>2003</v>
      </c>
      <c r="C1330" s="1120"/>
      <c r="D1330" s="487" t="s">
        <v>16</v>
      </c>
      <c r="E1330" s="474">
        <v>123000</v>
      </c>
      <c r="F1330" s="1088"/>
      <c r="G1330" s="484"/>
      <c r="H1330" s="594"/>
      <c r="I1330" s="594"/>
      <c r="J1330" s="477"/>
      <c r="K1330" s="640"/>
    </row>
    <row r="1331" spans="1:11" s="508" customFormat="1" ht="57" customHeight="1">
      <c r="A1331" s="479">
        <v>1180</v>
      </c>
      <c r="B1331" s="1120" t="s">
        <v>2004</v>
      </c>
      <c r="C1331" s="1120"/>
      <c r="D1331" s="487" t="s">
        <v>16</v>
      </c>
      <c r="E1331" s="474">
        <v>288000</v>
      </c>
      <c r="F1331" s="1088"/>
      <c r="G1331" s="484"/>
      <c r="H1331" s="594"/>
      <c r="I1331" s="594"/>
      <c r="J1331" s="477"/>
      <c r="K1331" s="640"/>
    </row>
    <row r="1332" spans="1:11" s="508" customFormat="1" ht="14">
      <c r="A1332" s="534" t="s">
        <v>2005</v>
      </c>
      <c r="B1332" s="1083" t="s">
        <v>2006</v>
      </c>
      <c r="C1332" s="1083"/>
      <c r="D1332" s="1083"/>
      <c r="E1332" s="1083"/>
      <c r="F1332" s="1141"/>
      <c r="G1332" s="484"/>
      <c r="H1332" s="484"/>
      <c r="I1332" s="484"/>
      <c r="J1332" s="477"/>
      <c r="K1332" s="641"/>
    </row>
    <row r="1333" spans="1:11" s="508" customFormat="1" ht="15">
      <c r="A1333" s="509">
        <v>1</v>
      </c>
      <c r="B1333" s="642" t="s">
        <v>2007</v>
      </c>
      <c r="C1333" s="609"/>
      <c r="D1333" s="487"/>
      <c r="E1333" s="474"/>
      <c r="F1333" s="1099" t="s">
        <v>2008</v>
      </c>
      <c r="G1333" s="484"/>
      <c r="H1333" s="484"/>
      <c r="I1333" s="484"/>
      <c r="J1333" s="477"/>
      <c r="K1333" s="641"/>
    </row>
    <row r="1334" spans="1:11" s="508" customFormat="1" ht="15">
      <c r="A1334" s="509" t="s">
        <v>519</v>
      </c>
      <c r="B1334" s="1143" t="s">
        <v>2009</v>
      </c>
      <c r="C1334" s="1143"/>
      <c r="D1334" s="487"/>
      <c r="E1334" s="474"/>
      <c r="F1334" s="1099"/>
      <c r="G1334" s="484"/>
      <c r="H1334" s="484"/>
      <c r="I1334" s="484"/>
      <c r="J1334" s="477"/>
      <c r="K1334" s="641"/>
    </row>
    <row r="1335" spans="1:11" s="508" customFormat="1" ht="14">
      <c r="A1335" s="479">
        <v>1181</v>
      </c>
      <c r="B1335" s="1142" t="s">
        <v>2010</v>
      </c>
      <c r="C1335" s="1142"/>
      <c r="D1335" s="487" t="s">
        <v>597</v>
      </c>
      <c r="E1335" s="474">
        <v>775000</v>
      </c>
      <c r="F1335" s="1099"/>
      <c r="G1335" s="484"/>
      <c r="H1335" s="474"/>
      <c r="I1335" s="474"/>
      <c r="J1335" s="477"/>
      <c r="K1335" s="641"/>
    </row>
    <row r="1336" spans="1:11" s="508" customFormat="1" ht="14">
      <c r="A1336" s="479">
        <v>1182</v>
      </c>
      <c r="B1336" s="1142" t="s">
        <v>2011</v>
      </c>
      <c r="C1336" s="1142"/>
      <c r="D1336" s="487" t="s">
        <v>597</v>
      </c>
      <c r="E1336" s="474">
        <v>1110000</v>
      </c>
      <c r="F1336" s="1099"/>
      <c r="G1336" s="484"/>
      <c r="H1336" s="474"/>
      <c r="I1336" s="474"/>
      <c r="J1336" s="477"/>
      <c r="K1336" s="641"/>
    </row>
    <row r="1337" spans="1:11" s="508" customFormat="1" ht="14">
      <c r="A1337" s="479">
        <v>1183</v>
      </c>
      <c r="B1337" s="1142" t="s">
        <v>2012</v>
      </c>
      <c r="C1337" s="1142"/>
      <c r="D1337" s="487" t="s">
        <v>597</v>
      </c>
      <c r="E1337" s="474">
        <v>1384000</v>
      </c>
      <c r="F1337" s="1099"/>
      <c r="G1337" s="484"/>
      <c r="H1337" s="474"/>
      <c r="I1337" s="474"/>
      <c r="J1337" s="477"/>
      <c r="K1337" s="641"/>
    </row>
    <row r="1338" spans="1:11" s="508" customFormat="1" ht="14">
      <c r="A1338" s="479">
        <v>1184</v>
      </c>
      <c r="B1338" s="1142" t="s">
        <v>2013</v>
      </c>
      <c r="C1338" s="1142"/>
      <c r="D1338" s="487" t="s">
        <v>597</v>
      </c>
      <c r="E1338" s="474">
        <v>1444000</v>
      </c>
      <c r="F1338" s="1099"/>
      <c r="G1338" s="484"/>
      <c r="H1338" s="474"/>
      <c r="I1338" s="474"/>
      <c r="J1338" s="477"/>
      <c r="K1338" s="641"/>
    </row>
    <row r="1339" spans="1:11" s="508" customFormat="1" ht="14">
      <c r="A1339" s="479">
        <v>1185</v>
      </c>
      <c r="B1339" s="1142" t="s">
        <v>2014</v>
      </c>
      <c r="C1339" s="1142"/>
      <c r="D1339" s="487" t="s">
        <v>597</v>
      </c>
      <c r="E1339" s="474">
        <v>261000</v>
      </c>
      <c r="F1339" s="1099"/>
      <c r="G1339" s="484"/>
      <c r="H1339" s="474"/>
      <c r="I1339" s="474"/>
      <c r="J1339" s="477"/>
      <c r="K1339" s="641"/>
    </row>
    <row r="1340" spans="1:11" s="508" customFormat="1" ht="15">
      <c r="A1340" s="509" t="s">
        <v>536</v>
      </c>
      <c r="B1340" s="1143" t="s">
        <v>2015</v>
      </c>
      <c r="C1340" s="1143"/>
      <c r="D1340" s="487"/>
      <c r="E1340" s="474"/>
      <c r="F1340" s="1099"/>
      <c r="G1340" s="484"/>
      <c r="H1340" s="474"/>
      <c r="I1340" s="474"/>
      <c r="J1340" s="477"/>
      <c r="K1340" s="641"/>
    </row>
    <row r="1341" spans="1:11" s="508" customFormat="1" ht="14">
      <c r="A1341" s="479">
        <v>1186</v>
      </c>
      <c r="B1341" s="1142" t="s">
        <v>2016</v>
      </c>
      <c r="C1341" s="1142"/>
      <c r="D1341" s="487" t="s">
        <v>597</v>
      </c>
      <c r="E1341" s="474">
        <v>1296000</v>
      </c>
      <c r="F1341" s="1099"/>
      <c r="G1341" s="484"/>
      <c r="H1341" s="474"/>
      <c r="I1341" s="474"/>
      <c r="J1341" s="477"/>
      <c r="K1341" s="641"/>
    </row>
    <row r="1342" spans="1:11" s="508" customFormat="1" ht="14">
      <c r="A1342" s="479">
        <v>1187</v>
      </c>
      <c r="B1342" s="1142" t="s">
        <v>2017</v>
      </c>
      <c r="C1342" s="1142"/>
      <c r="D1342" s="487" t="s">
        <v>597</v>
      </c>
      <c r="E1342" s="474">
        <v>1854000</v>
      </c>
      <c r="F1342" s="1099"/>
      <c r="G1342" s="484"/>
      <c r="H1342" s="474"/>
      <c r="I1342" s="474"/>
      <c r="J1342" s="477"/>
      <c r="K1342" s="641"/>
    </row>
    <row r="1343" spans="1:11" s="508" customFormat="1" ht="14">
      <c r="A1343" s="479">
        <v>1188</v>
      </c>
      <c r="B1343" s="1142" t="s">
        <v>2018</v>
      </c>
      <c r="C1343" s="1142"/>
      <c r="D1343" s="487" t="s">
        <v>597</v>
      </c>
      <c r="E1343" s="474">
        <v>2312000</v>
      </c>
      <c r="F1343" s="1099"/>
      <c r="G1343" s="484"/>
      <c r="H1343" s="474"/>
      <c r="I1343" s="474"/>
      <c r="J1343" s="477"/>
      <c r="K1343" s="641"/>
    </row>
    <row r="1344" spans="1:11" s="508" customFormat="1" ht="14">
      <c r="A1344" s="479">
        <v>1189</v>
      </c>
      <c r="B1344" s="1142" t="s">
        <v>2019</v>
      </c>
      <c r="C1344" s="1142"/>
      <c r="D1344" s="487" t="s">
        <v>597</v>
      </c>
      <c r="E1344" s="474">
        <v>2298095</v>
      </c>
      <c r="F1344" s="1099"/>
      <c r="G1344" s="484"/>
      <c r="H1344" s="474"/>
      <c r="I1344" s="474"/>
      <c r="J1344" s="477"/>
      <c r="K1344" s="641"/>
    </row>
    <row r="1345" spans="1:11" s="508" customFormat="1" ht="14">
      <c r="A1345" s="479">
        <v>1190</v>
      </c>
      <c r="B1345" s="1142" t="s">
        <v>2020</v>
      </c>
      <c r="C1345" s="1142"/>
      <c r="D1345" s="487" t="s">
        <v>597</v>
      </c>
      <c r="E1345" s="474">
        <v>415238</v>
      </c>
      <c r="F1345" s="1099"/>
      <c r="G1345" s="484"/>
      <c r="H1345" s="474"/>
      <c r="I1345" s="474"/>
      <c r="J1345" s="477"/>
      <c r="K1345" s="641"/>
    </row>
    <row r="1346" spans="1:11" s="508" customFormat="1" ht="15">
      <c r="A1346" s="509" t="s">
        <v>550</v>
      </c>
      <c r="B1346" s="1143" t="s">
        <v>2021</v>
      </c>
      <c r="C1346" s="1143"/>
      <c r="D1346" s="487"/>
      <c r="E1346" s="474"/>
      <c r="F1346" s="1099"/>
      <c r="G1346" s="484"/>
      <c r="H1346" s="474"/>
      <c r="I1346" s="474"/>
      <c r="J1346" s="477"/>
      <c r="K1346" s="641"/>
    </row>
    <row r="1347" spans="1:11" s="508" customFormat="1" ht="14">
      <c r="A1347" s="479">
        <v>1191</v>
      </c>
      <c r="B1347" s="1142" t="s">
        <v>2022</v>
      </c>
      <c r="C1347" s="1142"/>
      <c r="D1347" s="487" t="s">
        <v>2023</v>
      </c>
      <c r="E1347" s="474">
        <v>935655</v>
      </c>
      <c r="F1347" s="1099"/>
      <c r="G1347" s="484"/>
      <c r="H1347" s="474"/>
      <c r="I1347" s="474"/>
      <c r="J1347" s="477"/>
      <c r="K1347" s="641"/>
    </row>
    <row r="1348" spans="1:11" s="508" customFormat="1" ht="14">
      <c r="A1348" s="479">
        <v>1192</v>
      </c>
      <c r="B1348" s="1142" t="s">
        <v>2024</v>
      </c>
      <c r="C1348" s="1142"/>
      <c r="D1348" s="487" t="s">
        <v>2023</v>
      </c>
      <c r="E1348" s="474">
        <v>993000</v>
      </c>
      <c r="F1348" s="1099"/>
      <c r="G1348" s="484"/>
      <c r="H1348" s="474"/>
      <c r="I1348" s="474"/>
      <c r="J1348" s="477"/>
      <c r="K1348" s="641"/>
    </row>
    <row r="1349" spans="1:11" s="508" customFormat="1" ht="14">
      <c r="A1349" s="479">
        <v>1193</v>
      </c>
      <c r="B1349" s="1142" t="s">
        <v>2025</v>
      </c>
      <c r="C1349" s="1142"/>
      <c r="D1349" s="487" t="s">
        <v>2023</v>
      </c>
      <c r="E1349" s="474">
        <v>1301475</v>
      </c>
      <c r="F1349" s="1099"/>
      <c r="G1349" s="484"/>
      <c r="H1349" s="474"/>
      <c r="I1349" s="474"/>
      <c r="J1349" s="477"/>
      <c r="K1349" s="641"/>
    </row>
    <row r="1350" spans="1:11" s="508" customFormat="1" ht="14">
      <c r="A1350" s="479">
        <v>1194</v>
      </c>
      <c r="B1350" s="1142" t="s">
        <v>2026</v>
      </c>
      <c r="C1350" s="1142"/>
      <c r="D1350" s="487" t="s">
        <v>2023</v>
      </c>
      <c r="E1350" s="474">
        <v>1390920</v>
      </c>
      <c r="F1350" s="1099"/>
      <c r="G1350" s="484"/>
      <c r="H1350" s="474"/>
      <c r="I1350" s="474"/>
      <c r="J1350" s="477"/>
      <c r="K1350" s="641"/>
    </row>
    <row r="1351" spans="1:11" s="508" customFormat="1" ht="15">
      <c r="A1351" s="509" t="s">
        <v>559</v>
      </c>
      <c r="B1351" s="1143" t="s">
        <v>2027</v>
      </c>
      <c r="C1351" s="1143"/>
      <c r="D1351" s="487"/>
      <c r="E1351" s="474"/>
      <c r="F1351" s="1099"/>
      <c r="G1351" s="484"/>
      <c r="H1351" s="474"/>
      <c r="I1351" s="474"/>
      <c r="J1351" s="477"/>
      <c r="K1351" s="641"/>
    </row>
    <row r="1352" spans="1:11" s="508" customFormat="1" ht="14">
      <c r="A1352" s="479">
        <v>1195</v>
      </c>
      <c r="B1352" s="1142" t="s">
        <v>2028</v>
      </c>
      <c r="C1352" s="1142"/>
      <c r="D1352" s="487" t="s">
        <v>2029</v>
      </c>
      <c r="E1352" s="474">
        <v>191000</v>
      </c>
      <c r="F1352" s="1099"/>
      <c r="G1352" s="484"/>
      <c r="H1352" s="474"/>
      <c r="I1352" s="474"/>
      <c r="J1352" s="477"/>
      <c r="K1352" s="641"/>
    </row>
    <row r="1353" spans="1:11" s="508" customFormat="1" ht="14">
      <c r="A1353" s="479">
        <v>1196</v>
      </c>
      <c r="B1353" s="1142" t="s">
        <v>2030</v>
      </c>
      <c r="C1353" s="1142"/>
      <c r="D1353" s="487" t="s">
        <v>2029</v>
      </c>
      <c r="E1353" s="474">
        <v>205020</v>
      </c>
      <c r="F1353" s="1099"/>
      <c r="G1353" s="484"/>
      <c r="H1353" s="474"/>
      <c r="I1353" s="474"/>
      <c r="J1353" s="477"/>
      <c r="K1353" s="641"/>
    </row>
    <row r="1354" spans="1:11" s="508" customFormat="1" ht="14">
      <c r="A1354" s="479">
        <v>1197</v>
      </c>
      <c r="B1354" s="1142" t="s">
        <v>2031</v>
      </c>
      <c r="C1354" s="1142"/>
      <c r="D1354" s="487" t="s">
        <v>2029</v>
      </c>
      <c r="E1354" s="474">
        <v>262305</v>
      </c>
      <c r="F1354" s="1099"/>
      <c r="G1354" s="484"/>
      <c r="H1354" s="474"/>
      <c r="I1354" s="474"/>
      <c r="J1354" s="477"/>
      <c r="K1354" s="641"/>
    </row>
    <row r="1355" spans="1:11" s="508" customFormat="1" ht="14">
      <c r="A1355" s="479">
        <v>1198</v>
      </c>
      <c r="B1355" s="1142" t="s">
        <v>2032</v>
      </c>
      <c r="C1355" s="1142"/>
      <c r="D1355" s="487" t="s">
        <v>2029</v>
      </c>
      <c r="E1355" s="474">
        <v>278000</v>
      </c>
      <c r="F1355" s="1099"/>
      <c r="G1355" s="484"/>
      <c r="H1355" s="474"/>
      <c r="I1355" s="474"/>
      <c r="J1355" s="477"/>
      <c r="K1355" s="641"/>
    </row>
    <row r="1356" spans="1:11" s="508" customFormat="1" ht="14">
      <c r="A1356" s="479">
        <v>1199</v>
      </c>
      <c r="B1356" s="1142" t="s">
        <v>2033</v>
      </c>
      <c r="C1356" s="1142"/>
      <c r="D1356" s="487" t="s">
        <v>2029</v>
      </c>
      <c r="E1356" s="474">
        <v>341700</v>
      </c>
      <c r="F1356" s="1099"/>
      <c r="G1356" s="484"/>
      <c r="H1356" s="474"/>
      <c r="I1356" s="474"/>
      <c r="J1356" s="477"/>
      <c r="K1356" s="641"/>
    </row>
    <row r="1357" spans="1:11" s="508" customFormat="1" ht="14">
      <c r="A1357" s="479">
        <v>1200</v>
      </c>
      <c r="B1357" s="1142" t="s">
        <v>2034</v>
      </c>
      <c r="C1357" s="1142"/>
      <c r="D1357" s="487" t="s">
        <v>2029</v>
      </c>
      <c r="E1357" s="474">
        <v>65000</v>
      </c>
      <c r="F1357" s="1099"/>
      <c r="G1357" s="484"/>
      <c r="H1357" s="474"/>
      <c r="I1357" s="474"/>
      <c r="J1357" s="477"/>
      <c r="K1357" s="641"/>
    </row>
    <row r="1358" spans="1:11" s="508" customFormat="1" ht="15">
      <c r="A1358" s="509" t="s">
        <v>567</v>
      </c>
      <c r="B1358" s="1143" t="s">
        <v>2035</v>
      </c>
      <c r="C1358" s="1143"/>
      <c r="D1358" s="487"/>
      <c r="E1358" s="474"/>
      <c r="F1358" s="1099"/>
      <c r="G1358" s="484"/>
      <c r="H1358" s="474"/>
      <c r="I1358" s="474"/>
      <c r="J1358" s="477"/>
      <c r="K1358" s="641"/>
    </row>
    <row r="1359" spans="1:11" s="508" customFormat="1" ht="14">
      <c r="A1359" s="479">
        <v>1201</v>
      </c>
      <c r="B1359" s="1142" t="s">
        <v>2036</v>
      </c>
      <c r="C1359" s="1142"/>
      <c r="D1359" s="487" t="s">
        <v>819</v>
      </c>
      <c r="E1359" s="474">
        <v>13000</v>
      </c>
      <c r="F1359" s="1099"/>
      <c r="G1359" s="484"/>
      <c r="H1359" s="474"/>
      <c r="I1359" s="474"/>
      <c r="J1359" s="477"/>
      <c r="K1359" s="641"/>
    </row>
    <row r="1360" spans="1:11" s="508" customFormat="1" ht="14">
      <c r="A1360" s="479">
        <v>1202</v>
      </c>
      <c r="B1360" s="1142" t="s">
        <v>2037</v>
      </c>
      <c r="C1360" s="1142"/>
      <c r="D1360" s="487" t="s">
        <v>819</v>
      </c>
      <c r="E1360" s="474">
        <v>39000</v>
      </c>
      <c r="F1360" s="1099"/>
      <c r="G1360" s="484"/>
      <c r="H1360" s="474"/>
      <c r="I1360" s="474"/>
      <c r="J1360" s="477"/>
      <c r="K1360" s="641"/>
    </row>
    <row r="1361" spans="1:11" s="508" customFormat="1" ht="14">
      <c r="A1361" s="479">
        <v>1203</v>
      </c>
      <c r="B1361" s="1142" t="s">
        <v>2038</v>
      </c>
      <c r="C1361" s="1142"/>
      <c r="D1361" s="487" t="s">
        <v>819</v>
      </c>
      <c r="E1361" s="474">
        <v>41000</v>
      </c>
      <c r="F1361" s="1099"/>
      <c r="G1361" s="484"/>
      <c r="H1361" s="474"/>
      <c r="I1361" s="474"/>
      <c r="J1361" s="477"/>
      <c r="K1361" s="641"/>
    </row>
    <row r="1362" spans="1:11" s="508" customFormat="1" ht="14">
      <c r="A1362" s="479">
        <v>1204</v>
      </c>
      <c r="B1362" s="1142" t="s">
        <v>2039</v>
      </c>
      <c r="C1362" s="1142"/>
      <c r="D1362" s="487" t="s">
        <v>819</v>
      </c>
      <c r="E1362" s="474">
        <v>46000</v>
      </c>
      <c r="F1362" s="1099"/>
      <c r="G1362" s="484"/>
      <c r="H1362" s="474"/>
      <c r="I1362" s="474"/>
      <c r="J1362" s="477"/>
      <c r="K1362" s="641"/>
    </row>
    <row r="1363" spans="1:11" s="508" customFormat="1" ht="15">
      <c r="A1363" s="509" t="s">
        <v>618</v>
      </c>
      <c r="B1363" s="1143" t="s">
        <v>2040</v>
      </c>
      <c r="C1363" s="1143"/>
      <c r="D1363" s="487"/>
      <c r="E1363" s="474"/>
      <c r="F1363" s="1099"/>
      <c r="G1363" s="484"/>
      <c r="H1363" s="474"/>
      <c r="I1363" s="474"/>
      <c r="J1363" s="477"/>
      <c r="K1363" s="641"/>
    </row>
    <row r="1364" spans="1:11" s="508" customFormat="1" ht="14">
      <c r="A1364" s="479">
        <v>1205</v>
      </c>
      <c r="B1364" s="1142" t="s">
        <v>2041</v>
      </c>
      <c r="C1364" s="1142"/>
      <c r="D1364" s="487" t="s">
        <v>973</v>
      </c>
      <c r="E1364" s="474">
        <v>7200</v>
      </c>
      <c r="F1364" s="1099"/>
      <c r="G1364" s="484"/>
      <c r="H1364" s="474"/>
      <c r="I1364" s="474"/>
      <c r="J1364" s="477"/>
      <c r="K1364" s="641"/>
    </row>
    <row r="1365" spans="1:11" s="508" customFormat="1" ht="14">
      <c r="A1365" s="479">
        <v>1206</v>
      </c>
      <c r="B1365" s="1142" t="s">
        <v>2042</v>
      </c>
      <c r="C1365" s="1142"/>
      <c r="D1365" s="487" t="s">
        <v>973</v>
      </c>
      <c r="E1365" s="474">
        <v>16500</v>
      </c>
      <c r="F1365" s="1099"/>
      <c r="G1365" s="484"/>
      <c r="H1365" s="474"/>
      <c r="I1365" s="474"/>
      <c r="J1365" s="477"/>
      <c r="K1365" s="641"/>
    </row>
    <row r="1366" spans="1:11" s="508" customFormat="1" ht="14">
      <c r="A1366" s="479">
        <v>1207</v>
      </c>
      <c r="B1366" s="1142" t="s">
        <v>2043</v>
      </c>
      <c r="C1366" s="1142"/>
      <c r="D1366" s="487" t="s">
        <v>973</v>
      </c>
      <c r="E1366" s="474">
        <v>28800</v>
      </c>
      <c r="F1366" s="1099"/>
      <c r="G1366" s="484"/>
      <c r="H1366" s="474"/>
      <c r="I1366" s="474"/>
      <c r="J1366" s="477"/>
      <c r="K1366" s="641"/>
    </row>
    <row r="1367" spans="1:11" s="508" customFormat="1" ht="14">
      <c r="A1367" s="479">
        <v>1208</v>
      </c>
      <c r="B1367" s="1142" t="s">
        <v>2044</v>
      </c>
      <c r="C1367" s="1142"/>
      <c r="D1367" s="487" t="s">
        <v>973</v>
      </c>
      <c r="E1367" s="474">
        <v>33600</v>
      </c>
      <c r="F1367" s="1099"/>
      <c r="G1367" s="484"/>
      <c r="H1367" s="474"/>
      <c r="I1367" s="474"/>
      <c r="J1367" s="477"/>
      <c r="K1367" s="641"/>
    </row>
    <row r="1368" spans="1:11" s="508" customFormat="1" ht="14">
      <c r="A1368" s="479">
        <v>1209</v>
      </c>
      <c r="B1368" s="1142" t="s">
        <v>2045</v>
      </c>
      <c r="C1368" s="1142"/>
      <c r="D1368" s="487" t="s">
        <v>973</v>
      </c>
      <c r="E1368" s="474">
        <v>36000</v>
      </c>
      <c r="F1368" s="1099"/>
      <c r="G1368" s="484"/>
      <c r="H1368" s="474"/>
      <c r="I1368" s="474"/>
      <c r="J1368" s="477"/>
      <c r="K1368" s="641"/>
    </row>
    <row r="1369" spans="1:11" s="508" customFormat="1" ht="15">
      <c r="A1369" s="509">
        <v>2</v>
      </c>
      <c r="B1369" s="1143" t="s">
        <v>2046</v>
      </c>
      <c r="C1369" s="1143"/>
      <c r="D1369" s="1143"/>
      <c r="E1369" s="474"/>
      <c r="F1369" s="1099"/>
      <c r="G1369" s="484"/>
      <c r="H1369" s="474"/>
      <c r="I1369" s="474"/>
      <c r="J1369" s="477"/>
      <c r="K1369" s="641"/>
    </row>
    <row r="1370" spans="1:11" s="508" customFormat="1" ht="14">
      <c r="A1370" s="479">
        <v>1210</v>
      </c>
      <c r="B1370" s="1142" t="s">
        <v>2047</v>
      </c>
      <c r="C1370" s="1142"/>
      <c r="D1370" s="487" t="s">
        <v>439</v>
      </c>
      <c r="E1370" s="474">
        <v>37000</v>
      </c>
      <c r="F1370" s="1099"/>
      <c r="G1370" s="484"/>
      <c r="H1370" s="474"/>
      <c r="I1370" s="474"/>
      <c r="J1370" s="477"/>
      <c r="K1370" s="641"/>
    </row>
    <row r="1371" spans="1:11" s="508" customFormat="1" ht="15">
      <c r="A1371" s="509">
        <v>3</v>
      </c>
      <c r="B1371" s="1143" t="s">
        <v>2048</v>
      </c>
      <c r="C1371" s="1143"/>
      <c r="D1371" s="487"/>
      <c r="E1371" s="474"/>
      <c r="F1371" s="1099"/>
      <c r="G1371" s="484"/>
      <c r="H1371" s="474"/>
      <c r="I1371" s="474"/>
      <c r="J1371" s="477"/>
      <c r="K1371" s="641"/>
    </row>
    <row r="1372" spans="1:11" s="508" customFormat="1" ht="14">
      <c r="A1372" s="479">
        <v>1211</v>
      </c>
      <c r="B1372" s="1142" t="s">
        <v>2048</v>
      </c>
      <c r="C1372" s="1142"/>
      <c r="D1372" s="487" t="s">
        <v>439</v>
      </c>
      <c r="E1372" s="474">
        <v>10000</v>
      </c>
      <c r="F1372" s="1099"/>
      <c r="G1372" s="484"/>
      <c r="H1372" s="474"/>
      <c r="I1372" s="474"/>
      <c r="J1372" s="477"/>
      <c r="K1372" s="641"/>
    </row>
    <row r="1373" spans="1:11" s="508" customFormat="1" ht="15">
      <c r="A1373" s="509">
        <v>4</v>
      </c>
      <c r="B1373" s="1143" t="s">
        <v>2049</v>
      </c>
      <c r="C1373" s="1143"/>
      <c r="D1373" s="487"/>
      <c r="E1373" s="474"/>
      <c r="F1373" s="1099"/>
      <c r="G1373" s="484"/>
      <c r="H1373" s="474"/>
      <c r="I1373" s="474"/>
      <c r="J1373" s="477"/>
      <c r="K1373" s="641"/>
    </row>
    <row r="1374" spans="1:11" s="508" customFormat="1" ht="14">
      <c r="A1374" s="479">
        <v>1212</v>
      </c>
      <c r="B1374" s="1144" t="s">
        <v>2050</v>
      </c>
      <c r="C1374" s="1144"/>
      <c r="D1374" s="487" t="s">
        <v>2051</v>
      </c>
      <c r="E1374" s="474">
        <v>496000</v>
      </c>
      <c r="F1374" s="1099"/>
      <c r="G1374" s="484"/>
      <c r="H1374" s="474"/>
      <c r="I1374" s="474"/>
      <c r="J1374" s="477"/>
      <c r="K1374" s="641"/>
    </row>
    <row r="1375" spans="1:11" s="508" customFormat="1" ht="14">
      <c r="A1375" s="479">
        <v>1213</v>
      </c>
      <c r="B1375" s="1144" t="s">
        <v>2052</v>
      </c>
      <c r="C1375" s="1144"/>
      <c r="D1375" s="487" t="s">
        <v>2051</v>
      </c>
      <c r="E1375" s="474">
        <v>768000</v>
      </c>
      <c r="F1375" s="1099"/>
      <c r="G1375" s="484"/>
      <c r="H1375" s="474"/>
      <c r="I1375" s="474"/>
      <c r="J1375" s="477"/>
      <c r="K1375" s="641"/>
    </row>
    <row r="1376" spans="1:11" s="508" customFormat="1" ht="14">
      <c r="A1376" s="479">
        <v>1214</v>
      </c>
      <c r="B1376" s="1144" t="s">
        <v>2053</v>
      </c>
      <c r="C1376" s="1144"/>
      <c r="D1376" s="487" t="s">
        <v>2051</v>
      </c>
      <c r="E1376" s="474">
        <v>745000</v>
      </c>
      <c r="F1376" s="1099"/>
      <c r="G1376" s="484"/>
      <c r="H1376" s="474"/>
      <c r="I1376" s="474"/>
      <c r="J1376" s="477"/>
      <c r="K1376" s="641"/>
    </row>
    <row r="1377" spans="1:11" s="508" customFormat="1" ht="14">
      <c r="A1377" s="479">
        <v>1215</v>
      </c>
      <c r="B1377" s="1144" t="s">
        <v>2054</v>
      </c>
      <c r="C1377" s="1144"/>
      <c r="D1377" s="487" t="s">
        <v>2051</v>
      </c>
      <c r="E1377" s="474">
        <v>1204000</v>
      </c>
      <c r="F1377" s="1099"/>
      <c r="G1377" s="484"/>
      <c r="H1377" s="474"/>
      <c r="I1377" s="474"/>
      <c r="J1377" s="477"/>
      <c r="K1377" s="641"/>
    </row>
    <row r="1378" spans="1:11" s="508" customFormat="1" ht="15">
      <c r="A1378" s="509">
        <v>5</v>
      </c>
      <c r="B1378" s="1143" t="s">
        <v>2049</v>
      </c>
      <c r="C1378" s="1143"/>
      <c r="D1378" s="487"/>
      <c r="E1378" s="474"/>
      <c r="F1378" s="1099"/>
      <c r="G1378" s="484"/>
      <c r="H1378" s="474"/>
      <c r="I1378" s="474"/>
      <c r="J1378" s="477"/>
      <c r="K1378" s="641"/>
    </row>
    <row r="1379" spans="1:11" s="508" customFormat="1" ht="14">
      <c r="A1379" s="479">
        <v>1216</v>
      </c>
      <c r="B1379" s="1144" t="s">
        <v>2055</v>
      </c>
      <c r="C1379" s="1144"/>
      <c r="D1379" s="487" t="s">
        <v>585</v>
      </c>
      <c r="E1379" s="474">
        <v>1651000</v>
      </c>
      <c r="F1379" s="1099"/>
      <c r="G1379" s="484"/>
      <c r="H1379" s="474"/>
      <c r="I1379" s="474"/>
      <c r="J1379" s="477"/>
      <c r="K1379" s="641"/>
    </row>
    <row r="1380" spans="1:11" s="508" customFormat="1" ht="24.75" customHeight="1">
      <c r="A1380" s="479">
        <v>1217</v>
      </c>
      <c r="B1380" s="1144" t="s">
        <v>2056</v>
      </c>
      <c r="C1380" s="1144"/>
      <c r="D1380" s="487" t="s">
        <v>585</v>
      </c>
      <c r="E1380" s="474">
        <v>2066000</v>
      </c>
      <c r="F1380" s="1099"/>
      <c r="G1380" s="484"/>
      <c r="H1380" s="474"/>
      <c r="I1380" s="474"/>
      <c r="J1380" s="477"/>
      <c r="K1380" s="641"/>
    </row>
    <row r="1381" spans="1:11" s="508" customFormat="1" ht="15">
      <c r="A1381" s="509">
        <v>6</v>
      </c>
      <c r="B1381" s="1143" t="s">
        <v>2057</v>
      </c>
      <c r="C1381" s="1143"/>
      <c r="D1381" s="1143"/>
      <c r="E1381" s="1143"/>
      <c r="F1381" s="1099"/>
      <c r="G1381" s="484"/>
      <c r="H1381" s="643"/>
      <c r="I1381" s="643"/>
      <c r="J1381" s="477"/>
      <c r="K1381" s="641"/>
    </row>
    <row r="1382" spans="1:11" s="508" customFormat="1" ht="14">
      <c r="A1382" s="479">
        <v>1218</v>
      </c>
      <c r="B1382" s="1142" t="s">
        <v>2058</v>
      </c>
      <c r="C1382" s="1142"/>
      <c r="D1382" s="487" t="s">
        <v>699</v>
      </c>
      <c r="E1382" s="474">
        <v>118000</v>
      </c>
      <c r="F1382" s="1099"/>
      <c r="G1382" s="484"/>
      <c r="H1382" s="474"/>
      <c r="I1382" s="474"/>
      <c r="J1382" s="477"/>
      <c r="K1382" s="641"/>
    </row>
    <row r="1383" spans="1:11" s="508" customFormat="1" ht="14">
      <c r="A1383" s="479">
        <v>1219</v>
      </c>
      <c r="B1383" s="1142" t="s">
        <v>2059</v>
      </c>
      <c r="C1383" s="1142"/>
      <c r="D1383" s="487" t="s">
        <v>699</v>
      </c>
      <c r="E1383" s="474">
        <v>142000</v>
      </c>
      <c r="F1383" s="1099"/>
      <c r="G1383" s="484"/>
      <c r="H1383" s="474"/>
      <c r="I1383" s="474"/>
      <c r="J1383" s="477"/>
      <c r="K1383" s="641"/>
    </row>
    <row r="1384" spans="1:11" s="508" customFormat="1" ht="14">
      <c r="A1384" s="479">
        <v>1220</v>
      </c>
      <c r="B1384" s="1142" t="s">
        <v>2060</v>
      </c>
      <c r="C1384" s="1142"/>
      <c r="D1384" s="487" t="s">
        <v>699</v>
      </c>
      <c r="E1384" s="474">
        <v>182000</v>
      </c>
      <c r="F1384" s="1099"/>
      <c r="G1384" s="484"/>
      <c r="H1384" s="474"/>
      <c r="I1384" s="474"/>
      <c r="J1384" s="477"/>
      <c r="K1384" s="641"/>
    </row>
    <row r="1385" spans="1:11" s="508" customFormat="1" ht="15">
      <c r="A1385" s="509">
        <v>7</v>
      </c>
      <c r="B1385" s="1143" t="s">
        <v>2061</v>
      </c>
      <c r="C1385" s="1143"/>
      <c r="D1385" s="487"/>
      <c r="E1385" s="474"/>
      <c r="F1385" s="1099"/>
      <c r="G1385" s="484"/>
      <c r="H1385" s="474"/>
      <c r="I1385" s="474"/>
      <c r="J1385" s="477"/>
      <c r="K1385" s="641"/>
    </row>
    <row r="1386" spans="1:11" s="508" customFormat="1" ht="14">
      <c r="A1386" s="479">
        <v>1221</v>
      </c>
      <c r="B1386" s="1142" t="s">
        <v>2062</v>
      </c>
      <c r="C1386" s="1142"/>
      <c r="D1386" s="487" t="s">
        <v>819</v>
      </c>
      <c r="E1386" s="474">
        <v>5693000</v>
      </c>
      <c r="F1386" s="1099"/>
      <c r="G1386" s="484"/>
      <c r="H1386" s="474"/>
      <c r="I1386" s="474"/>
      <c r="J1386" s="477"/>
      <c r="K1386" s="641"/>
    </row>
    <row r="1387" spans="1:11" s="508" customFormat="1" ht="14">
      <c r="A1387" s="479">
        <v>1222</v>
      </c>
      <c r="B1387" s="1142" t="s">
        <v>2063</v>
      </c>
      <c r="C1387" s="1142"/>
      <c r="D1387" s="487" t="s">
        <v>819</v>
      </c>
      <c r="E1387" s="474">
        <v>7068000</v>
      </c>
      <c r="F1387" s="1099"/>
      <c r="G1387" s="484"/>
      <c r="H1387" s="474"/>
      <c r="I1387" s="474"/>
      <c r="J1387" s="477"/>
      <c r="K1387" s="641"/>
    </row>
    <row r="1388" spans="1:11" s="508" customFormat="1" ht="15">
      <c r="A1388" s="509">
        <v>8</v>
      </c>
      <c r="B1388" s="1143" t="s">
        <v>2064</v>
      </c>
      <c r="C1388" s="1143"/>
      <c r="D1388" s="487"/>
      <c r="E1388" s="474"/>
      <c r="F1388" s="1099"/>
      <c r="G1388" s="484"/>
      <c r="H1388" s="474"/>
      <c r="I1388" s="474"/>
      <c r="J1388" s="477"/>
      <c r="K1388" s="641"/>
    </row>
    <row r="1389" spans="1:11" s="508" customFormat="1" ht="14">
      <c r="A1389" s="479">
        <v>1223</v>
      </c>
      <c r="B1389" s="1142" t="s">
        <v>2065</v>
      </c>
      <c r="C1389" s="1142"/>
      <c r="D1389" s="487" t="s">
        <v>439</v>
      </c>
      <c r="E1389" s="474">
        <v>24400</v>
      </c>
      <c r="F1389" s="1099"/>
      <c r="G1389" s="484"/>
      <c r="H1389" s="474"/>
      <c r="I1389" s="474"/>
      <c r="J1389" s="477"/>
      <c r="K1389" s="641"/>
    </row>
    <row r="1390" spans="1:11" s="508" customFormat="1" ht="14">
      <c r="A1390" s="479">
        <v>1224</v>
      </c>
      <c r="B1390" s="1142" t="s">
        <v>2066</v>
      </c>
      <c r="C1390" s="1142"/>
      <c r="D1390" s="487" t="s">
        <v>439</v>
      </c>
      <c r="E1390" s="474">
        <v>26700</v>
      </c>
      <c r="F1390" s="1099"/>
      <c r="G1390" s="484"/>
      <c r="H1390" s="474"/>
      <c r="I1390" s="474"/>
      <c r="J1390" s="477"/>
      <c r="K1390" s="641"/>
    </row>
    <row r="1391" spans="1:11" s="508" customFormat="1" ht="14">
      <c r="A1391" s="479">
        <v>1225</v>
      </c>
      <c r="B1391" s="1142" t="s">
        <v>2067</v>
      </c>
      <c r="C1391" s="1142"/>
      <c r="D1391" s="487" t="s">
        <v>439</v>
      </c>
      <c r="E1391" s="474">
        <v>82400</v>
      </c>
      <c r="F1391" s="1099"/>
      <c r="G1391" s="484"/>
      <c r="H1391" s="474"/>
      <c r="I1391" s="474"/>
      <c r="J1391" s="477"/>
      <c r="K1391" s="641"/>
    </row>
    <row r="1392" spans="1:11" s="508" customFormat="1" ht="14">
      <c r="A1392" s="479">
        <v>1226</v>
      </c>
      <c r="B1392" s="1142" t="s">
        <v>2068</v>
      </c>
      <c r="C1392" s="1142"/>
      <c r="D1392" s="487" t="s">
        <v>439</v>
      </c>
      <c r="E1392" s="474">
        <v>24400</v>
      </c>
      <c r="F1392" s="1099"/>
      <c r="G1392" s="484"/>
      <c r="H1392" s="474"/>
      <c r="I1392" s="474"/>
      <c r="J1392" s="477"/>
      <c r="K1392" s="641"/>
    </row>
    <row r="1393" spans="1:11" s="508" customFormat="1">
      <c r="A1393" s="534" t="s">
        <v>2069</v>
      </c>
      <c r="B1393" s="1083" t="s">
        <v>2070</v>
      </c>
      <c r="C1393" s="1083"/>
      <c r="D1393" s="1083"/>
      <c r="E1393" s="1083"/>
      <c r="F1393" s="1141"/>
      <c r="G1393" s="477"/>
      <c r="H1393" s="474"/>
      <c r="I1393" s="477"/>
      <c r="J1393" s="485"/>
      <c r="K1393" s="478"/>
    </row>
    <row r="1394" spans="1:11" s="508" customFormat="1" ht="15.75" customHeight="1">
      <c r="A1394" s="534" t="s">
        <v>367</v>
      </c>
      <c r="B1394" s="1101" t="s">
        <v>2071</v>
      </c>
      <c r="C1394" s="1101"/>
      <c r="D1394" s="1101"/>
      <c r="E1394" s="1101"/>
      <c r="F1394" s="503"/>
      <c r="G1394" s="484"/>
      <c r="H1394" s="484"/>
      <c r="I1394" s="484"/>
      <c r="J1394" s="485"/>
      <c r="K1394" s="478"/>
    </row>
    <row r="1395" spans="1:11" s="508" customFormat="1">
      <c r="A1395" s="479">
        <v>1227</v>
      </c>
      <c r="B1395" s="489" t="s">
        <v>2072</v>
      </c>
      <c r="C1395" s="487" t="s">
        <v>438</v>
      </c>
      <c r="D1395" s="487" t="s">
        <v>439</v>
      </c>
      <c r="E1395" s="474">
        <v>1400</v>
      </c>
      <c r="F1395" s="504" t="s">
        <v>2073</v>
      </c>
      <c r="G1395" s="484"/>
      <c r="H1395" s="484"/>
      <c r="I1395" s="484"/>
      <c r="J1395" s="485"/>
      <c r="K1395" s="485"/>
    </row>
    <row r="1396" spans="1:11" s="508" customFormat="1">
      <c r="A1396" s="479">
        <v>1228</v>
      </c>
      <c r="B1396" s="489" t="s">
        <v>2074</v>
      </c>
      <c r="C1396" s="487"/>
      <c r="D1396" s="487" t="s">
        <v>439</v>
      </c>
      <c r="E1396" s="474">
        <v>13000</v>
      </c>
      <c r="F1396" s="1088" t="s">
        <v>2075</v>
      </c>
      <c r="G1396" s="484"/>
      <c r="H1396" s="484"/>
      <c r="I1396" s="484"/>
      <c r="J1396" s="485"/>
      <c r="K1396" s="485"/>
    </row>
    <row r="1397" spans="1:11" s="508" customFormat="1">
      <c r="A1397" s="479">
        <v>1229</v>
      </c>
      <c r="B1397" s="489" t="s">
        <v>2076</v>
      </c>
      <c r="C1397" s="487"/>
      <c r="D1397" s="487" t="s">
        <v>699</v>
      </c>
      <c r="E1397" s="474">
        <v>40000</v>
      </c>
      <c r="F1397" s="1088"/>
      <c r="G1397" s="484"/>
      <c r="H1397" s="484"/>
      <c r="I1397" s="484"/>
      <c r="J1397" s="485"/>
      <c r="K1397" s="485"/>
    </row>
    <row r="1398" spans="1:11" s="508" customFormat="1">
      <c r="A1398" s="479">
        <v>1230</v>
      </c>
      <c r="B1398" s="489" t="s">
        <v>2077</v>
      </c>
      <c r="C1398" s="487"/>
      <c r="D1398" s="487" t="s">
        <v>699</v>
      </c>
      <c r="E1398" s="474">
        <v>18000</v>
      </c>
      <c r="F1398" s="1088"/>
      <c r="G1398" s="484"/>
      <c r="H1398" s="484"/>
      <c r="I1398" s="484"/>
      <c r="J1398" s="477"/>
      <c r="K1398" s="485"/>
    </row>
    <row r="1399" spans="1:11" s="478" customFormat="1">
      <c r="A1399" s="479">
        <v>1231</v>
      </c>
      <c r="B1399" s="489" t="s">
        <v>2078</v>
      </c>
      <c r="C1399" s="487" t="s">
        <v>2079</v>
      </c>
      <c r="D1399" s="487" t="s">
        <v>503</v>
      </c>
      <c r="E1399" s="474">
        <v>1250</v>
      </c>
      <c r="F1399" s="1088" t="s">
        <v>2080</v>
      </c>
      <c r="G1399" s="484"/>
      <c r="H1399" s="484"/>
      <c r="I1399" s="484"/>
      <c r="J1399" s="485"/>
      <c r="K1399" s="485"/>
    </row>
    <row r="1400" spans="1:11" s="478" customFormat="1">
      <c r="A1400" s="479">
        <v>1232</v>
      </c>
      <c r="B1400" s="489" t="s">
        <v>2081</v>
      </c>
      <c r="C1400" s="487" t="s">
        <v>502</v>
      </c>
      <c r="D1400" s="487" t="s">
        <v>503</v>
      </c>
      <c r="E1400" s="474">
        <v>1450</v>
      </c>
      <c r="F1400" s="1088"/>
      <c r="G1400" s="484"/>
      <c r="H1400" s="484"/>
      <c r="I1400" s="484"/>
      <c r="J1400" s="485"/>
      <c r="K1400" s="485"/>
    </row>
    <row r="1401" spans="1:11" s="508" customFormat="1">
      <c r="A1401" s="479">
        <v>1233</v>
      </c>
      <c r="B1401" s="489" t="s">
        <v>2082</v>
      </c>
      <c r="C1401" s="487" t="s">
        <v>509</v>
      </c>
      <c r="D1401" s="487" t="s">
        <v>503</v>
      </c>
      <c r="E1401" s="474">
        <v>1650</v>
      </c>
      <c r="F1401" s="1088"/>
      <c r="G1401" s="484"/>
      <c r="H1401" s="484"/>
      <c r="I1401" s="484"/>
      <c r="J1401" s="644"/>
      <c r="K1401" s="485"/>
    </row>
    <row r="1402" spans="1:11" s="508" customFormat="1">
      <c r="A1402" s="479">
        <v>1234</v>
      </c>
      <c r="B1402" s="489" t="s">
        <v>2083</v>
      </c>
      <c r="C1402" s="487" t="s">
        <v>2084</v>
      </c>
      <c r="D1402" s="487" t="s">
        <v>503</v>
      </c>
      <c r="E1402" s="474">
        <v>1850</v>
      </c>
      <c r="F1402" s="1088"/>
      <c r="G1402" s="484"/>
      <c r="H1402" s="484"/>
      <c r="I1402" s="484"/>
      <c r="J1402" s="644"/>
      <c r="K1402" s="485"/>
    </row>
    <row r="1403" spans="1:11" s="508" customFormat="1">
      <c r="A1403" s="479">
        <v>1235</v>
      </c>
      <c r="B1403" s="489" t="s">
        <v>2085</v>
      </c>
      <c r="C1403" s="487" t="s">
        <v>511</v>
      </c>
      <c r="D1403" s="487" t="s">
        <v>503</v>
      </c>
      <c r="E1403" s="474">
        <v>2350</v>
      </c>
      <c r="F1403" s="1088"/>
      <c r="G1403" s="484"/>
      <c r="H1403" s="484"/>
      <c r="I1403" s="484"/>
      <c r="J1403" s="644"/>
      <c r="K1403" s="485"/>
    </row>
    <row r="1404" spans="1:11" s="508" customFormat="1">
      <c r="A1404" s="479">
        <v>1236</v>
      </c>
      <c r="B1404" s="489" t="s">
        <v>2086</v>
      </c>
      <c r="C1404" s="487" t="s">
        <v>515</v>
      </c>
      <c r="D1404" s="487" t="s">
        <v>503</v>
      </c>
      <c r="E1404" s="474">
        <v>2550</v>
      </c>
      <c r="F1404" s="1088"/>
      <c r="G1404" s="484"/>
      <c r="H1404" s="484"/>
      <c r="I1404" s="484"/>
      <c r="J1404" s="501"/>
      <c r="K1404" s="485"/>
    </row>
    <row r="1405" spans="1:11" s="514" customFormat="1">
      <c r="A1405" s="479">
        <v>1237</v>
      </c>
      <c r="B1405" s="489" t="s">
        <v>2087</v>
      </c>
      <c r="C1405" s="487" t="s">
        <v>2079</v>
      </c>
      <c r="D1405" s="487" t="s">
        <v>503</v>
      </c>
      <c r="E1405" s="474">
        <v>2150</v>
      </c>
      <c r="F1405" s="1088"/>
      <c r="G1405" s="484"/>
      <c r="H1405" s="484"/>
      <c r="I1405" s="484"/>
      <c r="J1405" s="501"/>
      <c r="K1405" s="485"/>
    </row>
    <row r="1406" spans="1:11" s="508" customFormat="1" ht="15.75" customHeight="1">
      <c r="A1406" s="479">
        <v>1238</v>
      </c>
      <c r="B1406" s="489" t="s">
        <v>2088</v>
      </c>
      <c r="C1406" s="487" t="s">
        <v>2089</v>
      </c>
      <c r="D1406" s="487" t="s">
        <v>503</v>
      </c>
      <c r="E1406" s="474">
        <v>1250</v>
      </c>
      <c r="F1406" s="1088"/>
      <c r="G1406" s="484"/>
      <c r="H1406" s="484"/>
      <c r="I1406" s="477"/>
      <c r="J1406" s="501"/>
      <c r="K1406" s="485"/>
    </row>
    <row r="1407" spans="1:11" s="508" customFormat="1">
      <c r="A1407" s="479">
        <v>1239</v>
      </c>
      <c r="B1407" s="489" t="s">
        <v>2088</v>
      </c>
      <c r="C1407" s="487" t="s">
        <v>2090</v>
      </c>
      <c r="D1407" s="487" t="s">
        <v>503</v>
      </c>
      <c r="E1407" s="474">
        <v>3500</v>
      </c>
      <c r="F1407" s="1088"/>
      <c r="G1407" s="484"/>
      <c r="H1407" s="484"/>
      <c r="I1407" s="477"/>
      <c r="J1407" s="501"/>
      <c r="K1407" s="485"/>
    </row>
    <row r="1408" spans="1:11" s="508" customFormat="1">
      <c r="A1408" s="479">
        <v>1240</v>
      </c>
      <c r="B1408" s="489" t="s">
        <v>2091</v>
      </c>
      <c r="C1408" s="487" t="s">
        <v>2090</v>
      </c>
      <c r="D1408" s="487" t="s">
        <v>503</v>
      </c>
      <c r="E1408" s="474">
        <v>2500</v>
      </c>
      <c r="F1408" s="1088"/>
      <c r="G1408" s="484"/>
      <c r="H1408" s="484"/>
      <c r="I1408" s="477"/>
      <c r="J1408" s="501"/>
      <c r="K1408" s="485"/>
    </row>
    <row r="1409" spans="1:11" s="508" customFormat="1">
      <c r="A1409" s="479">
        <v>1241</v>
      </c>
      <c r="B1409" s="489" t="s">
        <v>2092</v>
      </c>
      <c r="C1409" s="487" t="s">
        <v>2093</v>
      </c>
      <c r="D1409" s="487" t="s">
        <v>503</v>
      </c>
      <c r="E1409" s="474">
        <v>3850</v>
      </c>
      <c r="F1409" s="1088"/>
      <c r="G1409" s="484"/>
      <c r="H1409" s="484"/>
      <c r="I1409" s="477"/>
      <c r="J1409" s="501"/>
      <c r="K1409" s="485"/>
    </row>
    <row r="1410" spans="1:11" s="508" customFormat="1">
      <c r="A1410" s="479">
        <v>1242</v>
      </c>
      <c r="B1410" s="489" t="s">
        <v>2094</v>
      </c>
      <c r="C1410" s="487" t="s">
        <v>2095</v>
      </c>
      <c r="D1410" s="487" t="s">
        <v>503</v>
      </c>
      <c r="E1410" s="474">
        <v>3650</v>
      </c>
      <c r="F1410" s="1088"/>
      <c r="G1410" s="484"/>
      <c r="H1410" s="484"/>
      <c r="I1410" s="477"/>
      <c r="J1410" s="501"/>
      <c r="K1410" s="485"/>
    </row>
    <row r="1411" spans="1:11" s="508" customFormat="1" ht="28">
      <c r="A1411" s="479">
        <v>1243</v>
      </c>
      <c r="B1411" s="489" t="s">
        <v>2096</v>
      </c>
      <c r="C1411" s="487" t="s">
        <v>473</v>
      </c>
      <c r="D1411" s="487" t="s">
        <v>468</v>
      </c>
      <c r="E1411" s="474">
        <v>120000</v>
      </c>
      <c r="F1411" s="1088" t="s">
        <v>2097</v>
      </c>
      <c r="G1411" s="484"/>
      <c r="H1411" s="484"/>
      <c r="I1411" s="484"/>
      <c r="J1411" s="501"/>
      <c r="K1411" s="485"/>
    </row>
    <row r="1412" spans="1:11" s="508" customFormat="1" ht="28">
      <c r="A1412" s="479">
        <v>1244</v>
      </c>
      <c r="B1412" s="489" t="s">
        <v>2096</v>
      </c>
      <c r="C1412" s="487" t="s">
        <v>474</v>
      </c>
      <c r="D1412" s="487" t="s">
        <v>468</v>
      </c>
      <c r="E1412" s="474">
        <v>130000</v>
      </c>
      <c r="F1412" s="1088"/>
      <c r="G1412" s="484"/>
      <c r="H1412" s="484"/>
      <c r="I1412" s="484"/>
      <c r="J1412" s="485"/>
      <c r="K1412" s="485"/>
    </row>
    <row r="1413" spans="1:11" s="508" customFormat="1" ht="28">
      <c r="A1413" s="479">
        <v>1245</v>
      </c>
      <c r="B1413" s="489" t="s">
        <v>2096</v>
      </c>
      <c r="C1413" s="487" t="s">
        <v>476</v>
      </c>
      <c r="D1413" s="487" t="s">
        <v>468</v>
      </c>
      <c r="E1413" s="474">
        <v>110000</v>
      </c>
      <c r="F1413" s="1088"/>
      <c r="G1413" s="484"/>
      <c r="H1413" s="484"/>
      <c r="I1413" s="484"/>
      <c r="J1413" s="485"/>
      <c r="K1413" s="485"/>
    </row>
    <row r="1414" spans="1:11" s="508" customFormat="1">
      <c r="A1414" s="479">
        <v>1246</v>
      </c>
      <c r="B1414" s="489" t="s">
        <v>2098</v>
      </c>
      <c r="C1414" s="487"/>
      <c r="D1414" s="487" t="s">
        <v>468</v>
      </c>
      <c r="E1414" s="474">
        <v>170000</v>
      </c>
      <c r="F1414" s="1088"/>
      <c r="G1414" s="484"/>
      <c r="H1414" s="484"/>
      <c r="I1414" s="484"/>
      <c r="J1414" s="485"/>
      <c r="K1414" s="485"/>
    </row>
    <row r="1415" spans="1:11" s="508" customFormat="1" ht="28">
      <c r="A1415" s="479">
        <v>1247</v>
      </c>
      <c r="B1415" s="489" t="s">
        <v>2099</v>
      </c>
      <c r="C1415" s="487"/>
      <c r="D1415" s="487" t="s">
        <v>468</v>
      </c>
      <c r="E1415" s="474">
        <v>90000</v>
      </c>
      <c r="F1415" s="1088"/>
      <c r="G1415" s="484"/>
      <c r="H1415" s="484"/>
      <c r="I1415" s="484"/>
      <c r="J1415" s="485"/>
      <c r="K1415" s="485"/>
    </row>
    <row r="1416" spans="1:11" s="508" customFormat="1" ht="56">
      <c r="A1416" s="479">
        <v>1248</v>
      </c>
      <c r="B1416" s="489" t="s">
        <v>2100</v>
      </c>
      <c r="C1416" s="487"/>
      <c r="D1416" s="487" t="s">
        <v>468</v>
      </c>
      <c r="E1416" s="474">
        <v>30000</v>
      </c>
      <c r="F1416" s="1088"/>
      <c r="G1416" s="484"/>
      <c r="H1416" s="484"/>
      <c r="I1416" s="484"/>
      <c r="J1416" s="485"/>
      <c r="K1416" s="485"/>
    </row>
    <row r="1417" spans="1:11" s="508" customFormat="1">
      <c r="A1417" s="479">
        <v>1249</v>
      </c>
      <c r="B1417" s="489" t="s">
        <v>2101</v>
      </c>
      <c r="C1417" s="487" t="s">
        <v>2073</v>
      </c>
      <c r="D1417" s="487" t="s">
        <v>468</v>
      </c>
      <c r="E1417" s="474">
        <v>24000</v>
      </c>
      <c r="F1417" s="1088" t="s">
        <v>2102</v>
      </c>
      <c r="G1417" s="484"/>
      <c r="H1417" s="484"/>
      <c r="I1417" s="484"/>
      <c r="J1417" s="485"/>
      <c r="K1417" s="485"/>
    </row>
    <row r="1418" spans="1:11" s="508" customFormat="1">
      <c r="A1418" s="479">
        <v>1250</v>
      </c>
      <c r="B1418" s="489" t="s">
        <v>2103</v>
      </c>
      <c r="C1418" s="487"/>
      <c r="D1418" s="487" t="s">
        <v>2104</v>
      </c>
      <c r="E1418" s="474">
        <v>20000</v>
      </c>
      <c r="F1418" s="1088"/>
      <c r="G1418" s="484"/>
      <c r="H1418" s="484"/>
      <c r="I1418" s="484"/>
      <c r="J1418" s="485"/>
      <c r="K1418" s="485"/>
    </row>
    <row r="1419" spans="1:11" s="508" customFormat="1">
      <c r="A1419" s="479">
        <v>1251</v>
      </c>
      <c r="B1419" s="489" t="s">
        <v>2105</v>
      </c>
      <c r="C1419" s="487" t="s">
        <v>2106</v>
      </c>
      <c r="D1419" s="487" t="s">
        <v>468</v>
      </c>
      <c r="E1419" s="474">
        <v>3210000</v>
      </c>
      <c r="F1419" s="1088"/>
      <c r="G1419" s="484"/>
      <c r="H1419" s="484"/>
      <c r="I1419" s="484"/>
      <c r="J1419" s="485"/>
      <c r="K1419" s="485"/>
    </row>
    <row r="1420" spans="1:11" s="508" customFormat="1" ht="15.75" customHeight="1">
      <c r="A1420" s="534" t="s">
        <v>368</v>
      </c>
      <c r="B1420" s="637" t="s">
        <v>2107</v>
      </c>
      <c r="C1420" s="487"/>
      <c r="D1420" s="487"/>
      <c r="E1420" s="487"/>
      <c r="F1420" s="503"/>
      <c r="G1420" s="484"/>
      <c r="H1420" s="484"/>
      <c r="I1420" s="484"/>
      <c r="J1420" s="485"/>
      <c r="K1420" s="485"/>
    </row>
    <row r="1421" spans="1:11">
      <c r="A1421" s="479">
        <v>1252</v>
      </c>
      <c r="B1421" s="486" t="s">
        <v>447</v>
      </c>
      <c r="C1421" s="487" t="s">
        <v>438</v>
      </c>
      <c r="D1421" s="487" t="s">
        <v>439</v>
      </c>
      <c r="E1421" s="474">
        <v>1480</v>
      </c>
      <c r="F1421" s="1088" t="s">
        <v>2075</v>
      </c>
      <c r="G1421" s="484"/>
      <c r="H1421" s="484"/>
      <c r="I1421" s="484"/>
      <c r="J1421" s="645"/>
      <c r="K1421" s="485"/>
    </row>
    <row r="1422" spans="1:11">
      <c r="A1422" s="479">
        <v>1253</v>
      </c>
      <c r="B1422" s="486" t="s">
        <v>447</v>
      </c>
      <c r="C1422" s="487" t="s">
        <v>443</v>
      </c>
      <c r="D1422" s="487" t="s">
        <v>439</v>
      </c>
      <c r="E1422" s="474">
        <v>1540</v>
      </c>
      <c r="F1422" s="1088"/>
      <c r="G1422" s="484"/>
      <c r="H1422" s="484"/>
      <c r="I1422" s="484"/>
      <c r="J1422" s="645"/>
      <c r="K1422" s="485"/>
    </row>
    <row r="1423" spans="1:11">
      <c r="A1423" s="479">
        <v>1254</v>
      </c>
      <c r="B1423" s="486" t="s">
        <v>2108</v>
      </c>
      <c r="C1423" s="1115" t="s">
        <v>2109</v>
      </c>
      <c r="D1423" s="487" t="s">
        <v>468</v>
      </c>
      <c r="E1423" s="474">
        <v>65000</v>
      </c>
      <c r="F1423" s="1088"/>
      <c r="G1423" s="484"/>
      <c r="H1423" s="484"/>
      <c r="I1423" s="484"/>
      <c r="J1423" s="485"/>
      <c r="K1423" s="485"/>
    </row>
    <row r="1424" spans="1:11">
      <c r="A1424" s="479">
        <v>1255</v>
      </c>
      <c r="B1424" s="486" t="s">
        <v>2110</v>
      </c>
      <c r="C1424" s="1115"/>
      <c r="D1424" s="487" t="s">
        <v>468</v>
      </c>
      <c r="E1424" s="474">
        <v>23000</v>
      </c>
      <c r="F1424" s="1088"/>
      <c r="G1424" s="484"/>
      <c r="H1424" s="484"/>
      <c r="I1424" s="484"/>
      <c r="J1424" s="485"/>
      <c r="K1424" s="485"/>
    </row>
    <row r="1425" spans="1:11">
      <c r="A1425" s="479">
        <v>1256</v>
      </c>
      <c r="B1425" s="486" t="s">
        <v>475</v>
      </c>
      <c r="C1425" s="1115"/>
      <c r="D1425" s="487" t="s">
        <v>468</v>
      </c>
      <c r="E1425" s="474">
        <v>90000</v>
      </c>
      <c r="F1425" s="1088"/>
      <c r="G1425" s="484"/>
      <c r="H1425" s="484"/>
      <c r="I1425" s="484"/>
      <c r="J1425" s="485"/>
      <c r="K1425" s="485"/>
    </row>
    <row r="1426" spans="1:11">
      <c r="A1426" s="479">
        <v>1257</v>
      </c>
      <c r="B1426" s="486" t="s">
        <v>2111</v>
      </c>
      <c r="C1426" s="1115"/>
      <c r="D1426" s="487" t="s">
        <v>468</v>
      </c>
      <c r="E1426" s="474">
        <v>33000</v>
      </c>
      <c r="F1426" s="1088"/>
      <c r="G1426" s="484"/>
      <c r="H1426" s="484"/>
      <c r="I1426" s="484"/>
      <c r="J1426" s="485"/>
      <c r="K1426" s="485"/>
    </row>
    <row r="1427" spans="1:11">
      <c r="A1427" s="479">
        <v>1258</v>
      </c>
      <c r="B1427" s="486" t="s">
        <v>2112</v>
      </c>
      <c r="C1427" s="487" t="s">
        <v>2113</v>
      </c>
      <c r="D1427" s="487" t="s">
        <v>468</v>
      </c>
      <c r="E1427" s="474">
        <v>19000000</v>
      </c>
      <c r="F1427" s="1088"/>
      <c r="G1427" s="484"/>
      <c r="H1427" s="484"/>
      <c r="I1427" s="484"/>
      <c r="J1427" s="485"/>
      <c r="K1427" s="485"/>
    </row>
    <row r="1428" spans="1:11">
      <c r="A1428" s="479">
        <v>1259</v>
      </c>
      <c r="B1428" s="486" t="s">
        <v>2114</v>
      </c>
      <c r="C1428" s="487" t="s">
        <v>2113</v>
      </c>
      <c r="D1428" s="487" t="s">
        <v>468</v>
      </c>
      <c r="E1428" s="474">
        <v>8900000</v>
      </c>
      <c r="F1428" s="1088"/>
      <c r="G1428" s="484"/>
      <c r="H1428" s="484"/>
      <c r="I1428" s="484"/>
      <c r="J1428" s="485"/>
      <c r="K1428" s="485"/>
    </row>
    <row r="1429" spans="1:11">
      <c r="A1429" s="479">
        <v>1260</v>
      </c>
      <c r="B1429" s="486" t="s">
        <v>2115</v>
      </c>
      <c r="C1429" s="487"/>
      <c r="D1429" s="487" t="s">
        <v>468</v>
      </c>
      <c r="E1429" s="474">
        <v>8000000</v>
      </c>
      <c r="F1429" s="1088"/>
      <c r="G1429" s="484"/>
      <c r="H1429" s="484"/>
      <c r="I1429" s="484"/>
      <c r="J1429" s="485"/>
      <c r="K1429" s="485"/>
    </row>
    <row r="1430" spans="1:11">
      <c r="A1430" s="479">
        <v>1261</v>
      </c>
      <c r="B1430" s="486" t="s">
        <v>2116</v>
      </c>
      <c r="C1430" s="487"/>
      <c r="D1430" s="487" t="s">
        <v>468</v>
      </c>
      <c r="E1430" s="474">
        <v>6050000</v>
      </c>
      <c r="F1430" s="1088"/>
      <c r="G1430" s="484"/>
      <c r="H1430" s="484"/>
      <c r="I1430" s="484"/>
      <c r="J1430" s="485"/>
      <c r="K1430" s="485"/>
    </row>
    <row r="1431" spans="1:11" s="478" customFormat="1" ht="15.75" customHeight="1">
      <c r="A1431" s="479">
        <v>1262</v>
      </c>
      <c r="B1431" s="486" t="s">
        <v>2117</v>
      </c>
      <c r="C1431" s="487"/>
      <c r="D1431" s="487" t="s">
        <v>468</v>
      </c>
      <c r="E1431" s="474">
        <v>3020000</v>
      </c>
      <c r="F1431" s="1088"/>
      <c r="G1431" s="484"/>
      <c r="H1431" s="484"/>
      <c r="I1431" s="484"/>
      <c r="J1431" s="485"/>
      <c r="K1431" s="485"/>
    </row>
    <row r="1432" spans="1:11" ht="15.75" customHeight="1">
      <c r="A1432" s="534" t="s">
        <v>369</v>
      </c>
      <c r="B1432" s="647" t="s">
        <v>2118</v>
      </c>
      <c r="C1432" s="487"/>
      <c r="D1432" s="487"/>
      <c r="E1432" s="648"/>
      <c r="F1432" s="649"/>
      <c r="G1432" s="577"/>
      <c r="H1432" s="577"/>
      <c r="I1432" s="577"/>
      <c r="J1432" s="485"/>
    </row>
    <row r="1433" spans="1:11">
      <c r="A1433" s="479">
        <v>1263</v>
      </c>
      <c r="B1433" s="486" t="s">
        <v>447</v>
      </c>
      <c r="C1433" s="487" t="s">
        <v>438</v>
      </c>
      <c r="D1433" s="487" t="s">
        <v>439</v>
      </c>
      <c r="E1433" s="474">
        <v>1400</v>
      </c>
      <c r="F1433" s="1088" t="s">
        <v>2075</v>
      </c>
      <c r="G1433" s="577"/>
      <c r="H1433" s="577"/>
      <c r="I1433" s="577"/>
      <c r="J1433" s="645"/>
      <c r="K1433" s="485"/>
    </row>
    <row r="1434" spans="1:11">
      <c r="A1434" s="479">
        <v>1264</v>
      </c>
      <c r="B1434" s="486" t="s">
        <v>447</v>
      </c>
      <c r="C1434" s="487" t="s">
        <v>443</v>
      </c>
      <c r="D1434" s="487" t="s">
        <v>439</v>
      </c>
      <c r="E1434" s="474">
        <v>1450</v>
      </c>
      <c r="F1434" s="1088"/>
      <c r="G1434" s="577"/>
      <c r="H1434" s="577"/>
      <c r="I1434" s="577"/>
      <c r="J1434" s="645"/>
      <c r="K1434" s="485"/>
    </row>
    <row r="1435" spans="1:11">
      <c r="A1435" s="479">
        <v>1265</v>
      </c>
      <c r="B1435" s="486" t="s">
        <v>2072</v>
      </c>
      <c r="C1435" s="487" t="s">
        <v>438</v>
      </c>
      <c r="D1435" s="487" t="s">
        <v>439</v>
      </c>
      <c r="E1435" s="474">
        <v>1300</v>
      </c>
      <c r="F1435" s="1134" t="s">
        <v>2119</v>
      </c>
      <c r="G1435" s="577"/>
      <c r="H1435" s="577"/>
      <c r="I1435" s="577"/>
      <c r="J1435" s="485"/>
      <c r="K1435" s="485"/>
    </row>
    <row r="1436" spans="1:11">
      <c r="A1436" s="479">
        <v>1266</v>
      </c>
      <c r="B1436" s="486" t="s">
        <v>2120</v>
      </c>
      <c r="C1436" s="487" t="s">
        <v>443</v>
      </c>
      <c r="D1436" s="487" t="s">
        <v>439</v>
      </c>
      <c r="E1436" s="474">
        <v>1350</v>
      </c>
      <c r="F1436" s="1134"/>
      <c r="G1436" s="577"/>
      <c r="H1436" s="577"/>
      <c r="I1436" s="577"/>
      <c r="J1436" s="485"/>
      <c r="K1436" s="485"/>
    </row>
    <row r="1437" spans="1:11">
      <c r="A1437" s="479">
        <v>1267</v>
      </c>
      <c r="B1437" s="486" t="s">
        <v>2121</v>
      </c>
      <c r="C1437" s="487"/>
      <c r="D1437" s="487" t="s">
        <v>468</v>
      </c>
      <c r="E1437" s="474">
        <v>120000</v>
      </c>
      <c r="F1437" s="1108" t="s">
        <v>2122</v>
      </c>
      <c r="G1437" s="484"/>
      <c r="H1437" s="484"/>
      <c r="I1437" s="484"/>
      <c r="J1437" s="485"/>
      <c r="K1437" s="485"/>
    </row>
    <row r="1438" spans="1:11" ht="15.75" customHeight="1">
      <c r="A1438" s="479">
        <v>1268</v>
      </c>
      <c r="B1438" s="486" t="s">
        <v>475</v>
      </c>
      <c r="C1438" s="487"/>
      <c r="D1438" s="487" t="s">
        <v>468</v>
      </c>
      <c r="E1438" s="474">
        <v>120000</v>
      </c>
      <c r="F1438" s="1108"/>
      <c r="G1438" s="484"/>
      <c r="H1438" s="484"/>
      <c r="I1438" s="484"/>
      <c r="J1438" s="485"/>
      <c r="K1438" s="485"/>
    </row>
    <row r="1439" spans="1:11" ht="15.75" customHeight="1">
      <c r="A1439" s="534" t="s">
        <v>723</v>
      </c>
      <c r="B1439" s="647" t="s">
        <v>2123</v>
      </c>
      <c r="C1439" s="473"/>
      <c r="D1439" s="473"/>
      <c r="E1439" s="650"/>
      <c r="F1439" s="504"/>
      <c r="G1439" s="484"/>
      <c r="H1439" s="484"/>
      <c r="I1439" s="484"/>
      <c r="J1439" s="485"/>
    </row>
    <row r="1440" spans="1:11">
      <c r="A1440" s="479">
        <v>1269</v>
      </c>
      <c r="B1440" s="486" t="s">
        <v>2072</v>
      </c>
      <c r="C1440" s="487" t="s">
        <v>443</v>
      </c>
      <c r="D1440" s="487" t="s">
        <v>439</v>
      </c>
      <c r="E1440" s="474">
        <v>1400</v>
      </c>
      <c r="F1440" s="1088" t="s">
        <v>2075</v>
      </c>
      <c r="G1440" s="484"/>
      <c r="H1440" s="484"/>
      <c r="I1440" s="484"/>
      <c r="J1440" s="485"/>
      <c r="K1440" s="485"/>
    </row>
    <row r="1441" spans="1:11">
      <c r="A1441" s="479">
        <v>1270</v>
      </c>
      <c r="B1441" s="486" t="s">
        <v>2072</v>
      </c>
      <c r="C1441" s="487" t="s">
        <v>438</v>
      </c>
      <c r="D1441" s="487" t="s">
        <v>439</v>
      </c>
      <c r="E1441" s="474">
        <v>1370</v>
      </c>
      <c r="F1441" s="1088"/>
      <c r="G1441" s="484"/>
      <c r="H1441" s="484"/>
      <c r="I1441" s="484"/>
      <c r="J1441" s="485"/>
      <c r="K1441" s="485"/>
    </row>
    <row r="1442" spans="1:11">
      <c r="A1442" s="479">
        <v>1271</v>
      </c>
      <c r="B1442" s="486" t="s">
        <v>2124</v>
      </c>
      <c r="C1442" s="1115" t="s">
        <v>2125</v>
      </c>
      <c r="D1442" s="487" t="s">
        <v>439</v>
      </c>
      <c r="E1442" s="474">
        <v>13000</v>
      </c>
      <c r="F1442" s="1088" t="s">
        <v>2126</v>
      </c>
      <c r="G1442" s="484"/>
      <c r="H1442" s="484"/>
      <c r="I1442" s="484"/>
      <c r="J1442" s="485"/>
      <c r="K1442" s="485"/>
    </row>
    <row r="1443" spans="1:11">
      <c r="A1443" s="479">
        <v>1272</v>
      </c>
      <c r="B1443" s="486" t="s">
        <v>2127</v>
      </c>
      <c r="C1443" s="1115"/>
      <c r="D1443" s="487" t="s">
        <v>439</v>
      </c>
      <c r="E1443" s="474">
        <v>13000</v>
      </c>
      <c r="F1443" s="1088"/>
      <c r="G1443" s="484"/>
      <c r="H1443" s="484"/>
      <c r="I1443" s="484"/>
      <c r="J1443" s="485"/>
      <c r="K1443" s="485"/>
    </row>
    <row r="1444" spans="1:11">
      <c r="A1444" s="479">
        <v>1273</v>
      </c>
      <c r="B1444" s="486" t="s">
        <v>785</v>
      </c>
      <c r="C1444" s="1115"/>
      <c r="D1444" s="487" t="s">
        <v>439</v>
      </c>
      <c r="E1444" s="474">
        <v>12800</v>
      </c>
      <c r="F1444" s="1088"/>
      <c r="G1444" s="484"/>
      <c r="H1444" s="484"/>
      <c r="I1444" s="484"/>
      <c r="J1444" s="485"/>
      <c r="K1444" s="485"/>
    </row>
    <row r="1445" spans="1:11" s="651" customFormat="1">
      <c r="A1445" s="479">
        <v>1274</v>
      </c>
      <c r="B1445" s="486" t="s">
        <v>787</v>
      </c>
      <c r="C1445" s="1115"/>
      <c r="D1445" s="487" t="s">
        <v>439</v>
      </c>
      <c r="E1445" s="474">
        <v>12800</v>
      </c>
      <c r="F1445" s="1088"/>
      <c r="G1445" s="484"/>
      <c r="H1445" s="484"/>
      <c r="I1445" s="484"/>
      <c r="J1445" s="466"/>
      <c r="K1445" s="485"/>
    </row>
    <row r="1446" spans="1:11">
      <c r="A1446" s="479">
        <v>1275</v>
      </c>
      <c r="B1446" s="486" t="s">
        <v>2128</v>
      </c>
      <c r="C1446" s="487" t="s">
        <v>506</v>
      </c>
      <c r="D1446" s="487" t="s">
        <v>503</v>
      </c>
      <c r="E1446" s="474">
        <v>1600</v>
      </c>
      <c r="F1446" s="1088" t="s">
        <v>2129</v>
      </c>
      <c r="G1446" s="484"/>
      <c r="H1446" s="484"/>
      <c r="I1446" s="484"/>
      <c r="J1446" s="469"/>
      <c r="K1446" s="485"/>
    </row>
    <row r="1447" spans="1:11">
      <c r="A1447" s="479">
        <v>1276</v>
      </c>
      <c r="B1447" s="486" t="s">
        <v>2130</v>
      </c>
      <c r="C1447" s="487" t="s">
        <v>502</v>
      </c>
      <c r="D1447" s="487" t="s">
        <v>503</v>
      </c>
      <c r="E1447" s="474">
        <v>1800</v>
      </c>
      <c r="F1447" s="1088"/>
      <c r="G1447" s="484"/>
      <c r="H1447" s="484"/>
      <c r="I1447" s="484"/>
      <c r="J1447" s="469"/>
      <c r="K1447" s="485"/>
    </row>
    <row r="1448" spans="1:11">
      <c r="A1448" s="479">
        <v>1277</v>
      </c>
      <c r="B1448" s="486" t="s">
        <v>2131</v>
      </c>
      <c r="C1448" s="487" t="s">
        <v>511</v>
      </c>
      <c r="D1448" s="487" t="s">
        <v>503</v>
      </c>
      <c r="E1448" s="474">
        <v>2000</v>
      </c>
      <c r="F1448" s="1088"/>
      <c r="G1448" s="484"/>
      <c r="H1448" s="484"/>
      <c r="I1448" s="484"/>
      <c r="J1448" s="469"/>
      <c r="K1448" s="485"/>
    </row>
    <row r="1449" spans="1:11">
      <c r="A1449" s="479">
        <v>1278</v>
      </c>
      <c r="B1449" s="486" t="s">
        <v>2132</v>
      </c>
      <c r="C1449" s="487" t="s">
        <v>513</v>
      </c>
      <c r="D1449" s="487" t="s">
        <v>503</v>
      </c>
      <c r="E1449" s="474">
        <v>1300</v>
      </c>
      <c r="F1449" s="1088"/>
      <c r="G1449" s="484"/>
      <c r="H1449" s="484"/>
      <c r="I1449" s="484"/>
      <c r="J1449" s="469"/>
      <c r="K1449" s="485"/>
    </row>
    <row r="1450" spans="1:11">
      <c r="A1450" s="479">
        <v>1279</v>
      </c>
      <c r="B1450" s="486" t="s">
        <v>2133</v>
      </c>
      <c r="C1450" s="487" t="s">
        <v>515</v>
      </c>
      <c r="D1450" s="487" t="s">
        <v>503</v>
      </c>
      <c r="E1450" s="474">
        <v>2450</v>
      </c>
      <c r="F1450" s="1088"/>
      <c r="G1450" s="484"/>
      <c r="H1450" s="484"/>
      <c r="I1450" s="484"/>
      <c r="J1450" s="469"/>
      <c r="K1450" s="485"/>
    </row>
    <row r="1451" spans="1:11">
      <c r="A1451" s="479">
        <v>1280</v>
      </c>
      <c r="B1451" s="486" t="s">
        <v>2134</v>
      </c>
      <c r="C1451" s="487" t="s">
        <v>517</v>
      </c>
      <c r="D1451" s="487" t="s">
        <v>503</v>
      </c>
      <c r="E1451" s="474">
        <v>1500</v>
      </c>
      <c r="F1451" s="1088"/>
      <c r="G1451" s="484"/>
      <c r="H1451" s="484"/>
      <c r="I1451" s="484"/>
      <c r="J1451" s="469"/>
      <c r="K1451" s="485"/>
    </row>
    <row r="1452" spans="1:11" s="478" customFormat="1" ht="18">
      <c r="A1452" s="479">
        <v>1281</v>
      </c>
      <c r="B1452" s="486" t="s">
        <v>2121</v>
      </c>
      <c r="C1452" s="487"/>
      <c r="D1452" s="487" t="s">
        <v>468</v>
      </c>
      <c r="E1452" s="474">
        <v>95000</v>
      </c>
      <c r="F1452" s="492" t="s">
        <v>2135</v>
      </c>
      <c r="G1452" s="484"/>
      <c r="H1452" s="484"/>
      <c r="I1452" s="484"/>
      <c r="J1452" s="485"/>
      <c r="K1452" s="485"/>
    </row>
    <row r="1453" spans="1:11" s="478" customFormat="1">
      <c r="A1453" s="479">
        <v>1282</v>
      </c>
      <c r="B1453" s="486" t="s">
        <v>2136</v>
      </c>
      <c r="C1453" s="487"/>
      <c r="D1453" s="487" t="s">
        <v>468</v>
      </c>
      <c r="E1453" s="474">
        <v>240000</v>
      </c>
      <c r="F1453" s="492" t="s">
        <v>2137</v>
      </c>
      <c r="G1453" s="484"/>
      <c r="H1453" s="484"/>
      <c r="I1453" s="484"/>
      <c r="J1453" s="485"/>
      <c r="K1453" s="485"/>
    </row>
    <row r="1454" spans="1:11">
      <c r="A1454" s="479">
        <v>1283</v>
      </c>
      <c r="B1454" s="486" t="s">
        <v>2138</v>
      </c>
      <c r="C1454" s="487" t="s">
        <v>2139</v>
      </c>
      <c r="D1454" s="487" t="s">
        <v>597</v>
      </c>
      <c r="E1454" s="474">
        <v>37000</v>
      </c>
      <c r="F1454" s="1088" t="s">
        <v>2140</v>
      </c>
      <c r="G1454" s="484"/>
      <c r="H1454" s="484"/>
      <c r="I1454" s="484"/>
      <c r="J1454" s="469"/>
      <c r="K1454" s="485"/>
    </row>
    <row r="1455" spans="1:11">
      <c r="A1455" s="479">
        <v>1284</v>
      </c>
      <c r="B1455" s="486" t="s">
        <v>2138</v>
      </c>
      <c r="C1455" s="487" t="s">
        <v>2141</v>
      </c>
      <c r="D1455" s="487" t="s">
        <v>597</v>
      </c>
      <c r="E1455" s="474">
        <v>42000</v>
      </c>
      <c r="F1455" s="1088"/>
      <c r="G1455" s="484"/>
      <c r="H1455" s="484"/>
      <c r="I1455" s="484"/>
      <c r="J1455" s="469"/>
      <c r="K1455" s="485"/>
    </row>
    <row r="1456" spans="1:11">
      <c r="A1456" s="479">
        <v>1285</v>
      </c>
      <c r="B1456" s="486" t="s">
        <v>2138</v>
      </c>
      <c r="C1456" s="487" t="s">
        <v>2142</v>
      </c>
      <c r="D1456" s="487" t="s">
        <v>597</v>
      </c>
      <c r="E1456" s="474">
        <v>48000</v>
      </c>
      <c r="F1456" s="1088"/>
      <c r="G1456" s="484"/>
      <c r="H1456" s="484"/>
      <c r="I1456" s="484"/>
      <c r="J1456" s="469"/>
      <c r="K1456" s="485"/>
    </row>
    <row r="1457" spans="1:11" ht="15.75" customHeight="1">
      <c r="A1457" s="534" t="s">
        <v>761</v>
      </c>
      <c r="B1457" s="647" t="s">
        <v>2143</v>
      </c>
      <c r="C1457" s="487"/>
      <c r="D1457" s="487"/>
      <c r="E1457" s="652"/>
      <c r="F1457" s="653"/>
      <c r="G1457" s="654"/>
      <c r="J1457" s="469"/>
    </row>
    <row r="1458" spans="1:11" ht="15.75" customHeight="1">
      <c r="A1458" s="479">
        <v>1286</v>
      </c>
      <c r="B1458" s="486" t="s">
        <v>447</v>
      </c>
      <c r="C1458" s="487" t="s">
        <v>438</v>
      </c>
      <c r="D1458" s="487" t="s">
        <v>439</v>
      </c>
      <c r="E1458" s="474">
        <v>1400</v>
      </c>
      <c r="F1458" s="1088" t="s">
        <v>2075</v>
      </c>
      <c r="G1458" s="654"/>
      <c r="J1458" s="469"/>
      <c r="K1458" s="485"/>
    </row>
    <row r="1459" spans="1:11">
      <c r="A1459" s="479">
        <v>1287</v>
      </c>
      <c r="B1459" s="486" t="s">
        <v>447</v>
      </c>
      <c r="C1459" s="487" t="s">
        <v>443</v>
      </c>
      <c r="D1459" s="487" t="s">
        <v>439</v>
      </c>
      <c r="E1459" s="474">
        <v>1450</v>
      </c>
      <c r="F1459" s="1088"/>
      <c r="G1459" s="654"/>
      <c r="J1459" s="469"/>
      <c r="K1459" s="485"/>
    </row>
    <row r="1460" spans="1:11">
      <c r="A1460" s="479">
        <v>1288</v>
      </c>
      <c r="B1460" s="486" t="s">
        <v>501</v>
      </c>
      <c r="C1460" s="487" t="s">
        <v>502</v>
      </c>
      <c r="D1460" s="487" t="s">
        <v>503</v>
      </c>
      <c r="E1460" s="474">
        <v>1980</v>
      </c>
      <c r="F1460" s="1088" t="s">
        <v>2144</v>
      </c>
      <c r="G1460" s="484"/>
      <c r="H1460" s="484"/>
      <c r="I1460" s="484"/>
      <c r="J1460" s="469"/>
      <c r="K1460" s="485"/>
    </row>
    <row r="1461" spans="1:11">
      <c r="A1461" s="479">
        <v>1289</v>
      </c>
      <c r="B1461" s="486" t="s">
        <v>505</v>
      </c>
      <c r="C1461" s="487" t="s">
        <v>506</v>
      </c>
      <c r="D1461" s="487" t="s">
        <v>503</v>
      </c>
      <c r="E1461" s="474">
        <v>1760</v>
      </c>
      <c r="F1461" s="1088"/>
      <c r="G1461" s="484"/>
      <c r="H1461" s="484"/>
      <c r="I1461" s="484"/>
      <c r="J1461" s="469"/>
      <c r="K1461" s="485"/>
    </row>
    <row r="1462" spans="1:11" s="651" customFormat="1">
      <c r="A1462" s="479">
        <v>1290</v>
      </c>
      <c r="B1462" s="486" t="s">
        <v>2086</v>
      </c>
      <c r="C1462" s="487" t="s">
        <v>2145</v>
      </c>
      <c r="D1462" s="487" t="s">
        <v>503</v>
      </c>
      <c r="E1462" s="474">
        <v>2565</v>
      </c>
      <c r="F1462" s="1088"/>
      <c r="G1462" s="484"/>
      <c r="H1462" s="484"/>
      <c r="I1462" s="484"/>
      <c r="J1462" s="466"/>
      <c r="K1462" s="485"/>
    </row>
    <row r="1463" spans="1:11" ht="15.75" customHeight="1">
      <c r="A1463" s="479">
        <v>1291</v>
      </c>
      <c r="B1463" s="486" t="s">
        <v>2085</v>
      </c>
      <c r="C1463" s="487" t="s">
        <v>506</v>
      </c>
      <c r="D1463" s="487" t="s">
        <v>503</v>
      </c>
      <c r="E1463" s="474">
        <v>1560</v>
      </c>
      <c r="F1463" s="1088"/>
      <c r="G1463" s="484"/>
      <c r="H1463" s="484"/>
      <c r="I1463" s="484"/>
      <c r="J1463" s="469"/>
      <c r="K1463" s="485"/>
    </row>
    <row r="1464" spans="1:11">
      <c r="A1464" s="479">
        <v>1292</v>
      </c>
      <c r="B1464" s="486" t="s">
        <v>467</v>
      </c>
      <c r="C1464" s="487" t="s">
        <v>19</v>
      </c>
      <c r="D1464" s="487" t="s">
        <v>468</v>
      </c>
      <c r="E1464" s="474">
        <v>80000</v>
      </c>
      <c r="F1464" s="1088" t="s">
        <v>2146</v>
      </c>
      <c r="G1464" s="484"/>
      <c r="H1464" s="484"/>
      <c r="I1464" s="484"/>
      <c r="J1464" s="469"/>
      <c r="K1464" s="485"/>
    </row>
    <row r="1465" spans="1:11" s="478" customFormat="1">
      <c r="A1465" s="479">
        <v>1293</v>
      </c>
      <c r="B1465" s="489" t="s">
        <v>2147</v>
      </c>
      <c r="C1465" s="487"/>
      <c r="D1465" s="487" t="s">
        <v>468</v>
      </c>
      <c r="E1465" s="474">
        <v>90000</v>
      </c>
      <c r="F1465" s="1088"/>
      <c r="G1465" s="484"/>
      <c r="H1465" s="484"/>
      <c r="I1465" s="484"/>
      <c r="J1465" s="485"/>
      <c r="K1465" s="485"/>
    </row>
    <row r="1466" spans="1:11" s="478" customFormat="1">
      <c r="A1466" s="479">
        <v>1294</v>
      </c>
      <c r="B1466" s="486" t="s">
        <v>471</v>
      </c>
      <c r="C1466" s="487"/>
      <c r="D1466" s="487" t="s">
        <v>468</v>
      </c>
      <c r="E1466" s="474">
        <v>95000</v>
      </c>
      <c r="F1466" s="1088"/>
      <c r="G1466" s="484"/>
      <c r="H1466" s="484"/>
      <c r="I1466" s="484"/>
      <c r="J1466" s="485"/>
      <c r="K1466" s="485"/>
    </row>
    <row r="1467" spans="1:11" ht="15.75" customHeight="1">
      <c r="A1467" s="655" t="s">
        <v>790</v>
      </c>
      <c r="B1467" s="656" t="s">
        <v>2148</v>
      </c>
      <c r="C1467" s="657"/>
      <c r="D1467" s="658"/>
      <c r="E1467" s="659"/>
      <c r="F1467" s="660"/>
      <c r="G1467" s="661"/>
      <c r="H1467" s="661"/>
      <c r="I1467" s="661"/>
      <c r="K1467" s="662"/>
    </row>
    <row r="1468" spans="1:11">
      <c r="A1468" s="479">
        <v>1295</v>
      </c>
      <c r="B1468" s="663" t="s">
        <v>2072</v>
      </c>
      <c r="C1468" s="487" t="s">
        <v>438</v>
      </c>
      <c r="D1468" s="487" t="s">
        <v>439</v>
      </c>
      <c r="E1468" s="474">
        <v>1400</v>
      </c>
      <c r="F1468" s="1147" t="s">
        <v>2075</v>
      </c>
      <c r="G1468" s="654"/>
      <c r="K1468" s="485"/>
    </row>
    <row r="1469" spans="1:11">
      <c r="A1469" s="479">
        <v>1296</v>
      </c>
      <c r="B1469" s="664" t="s">
        <v>2072</v>
      </c>
      <c r="C1469" s="487" t="s">
        <v>443</v>
      </c>
      <c r="D1469" s="487" t="s">
        <v>439</v>
      </c>
      <c r="E1469" s="474">
        <v>1450</v>
      </c>
      <c r="F1469" s="1147"/>
      <c r="G1469" s="654"/>
      <c r="K1469" s="485"/>
    </row>
    <row r="1470" spans="1:11">
      <c r="A1470" s="479">
        <v>1297</v>
      </c>
      <c r="B1470" s="486" t="s">
        <v>447</v>
      </c>
      <c r="C1470" s="487" t="s">
        <v>438</v>
      </c>
      <c r="D1470" s="487" t="s">
        <v>439</v>
      </c>
      <c r="E1470" s="474">
        <v>1480</v>
      </c>
      <c r="F1470" s="1147"/>
      <c r="G1470" s="654"/>
      <c r="K1470" s="485"/>
    </row>
    <row r="1471" spans="1:11">
      <c r="A1471" s="479">
        <v>1298</v>
      </c>
      <c r="B1471" s="486" t="s">
        <v>447</v>
      </c>
      <c r="C1471" s="487" t="s">
        <v>443</v>
      </c>
      <c r="D1471" s="487" t="s">
        <v>439</v>
      </c>
      <c r="E1471" s="474">
        <v>1540</v>
      </c>
      <c r="F1471" s="1147"/>
      <c r="G1471" s="654"/>
      <c r="K1471" s="485"/>
    </row>
    <row r="1472" spans="1:11">
      <c r="A1472" s="479">
        <v>1299</v>
      </c>
      <c r="B1472" s="486" t="s">
        <v>467</v>
      </c>
      <c r="C1472" s="487" t="s">
        <v>19</v>
      </c>
      <c r="D1472" s="487" t="s">
        <v>468</v>
      </c>
      <c r="E1472" s="474">
        <v>75000</v>
      </c>
      <c r="F1472" s="1088" t="s">
        <v>2149</v>
      </c>
      <c r="G1472" s="484"/>
      <c r="H1472" s="484"/>
      <c r="I1472" s="484"/>
      <c r="K1472" s="485"/>
    </row>
    <row r="1473" spans="1:11">
      <c r="A1473" s="479">
        <v>1300</v>
      </c>
      <c r="B1473" s="486" t="s">
        <v>2150</v>
      </c>
      <c r="C1473" s="487" t="s">
        <v>19</v>
      </c>
      <c r="D1473" s="487" t="s">
        <v>468</v>
      </c>
      <c r="E1473" s="474">
        <v>95000</v>
      </c>
      <c r="F1473" s="1088"/>
      <c r="G1473" s="484"/>
      <c r="H1473" s="484"/>
      <c r="I1473" s="484"/>
      <c r="K1473" s="485"/>
    </row>
    <row r="1474" spans="1:11">
      <c r="A1474" s="479">
        <v>1301</v>
      </c>
      <c r="B1474" s="486" t="s">
        <v>471</v>
      </c>
      <c r="C1474" s="487"/>
      <c r="D1474" s="487" t="s">
        <v>468</v>
      </c>
      <c r="E1474" s="474">
        <v>105000</v>
      </c>
      <c r="F1474" s="1088"/>
      <c r="G1474" s="484"/>
      <c r="H1474" s="484"/>
      <c r="I1474" s="484"/>
      <c r="K1474" s="485"/>
    </row>
    <row r="1475" spans="1:11">
      <c r="A1475" s="479">
        <v>1302</v>
      </c>
      <c r="B1475" s="486" t="s">
        <v>2151</v>
      </c>
      <c r="C1475" s="487"/>
      <c r="D1475" s="487" t="s">
        <v>468</v>
      </c>
      <c r="E1475" s="474">
        <v>230000</v>
      </c>
      <c r="F1475" s="1088"/>
      <c r="G1475" s="484"/>
      <c r="H1475" s="484"/>
      <c r="I1475" s="484"/>
      <c r="K1475" s="485"/>
    </row>
    <row r="1476" spans="1:11">
      <c r="A1476" s="479">
        <v>1303</v>
      </c>
      <c r="B1476" s="486" t="s">
        <v>2152</v>
      </c>
      <c r="C1476" s="487"/>
      <c r="D1476" s="487" t="s">
        <v>468</v>
      </c>
      <c r="E1476" s="474">
        <v>220000</v>
      </c>
      <c r="F1476" s="1088"/>
      <c r="G1476" s="484"/>
      <c r="H1476" s="484"/>
      <c r="I1476" s="484"/>
      <c r="K1476" s="485"/>
    </row>
    <row r="1477" spans="1:11">
      <c r="A1477" s="479">
        <v>1304</v>
      </c>
      <c r="B1477" s="486" t="s">
        <v>2153</v>
      </c>
      <c r="C1477" s="487" t="s">
        <v>2154</v>
      </c>
      <c r="D1477" s="487" t="s">
        <v>503</v>
      </c>
      <c r="E1477" s="474">
        <v>1950</v>
      </c>
      <c r="F1477" s="1088" t="s">
        <v>2155</v>
      </c>
      <c r="G1477" s="484"/>
      <c r="H1477" s="484"/>
      <c r="I1477" s="484"/>
    </row>
    <row r="1478" spans="1:11">
      <c r="A1478" s="479">
        <v>1305</v>
      </c>
      <c r="B1478" s="486" t="s">
        <v>2156</v>
      </c>
      <c r="C1478" s="487" t="s">
        <v>2154</v>
      </c>
      <c r="D1478" s="487" t="s">
        <v>503</v>
      </c>
      <c r="E1478" s="474">
        <v>2550</v>
      </c>
      <c r="F1478" s="1088"/>
      <c r="G1478" s="484"/>
      <c r="H1478" s="484"/>
      <c r="I1478" s="484"/>
      <c r="K1478" s="485"/>
    </row>
    <row r="1479" spans="1:11" ht="15.75" customHeight="1">
      <c r="A1479" s="655" t="s">
        <v>803</v>
      </c>
      <c r="B1479" s="656" t="s">
        <v>2157</v>
      </c>
      <c r="C1479" s="657"/>
      <c r="D1479" s="658"/>
      <c r="E1479" s="659"/>
      <c r="F1479" s="660"/>
      <c r="G1479" s="661"/>
      <c r="H1479" s="661"/>
      <c r="I1479" s="661"/>
      <c r="K1479" s="485"/>
    </row>
    <row r="1480" spans="1:11" ht="15.75" customHeight="1">
      <c r="A1480" s="479">
        <v>1306</v>
      </c>
      <c r="B1480" s="489" t="s">
        <v>2120</v>
      </c>
      <c r="C1480" s="487" t="s">
        <v>438</v>
      </c>
      <c r="D1480" s="487" t="s">
        <v>439</v>
      </c>
      <c r="E1480" s="474">
        <v>1370</v>
      </c>
      <c r="F1480" s="1088" t="s">
        <v>2158</v>
      </c>
      <c r="G1480" s="484"/>
      <c r="H1480" s="484"/>
      <c r="I1480" s="484"/>
      <c r="K1480" s="485"/>
    </row>
    <row r="1481" spans="1:11">
      <c r="A1481" s="479">
        <v>1307</v>
      </c>
      <c r="B1481" s="489" t="s">
        <v>452</v>
      </c>
      <c r="C1481" s="487"/>
      <c r="D1481" s="487" t="s">
        <v>439</v>
      </c>
      <c r="E1481" s="474">
        <v>5000</v>
      </c>
      <c r="F1481" s="1088"/>
      <c r="G1481" s="484"/>
      <c r="H1481" s="484"/>
      <c r="I1481" s="484"/>
      <c r="K1481" s="485"/>
    </row>
    <row r="1482" spans="1:11" ht="28">
      <c r="A1482" s="479">
        <v>1308</v>
      </c>
      <c r="B1482" s="489" t="s">
        <v>2159</v>
      </c>
      <c r="C1482" s="650" t="s">
        <v>2160</v>
      </c>
      <c r="D1482" s="487" t="s">
        <v>468</v>
      </c>
      <c r="E1482" s="474">
        <v>95000</v>
      </c>
      <c r="F1482" s="1088"/>
      <c r="G1482" s="484"/>
      <c r="H1482" s="484"/>
      <c r="I1482" s="484"/>
      <c r="K1482" s="485"/>
    </row>
    <row r="1483" spans="1:11">
      <c r="A1483" s="479">
        <v>1309</v>
      </c>
      <c r="B1483" s="489" t="s">
        <v>505</v>
      </c>
      <c r="C1483" s="487" t="s">
        <v>506</v>
      </c>
      <c r="D1483" s="487" t="s">
        <v>503</v>
      </c>
      <c r="E1483" s="474">
        <v>2200</v>
      </c>
      <c r="F1483" s="1088"/>
      <c r="G1483" s="484"/>
      <c r="H1483" s="484"/>
      <c r="I1483" s="484"/>
      <c r="K1483" s="485"/>
    </row>
    <row r="1484" spans="1:11">
      <c r="A1484" s="479">
        <v>1310</v>
      </c>
      <c r="B1484" s="489" t="s">
        <v>510</v>
      </c>
      <c r="C1484" s="487" t="s">
        <v>511</v>
      </c>
      <c r="D1484" s="487" t="s">
        <v>503</v>
      </c>
      <c r="E1484" s="474">
        <v>2500</v>
      </c>
      <c r="F1484" s="1088"/>
      <c r="G1484" s="484"/>
      <c r="H1484" s="484"/>
      <c r="I1484" s="484"/>
      <c r="K1484" s="485"/>
    </row>
    <row r="1485" spans="1:11">
      <c r="A1485" s="479">
        <v>1311</v>
      </c>
      <c r="B1485" s="489" t="s">
        <v>2161</v>
      </c>
      <c r="C1485" s="487"/>
      <c r="D1485" s="487" t="s">
        <v>973</v>
      </c>
      <c r="E1485" s="474">
        <v>330000</v>
      </c>
      <c r="F1485" s="1088"/>
      <c r="G1485" s="484"/>
      <c r="H1485" s="484"/>
      <c r="I1485" s="484"/>
      <c r="K1485" s="485"/>
    </row>
    <row r="1486" spans="1:11">
      <c r="A1486" s="479">
        <v>1312</v>
      </c>
      <c r="B1486" s="489" t="s">
        <v>2162</v>
      </c>
      <c r="C1486" s="487"/>
      <c r="D1486" s="487" t="s">
        <v>973</v>
      </c>
      <c r="E1486" s="474">
        <v>440000</v>
      </c>
      <c r="F1486" s="1088"/>
      <c r="G1486" s="484"/>
      <c r="H1486" s="484"/>
      <c r="I1486" s="484"/>
      <c r="K1486" s="485"/>
    </row>
    <row r="1487" spans="1:11">
      <c r="A1487" s="479">
        <v>1313</v>
      </c>
      <c r="B1487" s="489" t="s">
        <v>783</v>
      </c>
      <c r="C1487" s="487" t="s">
        <v>784</v>
      </c>
      <c r="D1487" s="487" t="s">
        <v>439</v>
      </c>
      <c r="E1487" s="474">
        <v>14000</v>
      </c>
      <c r="F1487" s="1088" t="s">
        <v>2163</v>
      </c>
      <c r="G1487" s="484"/>
      <c r="H1487" s="484"/>
      <c r="I1487" s="484"/>
      <c r="K1487" s="485"/>
    </row>
    <row r="1488" spans="1:11">
      <c r="A1488" s="479">
        <v>1314</v>
      </c>
      <c r="B1488" s="489" t="s">
        <v>785</v>
      </c>
      <c r="C1488" s="487" t="s">
        <v>786</v>
      </c>
      <c r="D1488" s="487" t="s">
        <v>439</v>
      </c>
      <c r="E1488" s="474">
        <v>12467</v>
      </c>
      <c r="F1488" s="1088"/>
      <c r="G1488" s="484"/>
      <c r="H1488" s="484"/>
      <c r="I1488" s="484"/>
      <c r="K1488" s="485"/>
    </row>
    <row r="1489" spans="1:11">
      <c r="A1489" s="479">
        <v>1315</v>
      </c>
      <c r="B1489" s="489" t="s">
        <v>787</v>
      </c>
      <c r="C1489" s="487" t="s">
        <v>778</v>
      </c>
      <c r="D1489" s="487" t="s">
        <v>439</v>
      </c>
      <c r="E1489" s="474">
        <v>13475</v>
      </c>
      <c r="F1489" s="1088"/>
      <c r="G1489" s="484"/>
      <c r="H1489" s="484"/>
      <c r="I1489" s="484"/>
      <c r="K1489" s="485"/>
    </row>
    <row r="1490" spans="1:11">
      <c r="A1490" s="479">
        <v>1316</v>
      </c>
      <c r="B1490" s="489" t="s">
        <v>2164</v>
      </c>
      <c r="C1490" s="487" t="s">
        <v>778</v>
      </c>
      <c r="D1490" s="487" t="s">
        <v>439</v>
      </c>
      <c r="E1490" s="474">
        <v>13420</v>
      </c>
      <c r="F1490" s="1088"/>
      <c r="G1490" s="484"/>
      <c r="H1490" s="484"/>
      <c r="I1490" s="484"/>
      <c r="K1490" s="485"/>
    </row>
    <row r="1491" spans="1:11">
      <c r="A1491" s="479">
        <v>1317</v>
      </c>
      <c r="B1491" s="489" t="s">
        <v>2165</v>
      </c>
      <c r="C1491" s="487" t="s">
        <v>778</v>
      </c>
      <c r="D1491" s="487" t="s">
        <v>439</v>
      </c>
      <c r="E1491" s="474">
        <v>13253</v>
      </c>
      <c r="F1491" s="1088"/>
      <c r="G1491" s="484"/>
      <c r="H1491" s="484"/>
      <c r="I1491" s="484"/>
      <c r="K1491" s="485"/>
    </row>
    <row r="1492" spans="1:11" ht="15.75" customHeight="1">
      <c r="A1492" s="655" t="s">
        <v>808</v>
      </c>
      <c r="B1492" s="656" t="s">
        <v>2166</v>
      </c>
      <c r="C1492" s="657"/>
      <c r="D1492" s="658"/>
      <c r="E1492" s="659"/>
      <c r="F1492" s="660"/>
      <c r="G1492" s="661"/>
      <c r="H1492" s="661"/>
      <c r="I1492" s="661"/>
      <c r="K1492" s="485"/>
    </row>
    <row r="1493" spans="1:11" ht="18" customHeight="1">
      <c r="A1493" s="479">
        <v>1318</v>
      </c>
      <c r="B1493" s="663" t="s">
        <v>2072</v>
      </c>
      <c r="C1493" s="487" t="s">
        <v>438</v>
      </c>
      <c r="D1493" s="487" t="s">
        <v>439</v>
      </c>
      <c r="E1493" s="474">
        <v>1300</v>
      </c>
      <c r="F1493" s="492" t="s">
        <v>2167</v>
      </c>
      <c r="G1493" s="484"/>
      <c r="H1493" s="484"/>
      <c r="I1493" s="484"/>
      <c r="K1493" s="485"/>
    </row>
    <row r="1494" spans="1:11">
      <c r="A1494" s="479">
        <v>1319</v>
      </c>
      <c r="B1494" s="486" t="s">
        <v>2150</v>
      </c>
      <c r="C1494" s="487" t="s">
        <v>19</v>
      </c>
      <c r="D1494" s="487" t="s">
        <v>468</v>
      </c>
      <c r="E1494" s="474">
        <v>90000</v>
      </c>
      <c r="F1494" s="1145" t="s">
        <v>2168</v>
      </c>
      <c r="G1494" s="484"/>
      <c r="H1494" s="484"/>
      <c r="I1494" s="484"/>
      <c r="K1494" s="485"/>
    </row>
    <row r="1495" spans="1:11">
      <c r="A1495" s="479">
        <v>1320</v>
      </c>
      <c r="B1495" s="486" t="s">
        <v>475</v>
      </c>
      <c r="C1495" s="487"/>
      <c r="D1495" s="487" t="s">
        <v>468</v>
      </c>
      <c r="E1495" s="474">
        <v>240000</v>
      </c>
      <c r="F1495" s="1145"/>
      <c r="G1495" s="484"/>
      <c r="H1495" s="484"/>
      <c r="I1495" s="484"/>
      <c r="K1495" s="485"/>
    </row>
    <row r="1496" spans="1:11">
      <c r="A1496" s="479">
        <v>1321</v>
      </c>
      <c r="B1496" s="486" t="s">
        <v>2169</v>
      </c>
      <c r="C1496" s="487"/>
      <c r="D1496" s="487" t="s">
        <v>468</v>
      </c>
      <c r="E1496" s="474">
        <v>320000</v>
      </c>
      <c r="F1496" s="1088" t="s">
        <v>2170</v>
      </c>
      <c r="G1496" s="484"/>
      <c r="H1496" s="484"/>
      <c r="I1496" s="484"/>
      <c r="J1496" s="646"/>
      <c r="K1496" s="485"/>
    </row>
    <row r="1497" spans="1:11">
      <c r="A1497" s="479">
        <v>1322</v>
      </c>
      <c r="B1497" s="486" t="s">
        <v>2171</v>
      </c>
      <c r="C1497" s="487"/>
      <c r="D1497" s="487" t="s">
        <v>468</v>
      </c>
      <c r="E1497" s="474">
        <v>310000</v>
      </c>
      <c r="F1497" s="1088"/>
      <c r="G1497" s="484"/>
      <c r="H1497" s="484"/>
      <c r="I1497" s="484"/>
      <c r="J1497" s="646"/>
      <c r="K1497" s="485"/>
    </row>
    <row r="1498" spans="1:11">
      <c r="A1498" s="479">
        <v>1323</v>
      </c>
      <c r="B1498" s="486" t="s">
        <v>2172</v>
      </c>
      <c r="C1498" s="487"/>
      <c r="D1498" s="487" t="s">
        <v>468</v>
      </c>
      <c r="E1498" s="474">
        <v>240000</v>
      </c>
      <c r="F1498" s="1088"/>
      <c r="G1498" s="484"/>
      <c r="H1498" s="484"/>
      <c r="I1498" s="484"/>
      <c r="J1498" s="646"/>
      <c r="K1498" s="485"/>
    </row>
    <row r="1499" spans="1:11" s="478" customFormat="1">
      <c r="A1499" s="479">
        <v>1324</v>
      </c>
      <c r="B1499" s="486" t="s">
        <v>482</v>
      </c>
      <c r="C1499" s="487"/>
      <c r="D1499" s="487" t="s">
        <v>468</v>
      </c>
      <c r="E1499" s="474">
        <v>250000</v>
      </c>
      <c r="F1499" s="1088"/>
      <c r="G1499" s="484"/>
      <c r="H1499" s="484"/>
      <c r="I1499" s="484"/>
      <c r="J1499" s="493"/>
      <c r="K1499" s="485"/>
    </row>
    <row r="1500" spans="1:11" s="478" customFormat="1">
      <c r="A1500" s="479">
        <v>1325</v>
      </c>
      <c r="B1500" s="486" t="s">
        <v>483</v>
      </c>
      <c r="C1500" s="487"/>
      <c r="D1500" s="487" t="s">
        <v>468</v>
      </c>
      <c r="E1500" s="474">
        <v>230000</v>
      </c>
      <c r="F1500" s="1088"/>
      <c r="G1500" s="484"/>
      <c r="H1500" s="484"/>
      <c r="I1500" s="484"/>
      <c r="J1500" s="493"/>
      <c r="K1500" s="485"/>
    </row>
    <row r="1501" spans="1:11">
      <c r="A1501" s="479">
        <v>1326</v>
      </c>
      <c r="B1501" s="486" t="s">
        <v>2173</v>
      </c>
      <c r="C1501" s="487" t="s">
        <v>506</v>
      </c>
      <c r="D1501" s="487" t="s">
        <v>503</v>
      </c>
      <c r="E1501" s="474">
        <v>1750</v>
      </c>
      <c r="F1501" s="1088" t="s">
        <v>2174</v>
      </c>
      <c r="G1501" s="484"/>
      <c r="H1501" s="484"/>
      <c r="I1501" s="484"/>
      <c r="K1501" s="485"/>
    </row>
    <row r="1502" spans="1:11">
      <c r="A1502" s="479">
        <v>1327</v>
      </c>
      <c r="B1502" s="486" t="s">
        <v>2130</v>
      </c>
      <c r="C1502" s="487" t="s">
        <v>502</v>
      </c>
      <c r="D1502" s="487" t="s">
        <v>503</v>
      </c>
      <c r="E1502" s="474">
        <v>1900</v>
      </c>
      <c r="F1502" s="1088"/>
      <c r="G1502" s="484"/>
      <c r="H1502" s="484"/>
      <c r="I1502" s="484"/>
    </row>
    <row r="1503" spans="1:11">
      <c r="A1503" s="479">
        <v>1328</v>
      </c>
      <c r="B1503" s="486" t="s">
        <v>510</v>
      </c>
      <c r="C1503" s="487" t="s">
        <v>511</v>
      </c>
      <c r="D1503" s="487" t="s">
        <v>503</v>
      </c>
      <c r="E1503" s="474">
        <v>2350</v>
      </c>
      <c r="F1503" s="1088"/>
      <c r="G1503" s="484"/>
      <c r="H1503" s="484"/>
      <c r="I1503" s="484"/>
    </row>
    <row r="1504" spans="1:11">
      <c r="A1504" s="479">
        <v>1329</v>
      </c>
      <c r="B1504" s="486" t="s">
        <v>512</v>
      </c>
      <c r="C1504" s="555" t="s">
        <v>513</v>
      </c>
      <c r="D1504" s="487" t="s">
        <v>503</v>
      </c>
      <c r="E1504" s="474">
        <v>1550</v>
      </c>
      <c r="F1504" s="1088"/>
      <c r="G1504" s="484"/>
      <c r="H1504" s="484"/>
      <c r="I1504" s="484"/>
    </row>
    <row r="1505" spans="1:11" ht="16" thickBot="1">
      <c r="A1505" s="665">
        <v>1330</v>
      </c>
      <c r="B1505" s="666" t="s">
        <v>516</v>
      </c>
      <c r="C1505" s="667" t="s">
        <v>517</v>
      </c>
      <c r="D1505" s="668" t="s">
        <v>503</v>
      </c>
      <c r="E1505" s="669">
        <v>1650</v>
      </c>
      <c r="F1505" s="1146"/>
      <c r="G1505" s="484"/>
      <c r="H1505" s="484"/>
      <c r="I1505" s="484"/>
    </row>
    <row r="1506" spans="1:11">
      <c r="A1506" s="670"/>
      <c r="B1506" s="671"/>
      <c r="C1506" s="672"/>
      <c r="D1506" s="673"/>
      <c r="E1506" s="631"/>
      <c r="F1506" s="674"/>
    </row>
    <row r="1507" spans="1:11">
      <c r="A1507" s="670"/>
      <c r="B1507" s="671"/>
      <c r="C1507" s="672"/>
      <c r="D1507" s="673"/>
      <c r="E1507" s="631"/>
      <c r="F1507" s="674"/>
    </row>
    <row r="1508" spans="1:11">
      <c r="A1508" s="670"/>
      <c r="B1508" s="671"/>
      <c r="C1508" s="672"/>
      <c r="D1508" s="673"/>
      <c r="E1508" s="631"/>
      <c r="F1508" s="674"/>
    </row>
    <row r="1509" spans="1:11">
      <c r="A1509" s="670"/>
      <c r="B1509" s="671"/>
      <c r="C1509" s="672"/>
      <c r="D1509" s="673"/>
      <c r="E1509" s="631"/>
      <c r="F1509" s="674"/>
    </row>
    <row r="1510" spans="1:11">
      <c r="A1510" s="670"/>
      <c r="B1510" s="671"/>
      <c r="C1510" s="672"/>
      <c r="D1510" s="673"/>
      <c r="E1510" s="631"/>
      <c r="F1510" s="674"/>
    </row>
    <row r="1511" spans="1:11" s="465" customFormat="1">
      <c r="A1511" s="670"/>
      <c r="B1511" s="671"/>
      <c r="C1511" s="672"/>
      <c r="D1511" s="673"/>
      <c r="E1511" s="631"/>
      <c r="F1511" s="674"/>
      <c r="G1511" s="675"/>
      <c r="H1511" s="654"/>
      <c r="I1511" s="654"/>
      <c r="K1511" s="469"/>
    </row>
    <row r="1512" spans="1:11" s="465" customFormat="1">
      <c r="A1512" s="670"/>
      <c r="B1512" s="671"/>
      <c r="C1512" s="672"/>
      <c r="D1512" s="673"/>
      <c r="E1512" s="631"/>
      <c r="F1512" s="676"/>
      <c r="G1512" s="675"/>
      <c r="H1512" s="654"/>
      <c r="I1512" s="654"/>
      <c r="K1512" s="469"/>
    </row>
    <row r="1513" spans="1:11" s="465" customFormat="1">
      <c r="A1513" s="670"/>
      <c r="B1513" s="671"/>
      <c r="C1513" s="672"/>
      <c r="D1513" s="673"/>
      <c r="E1513" s="631"/>
      <c r="F1513" s="676"/>
      <c r="G1513" s="675"/>
      <c r="H1513" s="654"/>
      <c r="I1513" s="654"/>
      <c r="K1513" s="469"/>
    </row>
    <row r="1514" spans="1:11" s="465" customFormat="1">
      <c r="A1514" s="670"/>
      <c r="B1514" s="671"/>
      <c r="C1514" s="672"/>
      <c r="D1514" s="673"/>
      <c r="E1514" s="631"/>
      <c r="F1514" s="670"/>
      <c r="G1514" s="675"/>
      <c r="H1514" s="654"/>
      <c r="I1514" s="654"/>
      <c r="K1514" s="469"/>
    </row>
    <row r="1515" spans="1:11" s="465" customFormat="1">
      <c r="A1515" s="670"/>
      <c r="B1515" s="671"/>
      <c r="C1515" s="672"/>
      <c r="D1515" s="673"/>
      <c r="E1515" s="631"/>
      <c r="F1515" s="670"/>
      <c r="G1515" s="675"/>
      <c r="H1515" s="654"/>
      <c r="I1515" s="654"/>
      <c r="K1515" s="469"/>
    </row>
    <row r="1516" spans="1:11" s="465" customFormat="1">
      <c r="A1516" s="670"/>
      <c r="B1516" s="671"/>
      <c r="C1516" s="672"/>
      <c r="D1516" s="673"/>
      <c r="E1516" s="631"/>
      <c r="F1516" s="670"/>
      <c r="G1516" s="675"/>
      <c r="H1516" s="654"/>
      <c r="I1516" s="654"/>
      <c r="K1516" s="469"/>
    </row>
    <row r="1517" spans="1:11" s="465" customFormat="1">
      <c r="A1517" s="670"/>
      <c r="B1517" s="671"/>
      <c r="C1517" s="672"/>
      <c r="D1517" s="673"/>
      <c r="E1517" s="631"/>
      <c r="F1517" s="670"/>
      <c r="G1517" s="675"/>
      <c r="H1517" s="654"/>
      <c r="I1517" s="654"/>
      <c r="K1517" s="469"/>
    </row>
    <row r="1518" spans="1:11" s="465" customFormat="1">
      <c r="A1518" s="670"/>
      <c r="B1518" s="671"/>
      <c r="C1518" s="672"/>
      <c r="D1518" s="673"/>
      <c r="E1518" s="631"/>
      <c r="F1518" s="670"/>
      <c r="G1518" s="675"/>
      <c r="H1518" s="654"/>
      <c r="I1518" s="654"/>
      <c r="K1518" s="469"/>
    </row>
    <row r="1519" spans="1:11" s="465" customFormat="1">
      <c r="A1519" s="670"/>
      <c r="B1519" s="671"/>
      <c r="C1519" s="672"/>
      <c r="D1519" s="673"/>
      <c r="E1519" s="631"/>
      <c r="F1519" s="670"/>
      <c r="G1519" s="675"/>
      <c r="H1519" s="654"/>
      <c r="I1519" s="654"/>
      <c r="K1519" s="469"/>
    </row>
    <row r="1520" spans="1:11" s="465" customFormat="1">
      <c r="A1520" s="670"/>
      <c r="B1520" s="671"/>
      <c r="C1520" s="672"/>
      <c r="D1520" s="673"/>
      <c r="E1520" s="631"/>
      <c r="F1520" s="670"/>
      <c r="G1520" s="675"/>
      <c r="H1520" s="654"/>
      <c r="I1520" s="654"/>
      <c r="K1520" s="469"/>
    </row>
    <row r="1521" spans="1:11" s="465" customFormat="1">
      <c r="A1521" s="670"/>
      <c r="B1521" s="671"/>
      <c r="C1521" s="672"/>
      <c r="D1521" s="673"/>
      <c r="E1521" s="631"/>
      <c r="F1521" s="670"/>
      <c r="G1521" s="675"/>
      <c r="H1521" s="654"/>
      <c r="I1521" s="654"/>
      <c r="K1521" s="469"/>
    </row>
    <row r="1522" spans="1:11" s="465" customFormat="1">
      <c r="A1522" s="670"/>
      <c r="B1522" s="671"/>
      <c r="C1522" s="672"/>
      <c r="D1522" s="673"/>
      <c r="E1522" s="631"/>
      <c r="F1522" s="670"/>
      <c r="G1522" s="675"/>
      <c r="H1522" s="654"/>
      <c r="I1522" s="654"/>
      <c r="K1522" s="469"/>
    </row>
    <row r="1523" spans="1:11" s="465" customFormat="1">
      <c r="A1523" s="670"/>
      <c r="B1523" s="671"/>
      <c r="C1523" s="672"/>
      <c r="D1523" s="673"/>
      <c r="E1523" s="631"/>
      <c r="F1523" s="670"/>
      <c r="G1523" s="675"/>
      <c r="H1523" s="654"/>
      <c r="I1523" s="654"/>
      <c r="K1523" s="469"/>
    </row>
    <row r="1524" spans="1:11" s="465" customFormat="1">
      <c r="A1524" s="670"/>
      <c r="B1524" s="671"/>
      <c r="C1524" s="672"/>
      <c r="D1524" s="673"/>
      <c r="E1524" s="631"/>
      <c r="F1524" s="670"/>
      <c r="G1524" s="675"/>
      <c r="H1524" s="654"/>
      <c r="I1524" s="654"/>
      <c r="K1524" s="469"/>
    </row>
    <row r="1525" spans="1:11" s="465" customFormat="1">
      <c r="A1525" s="670"/>
      <c r="B1525" s="671"/>
      <c r="C1525" s="672"/>
      <c r="D1525" s="673"/>
      <c r="E1525" s="631"/>
      <c r="F1525" s="670"/>
      <c r="G1525" s="675"/>
      <c r="H1525" s="654"/>
      <c r="I1525" s="654"/>
      <c r="K1525" s="469"/>
    </row>
    <row r="1526" spans="1:11" s="465" customFormat="1">
      <c r="A1526" s="670"/>
      <c r="B1526" s="671"/>
      <c r="C1526" s="672"/>
      <c r="D1526" s="673"/>
      <c r="E1526" s="631"/>
      <c r="F1526" s="670"/>
      <c r="G1526" s="675"/>
      <c r="H1526" s="654"/>
      <c r="I1526" s="654"/>
      <c r="K1526" s="469"/>
    </row>
    <row r="1527" spans="1:11" s="465" customFormat="1">
      <c r="A1527" s="670"/>
      <c r="B1527" s="671"/>
      <c r="C1527" s="672"/>
      <c r="D1527" s="673"/>
      <c r="E1527" s="631"/>
      <c r="F1527" s="670"/>
      <c r="G1527" s="675"/>
      <c r="H1527" s="654"/>
      <c r="I1527" s="654"/>
      <c r="K1527" s="469"/>
    </row>
    <row r="1528" spans="1:11" s="465" customFormat="1">
      <c r="A1528" s="670"/>
      <c r="B1528" s="671"/>
      <c r="C1528" s="672"/>
      <c r="D1528" s="673"/>
      <c r="E1528" s="631"/>
      <c r="F1528" s="670"/>
      <c r="G1528" s="675"/>
      <c r="H1528" s="654"/>
      <c r="I1528" s="654"/>
      <c r="K1528" s="469"/>
    </row>
    <row r="1529" spans="1:11" s="465" customFormat="1">
      <c r="A1529" s="670"/>
      <c r="B1529" s="671"/>
      <c r="C1529" s="672"/>
      <c r="D1529" s="673"/>
      <c r="E1529" s="631"/>
      <c r="F1529" s="670"/>
      <c r="G1529" s="675"/>
      <c r="H1529" s="654"/>
      <c r="I1529" s="654"/>
      <c r="K1529" s="469"/>
    </row>
    <row r="1530" spans="1:11" s="465" customFormat="1">
      <c r="A1530" s="670"/>
      <c r="B1530" s="671"/>
      <c r="C1530" s="672"/>
      <c r="D1530" s="673"/>
      <c r="E1530" s="631"/>
      <c r="F1530" s="670"/>
      <c r="G1530" s="675"/>
      <c r="H1530" s="654"/>
      <c r="I1530" s="654"/>
      <c r="K1530" s="469"/>
    </row>
    <row r="1531" spans="1:11" s="465" customFormat="1">
      <c r="A1531" s="670"/>
      <c r="B1531" s="671"/>
      <c r="C1531" s="672"/>
      <c r="D1531" s="673"/>
      <c r="E1531" s="631"/>
      <c r="F1531" s="670"/>
      <c r="G1531" s="675"/>
      <c r="H1531" s="654"/>
      <c r="I1531" s="654"/>
      <c r="K1531" s="469"/>
    </row>
    <row r="1532" spans="1:11" s="465" customFormat="1">
      <c r="A1532" s="670"/>
      <c r="B1532" s="671"/>
      <c r="C1532" s="672"/>
      <c r="D1532" s="673"/>
      <c r="E1532" s="631"/>
      <c r="F1532" s="670"/>
      <c r="G1532" s="675"/>
      <c r="H1532" s="654"/>
      <c r="I1532" s="654"/>
      <c r="K1532" s="469"/>
    </row>
    <row r="1533" spans="1:11" s="465" customFormat="1">
      <c r="A1533" s="670"/>
      <c r="B1533" s="671"/>
      <c r="C1533" s="672"/>
      <c r="D1533" s="673"/>
      <c r="E1533" s="631"/>
      <c r="F1533" s="670"/>
      <c r="G1533" s="675"/>
      <c r="H1533" s="654"/>
      <c r="I1533" s="654"/>
      <c r="K1533" s="469"/>
    </row>
    <row r="1534" spans="1:11" s="465" customFormat="1">
      <c r="A1534" s="670"/>
      <c r="B1534" s="671"/>
      <c r="C1534" s="672"/>
      <c r="D1534" s="673"/>
      <c r="E1534" s="631"/>
      <c r="F1534" s="670"/>
      <c r="G1534" s="675"/>
      <c r="H1534" s="654"/>
      <c r="I1534" s="654"/>
      <c r="K1534" s="469"/>
    </row>
    <row r="1535" spans="1:11" s="465" customFormat="1">
      <c r="A1535" s="670"/>
      <c r="B1535" s="671"/>
      <c r="C1535" s="672"/>
      <c r="D1535" s="673"/>
      <c r="E1535" s="631"/>
      <c r="F1535" s="670"/>
      <c r="G1535" s="675"/>
      <c r="H1535" s="654"/>
      <c r="I1535" s="654"/>
      <c r="K1535" s="469"/>
    </row>
    <row r="1536" spans="1:11" s="465" customFormat="1">
      <c r="A1536" s="670"/>
      <c r="B1536" s="671"/>
      <c r="C1536" s="672"/>
      <c r="D1536" s="673"/>
      <c r="E1536" s="631"/>
      <c r="F1536" s="670"/>
      <c r="G1536" s="675"/>
      <c r="H1536" s="654"/>
      <c r="I1536" s="654"/>
      <c r="K1536" s="469"/>
    </row>
    <row r="1537" spans="1:5">
      <c r="A1537" s="670"/>
      <c r="B1537" s="671"/>
      <c r="C1537" s="672"/>
      <c r="D1537" s="673"/>
      <c r="E1537" s="631"/>
    </row>
    <row r="1538" spans="1:5">
      <c r="A1538" s="670"/>
      <c r="C1538" s="672"/>
      <c r="D1538" s="673"/>
      <c r="E1538" s="631"/>
    </row>
  </sheetData>
  <mergeCells count="528">
    <mergeCell ref="F1477:F1478"/>
    <mergeCell ref="F1480:F1486"/>
    <mergeCell ref="F1487:F1491"/>
    <mergeCell ref="F1494:F1495"/>
    <mergeCell ref="F1496:F1500"/>
    <mergeCell ref="F1501:F1505"/>
    <mergeCell ref="F1454:F1456"/>
    <mergeCell ref="F1458:F1459"/>
    <mergeCell ref="F1460:F1463"/>
    <mergeCell ref="F1464:F1466"/>
    <mergeCell ref="F1468:F1471"/>
    <mergeCell ref="F1472:F1476"/>
    <mergeCell ref="F1435:F1436"/>
    <mergeCell ref="F1437:F1438"/>
    <mergeCell ref="F1440:F1441"/>
    <mergeCell ref="C1442:C1445"/>
    <mergeCell ref="F1442:F1445"/>
    <mergeCell ref="F1446:F1451"/>
    <mergeCell ref="F1399:F1410"/>
    <mergeCell ref="F1411:F1416"/>
    <mergeCell ref="F1417:F1419"/>
    <mergeCell ref="F1421:F1431"/>
    <mergeCell ref="C1423:C1426"/>
    <mergeCell ref="F1433:F1434"/>
    <mergeCell ref="B1390:C1390"/>
    <mergeCell ref="B1391:C1391"/>
    <mergeCell ref="B1392:C1392"/>
    <mergeCell ref="B1393:F1393"/>
    <mergeCell ref="B1394:E1394"/>
    <mergeCell ref="F1396:F1398"/>
    <mergeCell ref="B1384:C1384"/>
    <mergeCell ref="B1385:C1385"/>
    <mergeCell ref="B1386:C1386"/>
    <mergeCell ref="B1387:C1387"/>
    <mergeCell ref="B1388:C1388"/>
    <mergeCell ref="B1389:C1389"/>
    <mergeCell ref="B1380:C1380"/>
    <mergeCell ref="B1381:E1381"/>
    <mergeCell ref="B1382:C1382"/>
    <mergeCell ref="B1383:C1383"/>
    <mergeCell ref="B1372:C1372"/>
    <mergeCell ref="B1373:C1373"/>
    <mergeCell ref="B1374:C1374"/>
    <mergeCell ref="B1375:C1375"/>
    <mergeCell ref="B1376:C1376"/>
    <mergeCell ref="B1377:C1377"/>
    <mergeCell ref="B1371:C1371"/>
    <mergeCell ref="B1360:C1360"/>
    <mergeCell ref="B1361:C1361"/>
    <mergeCell ref="B1362:C1362"/>
    <mergeCell ref="B1363:C1363"/>
    <mergeCell ref="B1364:C1364"/>
    <mergeCell ref="B1365:C1365"/>
    <mergeCell ref="B1378:C1378"/>
    <mergeCell ref="B1379:C1379"/>
    <mergeCell ref="B1350:C1350"/>
    <mergeCell ref="B1351:C1351"/>
    <mergeCell ref="B1352:C1352"/>
    <mergeCell ref="B1353:C1353"/>
    <mergeCell ref="B1366:C1366"/>
    <mergeCell ref="B1367:C1367"/>
    <mergeCell ref="B1368:C1368"/>
    <mergeCell ref="B1369:D1369"/>
    <mergeCell ref="B1370:C1370"/>
    <mergeCell ref="B1342:C1342"/>
    <mergeCell ref="B1343:C1343"/>
    <mergeCell ref="B1344:C1344"/>
    <mergeCell ref="B1345:C1345"/>
    <mergeCell ref="B1346:C1346"/>
    <mergeCell ref="B1347:C1347"/>
    <mergeCell ref="B1332:F1332"/>
    <mergeCell ref="F1333:F1392"/>
    <mergeCell ref="B1334:C1334"/>
    <mergeCell ref="B1335:C1335"/>
    <mergeCell ref="B1336:C1336"/>
    <mergeCell ref="B1337:C1337"/>
    <mergeCell ref="B1338:C1338"/>
    <mergeCell ref="B1339:C1339"/>
    <mergeCell ref="B1340:C1340"/>
    <mergeCell ref="B1341:C1341"/>
    <mergeCell ref="B1354:C1354"/>
    <mergeCell ref="B1355:C1355"/>
    <mergeCell ref="B1356:C1356"/>
    <mergeCell ref="B1357:C1357"/>
    <mergeCell ref="B1358:C1358"/>
    <mergeCell ref="B1359:C1359"/>
    <mergeCell ref="B1348:C1348"/>
    <mergeCell ref="B1349:C1349"/>
    <mergeCell ref="F1326:F1327"/>
    <mergeCell ref="B1328:F1328"/>
    <mergeCell ref="B1329:C1329"/>
    <mergeCell ref="F1329:F1331"/>
    <mergeCell ref="B1330:C1330"/>
    <mergeCell ref="B1331:C1331"/>
    <mergeCell ref="B1318:C1318"/>
    <mergeCell ref="B1319:C1319"/>
    <mergeCell ref="B1320:C1320"/>
    <mergeCell ref="F1322:F1324"/>
    <mergeCell ref="B1323:B1324"/>
    <mergeCell ref="B1325:F1325"/>
    <mergeCell ref="F1228:F1257"/>
    <mergeCell ref="F1258:F1309"/>
    <mergeCell ref="B1311:C1311"/>
    <mergeCell ref="F1311:F1320"/>
    <mergeCell ref="B1312:C1312"/>
    <mergeCell ref="B1313:C1313"/>
    <mergeCell ref="B1314:C1314"/>
    <mergeCell ref="B1315:C1315"/>
    <mergeCell ref="B1316:C1316"/>
    <mergeCell ref="B1317:C1317"/>
    <mergeCell ref="B1016:D1016"/>
    <mergeCell ref="F1017:F1032"/>
    <mergeCell ref="B1033:F1033"/>
    <mergeCell ref="B1035:C1035"/>
    <mergeCell ref="F1035:F1226"/>
    <mergeCell ref="B1068:C1068"/>
    <mergeCell ref="B1094:C1094"/>
    <mergeCell ref="B1153:C1153"/>
    <mergeCell ref="B1163:D1163"/>
    <mergeCell ref="C960:C963"/>
    <mergeCell ref="C964:C965"/>
    <mergeCell ref="C966:C969"/>
    <mergeCell ref="C970:C972"/>
    <mergeCell ref="C973:C974"/>
    <mergeCell ref="F980:F1015"/>
    <mergeCell ref="F909:F926"/>
    <mergeCell ref="C928:C933"/>
    <mergeCell ref="F928:F978"/>
    <mergeCell ref="C934:C940"/>
    <mergeCell ref="C941:C942"/>
    <mergeCell ref="C943:C945"/>
    <mergeCell ref="C946:C947"/>
    <mergeCell ref="C948:C950"/>
    <mergeCell ref="C951:C954"/>
    <mergeCell ref="C955:C959"/>
    <mergeCell ref="B817:C817"/>
    <mergeCell ref="F818:F826"/>
    <mergeCell ref="B827:C827"/>
    <mergeCell ref="F828:F862"/>
    <mergeCell ref="F864:F907"/>
    <mergeCell ref="B908:C908"/>
    <mergeCell ref="B811:C811"/>
    <mergeCell ref="B812:C812"/>
    <mergeCell ref="B813:C813"/>
    <mergeCell ref="B814:C814"/>
    <mergeCell ref="B815:C815"/>
    <mergeCell ref="B816:C816"/>
    <mergeCell ref="B805:C805"/>
    <mergeCell ref="B806:C806"/>
    <mergeCell ref="B807:C807"/>
    <mergeCell ref="B808:C808"/>
    <mergeCell ref="B809:C809"/>
    <mergeCell ref="B810:C810"/>
    <mergeCell ref="B799:C799"/>
    <mergeCell ref="B800:C800"/>
    <mergeCell ref="B801:C801"/>
    <mergeCell ref="B802:C802"/>
    <mergeCell ref="B803:C803"/>
    <mergeCell ref="B804:C804"/>
    <mergeCell ref="B793:C793"/>
    <mergeCell ref="B794:C794"/>
    <mergeCell ref="B795:C795"/>
    <mergeCell ref="B796:C796"/>
    <mergeCell ref="B797:C797"/>
    <mergeCell ref="B798:C798"/>
    <mergeCell ref="B787:C787"/>
    <mergeCell ref="B788:C788"/>
    <mergeCell ref="B789:C789"/>
    <mergeCell ref="B790:C790"/>
    <mergeCell ref="B791:C791"/>
    <mergeCell ref="B792:C792"/>
    <mergeCell ref="B781:C781"/>
    <mergeCell ref="B782:C782"/>
    <mergeCell ref="B783:C783"/>
    <mergeCell ref="B784:C784"/>
    <mergeCell ref="B785:C785"/>
    <mergeCell ref="B786:C786"/>
    <mergeCell ref="B775:C775"/>
    <mergeCell ref="B776:C776"/>
    <mergeCell ref="B777:C777"/>
    <mergeCell ref="B778:C778"/>
    <mergeCell ref="B779:C779"/>
    <mergeCell ref="B780:C780"/>
    <mergeCell ref="B769:C769"/>
    <mergeCell ref="B770:C770"/>
    <mergeCell ref="B771:C771"/>
    <mergeCell ref="B772:C772"/>
    <mergeCell ref="B773:C773"/>
    <mergeCell ref="B774:C774"/>
    <mergeCell ref="B763:C763"/>
    <mergeCell ref="B764:C764"/>
    <mergeCell ref="B765:C765"/>
    <mergeCell ref="B766:C766"/>
    <mergeCell ref="B767:C767"/>
    <mergeCell ref="B768:C768"/>
    <mergeCell ref="B757:C757"/>
    <mergeCell ref="B758:C758"/>
    <mergeCell ref="B759:C759"/>
    <mergeCell ref="B760:C760"/>
    <mergeCell ref="B761:C761"/>
    <mergeCell ref="B762:C762"/>
    <mergeCell ref="B751:C751"/>
    <mergeCell ref="B752:C752"/>
    <mergeCell ref="B753:C753"/>
    <mergeCell ref="B754:C754"/>
    <mergeCell ref="B755:C755"/>
    <mergeCell ref="B756:C756"/>
    <mergeCell ref="B745:C745"/>
    <mergeCell ref="B746:C746"/>
    <mergeCell ref="B747:C747"/>
    <mergeCell ref="B748:C748"/>
    <mergeCell ref="B749:C749"/>
    <mergeCell ref="B750:C750"/>
    <mergeCell ref="B739:C739"/>
    <mergeCell ref="B740:C740"/>
    <mergeCell ref="B741:C741"/>
    <mergeCell ref="B742:C742"/>
    <mergeCell ref="B743:C743"/>
    <mergeCell ref="B744:C744"/>
    <mergeCell ref="B733:C733"/>
    <mergeCell ref="B734:C734"/>
    <mergeCell ref="B735:C735"/>
    <mergeCell ref="B736:C736"/>
    <mergeCell ref="B737:C737"/>
    <mergeCell ref="B738:C738"/>
    <mergeCell ref="B727:C727"/>
    <mergeCell ref="B728:C728"/>
    <mergeCell ref="B729:C729"/>
    <mergeCell ref="B730:C730"/>
    <mergeCell ref="B731:C731"/>
    <mergeCell ref="B732:C732"/>
    <mergeCell ref="B721:C721"/>
    <mergeCell ref="B722:C722"/>
    <mergeCell ref="B723:C723"/>
    <mergeCell ref="B724:C724"/>
    <mergeCell ref="B725:C725"/>
    <mergeCell ref="B726:C726"/>
    <mergeCell ref="B715:C715"/>
    <mergeCell ref="B716:C716"/>
    <mergeCell ref="B717:C717"/>
    <mergeCell ref="B718:C718"/>
    <mergeCell ref="B719:C719"/>
    <mergeCell ref="B720:C720"/>
    <mergeCell ref="B709:C709"/>
    <mergeCell ref="B710:C710"/>
    <mergeCell ref="B711:C711"/>
    <mergeCell ref="B712:C712"/>
    <mergeCell ref="B713:C713"/>
    <mergeCell ref="B714:C714"/>
    <mergeCell ref="B703:C703"/>
    <mergeCell ref="B704:C704"/>
    <mergeCell ref="B705:C705"/>
    <mergeCell ref="B706:C706"/>
    <mergeCell ref="B707:C707"/>
    <mergeCell ref="B708:C708"/>
    <mergeCell ref="B697:C697"/>
    <mergeCell ref="B698:C698"/>
    <mergeCell ref="B699:C699"/>
    <mergeCell ref="B700:C700"/>
    <mergeCell ref="B701:C701"/>
    <mergeCell ref="B702:C702"/>
    <mergeCell ref="B691:C691"/>
    <mergeCell ref="B692:C692"/>
    <mergeCell ref="B693:C693"/>
    <mergeCell ref="B694:C694"/>
    <mergeCell ref="B695:C695"/>
    <mergeCell ref="B696:C696"/>
    <mergeCell ref="B685:C685"/>
    <mergeCell ref="B686:C686"/>
    <mergeCell ref="B687:C687"/>
    <mergeCell ref="B688:C688"/>
    <mergeCell ref="B689:C689"/>
    <mergeCell ref="B690:C690"/>
    <mergeCell ref="B679:C679"/>
    <mergeCell ref="B680:C680"/>
    <mergeCell ref="B681:C681"/>
    <mergeCell ref="B682:C682"/>
    <mergeCell ref="B683:C683"/>
    <mergeCell ref="B684:C684"/>
    <mergeCell ref="B673:C673"/>
    <mergeCell ref="B674:C674"/>
    <mergeCell ref="B675:C675"/>
    <mergeCell ref="B676:C676"/>
    <mergeCell ref="B677:C677"/>
    <mergeCell ref="B678:C678"/>
    <mergeCell ref="B667:C667"/>
    <mergeCell ref="B668:C668"/>
    <mergeCell ref="B669:C669"/>
    <mergeCell ref="B670:C670"/>
    <mergeCell ref="B671:C671"/>
    <mergeCell ref="B672:C672"/>
    <mergeCell ref="B663:C663"/>
    <mergeCell ref="B664:C664"/>
    <mergeCell ref="B665:C665"/>
    <mergeCell ref="B666:C666"/>
    <mergeCell ref="B654:C654"/>
    <mergeCell ref="B655:C655"/>
    <mergeCell ref="B656:C656"/>
    <mergeCell ref="B657:C657"/>
    <mergeCell ref="B658:C658"/>
    <mergeCell ref="B660:C660"/>
    <mergeCell ref="B632:F632"/>
    <mergeCell ref="B634:C634"/>
    <mergeCell ref="F634:F816"/>
    <mergeCell ref="B635:C635"/>
    <mergeCell ref="B636:C636"/>
    <mergeCell ref="B637:C637"/>
    <mergeCell ref="B638:C638"/>
    <mergeCell ref="B639:C639"/>
    <mergeCell ref="B640:C640"/>
    <mergeCell ref="B641:C641"/>
    <mergeCell ref="B648:C648"/>
    <mergeCell ref="B649:C649"/>
    <mergeCell ref="B650:C650"/>
    <mergeCell ref="B651:C651"/>
    <mergeCell ref="B652:C652"/>
    <mergeCell ref="B653:C653"/>
    <mergeCell ref="B642:C642"/>
    <mergeCell ref="B643:C643"/>
    <mergeCell ref="B644:C644"/>
    <mergeCell ref="B645:C645"/>
    <mergeCell ref="B646:C646"/>
    <mergeCell ref="B647:C647"/>
    <mergeCell ref="B661:C661"/>
    <mergeCell ref="B662:C662"/>
    <mergeCell ref="B610:E610"/>
    <mergeCell ref="B611:C611"/>
    <mergeCell ref="F611:F620"/>
    <mergeCell ref="B619:C619"/>
    <mergeCell ref="B621:E621"/>
    <mergeCell ref="B622:E622"/>
    <mergeCell ref="F622:F631"/>
    <mergeCell ref="B630:C630"/>
    <mergeCell ref="B587:C587"/>
    <mergeCell ref="B588:C588"/>
    <mergeCell ref="B589:C589"/>
    <mergeCell ref="B590:E590"/>
    <mergeCell ref="F590:F609"/>
    <mergeCell ref="B600:E600"/>
    <mergeCell ref="B566:C566"/>
    <mergeCell ref="F566:F589"/>
    <mergeCell ref="B567:C567"/>
    <mergeCell ref="B568:C568"/>
    <mergeCell ref="B569:C569"/>
    <mergeCell ref="B570:C570"/>
    <mergeCell ref="B571:C571"/>
    <mergeCell ref="B572:C572"/>
    <mergeCell ref="B573:C573"/>
    <mergeCell ref="B574:C574"/>
    <mergeCell ref="B581:C581"/>
    <mergeCell ref="B582:C582"/>
    <mergeCell ref="B583:C583"/>
    <mergeCell ref="B584:C584"/>
    <mergeCell ref="B585:C585"/>
    <mergeCell ref="B586:C586"/>
    <mergeCell ref="B575:C575"/>
    <mergeCell ref="B576:C576"/>
    <mergeCell ref="B577:C577"/>
    <mergeCell ref="B578:C578"/>
    <mergeCell ref="B579:C579"/>
    <mergeCell ref="B580:C580"/>
    <mergeCell ref="F549:F551"/>
    <mergeCell ref="F552:F557"/>
    <mergeCell ref="B558:F558"/>
    <mergeCell ref="F559:F563"/>
    <mergeCell ref="B564:F564"/>
    <mergeCell ref="B565:E565"/>
    <mergeCell ref="F521:F527"/>
    <mergeCell ref="B528:F528"/>
    <mergeCell ref="F529:F547"/>
    <mergeCell ref="C538:C539"/>
    <mergeCell ref="C540:C541"/>
    <mergeCell ref="B548:F548"/>
    <mergeCell ref="F469:F477"/>
    <mergeCell ref="F479:F486"/>
    <mergeCell ref="F488:F501"/>
    <mergeCell ref="B515:F515"/>
    <mergeCell ref="F516:F519"/>
    <mergeCell ref="B520:F520"/>
    <mergeCell ref="F403:F413"/>
    <mergeCell ref="F415:F425"/>
    <mergeCell ref="F428:F435"/>
    <mergeCell ref="F437:F445"/>
    <mergeCell ref="F447:F456"/>
    <mergeCell ref="F458:F467"/>
    <mergeCell ref="F373:F376"/>
    <mergeCell ref="B377:F377"/>
    <mergeCell ref="F379:F393"/>
    <mergeCell ref="F395:F401"/>
    <mergeCell ref="B358:B359"/>
    <mergeCell ref="B360:B361"/>
    <mergeCell ref="B362:B363"/>
    <mergeCell ref="B364:B365"/>
    <mergeCell ref="B366:E366"/>
    <mergeCell ref="B369:B371"/>
    <mergeCell ref="B347:E347"/>
    <mergeCell ref="B348:B349"/>
    <mergeCell ref="F348:F367"/>
    <mergeCell ref="B350:B351"/>
    <mergeCell ref="B352:B353"/>
    <mergeCell ref="B354:B355"/>
    <mergeCell ref="B356:B357"/>
    <mergeCell ref="F369:F371"/>
    <mergeCell ref="B372:F372"/>
    <mergeCell ref="B336:F336"/>
    <mergeCell ref="B337:E337"/>
    <mergeCell ref="F337:F346"/>
    <mergeCell ref="B338:C338"/>
    <mergeCell ref="B339:C339"/>
    <mergeCell ref="B340:C340"/>
    <mergeCell ref="B341:C341"/>
    <mergeCell ref="B342:C342"/>
    <mergeCell ref="B343:C343"/>
    <mergeCell ref="B344:C344"/>
    <mergeCell ref="B345:C345"/>
    <mergeCell ref="B346:C346"/>
    <mergeCell ref="B329:C329"/>
    <mergeCell ref="B330:C330"/>
    <mergeCell ref="B331:C331"/>
    <mergeCell ref="B332:C332"/>
    <mergeCell ref="B333:C333"/>
    <mergeCell ref="B334:C334"/>
    <mergeCell ref="B320:C320"/>
    <mergeCell ref="B321:C321"/>
    <mergeCell ref="B322:C322"/>
    <mergeCell ref="B323:C323"/>
    <mergeCell ref="B324:F324"/>
    <mergeCell ref="B325:C325"/>
    <mergeCell ref="F325:F335"/>
    <mergeCell ref="B326:C326"/>
    <mergeCell ref="B327:C327"/>
    <mergeCell ref="B328:C328"/>
    <mergeCell ref="B335:C335"/>
    <mergeCell ref="B314:C314"/>
    <mergeCell ref="B315:C315"/>
    <mergeCell ref="B316:E316"/>
    <mergeCell ref="B317:C317"/>
    <mergeCell ref="B318:C318"/>
    <mergeCell ref="B319:C319"/>
    <mergeCell ref="B305:C305"/>
    <mergeCell ref="B306:F306"/>
    <mergeCell ref="B307:E307"/>
    <mergeCell ref="F307:F323"/>
    <mergeCell ref="B308:C308"/>
    <mergeCell ref="B309:C309"/>
    <mergeCell ref="B310:C310"/>
    <mergeCell ref="B311:C311"/>
    <mergeCell ref="B312:C312"/>
    <mergeCell ref="B313:C313"/>
    <mergeCell ref="B299:C299"/>
    <mergeCell ref="B300:C300"/>
    <mergeCell ref="B301:C301"/>
    <mergeCell ref="B302:C302"/>
    <mergeCell ref="B303:C303"/>
    <mergeCell ref="B304:C304"/>
    <mergeCell ref="B290:C290"/>
    <mergeCell ref="B291:C291"/>
    <mergeCell ref="B292:C292"/>
    <mergeCell ref="B293:F293"/>
    <mergeCell ref="B294:C294"/>
    <mergeCell ref="F294:F305"/>
    <mergeCell ref="B295:C295"/>
    <mergeCell ref="B296:C296"/>
    <mergeCell ref="B297:C297"/>
    <mergeCell ref="B298:C298"/>
    <mergeCell ref="B284:E284"/>
    <mergeCell ref="B285:C285"/>
    <mergeCell ref="B286:C286"/>
    <mergeCell ref="B287:C287"/>
    <mergeCell ref="B288:C288"/>
    <mergeCell ref="B289:C289"/>
    <mergeCell ref="B275:F275"/>
    <mergeCell ref="B276:F276"/>
    <mergeCell ref="B277:E277"/>
    <mergeCell ref="F277:F292"/>
    <mergeCell ref="B278:C278"/>
    <mergeCell ref="B279:C279"/>
    <mergeCell ref="B280:C280"/>
    <mergeCell ref="B281:C281"/>
    <mergeCell ref="B282:C282"/>
    <mergeCell ref="B283:C283"/>
    <mergeCell ref="F227:F230"/>
    <mergeCell ref="F233:F239"/>
    <mergeCell ref="F241:F261"/>
    <mergeCell ref="C263:C267"/>
    <mergeCell ref="F263:F267"/>
    <mergeCell ref="F269:F274"/>
    <mergeCell ref="B176:F176"/>
    <mergeCell ref="B179:C179"/>
    <mergeCell ref="B180:E180"/>
    <mergeCell ref="F180:F201"/>
    <mergeCell ref="B187:C187"/>
    <mergeCell ref="F203:F224"/>
    <mergeCell ref="B204:C204"/>
    <mergeCell ref="F125:F135"/>
    <mergeCell ref="F136:F139"/>
    <mergeCell ref="F140:F146"/>
    <mergeCell ref="B148:D148"/>
    <mergeCell ref="F148:F161"/>
    <mergeCell ref="F162:F175"/>
    <mergeCell ref="F69:F77"/>
    <mergeCell ref="F78:F83"/>
    <mergeCell ref="F84:F88"/>
    <mergeCell ref="F89:F96"/>
    <mergeCell ref="F98:F111"/>
    <mergeCell ref="F112:F124"/>
    <mergeCell ref="F25:F30"/>
    <mergeCell ref="F31:F39"/>
    <mergeCell ref="F40:F46"/>
    <mergeCell ref="B48:C48"/>
    <mergeCell ref="F51:F58"/>
    <mergeCell ref="F61:F68"/>
    <mergeCell ref="B8:F8"/>
    <mergeCell ref="F10:F13"/>
    <mergeCell ref="F14:F15"/>
    <mergeCell ref="F16:F18"/>
    <mergeCell ref="B19:F19"/>
    <mergeCell ref="B23:F23"/>
    <mergeCell ref="A1:F1"/>
    <mergeCell ref="A2:F2"/>
    <mergeCell ref="A3:F3"/>
    <mergeCell ref="A4:F4"/>
    <mergeCell ref="A5:A6"/>
    <mergeCell ref="B5:B6"/>
    <mergeCell ref="C5:C6"/>
    <mergeCell ref="D5:D6"/>
    <mergeCell ref="E5:E6"/>
    <mergeCell ref="F5: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7"/>
  <sheetViews>
    <sheetView topLeftCell="A16" workbookViewId="0">
      <selection activeCell="I20" sqref="I20"/>
    </sheetView>
  </sheetViews>
  <sheetFormatPr defaultRowHeight="14"/>
  <cols>
    <col min="2" max="2" width="11.83203125" bestFit="1" customWidth="1"/>
    <col min="3" max="3" width="22.75" customWidth="1"/>
    <col min="5" max="5" width="5.33203125" bestFit="1" customWidth="1"/>
    <col min="7" max="7" width="13.75" customWidth="1"/>
  </cols>
  <sheetData>
    <row r="6" spans="1:10" s="932" customFormat="1" ht="42">
      <c r="A6" s="926">
        <v>1</v>
      </c>
      <c r="B6" s="927" t="s">
        <v>2408</v>
      </c>
      <c r="C6" s="928" t="s">
        <v>2409</v>
      </c>
      <c r="D6" s="927" t="s">
        <v>2251</v>
      </c>
      <c r="E6" s="929">
        <v>1</v>
      </c>
      <c r="F6" s="929"/>
      <c r="G6" s="930"/>
      <c r="H6" s="931"/>
      <c r="I6" s="931"/>
      <c r="J6" s="931"/>
    </row>
    <row r="7" spans="1:10" s="941" customFormat="1" ht="15.5">
      <c r="A7" s="933"/>
      <c r="B7" s="934"/>
      <c r="C7" s="935" t="s">
        <v>56</v>
      </c>
      <c r="D7" s="936"/>
      <c r="E7" s="937"/>
      <c r="F7" s="938"/>
      <c r="G7" s="939">
        <f>SUM(G8:G13)</f>
        <v>7519600</v>
      </c>
      <c r="H7" s="940"/>
      <c r="I7" s="940"/>
      <c r="J7" s="940"/>
    </row>
    <row r="8" spans="1:10" s="941" customFormat="1" ht="15.5">
      <c r="A8" s="933"/>
      <c r="B8" s="934" t="s">
        <v>2410</v>
      </c>
      <c r="C8" s="935" t="s">
        <v>2411</v>
      </c>
      <c r="D8" s="936" t="s">
        <v>45</v>
      </c>
      <c r="E8" s="937">
        <v>12</v>
      </c>
      <c r="F8" s="938">
        <v>10000</v>
      </c>
      <c r="G8" s="939">
        <f>+F8*E8</f>
        <v>120000</v>
      </c>
      <c r="H8" s="940"/>
      <c r="I8" s="940"/>
      <c r="J8" s="940"/>
    </row>
    <row r="9" spans="1:10" s="941" customFormat="1" ht="15.5">
      <c r="A9" s="933"/>
      <c r="B9" s="934" t="s">
        <v>2412</v>
      </c>
      <c r="C9" s="935" t="s">
        <v>2413</v>
      </c>
      <c r="D9" s="936" t="s">
        <v>30</v>
      </c>
      <c r="E9" s="937">
        <v>118</v>
      </c>
      <c r="F9" s="938">
        <v>55000</v>
      </c>
      <c r="G9" s="939">
        <f>+F9*E9</f>
        <v>6490000</v>
      </c>
      <c r="H9" s="940"/>
      <c r="I9" s="940"/>
      <c r="J9" s="940"/>
    </row>
    <row r="10" spans="1:10" s="941" customFormat="1" ht="15.5">
      <c r="A10" s="933"/>
      <c r="B10" s="934" t="s">
        <v>2414</v>
      </c>
      <c r="C10" s="935" t="s">
        <v>2415</v>
      </c>
      <c r="D10" s="936" t="s">
        <v>30</v>
      </c>
      <c r="E10" s="937">
        <v>0.24</v>
      </c>
      <c r="F10" s="938">
        <v>25000</v>
      </c>
      <c r="G10" s="939">
        <f>+F10*E10</f>
        <v>6000</v>
      </c>
      <c r="H10" s="940"/>
      <c r="I10" s="940"/>
      <c r="J10" s="940"/>
    </row>
    <row r="11" spans="1:10" s="941" customFormat="1" ht="15.5">
      <c r="A11" s="933"/>
      <c r="B11" s="934" t="s">
        <v>2416</v>
      </c>
      <c r="C11" s="935" t="s">
        <v>2417</v>
      </c>
      <c r="D11" s="936" t="s">
        <v>2418</v>
      </c>
      <c r="E11" s="937">
        <v>0.03</v>
      </c>
      <c r="F11" s="938">
        <v>2000000</v>
      </c>
      <c r="G11" s="939">
        <f>+F11*E11</f>
        <v>60000</v>
      </c>
      <c r="H11" s="940"/>
      <c r="I11" s="940"/>
      <c r="J11" s="940"/>
    </row>
    <row r="12" spans="1:10" s="941" customFormat="1" ht="15.5">
      <c r="A12" s="933"/>
      <c r="B12" s="934" t="s">
        <v>2419</v>
      </c>
      <c r="C12" s="935" t="s">
        <v>96</v>
      </c>
      <c r="D12" s="936" t="s">
        <v>97</v>
      </c>
      <c r="E12" s="937">
        <v>5</v>
      </c>
      <c r="F12" s="938">
        <v>32000</v>
      </c>
      <c r="G12" s="939">
        <f>+F12*E12</f>
        <v>160000</v>
      </c>
      <c r="H12" s="940"/>
      <c r="I12" s="940"/>
      <c r="J12" s="940"/>
    </row>
    <row r="13" spans="1:10" s="941" customFormat="1" ht="15.5">
      <c r="A13" s="933"/>
      <c r="B13" s="934" t="s">
        <v>2420</v>
      </c>
      <c r="C13" s="935" t="s">
        <v>58</v>
      </c>
      <c r="D13" s="936" t="s">
        <v>59</v>
      </c>
      <c r="E13" s="937">
        <v>10</v>
      </c>
      <c r="F13" s="938">
        <v>0</v>
      </c>
      <c r="G13" s="939">
        <f>SUM(G8:G12)*0.1</f>
        <v>683600</v>
      </c>
      <c r="H13" s="940"/>
      <c r="I13" s="940"/>
      <c r="J13" s="940"/>
    </row>
    <row r="14" spans="1:10" s="941" customFormat="1" ht="15.5">
      <c r="A14" s="933"/>
      <c r="B14" s="934"/>
      <c r="C14" s="935" t="s">
        <v>60</v>
      </c>
      <c r="D14" s="936"/>
      <c r="E14" s="937"/>
      <c r="F14" s="938"/>
      <c r="G14" s="939">
        <f>+G15</f>
        <v>15196303.269230768</v>
      </c>
      <c r="H14" s="940"/>
      <c r="I14" s="940"/>
      <c r="J14" s="940"/>
    </row>
    <row r="15" spans="1:10" s="941" customFormat="1" ht="15.5">
      <c r="A15" s="933"/>
      <c r="B15" s="934" t="s">
        <v>2421</v>
      </c>
      <c r="C15" s="935" t="s">
        <v>2422</v>
      </c>
      <c r="D15" s="936" t="s">
        <v>62</v>
      </c>
      <c r="E15" s="937">
        <v>46.75</v>
      </c>
      <c r="F15" s="938">
        <f>+[2]Trang_tính2!N15</f>
        <v>325054.61538461538</v>
      </c>
      <c r="G15" s="939">
        <f>+F15*E15</f>
        <v>15196303.269230768</v>
      </c>
      <c r="H15" s="940"/>
      <c r="I15" s="940"/>
      <c r="J15" s="940"/>
    </row>
    <row r="16" spans="1:10" s="941" customFormat="1" ht="15.5">
      <c r="A16" s="933"/>
      <c r="B16" s="934"/>
      <c r="C16" s="935" t="s">
        <v>63</v>
      </c>
      <c r="D16" s="936"/>
      <c r="E16" s="937"/>
      <c r="F16" s="938"/>
      <c r="G16" s="939">
        <f>+G17+G18</f>
        <v>9104694.4300020523</v>
      </c>
      <c r="H16" s="940"/>
      <c r="I16" s="940"/>
      <c r="J16" s="940"/>
    </row>
    <row r="17" spans="1:14" s="941" customFormat="1" ht="15.5">
      <c r="A17" s="933"/>
      <c r="B17" s="934" t="s">
        <v>2423</v>
      </c>
      <c r="C17" s="935" t="s">
        <v>2424</v>
      </c>
      <c r="D17" s="936" t="s">
        <v>64</v>
      </c>
      <c r="E17" s="937">
        <v>19.600000000000001</v>
      </c>
      <c r="F17" s="938">
        <f>+'5CM'!$E$14</f>
        <v>442404.97716239316</v>
      </c>
      <c r="G17" s="939">
        <f>+F17*E17</f>
        <v>8671137.5523829069</v>
      </c>
      <c r="H17" s="940"/>
      <c r="I17" s="940"/>
      <c r="J17" s="940"/>
    </row>
    <row r="18" spans="1:14" s="941" customFormat="1" ht="15.5">
      <c r="A18" s="933"/>
      <c r="B18" s="934" t="s">
        <v>2425</v>
      </c>
      <c r="C18" s="935" t="s">
        <v>81</v>
      </c>
      <c r="D18" s="936" t="s">
        <v>59</v>
      </c>
      <c r="E18" s="937">
        <v>5</v>
      </c>
      <c r="F18" s="938">
        <v>0</v>
      </c>
      <c r="G18" s="939">
        <f>+G17*0.05</f>
        <v>433556.87761914538</v>
      </c>
      <c r="H18" s="940"/>
      <c r="I18" s="940"/>
      <c r="J18" s="940"/>
    </row>
    <row r="19" spans="1:14" s="948" customFormat="1" ht="28">
      <c r="A19" s="942"/>
      <c r="B19" s="943" t="s">
        <v>2381</v>
      </c>
      <c r="C19" s="944" t="s">
        <v>2426</v>
      </c>
      <c r="D19" s="943"/>
      <c r="E19" s="945"/>
      <c r="F19" s="946"/>
      <c r="G19" s="947">
        <f>+G16+G14+G7</f>
        <v>31820597.69923282</v>
      </c>
      <c r="H19" s="931"/>
      <c r="I19" s="931"/>
      <c r="J19" s="931"/>
      <c r="N19" s="949"/>
    </row>
    <row r="20" spans="1:14" s="948" customFormat="1" ht="15">
      <c r="A20" s="942"/>
      <c r="B20" s="943" t="s">
        <v>369</v>
      </c>
      <c r="C20" s="944" t="s">
        <v>2427</v>
      </c>
      <c r="D20" s="943" t="s">
        <v>59</v>
      </c>
      <c r="E20" s="945">
        <v>6.5</v>
      </c>
      <c r="F20" s="946"/>
      <c r="G20" s="947">
        <f>G19*E20%</f>
        <v>2068338.8504501334</v>
      </c>
      <c r="H20" s="931"/>
      <c r="I20" s="931"/>
      <c r="J20" s="931"/>
      <c r="N20" s="949"/>
    </row>
    <row r="21" spans="1:14" s="948" customFormat="1" ht="28">
      <c r="A21" s="942"/>
      <c r="B21" s="943" t="s">
        <v>2383</v>
      </c>
      <c r="C21" s="944" t="s">
        <v>2428</v>
      </c>
      <c r="D21" s="943" t="s">
        <v>59</v>
      </c>
      <c r="E21" s="945">
        <v>6</v>
      </c>
      <c r="F21" s="946"/>
      <c r="G21" s="947">
        <f>(G19+G20)*E21%</f>
        <v>2033336.192980977</v>
      </c>
      <c r="H21" s="931"/>
      <c r="I21" s="931"/>
      <c r="J21" s="931"/>
      <c r="N21" s="949"/>
    </row>
    <row r="22" spans="1:14" s="948" customFormat="1" ht="28">
      <c r="A22" s="942"/>
      <c r="B22" s="943" t="s">
        <v>803</v>
      </c>
      <c r="C22" s="944" t="s">
        <v>2429</v>
      </c>
      <c r="D22" s="943"/>
      <c r="E22" s="945"/>
      <c r="F22" s="946"/>
      <c r="G22" s="947">
        <f>G19+G20+G21</f>
        <v>35922272.742663927</v>
      </c>
      <c r="H22" s="931"/>
      <c r="I22" s="931"/>
      <c r="J22" s="931"/>
      <c r="N22" s="949"/>
    </row>
    <row r="23" spans="1:14" s="948" customFormat="1" ht="28">
      <c r="A23" s="942"/>
      <c r="B23" s="943" t="s">
        <v>2430</v>
      </c>
      <c r="C23" s="944" t="s">
        <v>2431</v>
      </c>
      <c r="D23" s="943" t="s">
        <v>59</v>
      </c>
      <c r="E23" s="945">
        <v>6.5</v>
      </c>
      <c r="F23" s="946"/>
      <c r="G23" s="947">
        <f>G22*E23%</f>
        <v>2334947.7282731552</v>
      </c>
      <c r="H23" s="931"/>
      <c r="I23" s="931"/>
      <c r="J23" s="931"/>
      <c r="N23" s="949"/>
    </row>
    <row r="24" spans="1:14" s="951" customFormat="1" ht="15">
      <c r="A24" s="950"/>
      <c r="B24" s="943" t="s">
        <v>2432</v>
      </c>
      <c r="C24" s="944" t="s">
        <v>2433</v>
      </c>
      <c r="D24" s="943"/>
      <c r="E24" s="945"/>
      <c r="F24" s="946"/>
      <c r="G24" s="947">
        <f>G22+G23</f>
        <v>38257220.470937081</v>
      </c>
      <c r="H24" s="931"/>
      <c r="I24" s="931"/>
      <c r="J24" s="931"/>
      <c r="N24" s="952"/>
    </row>
    <row r="25" spans="1:14" s="951" customFormat="1" ht="15">
      <c r="A25" s="950"/>
      <c r="B25" s="943" t="s">
        <v>2434</v>
      </c>
      <c r="C25" s="944" t="s">
        <v>2435</v>
      </c>
      <c r="D25" s="943"/>
      <c r="E25" s="945">
        <v>2</v>
      </c>
      <c r="F25" s="946"/>
      <c r="G25" s="947">
        <f>G22*E25%</f>
        <v>718445.45485327858</v>
      </c>
      <c r="H25" s="931"/>
      <c r="I25" s="931"/>
      <c r="J25" s="931"/>
      <c r="N25" s="952"/>
    </row>
    <row r="26" spans="1:14" s="951" customFormat="1" ht="15">
      <c r="A26" s="950"/>
      <c r="B26" s="943" t="s">
        <v>2436</v>
      </c>
      <c r="C26" s="944" t="s">
        <v>2437</v>
      </c>
      <c r="D26" s="943"/>
      <c r="E26" s="945"/>
      <c r="F26" s="946"/>
      <c r="G26" s="947">
        <f>G24+G25</f>
        <v>38975665.925790362</v>
      </c>
      <c r="H26" s="931"/>
      <c r="I26" s="931"/>
      <c r="J26" s="931"/>
      <c r="N26" s="952"/>
    </row>
    <row r="27" spans="1:14" s="954" customFormat="1" ht="15.5">
      <c r="A27" s="953"/>
      <c r="C27" s="955"/>
      <c r="E27" s="956"/>
      <c r="F27" s="957"/>
      <c r="G27" s="958"/>
      <c r="H27" s="95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C9" sqref="C9"/>
    </sheetView>
  </sheetViews>
  <sheetFormatPr defaultRowHeight="15.5"/>
  <cols>
    <col min="1" max="1" width="4.58203125" style="953" customWidth="1"/>
    <col min="2" max="2" width="13.58203125" style="954" customWidth="1"/>
    <col min="3" max="3" width="38.5" style="955" customWidth="1"/>
    <col min="4" max="4" width="7.83203125" style="954" customWidth="1"/>
    <col min="5" max="5" width="9.75" style="956" customWidth="1"/>
    <col min="6" max="6" width="9.33203125" style="957" customWidth="1"/>
    <col min="7" max="7" width="11.08203125" style="958" customWidth="1"/>
    <col min="8" max="8" width="11.5" style="959" customWidth="1"/>
    <col min="9" max="9" width="11" style="954" customWidth="1"/>
    <col min="10" max="10" width="12.33203125" style="954" bestFit="1" customWidth="1"/>
    <col min="11" max="256" width="8.58203125" style="954"/>
    <col min="257" max="257" width="4.58203125" style="954" customWidth="1"/>
    <col min="258" max="258" width="13.58203125" style="954" customWidth="1"/>
    <col min="259" max="259" width="38.5" style="954" customWidth="1"/>
    <col min="260" max="260" width="7.83203125" style="954" customWidth="1"/>
    <col min="261" max="261" width="9.75" style="954" customWidth="1"/>
    <col min="262" max="262" width="9.33203125" style="954" customWidth="1"/>
    <col min="263" max="263" width="11.08203125" style="954" customWidth="1"/>
    <col min="264" max="264" width="11.5" style="954" customWidth="1"/>
    <col min="265" max="265" width="11" style="954" customWidth="1"/>
    <col min="266" max="266" width="12.33203125" style="954" bestFit="1" customWidth="1"/>
    <col min="267" max="512" width="8.58203125" style="954"/>
    <col min="513" max="513" width="4.58203125" style="954" customWidth="1"/>
    <col min="514" max="514" width="13.58203125" style="954" customWidth="1"/>
    <col min="515" max="515" width="38.5" style="954" customWidth="1"/>
    <col min="516" max="516" width="7.83203125" style="954" customWidth="1"/>
    <col min="517" max="517" width="9.75" style="954" customWidth="1"/>
    <col min="518" max="518" width="9.33203125" style="954" customWidth="1"/>
    <col min="519" max="519" width="11.08203125" style="954" customWidth="1"/>
    <col min="520" max="520" width="11.5" style="954" customWidth="1"/>
    <col min="521" max="521" width="11" style="954" customWidth="1"/>
    <col min="522" max="522" width="12.33203125" style="954" bestFit="1" customWidth="1"/>
    <col min="523" max="768" width="8.58203125" style="954"/>
    <col min="769" max="769" width="4.58203125" style="954" customWidth="1"/>
    <col min="770" max="770" width="13.58203125" style="954" customWidth="1"/>
    <col min="771" max="771" width="38.5" style="954" customWidth="1"/>
    <col min="772" max="772" width="7.83203125" style="954" customWidth="1"/>
    <col min="773" max="773" width="9.75" style="954" customWidth="1"/>
    <col min="774" max="774" width="9.33203125" style="954" customWidth="1"/>
    <col min="775" max="775" width="11.08203125" style="954" customWidth="1"/>
    <col min="776" max="776" width="11.5" style="954" customWidth="1"/>
    <col min="777" max="777" width="11" style="954" customWidth="1"/>
    <col min="778" max="778" width="12.33203125" style="954" bestFit="1" customWidth="1"/>
    <col min="779" max="1024" width="8.58203125" style="954"/>
    <col min="1025" max="1025" width="4.58203125" style="954" customWidth="1"/>
    <col min="1026" max="1026" width="13.58203125" style="954" customWidth="1"/>
    <col min="1027" max="1027" width="38.5" style="954" customWidth="1"/>
    <col min="1028" max="1028" width="7.83203125" style="954" customWidth="1"/>
    <col min="1029" max="1029" width="9.75" style="954" customWidth="1"/>
    <col min="1030" max="1030" width="9.33203125" style="954" customWidth="1"/>
    <col min="1031" max="1031" width="11.08203125" style="954" customWidth="1"/>
    <col min="1032" max="1032" width="11.5" style="954" customWidth="1"/>
    <col min="1033" max="1033" width="11" style="954" customWidth="1"/>
    <col min="1034" max="1034" width="12.33203125" style="954" bestFit="1" customWidth="1"/>
    <col min="1035" max="1280" width="8.58203125" style="954"/>
    <col min="1281" max="1281" width="4.58203125" style="954" customWidth="1"/>
    <col min="1282" max="1282" width="13.58203125" style="954" customWidth="1"/>
    <col min="1283" max="1283" width="38.5" style="954" customWidth="1"/>
    <col min="1284" max="1284" width="7.83203125" style="954" customWidth="1"/>
    <col min="1285" max="1285" width="9.75" style="954" customWidth="1"/>
    <col min="1286" max="1286" width="9.33203125" style="954" customWidth="1"/>
    <col min="1287" max="1287" width="11.08203125" style="954" customWidth="1"/>
    <col min="1288" max="1288" width="11.5" style="954" customWidth="1"/>
    <col min="1289" max="1289" width="11" style="954" customWidth="1"/>
    <col min="1290" max="1290" width="12.33203125" style="954" bestFit="1" customWidth="1"/>
    <col min="1291" max="1536" width="8.58203125" style="954"/>
    <col min="1537" max="1537" width="4.58203125" style="954" customWidth="1"/>
    <col min="1538" max="1538" width="13.58203125" style="954" customWidth="1"/>
    <col min="1539" max="1539" width="38.5" style="954" customWidth="1"/>
    <col min="1540" max="1540" width="7.83203125" style="954" customWidth="1"/>
    <col min="1541" max="1541" width="9.75" style="954" customWidth="1"/>
    <col min="1542" max="1542" width="9.33203125" style="954" customWidth="1"/>
    <col min="1543" max="1543" width="11.08203125" style="954" customWidth="1"/>
    <col min="1544" max="1544" width="11.5" style="954" customWidth="1"/>
    <col min="1545" max="1545" width="11" style="954" customWidth="1"/>
    <col min="1546" max="1546" width="12.33203125" style="954" bestFit="1" customWidth="1"/>
    <col min="1547" max="1792" width="8.58203125" style="954"/>
    <col min="1793" max="1793" width="4.58203125" style="954" customWidth="1"/>
    <col min="1794" max="1794" width="13.58203125" style="954" customWidth="1"/>
    <col min="1795" max="1795" width="38.5" style="954" customWidth="1"/>
    <col min="1796" max="1796" width="7.83203125" style="954" customWidth="1"/>
    <col min="1797" max="1797" width="9.75" style="954" customWidth="1"/>
    <col min="1798" max="1798" width="9.33203125" style="954" customWidth="1"/>
    <col min="1799" max="1799" width="11.08203125" style="954" customWidth="1"/>
    <col min="1800" max="1800" width="11.5" style="954" customWidth="1"/>
    <col min="1801" max="1801" width="11" style="954" customWidth="1"/>
    <col min="1802" max="1802" width="12.33203125" style="954" bestFit="1" customWidth="1"/>
    <col min="1803" max="2048" width="8.58203125" style="954"/>
    <col min="2049" max="2049" width="4.58203125" style="954" customWidth="1"/>
    <col min="2050" max="2050" width="13.58203125" style="954" customWidth="1"/>
    <col min="2051" max="2051" width="38.5" style="954" customWidth="1"/>
    <col min="2052" max="2052" width="7.83203125" style="954" customWidth="1"/>
    <col min="2053" max="2053" width="9.75" style="954" customWidth="1"/>
    <col min="2054" max="2054" width="9.33203125" style="954" customWidth="1"/>
    <col min="2055" max="2055" width="11.08203125" style="954" customWidth="1"/>
    <col min="2056" max="2056" width="11.5" style="954" customWidth="1"/>
    <col min="2057" max="2057" width="11" style="954" customWidth="1"/>
    <col min="2058" max="2058" width="12.33203125" style="954" bestFit="1" customWidth="1"/>
    <col min="2059" max="2304" width="8.58203125" style="954"/>
    <col min="2305" max="2305" width="4.58203125" style="954" customWidth="1"/>
    <col min="2306" max="2306" width="13.58203125" style="954" customWidth="1"/>
    <col min="2307" max="2307" width="38.5" style="954" customWidth="1"/>
    <col min="2308" max="2308" width="7.83203125" style="954" customWidth="1"/>
    <col min="2309" max="2309" width="9.75" style="954" customWidth="1"/>
    <col min="2310" max="2310" width="9.33203125" style="954" customWidth="1"/>
    <col min="2311" max="2311" width="11.08203125" style="954" customWidth="1"/>
    <col min="2312" max="2312" width="11.5" style="954" customWidth="1"/>
    <col min="2313" max="2313" width="11" style="954" customWidth="1"/>
    <col min="2314" max="2314" width="12.33203125" style="954" bestFit="1" customWidth="1"/>
    <col min="2315" max="2560" width="8.58203125" style="954"/>
    <col min="2561" max="2561" width="4.58203125" style="954" customWidth="1"/>
    <col min="2562" max="2562" width="13.58203125" style="954" customWidth="1"/>
    <col min="2563" max="2563" width="38.5" style="954" customWidth="1"/>
    <col min="2564" max="2564" width="7.83203125" style="954" customWidth="1"/>
    <col min="2565" max="2565" width="9.75" style="954" customWidth="1"/>
    <col min="2566" max="2566" width="9.33203125" style="954" customWidth="1"/>
    <col min="2567" max="2567" width="11.08203125" style="954" customWidth="1"/>
    <col min="2568" max="2568" width="11.5" style="954" customWidth="1"/>
    <col min="2569" max="2569" width="11" style="954" customWidth="1"/>
    <col min="2570" max="2570" width="12.33203125" style="954" bestFit="1" customWidth="1"/>
    <col min="2571" max="2816" width="8.58203125" style="954"/>
    <col min="2817" max="2817" width="4.58203125" style="954" customWidth="1"/>
    <col min="2818" max="2818" width="13.58203125" style="954" customWidth="1"/>
    <col min="2819" max="2819" width="38.5" style="954" customWidth="1"/>
    <col min="2820" max="2820" width="7.83203125" style="954" customWidth="1"/>
    <col min="2821" max="2821" width="9.75" style="954" customWidth="1"/>
    <col min="2822" max="2822" width="9.33203125" style="954" customWidth="1"/>
    <col min="2823" max="2823" width="11.08203125" style="954" customWidth="1"/>
    <col min="2824" max="2824" width="11.5" style="954" customWidth="1"/>
    <col min="2825" max="2825" width="11" style="954" customWidth="1"/>
    <col min="2826" max="2826" width="12.33203125" style="954" bestFit="1" customWidth="1"/>
    <col min="2827" max="3072" width="8.58203125" style="954"/>
    <col min="3073" max="3073" width="4.58203125" style="954" customWidth="1"/>
    <col min="3074" max="3074" width="13.58203125" style="954" customWidth="1"/>
    <col min="3075" max="3075" width="38.5" style="954" customWidth="1"/>
    <col min="3076" max="3076" width="7.83203125" style="954" customWidth="1"/>
    <col min="3077" max="3077" width="9.75" style="954" customWidth="1"/>
    <col min="3078" max="3078" width="9.33203125" style="954" customWidth="1"/>
    <col min="3079" max="3079" width="11.08203125" style="954" customWidth="1"/>
    <col min="3080" max="3080" width="11.5" style="954" customWidth="1"/>
    <col min="3081" max="3081" width="11" style="954" customWidth="1"/>
    <col min="3082" max="3082" width="12.33203125" style="954" bestFit="1" customWidth="1"/>
    <col min="3083" max="3328" width="8.58203125" style="954"/>
    <col min="3329" max="3329" width="4.58203125" style="954" customWidth="1"/>
    <col min="3330" max="3330" width="13.58203125" style="954" customWidth="1"/>
    <col min="3331" max="3331" width="38.5" style="954" customWidth="1"/>
    <col min="3332" max="3332" width="7.83203125" style="954" customWidth="1"/>
    <col min="3333" max="3333" width="9.75" style="954" customWidth="1"/>
    <col min="3334" max="3334" width="9.33203125" style="954" customWidth="1"/>
    <col min="3335" max="3335" width="11.08203125" style="954" customWidth="1"/>
    <col min="3336" max="3336" width="11.5" style="954" customWidth="1"/>
    <col min="3337" max="3337" width="11" style="954" customWidth="1"/>
    <col min="3338" max="3338" width="12.33203125" style="954" bestFit="1" customWidth="1"/>
    <col min="3339" max="3584" width="8.58203125" style="954"/>
    <col min="3585" max="3585" width="4.58203125" style="954" customWidth="1"/>
    <col min="3586" max="3586" width="13.58203125" style="954" customWidth="1"/>
    <col min="3587" max="3587" width="38.5" style="954" customWidth="1"/>
    <col min="3588" max="3588" width="7.83203125" style="954" customWidth="1"/>
    <col min="3589" max="3589" width="9.75" style="954" customWidth="1"/>
    <col min="3590" max="3590" width="9.33203125" style="954" customWidth="1"/>
    <col min="3591" max="3591" width="11.08203125" style="954" customWidth="1"/>
    <col min="3592" max="3592" width="11.5" style="954" customWidth="1"/>
    <col min="3593" max="3593" width="11" style="954" customWidth="1"/>
    <col min="3594" max="3594" width="12.33203125" style="954" bestFit="1" customWidth="1"/>
    <col min="3595" max="3840" width="8.58203125" style="954"/>
    <col min="3841" max="3841" width="4.58203125" style="954" customWidth="1"/>
    <col min="3842" max="3842" width="13.58203125" style="954" customWidth="1"/>
    <col min="3843" max="3843" width="38.5" style="954" customWidth="1"/>
    <col min="3844" max="3844" width="7.83203125" style="954" customWidth="1"/>
    <col min="3845" max="3845" width="9.75" style="954" customWidth="1"/>
    <col min="3846" max="3846" width="9.33203125" style="954" customWidth="1"/>
    <col min="3847" max="3847" width="11.08203125" style="954" customWidth="1"/>
    <col min="3848" max="3848" width="11.5" style="954" customWidth="1"/>
    <col min="3849" max="3849" width="11" style="954" customWidth="1"/>
    <col min="3850" max="3850" width="12.33203125" style="954" bestFit="1" customWidth="1"/>
    <col min="3851" max="4096" width="8.58203125" style="954"/>
    <col min="4097" max="4097" width="4.58203125" style="954" customWidth="1"/>
    <col min="4098" max="4098" width="13.58203125" style="954" customWidth="1"/>
    <col min="4099" max="4099" width="38.5" style="954" customWidth="1"/>
    <col min="4100" max="4100" width="7.83203125" style="954" customWidth="1"/>
    <col min="4101" max="4101" width="9.75" style="954" customWidth="1"/>
    <col min="4102" max="4102" width="9.33203125" style="954" customWidth="1"/>
    <col min="4103" max="4103" width="11.08203125" style="954" customWidth="1"/>
    <col min="4104" max="4104" width="11.5" style="954" customWidth="1"/>
    <col min="4105" max="4105" width="11" style="954" customWidth="1"/>
    <col min="4106" max="4106" width="12.33203125" style="954" bestFit="1" customWidth="1"/>
    <col min="4107" max="4352" width="8.58203125" style="954"/>
    <col min="4353" max="4353" width="4.58203125" style="954" customWidth="1"/>
    <col min="4354" max="4354" width="13.58203125" style="954" customWidth="1"/>
    <col min="4355" max="4355" width="38.5" style="954" customWidth="1"/>
    <col min="4356" max="4356" width="7.83203125" style="954" customWidth="1"/>
    <col min="4357" max="4357" width="9.75" style="954" customWidth="1"/>
    <col min="4358" max="4358" width="9.33203125" style="954" customWidth="1"/>
    <col min="4359" max="4359" width="11.08203125" style="954" customWidth="1"/>
    <col min="4360" max="4360" width="11.5" style="954" customWidth="1"/>
    <col min="4361" max="4361" width="11" style="954" customWidth="1"/>
    <col min="4362" max="4362" width="12.33203125" style="954" bestFit="1" customWidth="1"/>
    <col min="4363" max="4608" width="8.58203125" style="954"/>
    <col min="4609" max="4609" width="4.58203125" style="954" customWidth="1"/>
    <col min="4610" max="4610" width="13.58203125" style="954" customWidth="1"/>
    <col min="4611" max="4611" width="38.5" style="954" customWidth="1"/>
    <col min="4612" max="4612" width="7.83203125" style="954" customWidth="1"/>
    <col min="4613" max="4613" width="9.75" style="954" customWidth="1"/>
    <col min="4614" max="4614" width="9.33203125" style="954" customWidth="1"/>
    <col min="4615" max="4615" width="11.08203125" style="954" customWidth="1"/>
    <col min="4616" max="4616" width="11.5" style="954" customWidth="1"/>
    <col min="4617" max="4617" width="11" style="954" customWidth="1"/>
    <col min="4618" max="4618" width="12.33203125" style="954" bestFit="1" customWidth="1"/>
    <col min="4619" max="4864" width="8.58203125" style="954"/>
    <col min="4865" max="4865" width="4.58203125" style="954" customWidth="1"/>
    <col min="4866" max="4866" width="13.58203125" style="954" customWidth="1"/>
    <col min="4867" max="4867" width="38.5" style="954" customWidth="1"/>
    <col min="4868" max="4868" width="7.83203125" style="954" customWidth="1"/>
    <col min="4869" max="4869" width="9.75" style="954" customWidth="1"/>
    <col min="4870" max="4870" width="9.33203125" style="954" customWidth="1"/>
    <col min="4871" max="4871" width="11.08203125" style="954" customWidth="1"/>
    <col min="4872" max="4872" width="11.5" style="954" customWidth="1"/>
    <col min="4873" max="4873" width="11" style="954" customWidth="1"/>
    <col min="4874" max="4874" width="12.33203125" style="954" bestFit="1" customWidth="1"/>
    <col min="4875" max="5120" width="8.58203125" style="954"/>
    <col min="5121" max="5121" width="4.58203125" style="954" customWidth="1"/>
    <col min="5122" max="5122" width="13.58203125" style="954" customWidth="1"/>
    <col min="5123" max="5123" width="38.5" style="954" customWidth="1"/>
    <col min="5124" max="5124" width="7.83203125" style="954" customWidth="1"/>
    <col min="5125" max="5125" width="9.75" style="954" customWidth="1"/>
    <col min="5126" max="5126" width="9.33203125" style="954" customWidth="1"/>
    <col min="5127" max="5127" width="11.08203125" style="954" customWidth="1"/>
    <col min="5128" max="5128" width="11.5" style="954" customWidth="1"/>
    <col min="5129" max="5129" width="11" style="954" customWidth="1"/>
    <col min="5130" max="5130" width="12.33203125" style="954" bestFit="1" customWidth="1"/>
    <col min="5131" max="5376" width="8.58203125" style="954"/>
    <col min="5377" max="5377" width="4.58203125" style="954" customWidth="1"/>
    <col min="5378" max="5378" width="13.58203125" style="954" customWidth="1"/>
    <col min="5379" max="5379" width="38.5" style="954" customWidth="1"/>
    <col min="5380" max="5380" width="7.83203125" style="954" customWidth="1"/>
    <col min="5381" max="5381" width="9.75" style="954" customWidth="1"/>
    <col min="5382" max="5382" width="9.33203125" style="954" customWidth="1"/>
    <col min="5383" max="5383" width="11.08203125" style="954" customWidth="1"/>
    <col min="5384" max="5384" width="11.5" style="954" customWidth="1"/>
    <col min="5385" max="5385" width="11" style="954" customWidth="1"/>
    <col min="5386" max="5386" width="12.33203125" style="954" bestFit="1" customWidth="1"/>
    <col min="5387" max="5632" width="8.58203125" style="954"/>
    <col min="5633" max="5633" width="4.58203125" style="954" customWidth="1"/>
    <col min="5634" max="5634" width="13.58203125" style="954" customWidth="1"/>
    <col min="5635" max="5635" width="38.5" style="954" customWidth="1"/>
    <col min="5636" max="5636" width="7.83203125" style="954" customWidth="1"/>
    <col min="5637" max="5637" width="9.75" style="954" customWidth="1"/>
    <col min="5638" max="5638" width="9.33203125" style="954" customWidth="1"/>
    <col min="5639" max="5639" width="11.08203125" style="954" customWidth="1"/>
    <col min="5640" max="5640" width="11.5" style="954" customWidth="1"/>
    <col min="5641" max="5641" width="11" style="954" customWidth="1"/>
    <col min="5642" max="5642" width="12.33203125" style="954" bestFit="1" customWidth="1"/>
    <col min="5643" max="5888" width="8.58203125" style="954"/>
    <col min="5889" max="5889" width="4.58203125" style="954" customWidth="1"/>
    <col min="5890" max="5890" width="13.58203125" style="954" customWidth="1"/>
    <col min="5891" max="5891" width="38.5" style="954" customWidth="1"/>
    <col min="5892" max="5892" width="7.83203125" style="954" customWidth="1"/>
    <col min="5893" max="5893" width="9.75" style="954" customWidth="1"/>
    <col min="5894" max="5894" width="9.33203125" style="954" customWidth="1"/>
    <col min="5895" max="5895" width="11.08203125" style="954" customWidth="1"/>
    <col min="5896" max="5896" width="11.5" style="954" customWidth="1"/>
    <col min="5897" max="5897" width="11" style="954" customWidth="1"/>
    <col min="5898" max="5898" width="12.33203125" style="954" bestFit="1" customWidth="1"/>
    <col min="5899" max="6144" width="8.58203125" style="954"/>
    <col min="6145" max="6145" width="4.58203125" style="954" customWidth="1"/>
    <col min="6146" max="6146" width="13.58203125" style="954" customWidth="1"/>
    <col min="6147" max="6147" width="38.5" style="954" customWidth="1"/>
    <col min="6148" max="6148" width="7.83203125" style="954" customWidth="1"/>
    <col min="6149" max="6149" width="9.75" style="954" customWidth="1"/>
    <col min="6150" max="6150" width="9.33203125" style="954" customWidth="1"/>
    <col min="6151" max="6151" width="11.08203125" style="954" customWidth="1"/>
    <col min="6152" max="6152" width="11.5" style="954" customWidth="1"/>
    <col min="6153" max="6153" width="11" style="954" customWidth="1"/>
    <col min="6154" max="6154" width="12.33203125" style="954" bestFit="1" customWidth="1"/>
    <col min="6155" max="6400" width="8.58203125" style="954"/>
    <col min="6401" max="6401" width="4.58203125" style="954" customWidth="1"/>
    <col min="6402" max="6402" width="13.58203125" style="954" customWidth="1"/>
    <col min="6403" max="6403" width="38.5" style="954" customWidth="1"/>
    <col min="6404" max="6404" width="7.83203125" style="954" customWidth="1"/>
    <col min="6405" max="6405" width="9.75" style="954" customWidth="1"/>
    <col min="6406" max="6406" width="9.33203125" style="954" customWidth="1"/>
    <col min="6407" max="6407" width="11.08203125" style="954" customWidth="1"/>
    <col min="6408" max="6408" width="11.5" style="954" customWidth="1"/>
    <col min="6409" max="6409" width="11" style="954" customWidth="1"/>
    <col min="6410" max="6410" width="12.33203125" style="954" bestFit="1" customWidth="1"/>
    <col min="6411" max="6656" width="8.58203125" style="954"/>
    <col min="6657" max="6657" width="4.58203125" style="954" customWidth="1"/>
    <col min="6658" max="6658" width="13.58203125" style="954" customWidth="1"/>
    <col min="6659" max="6659" width="38.5" style="954" customWidth="1"/>
    <col min="6660" max="6660" width="7.83203125" style="954" customWidth="1"/>
    <col min="6661" max="6661" width="9.75" style="954" customWidth="1"/>
    <col min="6662" max="6662" width="9.33203125" style="954" customWidth="1"/>
    <col min="6663" max="6663" width="11.08203125" style="954" customWidth="1"/>
    <col min="6664" max="6664" width="11.5" style="954" customWidth="1"/>
    <col min="6665" max="6665" width="11" style="954" customWidth="1"/>
    <col min="6666" max="6666" width="12.33203125" style="954" bestFit="1" customWidth="1"/>
    <col min="6667" max="6912" width="8.58203125" style="954"/>
    <col min="6913" max="6913" width="4.58203125" style="954" customWidth="1"/>
    <col min="6914" max="6914" width="13.58203125" style="954" customWidth="1"/>
    <col min="6915" max="6915" width="38.5" style="954" customWidth="1"/>
    <col min="6916" max="6916" width="7.83203125" style="954" customWidth="1"/>
    <col min="6917" max="6917" width="9.75" style="954" customWidth="1"/>
    <col min="6918" max="6918" width="9.33203125" style="954" customWidth="1"/>
    <col min="6919" max="6919" width="11.08203125" style="954" customWidth="1"/>
    <col min="6920" max="6920" width="11.5" style="954" customWidth="1"/>
    <col min="6921" max="6921" width="11" style="954" customWidth="1"/>
    <col min="6922" max="6922" width="12.33203125" style="954" bestFit="1" customWidth="1"/>
    <col min="6923" max="7168" width="8.58203125" style="954"/>
    <col min="7169" max="7169" width="4.58203125" style="954" customWidth="1"/>
    <col min="7170" max="7170" width="13.58203125" style="954" customWidth="1"/>
    <col min="7171" max="7171" width="38.5" style="954" customWidth="1"/>
    <col min="7172" max="7172" width="7.83203125" style="954" customWidth="1"/>
    <col min="7173" max="7173" width="9.75" style="954" customWidth="1"/>
    <col min="7174" max="7174" width="9.33203125" style="954" customWidth="1"/>
    <col min="7175" max="7175" width="11.08203125" style="954" customWidth="1"/>
    <col min="7176" max="7176" width="11.5" style="954" customWidth="1"/>
    <col min="7177" max="7177" width="11" style="954" customWidth="1"/>
    <col min="7178" max="7178" width="12.33203125" style="954" bestFit="1" customWidth="1"/>
    <col min="7179" max="7424" width="8.58203125" style="954"/>
    <col min="7425" max="7425" width="4.58203125" style="954" customWidth="1"/>
    <col min="7426" max="7426" width="13.58203125" style="954" customWidth="1"/>
    <col min="7427" max="7427" width="38.5" style="954" customWidth="1"/>
    <col min="7428" max="7428" width="7.83203125" style="954" customWidth="1"/>
    <col min="7429" max="7429" width="9.75" style="954" customWidth="1"/>
    <col min="7430" max="7430" width="9.33203125" style="954" customWidth="1"/>
    <col min="7431" max="7431" width="11.08203125" style="954" customWidth="1"/>
    <col min="7432" max="7432" width="11.5" style="954" customWidth="1"/>
    <col min="7433" max="7433" width="11" style="954" customWidth="1"/>
    <col min="7434" max="7434" width="12.33203125" style="954" bestFit="1" customWidth="1"/>
    <col min="7435" max="7680" width="8.58203125" style="954"/>
    <col min="7681" max="7681" width="4.58203125" style="954" customWidth="1"/>
    <col min="7682" max="7682" width="13.58203125" style="954" customWidth="1"/>
    <col min="7683" max="7683" width="38.5" style="954" customWidth="1"/>
    <col min="7684" max="7684" width="7.83203125" style="954" customWidth="1"/>
    <col min="7685" max="7685" width="9.75" style="954" customWidth="1"/>
    <col min="7686" max="7686" width="9.33203125" style="954" customWidth="1"/>
    <col min="7687" max="7687" width="11.08203125" style="954" customWidth="1"/>
    <col min="7688" max="7688" width="11.5" style="954" customWidth="1"/>
    <col min="7689" max="7689" width="11" style="954" customWidth="1"/>
    <col min="7690" max="7690" width="12.33203125" style="954" bestFit="1" customWidth="1"/>
    <col min="7691" max="7936" width="8.58203125" style="954"/>
    <col min="7937" max="7937" width="4.58203125" style="954" customWidth="1"/>
    <col min="7938" max="7938" width="13.58203125" style="954" customWidth="1"/>
    <col min="7939" max="7939" width="38.5" style="954" customWidth="1"/>
    <col min="7940" max="7940" width="7.83203125" style="954" customWidth="1"/>
    <col min="7941" max="7941" width="9.75" style="954" customWidth="1"/>
    <col min="7942" max="7942" width="9.33203125" style="954" customWidth="1"/>
    <col min="7943" max="7943" width="11.08203125" style="954" customWidth="1"/>
    <col min="7944" max="7944" width="11.5" style="954" customWidth="1"/>
    <col min="7945" max="7945" width="11" style="954" customWidth="1"/>
    <col min="7946" max="7946" width="12.33203125" style="954" bestFit="1" customWidth="1"/>
    <col min="7947" max="8192" width="8.58203125" style="954"/>
    <col min="8193" max="8193" width="4.58203125" style="954" customWidth="1"/>
    <col min="8194" max="8194" width="13.58203125" style="954" customWidth="1"/>
    <col min="8195" max="8195" width="38.5" style="954" customWidth="1"/>
    <col min="8196" max="8196" width="7.83203125" style="954" customWidth="1"/>
    <col min="8197" max="8197" width="9.75" style="954" customWidth="1"/>
    <col min="8198" max="8198" width="9.33203125" style="954" customWidth="1"/>
    <col min="8199" max="8199" width="11.08203125" style="954" customWidth="1"/>
    <col min="8200" max="8200" width="11.5" style="954" customWidth="1"/>
    <col min="8201" max="8201" width="11" style="954" customWidth="1"/>
    <col min="8202" max="8202" width="12.33203125" style="954" bestFit="1" customWidth="1"/>
    <col min="8203" max="8448" width="8.58203125" style="954"/>
    <col min="8449" max="8449" width="4.58203125" style="954" customWidth="1"/>
    <col min="8450" max="8450" width="13.58203125" style="954" customWidth="1"/>
    <col min="8451" max="8451" width="38.5" style="954" customWidth="1"/>
    <col min="8452" max="8452" width="7.83203125" style="954" customWidth="1"/>
    <col min="8453" max="8453" width="9.75" style="954" customWidth="1"/>
    <col min="8454" max="8454" width="9.33203125" style="954" customWidth="1"/>
    <col min="8455" max="8455" width="11.08203125" style="954" customWidth="1"/>
    <col min="8456" max="8456" width="11.5" style="954" customWidth="1"/>
    <col min="8457" max="8457" width="11" style="954" customWidth="1"/>
    <col min="8458" max="8458" width="12.33203125" style="954" bestFit="1" customWidth="1"/>
    <col min="8459" max="8704" width="8.58203125" style="954"/>
    <col min="8705" max="8705" width="4.58203125" style="954" customWidth="1"/>
    <col min="8706" max="8706" width="13.58203125" style="954" customWidth="1"/>
    <col min="8707" max="8707" width="38.5" style="954" customWidth="1"/>
    <col min="8708" max="8708" width="7.83203125" style="954" customWidth="1"/>
    <col min="8709" max="8709" width="9.75" style="954" customWidth="1"/>
    <col min="8710" max="8710" width="9.33203125" style="954" customWidth="1"/>
    <col min="8711" max="8711" width="11.08203125" style="954" customWidth="1"/>
    <col min="8712" max="8712" width="11.5" style="954" customWidth="1"/>
    <col min="8713" max="8713" width="11" style="954" customWidth="1"/>
    <col min="8714" max="8714" width="12.33203125" style="954" bestFit="1" customWidth="1"/>
    <col min="8715" max="8960" width="8.58203125" style="954"/>
    <col min="8961" max="8961" width="4.58203125" style="954" customWidth="1"/>
    <col min="8962" max="8962" width="13.58203125" style="954" customWidth="1"/>
    <col min="8963" max="8963" width="38.5" style="954" customWidth="1"/>
    <col min="8964" max="8964" width="7.83203125" style="954" customWidth="1"/>
    <col min="8965" max="8965" width="9.75" style="954" customWidth="1"/>
    <col min="8966" max="8966" width="9.33203125" style="954" customWidth="1"/>
    <col min="8967" max="8967" width="11.08203125" style="954" customWidth="1"/>
    <col min="8968" max="8968" width="11.5" style="954" customWidth="1"/>
    <col min="8969" max="8969" width="11" style="954" customWidth="1"/>
    <col min="8970" max="8970" width="12.33203125" style="954" bestFit="1" customWidth="1"/>
    <col min="8971" max="9216" width="8.58203125" style="954"/>
    <col min="9217" max="9217" width="4.58203125" style="954" customWidth="1"/>
    <col min="9218" max="9218" width="13.58203125" style="954" customWidth="1"/>
    <col min="9219" max="9219" width="38.5" style="954" customWidth="1"/>
    <col min="9220" max="9220" width="7.83203125" style="954" customWidth="1"/>
    <col min="9221" max="9221" width="9.75" style="954" customWidth="1"/>
    <col min="9222" max="9222" width="9.33203125" style="954" customWidth="1"/>
    <col min="9223" max="9223" width="11.08203125" style="954" customWidth="1"/>
    <col min="9224" max="9224" width="11.5" style="954" customWidth="1"/>
    <col min="9225" max="9225" width="11" style="954" customWidth="1"/>
    <col min="9226" max="9226" width="12.33203125" style="954" bestFit="1" customWidth="1"/>
    <col min="9227" max="9472" width="8.58203125" style="954"/>
    <col min="9473" max="9473" width="4.58203125" style="954" customWidth="1"/>
    <col min="9474" max="9474" width="13.58203125" style="954" customWidth="1"/>
    <col min="9475" max="9475" width="38.5" style="954" customWidth="1"/>
    <col min="9476" max="9476" width="7.83203125" style="954" customWidth="1"/>
    <col min="9477" max="9477" width="9.75" style="954" customWidth="1"/>
    <col min="9478" max="9478" width="9.33203125" style="954" customWidth="1"/>
    <col min="9479" max="9479" width="11.08203125" style="954" customWidth="1"/>
    <col min="9480" max="9480" width="11.5" style="954" customWidth="1"/>
    <col min="9481" max="9481" width="11" style="954" customWidth="1"/>
    <col min="9482" max="9482" width="12.33203125" style="954" bestFit="1" customWidth="1"/>
    <col min="9483" max="9728" width="8.58203125" style="954"/>
    <col min="9729" max="9729" width="4.58203125" style="954" customWidth="1"/>
    <col min="9730" max="9730" width="13.58203125" style="954" customWidth="1"/>
    <col min="9731" max="9731" width="38.5" style="954" customWidth="1"/>
    <col min="9732" max="9732" width="7.83203125" style="954" customWidth="1"/>
    <col min="9733" max="9733" width="9.75" style="954" customWidth="1"/>
    <col min="9734" max="9734" width="9.33203125" style="954" customWidth="1"/>
    <col min="9735" max="9735" width="11.08203125" style="954" customWidth="1"/>
    <col min="9736" max="9736" width="11.5" style="954" customWidth="1"/>
    <col min="9737" max="9737" width="11" style="954" customWidth="1"/>
    <col min="9738" max="9738" width="12.33203125" style="954" bestFit="1" customWidth="1"/>
    <col min="9739" max="9984" width="8.58203125" style="954"/>
    <col min="9985" max="9985" width="4.58203125" style="954" customWidth="1"/>
    <col min="9986" max="9986" width="13.58203125" style="954" customWidth="1"/>
    <col min="9987" max="9987" width="38.5" style="954" customWidth="1"/>
    <col min="9988" max="9988" width="7.83203125" style="954" customWidth="1"/>
    <col min="9989" max="9989" width="9.75" style="954" customWidth="1"/>
    <col min="9990" max="9990" width="9.33203125" style="954" customWidth="1"/>
    <col min="9991" max="9991" width="11.08203125" style="954" customWidth="1"/>
    <col min="9992" max="9992" width="11.5" style="954" customWidth="1"/>
    <col min="9993" max="9993" width="11" style="954" customWidth="1"/>
    <col min="9994" max="9994" width="12.33203125" style="954" bestFit="1" customWidth="1"/>
    <col min="9995" max="10240" width="8.58203125" style="954"/>
    <col min="10241" max="10241" width="4.58203125" style="954" customWidth="1"/>
    <col min="10242" max="10242" width="13.58203125" style="954" customWidth="1"/>
    <col min="10243" max="10243" width="38.5" style="954" customWidth="1"/>
    <col min="10244" max="10244" width="7.83203125" style="954" customWidth="1"/>
    <col min="10245" max="10245" width="9.75" style="954" customWidth="1"/>
    <col min="10246" max="10246" width="9.33203125" style="954" customWidth="1"/>
    <col min="10247" max="10247" width="11.08203125" style="954" customWidth="1"/>
    <col min="10248" max="10248" width="11.5" style="954" customWidth="1"/>
    <col min="10249" max="10249" width="11" style="954" customWidth="1"/>
    <col min="10250" max="10250" width="12.33203125" style="954" bestFit="1" customWidth="1"/>
    <col min="10251" max="10496" width="8.58203125" style="954"/>
    <col min="10497" max="10497" width="4.58203125" style="954" customWidth="1"/>
    <col min="10498" max="10498" width="13.58203125" style="954" customWidth="1"/>
    <col min="10499" max="10499" width="38.5" style="954" customWidth="1"/>
    <col min="10500" max="10500" width="7.83203125" style="954" customWidth="1"/>
    <col min="10501" max="10501" width="9.75" style="954" customWidth="1"/>
    <col min="10502" max="10502" width="9.33203125" style="954" customWidth="1"/>
    <col min="10503" max="10503" width="11.08203125" style="954" customWidth="1"/>
    <col min="10504" max="10504" width="11.5" style="954" customWidth="1"/>
    <col min="10505" max="10505" width="11" style="954" customWidth="1"/>
    <col min="10506" max="10506" width="12.33203125" style="954" bestFit="1" customWidth="1"/>
    <col min="10507" max="10752" width="8.58203125" style="954"/>
    <col min="10753" max="10753" width="4.58203125" style="954" customWidth="1"/>
    <col min="10754" max="10754" width="13.58203125" style="954" customWidth="1"/>
    <col min="10755" max="10755" width="38.5" style="954" customWidth="1"/>
    <col min="10756" max="10756" width="7.83203125" style="954" customWidth="1"/>
    <col min="10757" max="10757" width="9.75" style="954" customWidth="1"/>
    <col min="10758" max="10758" width="9.33203125" style="954" customWidth="1"/>
    <col min="10759" max="10759" width="11.08203125" style="954" customWidth="1"/>
    <col min="10760" max="10760" width="11.5" style="954" customWidth="1"/>
    <col min="10761" max="10761" width="11" style="954" customWidth="1"/>
    <col min="10762" max="10762" width="12.33203125" style="954" bestFit="1" customWidth="1"/>
    <col min="10763" max="11008" width="8.58203125" style="954"/>
    <col min="11009" max="11009" width="4.58203125" style="954" customWidth="1"/>
    <col min="11010" max="11010" width="13.58203125" style="954" customWidth="1"/>
    <col min="11011" max="11011" width="38.5" style="954" customWidth="1"/>
    <col min="11012" max="11012" width="7.83203125" style="954" customWidth="1"/>
    <col min="11013" max="11013" width="9.75" style="954" customWidth="1"/>
    <col min="11014" max="11014" width="9.33203125" style="954" customWidth="1"/>
    <col min="11015" max="11015" width="11.08203125" style="954" customWidth="1"/>
    <col min="11016" max="11016" width="11.5" style="954" customWidth="1"/>
    <col min="11017" max="11017" width="11" style="954" customWidth="1"/>
    <col min="11018" max="11018" width="12.33203125" style="954" bestFit="1" customWidth="1"/>
    <col min="11019" max="11264" width="8.58203125" style="954"/>
    <col min="11265" max="11265" width="4.58203125" style="954" customWidth="1"/>
    <col min="11266" max="11266" width="13.58203125" style="954" customWidth="1"/>
    <col min="11267" max="11267" width="38.5" style="954" customWidth="1"/>
    <col min="11268" max="11268" width="7.83203125" style="954" customWidth="1"/>
    <col min="11269" max="11269" width="9.75" style="954" customWidth="1"/>
    <col min="11270" max="11270" width="9.33203125" style="954" customWidth="1"/>
    <col min="11271" max="11271" width="11.08203125" style="954" customWidth="1"/>
    <col min="11272" max="11272" width="11.5" style="954" customWidth="1"/>
    <col min="11273" max="11273" width="11" style="954" customWidth="1"/>
    <col min="11274" max="11274" width="12.33203125" style="954" bestFit="1" customWidth="1"/>
    <col min="11275" max="11520" width="8.58203125" style="954"/>
    <col min="11521" max="11521" width="4.58203125" style="954" customWidth="1"/>
    <col min="11522" max="11522" width="13.58203125" style="954" customWidth="1"/>
    <col min="11523" max="11523" width="38.5" style="954" customWidth="1"/>
    <col min="11524" max="11524" width="7.83203125" style="954" customWidth="1"/>
    <col min="11525" max="11525" width="9.75" style="954" customWidth="1"/>
    <col min="11526" max="11526" width="9.33203125" style="954" customWidth="1"/>
    <col min="11527" max="11527" width="11.08203125" style="954" customWidth="1"/>
    <col min="11528" max="11528" width="11.5" style="954" customWidth="1"/>
    <col min="11529" max="11529" width="11" style="954" customWidth="1"/>
    <col min="11530" max="11530" width="12.33203125" style="954" bestFit="1" customWidth="1"/>
    <col min="11531" max="11776" width="8.58203125" style="954"/>
    <col min="11777" max="11777" width="4.58203125" style="954" customWidth="1"/>
    <col min="11778" max="11778" width="13.58203125" style="954" customWidth="1"/>
    <col min="11779" max="11779" width="38.5" style="954" customWidth="1"/>
    <col min="11780" max="11780" width="7.83203125" style="954" customWidth="1"/>
    <col min="11781" max="11781" width="9.75" style="954" customWidth="1"/>
    <col min="11782" max="11782" width="9.33203125" style="954" customWidth="1"/>
    <col min="11783" max="11783" width="11.08203125" style="954" customWidth="1"/>
    <col min="11784" max="11784" width="11.5" style="954" customWidth="1"/>
    <col min="11785" max="11785" width="11" style="954" customWidth="1"/>
    <col min="11786" max="11786" width="12.33203125" style="954" bestFit="1" customWidth="1"/>
    <col min="11787" max="12032" width="8.58203125" style="954"/>
    <col min="12033" max="12033" width="4.58203125" style="954" customWidth="1"/>
    <col min="12034" max="12034" width="13.58203125" style="954" customWidth="1"/>
    <col min="12035" max="12035" width="38.5" style="954" customWidth="1"/>
    <col min="12036" max="12036" width="7.83203125" style="954" customWidth="1"/>
    <col min="12037" max="12037" width="9.75" style="954" customWidth="1"/>
    <col min="12038" max="12038" width="9.33203125" style="954" customWidth="1"/>
    <col min="12039" max="12039" width="11.08203125" style="954" customWidth="1"/>
    <col min="12040" max="12040" width="11.5" style="954" customWidth="1"/>
    <col min="12041" max="12041" width="11" style="954" customWidth="1"/>
    <col min="12042" max="12042" width="12.33203125" style="954" bestFit="1" customWidth="1"/>
    <col min="12043" max="12288" width="8.58203125" style="954"/>
    <col min="12289" max="12289" width="4.58203125" style="954" customWidth="1"/>
    <col min="12290" max="12290" width="13.58203125" style="954" customWidth="1"/>
    <col min="12291" max="12291" width="38.5" style="954" customWidth="1"/>
    <col min="12292" max="12292" width="7.83203125" style="954" customWidth="1"/>
    <col min="12293" max="12293" width="9.75" style="954" customWidth="1"/>
    <col min="12294" max="12294" width="9.33203125" style="954" customWidth="1"/>
    <col min="12295" max="12295" width="11.08203125" style="954" customWidth="1"/>
    <col min="12296" max="12296" width="11.5" style="954" customWidth="1"/>
    <col min="12297" max="12297" width="11" style="954" customWidth="1"/>
    <col min="12298" max="12298" width="12.33203125" style="954" bestFit="1" customWidth="1"/>
    <col min="12299" max="12544" width="8.58203125" style="954"/>
    <col min="12545" max="12545" width="4.58203125" style="954" customWidth="1"/>
    <col min="12546" max="12546" width="13.58203125" style="954" customWidth="1"/>
    <col min="12547" max="12547" width="38.5" style="954" customWidth="1"/>
    <col min="12548" max="12548" width="7.83203125" style="954" customWidth="1"/>
    <col min="12549" max="12549" width="9.75" style="954" customWidth="1"/>
    <col min="12550" max="12550" width="9.33203125" style="954" customWidth="1"/>
    <col min="12551" max="12551" width="11.08203125" style="954" customWidth="1"/>
    <col min="12552" max="12552" width="11.5" style="954" customWidth="1"/>
    <col min="12553" max="12553" width="11" style="954" customWidth="1"/>
    <col min="12554" max="12554" width="12.33203125" style="954" bestFit="1" customWidth="1"/>
    <col min="12555" max="12800" width="8.58203125" style="954"/>
    <col min="12801" max="12801" width="4.58203125" style="954" customWidth="1"/>
    <col min="12802" max="12802" width="13.58203125" style="954" customWidth="1"/>
    <col min="12803" max="12803" width="38.5" style="954" customWidth="1"/>
    <col min="12804" max="12804" width="7.83203125" style="954" customWidth="1"/>
    <col min="12805" max="12805" width="9.75" style="954" customWidth="1"/>
    <col min="12806" max="12806" width="9.33203125" style="954" customWidth="1"/>
    <col min="12807" max="12807" width="11.08203125" style="954" customWidth="1"/>
    <col min="12808" max="12808" width="11.5" style="954" customWidth="1"/>
    <col min="12809" max="12809" width="11" style="954" customWidth="1"/>
    <col min="12810" max="12810" width="12.33203125" style="954" bestFit="1" customWidth="1"/>
    <col min="12811" max="13056" width="8.58203125" style="954"/>
    <col min="13057" max="13057" width="4.58203125" style="954" customWidth="1"/>
    <col min="13058" max="13058" width="13.58203125" style="954" customWidth="1"/>
    <col min="13059" max="13059" width="38.5" style="954" customWidth="1"/>
    <col min="13060" max="13060" width="7.83203125" style="954" customWidth="1"/>
    <col min="13061" max="13061" width="9.75" style="954" customWidth="1"/>
    <col min="13062" max="13062" width="9.33203125" style="954" customWidth="1"/>
    <col min="13063" max="13063" width="11.08203125" style="954" customWidth="1"/>
    <col min="13064" max="13064" width="11.5" style="954" customWidth="1"/>
    <col min="13065" max="13065" width="11" style="954" customWidth="1"/>
    <col min="13066" max="13066" width="12.33203125" style="954" bestFit="1" customWidth="1"/>
    <col min="13067" max="13312" width="8.58203125" style="954"/>
    <col min="13313" max="13313" width="4.58203125" style="954" customWidth="1"/>
    <col min="13314" max="13314" width="13.58203125" style="954" customWidth="1"/>
    <col min="13315" max="13315" width="38.5" style="954" customWidth="1"/>
    <col min="13316" max="13316" width="7.83203125" style="954" customWidth="1"/>
    <col min="13317" max="13317" width="9.75" style="954" customWidth="1"/>
    <col min="13318" max="13318" width="9.33203125" style="954" customWidth="1"/>
    <col min="13319" max="13319" width="11.08203125" style="954" customWidth="1"/>
    <col min="13320" max="13320" width="11.5" style="954" customWidth="1"/>
    <col min="13321" max="13321" width="11" style="954" customWidth="1"/>
    <col min="13322" max="13322" width="12.33203125" style="954" bestFit="1" customWidth="1"/>
    <col min="13323" max="13568" width="8.58203125" style="954"/>
    <col min="13569" max="13569" width="4.58203125" style="954" customWidth="1"/>
    <col min="13570" max="13570" width="13.58203125" style="954" customWidth="1"/>
    <col min="13571" max="13571" width="38.5" style="954" customWidth="1"/>
    <col min="13572" max="13572" width="7.83203125" style="954" customWidth="1"/>
    <col min="13573" max="13573" width="9.75" style="954" customWidth="1"/>
    <col min="13574" max="13574" width="9.33203125" style="954" customWidth="1"/>
    <col min="13575" max="13575" width="11.08203125" style="954" customWidth="1"/>
    <col min="13576" max="13576" width="11.5" style="954" customWidth="1"/>
    <col min="13577" max="13577" width="11" style="954" customWidth="1"/>
    <col min="13578" max="13578" width="12.33203125" style="954" bestFit="1" customWidth="1"/>
    <col min="13579" max="13824" width="8.58203125" style="954"/>
    <col min="13825" max="13825" width="4.58203125" style="954" customWidth="1"/>
    <col min="13826" max="13826" width="13.58203125" style="954" customWidth="1"/>
    <col min="13827" max="13827" width="38.5" style="954" customWidth="1"/>
    <col min="13828" max="13828" width="7.83203125" style="954" customWidth="1"/>
    <col min="13829" max="13829" width="9.75" style="954" customWidth="1"/>
    <col min="13830" max="13830" width="9.33203125" style="954" customWidth="1"/>
    <col min="13831" max="13831" width="11.08203125" style="954" customWidth="1"/>
    <col min="13832" max="13832" width="11.5" style="954" customWidth="1"/>
    <col min="13833" max="13833" width="11" style="954" customWidth="1"/>
    <col min="13834" max="13834" width="12.33203125" style="954" bestFit="1" customWidth="1"/>
    <col min="13835" max="14080" width="8.58203125" style="954"/>
    <col min="14081" max="14081" width="4.58203125" style="954" customWidth="1"/>
    <col min="14082" max="14082" width="13.58203125" style="954" customWidth="1"/>
    <col min="14083" max="14083" width="38.5" style="954" customWidth="1"/>
    <col min="14084" max="14084" width="7.83203125" style="954" customWidth="1"/>
    <col min="14085" max="14085" width="9.75" style="954" customWidth="1"/>
    <col min="14086" max="14086" width="9.33203125" style="954" customWidth="1"/>
    <col min="14087" max="14087" width="11.08203125" style="954" customWidth="1"/>
    <col min="14088" max="14088" width="11.5" style="954" customWidth="1"/>
    <col min="14089" max="14089" width="11" style="954" customWidth="1"/>
    <col min="14090" max="14090" width="12.33203125" style="954" bestFit="1" customWidth="1"/>
    <col min="14091" max="14336" width="8.58203125" style="954"/>
    <col min="14337" max="14337" width="4.58203125" style="954" customWidth="1"/>
    <col min="14338" max="14338" width="13.58203125" style="954" customWidth="1"/>
    <col min="14339" max="14339" width="38.5" style="954" customWidth="1"/>
    <col min="14340" max="14340" width="7.83203125" style="954" customWidth="1"/>
    <col min="14341" max="14341" width="9.75" style="954" customWidth="1"/>
    <col min="14342" max="14342" width="9.33203125" style="954" customWidth="1"/>
    <col min="14343" max="14343" width="11.08203125" style="954" customWidth="1"/>
    <col min="14344" max="14344" width="11.5" style="954" customWidth="1"/>
    <col min="14345" max="14345" width="11" style="954" customWidth="1"/>
    <col min="14346" max="14346" width="12.33203125" style="954" bestFit="1" customWidth="1"/>
    <col min="14347" max="14592" width="8.58203125" style="954"/>
    <col min="14593" max="14593" width="4.58203125" style="954" customWidth="1"/>
    <col min="14594" max="14594" width="13.58203125" style="954" customWidth="1"/>
    <col min="14595" max="14595" width="38.5" style="954" customWidth="1"/>
    <col min="14596" max="14596" width="7.83203125" style="954" customWidth="1"/>
    <col min="14597" max="14597" width="9.75" style="954" customWidth="1"/>
    <col min="14598" max="14598" width="9.33203125" style="954" customWidth="1"/>
    <col min="14599" max="14599" width="11.08203125" style="954" customWidth="1"/>
    <col min="14600" max="14600" width="11.5" style="954" customWidth="1"/>
    <col min="14601" max="14601" width="11" style="954" customWidth="1"/>
    <col min="14602" max="14602" width="12.33203125" style="954" bestFit="1" customWidth="1"/>
    <col min="14603" max="14848" width="8.58203125" style="954"/>
    <col min="14849" max="14849" width="4.58203125" style="954" customWidth="1"/>
    <col min="14850" max="14850" width="13.58203125" style="954" customWidth="1"/>
    <col min="14851" max="14851" width="38.5" style="954" customWidth="1"/>
    <col min="14852" max="14852" width="7.83203125" style="954" customWidth="1"/>
    <col min="14853" max="14853" width="9.75" style="954" customWidth="1"/>
    <col min="14854" max="14854" width="9.33203125" style="954" customWidth="1"/>
    <col min="14855" max="14855" width="11.08203125" style="954" customWidth="1"/>
    <col min="14856" max="14856" width="11.5" style="954" customWidth="1"/>
    <col min="14857" max="14857" width="11" style="954" customWidth="1"/>
    <col min="14858" max="14858" width="12.33203125" style="954" bestFit="1" customWidth="1"/>
    <col min="14859" max="15104" width="8.58203125" style="954"/>
    <col min="15105" max="15105" width="4.58203125" style="954" customWidth="1"/>
    <col min="15106" max="15106" width="13.58203125" style="954" customWidth="1"/>
    <col min="15107" max="15107" width="38.5" style="954" customWidth="1"/>
    <col min="15108" max="15108" width="7.83203125" style="954" customWidth="1"/>
    <col min="15109" max="15109" width="9.75" style="954" customWidth="1"/>
    <col min="15110" max="15110" width="9.33203125" style="954" customWidth="1"/>
    <col min="15111" max="15111" width="11.08203125" style="954" customWidth="1"/>
    <col min="15112" max="15112" width="11.5" style="954" customWidth="1"/>
    <col min="15113" max="15113" width="11" style="954" customWidth="1"/>
    <col min="15114" max="15114" width="12.33203125" style="954" bestFit="1" customWidth="1"/>
    <col min="15115" max="15360" width="8.58203125" style="954"/>
    <col min="15361" max="15361" width="4.58203125" style="954" customWidth="1"/>
    <col min="15362" max="15362" width="13.58203125" style="954" customWidth="1"/>
    <col min="15363" max="15363" width="38.5" style="954" customWidth="1"/>
    <col min="15364" max="15364" width="7.83203125" style="954" customWidth="1"/>
    <col min="15365" max="15365" width="9.75" style="954" customWidth="1"/>
    <col min="15366" max="15366" width="9.33203125" style="954" customWidth="1"/>
    <col min="15367" max="15367" width="11.08203125" style="954" customWidth="1"/>
    <col min="15368" max="15368" width="11.5" style="954" customWidth="1"/>
    <col min="15369" max="15369" width="11" style="954" customWidth="1"/>
    <col min="15370" max="15370" width="12.33203125" style="954" bestFit="1" customWidth="1"/>
    <col min="15371" max="15616" width="8.58203125" style="954"/>
    <col min="15617" max="15617" width="4.58203125" style="954" customWidth="1"/>
    <col min="15618" max="15618" width="13.58203125" style="954" customWidth="1"/>
    <col min="15619" max="15619" width="38.5" style="954" customWidth="1"/>
    <col min="15620" max="15620" width="7.83203125" style="954" customWidth="1"/>
    <col min="15621" max="15621" width="9.75" style="954" customWidth="1"/>
    <col min="15622" max="15622" width="9.33203125" style="954" customWidth="1"/>
    <col min="15623" max="15623" width="11.08203125" style="954" customWidth="1"/>
    <col min="15624" max="15624" width="11.5" style="954" customWidth="1"/>
    <col min="15625" max="15625" width="11" style="954" customWidth="1"/>
    <col min="15626" max="15626" width="12.33203125" style="954" bestFit="1" customWidth="1"/>
    <col min="15627" max="15872" width="8.58203125" style="954"/>
    <col min="15873" max="15873" width="4.58203125" style="954" customWidth="1"/>
    <col min="15874" max="15874" width="13.58203125" style="954" customWidth="1"/>
    <col min="15875" max="15875" width="38.5" style="954" customWidth="1"/>
    <col min="15876" max="15876" width="7.83203125" style="954" customWidth="1"/>
    <col min="15877" max="15877" width="9.75" style="954" customWidth="1"/>
    <col min="15878" max="15878" width="9.33203125" style="954" customWidth="1"/>
    <col min="15879" max="15879" width="11.08203125" style="954" customWidth="1"/>
    <col min="15880" max="15880" width="11.5" style="954" customWidth="1"/>
    <col min="15881" max="15881" width="11" style="954" customWidth="1"/>
    <col min="15882" max="15882" width="12.33203125" style="954" bestFit="1" customWidth="1"/>
    <col min="15883" max="16128" width="8.58203125" style="954"/>
    <col min="16129" max="16129" width="4.58203125" style="954" customWidth="1"/>
    <col min="16130" max="16130" width="13.58203125" style="954" customWidth="1"/>
    <col min="16131" max="16131" width="38.5" style="954" customWidth="1"/>
    <col min="16132" max="16132" width="7.83203125" style="954" customWidth="1"/>
    <col min="16133" max="16133" width="9.75" style="954" customWidth="1"/>
    <col min="16134" max="16134" width="9.33203125" style="954" customWidth="1"/>
    <col min="16135" max="16135" width="11.08203125" style="954" customWidth="1"/>
    <col min="16136" max="16136" width="11.5" style="954" customWidth="1"/>
    <col min="16137" max="16137" width="11" style="954" customWidth="1"/>
    <col min="16138" max="16138" width="12.33203125" style="954" bestFit="1" customWidth="1"/>
    <col min="16139" max="16384" width="8.58203125" style="954"/>
  </cols>
  <sheetData>
    <row r="1" spans="1:11" s="982" customFormat="1" ht="20.5" thickBot="1">
      <c r="A1" s="1148" t="s">
        <v>2456</v>
      </c>
      <c r="B1" s="1148"/>
      <c r="C1" s="1148"/>
      <c r="D1" s="1148"/>
      <c r="E1" s="1148"/>
      <c r="F1" s="1148"/>
      <c r="G1" s="1148"/>
      <c r="H1" s="981"/>
    </row>
    <row r="2" spans="1:11" s="990" customFormat="1" ht="16" thickTop="1">
      <c r="A2" s="983" t="s">
        <v>102</v>
      </c>
      <c r="B2" s="984" t="s">
        <v>427</v>
      </c>
      <c r="C2" s="985" t="s">
        <v>2457</v>
      </c>
      <c r="D2" s="984" t="s">
        <v>3</v>
      </c>
      <c r="E2" s="986" t="s">
        <v>2458</v>
      </c>
      <c r="F2" s="987" t="s">
        <v>2459</v>
      </c>
      <c r="G2" s="988" t="s">
        <v>52</v>
      </c>
      <c r="H2" s="931"/>
      <c r="I2" s="931"/>
      <c r="J2" s="931"/>
      <c r="K2" s="989"/>
    </row>
    <row r="3" spans="1:11" s="1024" customFormat="1" ht="56">
      <c r="A3" s="1018">
        <v>1</v>
      </c>
      <c r="B3" s="1019" t="s">
        <v>2460</v>
      </c>
      <c r="C3" s="1020" t="s">
        <v>2466</v>
      </c>
      <c r="D3" s="1019" t="s">
        <v>2461</v>
      </c>
      <c r="E3" s="1021"/>
      <c r="F3" s="1021"/>
      <c r="G3" s="1022">
        <f>G5</f>
        <v>234245.07692307694</v>
      </c>
      <c r="H3" s="1023"/>
      <c r="I3" s="1023"/>
      <c r="J3" s="1023"/>
    </row>
    <row r="4" spans="1:11" s="997" customFormat="1" ht="15">
      <c r="A4" s="991"/>
      <c r="B4" s="992" t="s">
        <v>2462</v>
      </c>
      <c r="C4" s="993" t="s">
        <v>2463</v>
      </c>
      <c r="D4" s="992"/>
      <c r="E4" s="994"/>
      <c r="F4" s="995"/>
      <c r="G4" s="996">
        <f>SUM(G5:G5)</f>
        <v>234245.07692307694</v>
      </c>
      <c r="H4" s="940"/>
      <c r="I4" s="940"/>
      <c r="J4" s="940"/>
    </row>
    <row r="5" spans="1:11" s="1005" customFormat="1">
      <c r="A5" s="998"/>
      <c r="B5" s="999"/>
      <c r="C5" s="1000" t="s">
        <v>2464</v>
      </c>
      <c r="D5" s="1001" t="s">
        <v>2465</v>
      </c>
      <c r="E5" s="1002">
        <f>0.075*10</f>
        <v>0.75</v>
      </c>
      <c r="F5" s="1003">
        <f>[3]NC!N32</f>
        <v>312326.76923076925</v>
      </c>
      <c r="G5" s="1004">
        <f>+F5*E5</f>
        <v>234245.07692307694</v>
      </c>
      <c r="H5" s="940"/>
      <c r="I5" s="940"/>
      <c r="J5" s="940"/>
    </row>
    <row r="6" spans="1:11" s="1024" customFormat="1" ht="42">
      <c r="A6" s="1018">
        <v>1</v>
      </c>
      <c r="B6" s="1019" t="s">
        <v>2470</v>
      </c>
      <c r="C6" s="1020" t="s">
        <v>2471</v>
      </c>
      <c r="D6" s="1019" t="s">
        <v>2461</v>
      </c>
      <c r="E6" s="1021"/>
      <c r="F6" s="1021"/>
      <c r="G6" s="1022">
        <f>G7</f>
        <v>61528.373538461543</v>
      </c>
      <c r="H6" s="1023"/>
      <c r="I6" s="1023"/>
      <c r="J6" s="1023"/>
    </row>
    <row r="7" spans="1:11" s="948" customFormat="1" ht="15">
      <c r="A7" s="1006"/>
      <c r="B7" s="1007" t="s">
        <v>2462</v>
      </c>
      <c r="C7" s="1008" t="s">
        <v>2463</v>
      </c>
      <c r="D7" s="1007"/>
      <c r="E7" s="1009"/>
      <c r="F7" s="1010"/>
      <c r="G7" s="1011">
        <f>SUM(G8:G8)</f>
        <v>61528.373538461543</v>
      </c>
      <c r="H7" s="931"/>
      <c r="I7" s="931"/>
      <c r="J7" s="931"/>
    </row>
    <row r="8" spans="1:11" s="1005" customFormat="1">
      <c r="A8" s="998">
        <v>3.7</v>
      </c>
      <c r="B8" s="999"/>
      <c r="C8" s="1000" t="s">
        <v>2464</v>
      </c>
      <c r="D8" s="1001" t="s">
        <v>2465</v>
      </c>
      <c r="E8" s="1002">
        <f>0.197</f>
        <v>0.19700000000000001</v>
      </c>
      <c r="F8" s="1003">
        <f>+[3]NC!N32</f>
        <v>312326.76923076925</v>
      </c>
      <c r="G8" s="1004">
        <f>+F8*E8</f>
        <v>61528.373538461543</v>
      </c>
      <c r="H8" s="940"/>
      <c r="I8" s="940"/>
      <c r="J8" s="940"/>
    </row>
    <row r="9" spans="1:11" s="1005" customFormat="1">
      <c r="A9" s="998"/>
      <c r="B9" s="999"/>
      <c r="C9" s="1000"/>
      <c r="D9" s="1001"/>
      <c r="E9" s="1002"/>
      <c r="F9" s="1003"/>
      <c r="G9" s="1004"/>
      <c r="H9" s="940"/>
      <c r="I9" s="940"/>
      <c r="J9" s="940"/>
    </row>
    <row r="10" spans="1:11" s="1024" customFormat="1" ht="42">
      <c r="A10" s="1018">
        <v>1</v>
      </c>
      <c r="B10" s="1019" t="s">
        <v>2460</v>
      </c>
      <c r="C10" s="1020" t="s">
        <v>2467</v>
      </c>
      <c r="D10" s="1019" t="s">
        <v>2461</v>
      </c>
      <c r="E10" s="1021"/>
      <c r="F10" s="1021"/>
      <c r="G10" s="1022">
        <f>G11</f>
        <v>653132.05269230762</v>
      </c>
      <c r="H10" s="1023"/>
      <c r="I10" s="1023"/>
      <c r="J10" s="1023"/>
    </row>
    <row r="11" spans="1:11" s="948" customFormat="1" ht="15">
      <c r="A11" s="1006"/>
      <c r="B11" s="1007" t="s">
        <v>2462</v>
      </c>
      <c r="C11" s="1008" t="s">
        <v>2463</v>
      </c>
      <c r="D11" s="1007"/>
      <c r="E11" s="1009"/>
      <c r="F11" s="1010"/>
      <c r="G11" s="1011">
        <f>SUM(G12:G12)</f>
        <v>653132.05269230762</v>
      </c>
      <c r="H11" s="931"/>
      <c r="I11" s="931"/>
      <c r="J11" s="931"/>
    </row>
    <row r="12" spans="1:11" s="1005" customFormat="1">
      <c r="A12" s="998">
        <v>3.7</v>
      </c>
      <c r="B12" s="999"/>
      <c r="C12" s="1000" t="s">
        <v>2464</v>
      </c>
      <c r="D12" s="1001" t="s">
        <v>2465</v>
      </c>
      <c r="E12" s="1002">
        <f>0.075*23</f>
        <v>1.7249999999999999</v>
      </c>
      <c r="F12" s="1003">
        <f>+[3]NC!N36</f>
        <v>378627.27692307689</v>
      </c>
      <c r="G12" s="1004">
        <f>+F12*E12</f>
        <v>653132.05269230762</v>
      </c>
      <c r="H12" s="940"/>
      <c r="I12" s="940"/>
      <c r="J12" s="940"/>
    </row>
    <row r="13" spans="1:11" ht="16" thickBot="1">
      <c r="A13" s="1012"/>
      <c r="B13" s="1013"/>
      <c r="C13" s="1014"/>
      <c r="D13" s="1013"/>
      <c r="E13" s="1015"/>
      <c r="F13" s="1016"/>
      <c r="G13" s="1017"/>
    </row>
    <row r="14" spans="1:11" ht="16" thickTop="1"/>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workbookViewId="0">
      <selection activeCell="C11" sqref="C11"/>
    </sheetView>
  </sheetViews>
  <sheetFormatPr defaultColWidth="9" defaultRowHeight="16.5"/>
  <cols>
    <col min="1" max="1" width="5.25" style="351" customWidth="1"/>
    <col min="2" max="2" width="8.25" style="351" bestFit="1" customWidth="1"/>
    <col min="3" max="3" width="32.75" style="346" customWidth="1"/>
    <col min="4" max="4" width="9.33203125" style="346" customWidth="1"/>
    <col min="5" max="7" width="7.75" style="346" hidden="1" customWidth="1"/>
    <col min="8" max="8" width="11.83203125" style="346" hidden="1" customWidth="1"/>
    <col min="9" max="10" width="11.83203125" style="351" customWidth="1"/>
    <col min="11" max="11" width="15.08203125" style="412" bestFit="1" customWidth="1"/>
    <col min="12" max="12" width="30.75" style="351" customWidth="1"/>
    <col min="13" max="13" width="9" style="346"/>
    <col min="14" max="14" width="10.33203125" style="346" bestFit="1" customWidth="1"/>
    <col min="15" max="246" width="9" style="346"/>
    <col min="247" max="247" width="5.25" style="346" customWidth="1"/>
    <col min="248" max="248" width="24.33203125" style="346" customWidth="1"/>
    <col min="249" max="249" width="9.33203125" style="346" customWidth="1"/>
    <col min="250" max="252" width="7.75" style="346" customWidth="1"/>
    <col min="253" max="254" width="11.83203125" style="346" customWidth="1"/>
    <col min="255" max="255" width="28.33203125" style="346" customWidth="1"/>
    <col min="256" max="257" width="9" style="346"/>
    <col min="258" max="258" width="12.33203125" style="346" customWidth="1"/>
    <col min="259" max="259" width="9" style="346"/>
    <col min="260" max="260" width="13.75" style="346" bestFit="1" customWidth="1"/>
    <col min="261" max="502" width="9" style="346"/>
    <col min="503" max="503" width="5.25" style="346" customWidth="1"/>
    <col min="504" max="504" width="24.33203125" style="346" customWidth="1"/>
    <col min="505" max="505" width="9.33203125" style="346" customWidth="1"/>
    <col min="506" max="508" width="7.75" style="346" customWidth="1"/>
    <col min="509" max="510" width="11.83203125" style="346" customWidth="1"/>
    <col min="511" max="511" width="28.33203125" style="346" customWidth="1"/>
    <col min="512" max="513" width="9" style="346"/>
    <col min="514" max="514" width="12.33203125" style="346" customWidth="1"/>
    <col min="515" max="515" width="9" style="346"/>
    <col min="516" max="516" width="13.75" style="346" bestFit="1" customWidth="1"/>
    <col min="517" max="758" width="9" style="346"/>
    <col min="759" max="759" width="5.25" style="346" customWidth="1"/>
    <col min="760" max="760" width="24.33203125" style="346" customWidth="1"/>
    <col min="761" max="761" width="9.33203125" style="346" customWidth="1"/>
    <col min="762" max="764" width="7.75" style="346" customWidth="1"/>
    <col min="765" max="766" width="11.83203125" style="346" customWidth="1"/>
    <col min="767" max="767" width="28.33203125" style="346" customWidth="1"/>
    <col min="768" max="769" width="9" style="346"/>
    <col min="770" max="770" width="12.33203125" style="346" customWidth="1"/>
    <col min="771" max="771" width="9" style="346"/>
    <col min="772" max="772" width="13.75" style="346" bestFit="1" customWidth="1"/>
    <col min="773" max="1014" width="9" style="346"/>
    <col min="1015" max="1015" width="5.25" style="346" customWidth="1"/>
    <col min="1016" max="1016" width="24.33203125" style="346" customWidth="1"/>
    <col min="1017" max="1017" width="9.33203125" style="346" customWidth="1"/>
    <col min="1018" max="1020" width="7.75" style="346" customWidth="1"/>
    <col min="1021" max="1022" width="11.83203125" style="346" customWidth="1"/>
    <col min="1023" max="1023" width="28.33203125" style="346" customWidth="1"/>
    <col min="1024" max="1025" width="9" style="346"/>
    <col min="1026" max="1026" width="12.33203125" style="346" customWidth="1"/>
    <col min="1027" max="1027" width="9" style="346"/>
    <col min="1028" max="1028" width="13.75" style="346" bestFit="1" customWidth="1"/>
    <col min="1029" max="1270" width="9" style="346"/>
    <col min="1271" max="1271" width="5.25" style="346" customWidth="1"/>
    <col min="1272" max="1272" width="24.33203125" style="346" customWidth="1"/>
    <col min="1273" max="1273" width="9.33203125" style="346" customWidth="1"/>
    <col min="1274" max="1276" width="7.75" style="346" customWidth="1"/>
    <col min="1277" max="1278" width="11.83203125" style="346" customWidth="1"/>
    <col min="1279" max="1279" width="28.33203125" style="346" customWidth="1"/>
    <col min="1280" max="1281" width="9" style="346"/>
    <col min="1282" max="1282" width="12.33203125" style="346" customWidth="1"/>
    <col min="1283" max="1283" width="9" style="346"/>
    <col min="1284" max="1284" width="13.75" style="346" bestFit="1" customWidth="1"/>
    <col min="1285" max="1526" width="9" style="346"/>
    <col min="1527" max="1527" width="5.25" style="346" customWidth="1"/>
    <col min="1528" max="1528" width="24.33203125" style="346" customWidth="1"/>
    <col min="1529" max="1529" width="9.33203125" style="346" customWidth="1"/>
    <col min="1530" max="1532" width="7.75" style="346" customWidth="1"/>
    <col min="1533" max="1534" width="11.83203125" style="346" customWidth="1"/>
    <col min="1535" max="1535" width="28.33203125" style="346" customWidth="1"/>
    <col min="1536" max="1537" width="9" style="346"/>
    <col min="1538" max="1538" width="12.33203125" style="346" customWidth="1"/>
    <col min="1539" max="1539" width="9" style="346"/>
    <col min="1540" max="1540" width="13.75" style="346" bestFit="1" customWidth="1"/>
    <col min="1541" max="1782" width="9" style="346"/>
    <col min="1783" max="1783" width="5.25" style="346" customWidth="1"/>
    <col min="1784" max="1784" width="24.33203125" style="346" customWidth="1"/>
    <col min="1785" max="1785" width="9.33203125" style="346" customWidth="1"/>
    <col min="1786" max="1788" width="7.75" style="346" customWidth="1"/>
    <col min="1789" max="1790" width="11.83203125" style="346" customWidth="1"/>
    <col min="1791" max="1791" width="28.33203125" style="346" customWidth="1"/>
    <col min="1792" max="1793" width="9" style="346"/>
    <col min="1794" max="1794" width="12.33203125" style="346" customWidth="1"/>
    <col min="1795" max="1795" width="9" style="346"/>
    <col min="1796" max="1796" width="13.75" style="346" bestFit="1" customWidth="1"/>
    <col min="1797" max="2038" width="9" style="346"/>
    <col min="2039" max="2039" width="5.25" style="346" customWidth="1"/>
    <col min="2040" max="2040" width="24.33203125" style="346" customWidth="1"/>
    <col min="2041" max="2041" width="9.33203125" style="346" customWidth="1"/>
    <col min="2042" max="2044" width="7.75" style="346" customWidth="1"/>
    <col min="2045" max="2046" width="11.83203125" style="346" customWidth="1"/>
    <col min="2047" max="2047" width="28.33203125" style="346" customWidth="1"/>
    <col min="2048" max="2049" width="9" style="346"/>
    <col min="2050" max="2050" width="12.33203125" style="346" customWidth="1"/>
    <col min="2051" max="2051" width="9" style="346"/>
    <col min="2052" max="2052" width="13.75" style="346" bestFit="1" customWidth="1"/>
    <col min="2053" max="2294" width="9" style="346"/>
    <col min="2295" max="2295" width="5.25" style="346" customWidth="1"/>
    <col min="2296" max="2296" width="24.33203125" style="346" customWidth="1"/>
    <col min="2297" max="2297" width="9.33203125" style="346" customWidth="1"/>
    <col min="2298" max="2300" width="7.75" style="346" customWidth="1"/>
    <col min="2301" max="2302" width="11.83203125" style="346" customWidth="1"/>
    <col min="2303" max="2303" width="28.33203125" style="346" customWidth="1"/>
    <col min="2304" max="2305" width="9" style="346"/>
    <col min="2306" max="2306" width="12.33203125" style="346" customWidth="1"/>
    <col min="2307" max="2307" width="9" style="346"/>
    <col min="2308" max="2308" width="13.75" style="346" bestFit="1" customWidth="1"/>
    <col min="2309" max="2550" width="9" style="346"/>
    <col min="2551" max="2551" width="5.25" style="346" customWidth="1"/>
    <col min="2552" max="2552" width="24.33203125" style="346" customWidth="1"/>
    <col min="2553" max="2553" width="9.33203125" style="346" customWidth="1"/>
    <col min="2554" max="2556" width="7.75" style="346" customWidth="1"/>
    <col min="2557" max="2558" width="11.83203125" style="346" customWidth="1"/>
    <col min="2559" max="2559" width="28.33203125" style="346" customWidth="1"/>
    <col min="2560" max="2561" width="9" style="346"/>
    <col min="2562" max="2562" width="12.33203125" style="346" customWidth="1"/>
    <col min="2563" max="2563" width="9" style="346"/>
    <col min="2564" max="2564" width="13.75" style="346" bestFit="1" customWidth="1"/>
    <col min="2565" max="2806" width="9" style="346"/>
    <col min="2807" max="2807" width="5.25" style="346" customWidth="1"/>
    <col min="2808" max="2808" width="24.33203125" style="346" customWidth="1"/>
    <col min="2809" max="2809" width="9.33203125" style="346" customWidth="1"/>
    <col min="2810" max="2812" width="7.75" style="346" customWidth="1"/>
    <col min="2813" max="2814" width="11.83203125" style="346" customWidth="1"/>
    <col min="2815" max="2815" width="28.33203125" style="346" customWidth="1"/>
    <col min="2816" max="2817" width="9" style="346"/>
    <col min="2818" max="2818" width="12.33203125" style="346" customWidth="1"/>
    <col min="2819" max="2819" width="9" style="346"/>
    <col min="2820" max="2820" width="13.75" style="346" bestFit="1" customWidth="1"/>
    <col min="2821" max="3062" width="9" style="346"/>
    <col min="3063" max="3063" width="5.25" style="346" customWidth="1"/>
    <col min="3064" max="3064" width="24.33203125" style="346" customWidth="1"/>
    <col min="3065" max="3065" width="9.33203125" style="346" customWidth="1"/>
    <col min="3066" max="3068" width="7.75" style="346" customWidth="1"/>
    <col min="3069" max="3070" width="11.83203125" style="346" customWidth="1"/>
    <col min="3071" max="3071" width="28.33203125" style="346" customWidth="1"/>
    <col min="3072" max="3073" width="9" style="346"/>
    <col min="3074" max="3074" width="12.33203125" style="346" customWidth="1"/>
    <col min="3075" max="3075" width="9" style="346"/>
    <col min="3076" max="3076" width="13.75" style="346" bestFit="1" customWidth="1"/>
    <col min="3077" max="3318" width="9" style="346"/>
    <col min="3319" max="3319" width="5.25" style="346" customWidth="1"/>
    <col min="3320" max="3320" width="24.33203125" style="346" customWidth="1"/>
    <col min="3321" max="3321" width="9.33203125" style="346" customWidth="1"/>
    <col min="3322" max="3324" width="7.75" style="346" customWidth="1"/>
    <col min="3325" max="3326" width="11.83203125" style="346" customWidth="1"/>
    <col min="3327" max="3327" width="28.33203125" style="346" customWidth="1"/>
    <col min="3328" max="3329" width="9" style="346"/>
    <col min="3330" max="3330" width="12.33203125" style="346" customWidth="1"/>
    <col min="3331" max="3331" width="9" style="346"/>
    <col min="3332" max="3332" width="13.75" style="346" bestFit="1" customWidth="1"/>
    <col min="3333" max="3574" width="9" style="346"/>
    <col min="3575" max="3575" width="5.25" style="346" customWidth="1"/>
    <col min="3576" max="3576" width="24.33203125" style="346" customWidth="1"/>
    <col min="3577" max="3577" width="9.33203125" style="346" customWidth="1"/>
    <col min="3578" max="3580" width="7.75" style="346" customWidth="1"/>
    <col min="3581" max="3582" width="11.83203125" style="346" customWidth="1"/>
    <col min="3583" max="3583" width="28.33203125" style="346" customWidth="1"/>
    <col min="3584" max="3585" width="9" style="346"/>
    <col min="3586" max="3586" width="12.33203125" style="346" customWidth="1"/>
    <col min="3587" max="3587" width="9" style="346"/>
    <col min="3588" max="3588" width="13.75" style="346" bestFit="1" customWidth="1"/>
    <col min="3589" max="3830" width="9" style="346"/>
    <col min="3831" max="3831" width="5.25" style="346" customWidth="1"/>
    <col min="3832" max="3832" width="24.33203125" style="346" customWidth="1"/>
    <col min="3833" max="3833" width="9.33203125" style="346" customWidth="1"/>
    <col min="3834" max="3836" width="7.75" style="346" customWidth="1"/>
    <col min="3837" max="3838" width="11.83203125" style="346" customWidth="1"/>
    <col min="3839" max="3839" width="28.33203125" style="346" customWidth="1"/>
    <col min="3840" max="3841" width="9" style="346"/>
    <col min="3842" max="3842" width="12.33203125" style="346" customWidth="1"/>
    <col min="3843" max="3843" width="9" style="346"/>
    <col min="3844" max="3844" width="13.75" style="346" bestFit="1" customWidth="1"/>
    <col min="3845" max="4086" width="9" style="346"/>
    <col min="4087" max="4087" width="5.25" style="346" customWidth="1"/>
    <col min="4088" max="4088" width="24.33203125" style="346" customWidth="1"/>
    <col min="4089" max="4089" width="9.33203125" style="346" customWidth="1"/>
    <col min="4090" max="4092" width="7.75" style="346" customWidth="1"/>
    <col min="4093" max="4094" width="11.83203125" style="346" customWidth="1"/>
    <col min="4095" max="4095" width="28.33203125" style="346" customWidth="1"/>
    <col min="4096" max="4097" width="9" style="346"/>
    <col min="4098" max="4098" width="12.33203125" style="346" customWidth="1"/>
    <col min="4099" max="4099" width="9" style="346"/>
    <col min="4100" max="4100" width="13.75" style="346" bestFit="1" customWidth="1"/>
    <col min="4101" max="4342" width="9" style="346"/>
    <col min="4343" max="4343" width="5.25" style="346" customWidth="1"/>
    <col min="4344" max="4344" width="24.33203125" style="346" customWidth="1"/>
    <col min="4345" max="4345" width="9.33203125" style="346" customWidth="1"/>
    <col min="4346" max="4348" width="7.75" style="346" customWidth="1"/>
    <col min="4349" max="4350" width="11.83203125" style="346" customWidth="1"/>
    <col min="4351" max="4351" width="28.33203125" style="346" customWidth="1"/>
    <col min="4352" max="4353" width="9" style="346"/>
    <col min="4354" max="4354" width="12.33203125" style="346" customWidth="1"/>
    <col min="4355" max="4355" width="9" style="346"/>
    <col min="4356" max="4356" width="13.75" style="346" bestFit="1" customWidth="1"/>
    <col min="4357" max="4598" width="9" style="346"/>
    <col min="4599" max="4599" width="5.25" style="346" customWidth="1"/>
    <col min="4600" max="4600" width="24.33203125" style="346" customWidth="1"/>
    <col min="4601" max="4601" width="9.33203125" style="346" customWidth="1"/>
    <col min="4602" max="4604" width="7.75" style="346" customWidth="1"/>
    <col min="4605" max="4606" width="11.83203125" style="346" customWidth="1"/>
    <col min="4607" max="4607" width="28.33203125" style="346" customWidth="1"/>
    <col min="4608" max="4609" width="9" style="346"/>
    <col min="4610" max="4610" width="12.33203125" style="346" customWidth="1"/>
    <col min="4611" max="4611" width="9" style="346"/>
    <col min="4612" max="4612" width="13.75" style="346" bestFit="1" customWidth="1"/>
    <col min="4613" max="4854" width="9" style="346"/>
    <col min="4855" max="4855" width="5.25" style="346" customWidth="1"/>
    <col min="4856" max="4856" width="24.33203125" style="346" customWidth="1"/>
    <col min="4857" max="4857" width="9.33203125" style="346" customWidth="1"/>
    <col min="4858" max="4860" width="7.75" style="346" customWidth="1"/>
    <col min="4861" max="4862" width="11.83203125" style="346" customWidth="1"/>
    <col min="4863" max="4863" width="28.33203125" style="346" customWidth="1"/>
    <col min="4864" max="4865" width="9" style="346"/>
    <col min="4866" max="4866" width="12.33203125" style="346" customWidth="1"/>
    <col min="4867" max="4867" width="9" style="346"/>
    <col min="4868" max="4868" width="13.75" style="346" bestFit="1" customWidth="1"/>
    <col min="4869" max="5110" width="9" style="346"/>
    <col min="5111" max="5111" width="5.25" style="346" customWidth="1"/>
    <col min="5112" max="5112" width="24.33203125" style="346" customWidth="1"/>
    <col min="5113" max="5113" width="9.33203125" style="346" customWidth="1"/>
    <col min="5114" max="5116" width="7.75" style="346" customWidth="1"/>
    <col min="5117" max="5118" width="11.83203125" style="346" customWidth="1"/>
    <col min="5119" max="5119" width="28.33203125" style="346" customWidth="1"/>
    <col min="5120" max="5121" width="9" style="346"/>
    <col min="5122" max="5122" width="12.33203125" style="346" customWidth="1"/>
    <col min="5123" max="5123" width="9" style="346"/>
    <col min="5124" max="5124" width="13.75" style="346" bestFit="1" customWidth="1"/>
    <col min="5125" max="5366" width="9" style="346"/>
    <col min="5367" max="5367" width="5.25" style="346" customWidth="1"/>
    <col min="5368" max="5368" width="24.33203125" style="346" customWidth="1"/>
    <col min="5369" max="5369" width="9.33203125" style="346" customWidth="1"/>
    <col min="5370" max="5372" width="7.75" style="346" customWidth="1"/>
    <col min="5373" max="5374" width="11.83203125" style="346" customWidth="1"/>
    <col min="5375" max="5375" width="28.33203125" style="346" customWidth="1"/>
    <col min="5376" max="5377" width="9" style="346"/>
    <col min="5378" max="5378" width="12.33203125" style="346" customWidth="1"/>
    <col min="5379" max="5379" width="9" style="346"/>
    <col min="5380" max="5380" width="13.75" style="346" bestFit="1" customWidth="1"/>
    <col min="5381" max="5622" width="9" style="346"/>
    <col min="5623" max="5623" width="5.25" style="346" customWidth="1"/>
    <col min="5624" max="5624" width="24.33203125" style="346" customWidth="1"/>
    <col min="5625" max="5625" width="9.33203125" style="346" customWidth="1"/>
    <col min="5626" max="5628" width="7.75" style="346" customWidth="1"/>
    <col min="5629" max="5630" width="11.83203125" style="346" customWidth="1"/>
    <col min="5631" max="5631" width="28.33203125" style="346" customWidth="1"/>
    <col min="5632" max="5633" width="9" style="346"/>
    <col min="5634" max="5634" width="12.33203125" style="346" customWidth="1"/>
    <col min="5635" max="5635" width="9" style="346"/>
    <col min="5636" max="5636" width="13.75" style="346" bestFit="1" customWidth="1"/>
    <col min="5637" max="5878" width="9" style="346"/>
    <col min="5879" max="5879" width="5.25" style="346" customWidth="1"/>
    <col min="5880" max="5880" width="24.33203125" style="346" customWidth="1"/>
    <col min="5881" max="5881" width="9.33203125" style="346" customWidth="1"/>
    <col min="5882" max="5884" width="7.75" style="346" customWidth="1"/>
    <col min="5885" max="5886" width="11.83203125" style="346" customWidth="1"/>
    <col min="5887" max="5887" width="28.33203125" style="346" customWidth="1"/>
    <col min="5888" max="5889" width="9" style="346"/>
    <col min="5890" max="5890" width="12.33203125" style="346" customWidth="1"/>
    <col min="5891" max="5891" width="9" style="346"/>
    <col min="5892" max="5892" width="13.75" style="346" bestFit="1" customWidth="1"/>
    <col min="5893" max="6134" width="9" style="346"/>
    <col min="6135" max="6135" width="5.25" style="346" customWidth="1"/>
    <col min="6136" max="6136" width="24.33203125" style="346" customWidth="1"/>
    <col min="6137" max="6137" width="9.33203125" style="346" customWidth="1"/>
    <col min="6138" max="6140" width="7.75" style="346" customWidth="1"/>
    <col min="6141" max="6142" width="11.83203125" style="346" customWidth="1"/>
    <col min="6143" max="6143" width="28.33203125" style="346" customWidth="1"/>
    <col min="6144" max="6145" width="9" style="346"/>
    <col min="6146" max="6146" width="12.33203125" style="346" customWidth="1"/>
    <col min="6147" max="6147" width="9" style="346"/>
    <col min="6148" max="6148" width="13.75" style="346" bestFit="1" customWidth="1"/>
    <col min="6149" max="6390" width="9" style="346"/>
    <col min="6391" max="6391" width="5.25" style="346" customWidth="1"/>
    <col min="6392" max="6392" width="24.33203125" style="346" customWidth="1"/>
    <col min="6393" max="6393" width="9.33203125" style="346" customWidth="1"/>
    <col min="6394" max="6396" width="7.75" style="346" customWidth="1"/>
    <col min="6397" max="6398" width="11.83203125" style="346" customWidth="1"/>
    <col min="6399" max="6399" width="28.33203125" style="346" customWidth="1"/>
    <col min="6400" max="6401" width="9" style="346"/>
    <col min="6402" max="6402" width="12.33203125" style="346" customWidth="1"/>
    <col min="6403" max="6403" width="9" style="346"/>
    <col min="6404" max="6404" width="13.75" style="346" bestFit="1" customWidth="1"/>
    <col min="6405" max="6646" width="9" style="346"/>
    <col min="6647" max="6647" width="5.25" style="346" customWidth="1"/>
    <col min="6648" max="6648" width="24.33203125" style="346" customWidth="1"/>
    <col min="6649" max="6649" width="9.33203125" style="346" customWidth="1"/>
    <col min="6650" max="6652" width="7.75" style="346" customWidth="1"/>
    <col min="6653" max="6654" width="11.83203125" style="346" customWidth="1"/>
    <col min="6655" max="6655" width="28.33203125" style="346" customWidth="1"/>
    <col min="6656" max="6657" width="9" style="346"/>
    <col min="6658" max="6658" width="12.33203125" style="346" customWidth="1"/>
    <col min="6659" max="6659" width="9" style="346"/>
    <col min="6660" max="6660" width="13.75" style="346" bestFit="1" customWidth="1"/>
    <col min="6661" max="6902" width="9" style="346"/>
    <col min="6903" max="6903" width="5.25" style="346" customWidth="1"/>
    <col min="6904" max="6904" width="24.33203125" style="346" customWidth="1"/>
    <col min="6905" max="6905" width="9.33203125" style="346" customWidth="1"/>
    <col min="6906" max="6908" width="7.75" style="346" customWidth="1"/>
    <col min="6909" max="6910" width="11.83203125" style="346" customWidth="1"/>
    <col min="6911" max="6911" width="28.33203125" style="346" customWidth="1"/>
    <col min="6912" max="6913" width="9" style="346"/>
    <col min="6914" max="6914" width="12.33203125" style="346" customWidth="1"/>
    <col min="6915" max="6915" width="9" style="346"/>
    <col min="6916" max="6916" width="13.75" style="346" bestFit="1" customWidth="1"/>
    <col min="6917" max="7158" width="9" style="346"/>
    <col min="7159" max="7159" width="5.25" style="346" customWidth="1"/>
    <col min="7160" max="7160" width="24.33203125" style="346" customWidth="1"/>
    <col min="7161" max="7161" width="9.33203125" style="346" customWidth="1"/>
    <col min="7162" max="7164" width="7.75" style="346" customWidth="1"/>
    <col min="7165" max="7166" width="11.83203125" style="346" customWidth="1"/>
    <col min="7167" max="7167" width="28.33203125" style="346" customWidth="1"/>
    <col min="7168" max="7169" width="9" style="346"/>
    <col min="7170" max="7170" width="12.33203125" style="346" customWidth="1"/>
    <col min="7171" max="7171" width="9" style="346"/>
    <col min="7172" max="7172" width="13.75" style="346" bestFit="1" customWidth="1"/>
    <col min="7173" max="7414" width="9" style="346"/>
    <col min="7415" max="7415" width="5.25" style="346" customWidth="1"/>
    <col min="7416" max="7416" width="24.33203125" style="346" customWidth="1"/>
    <col min="7417" max="7417" width="9.33203125" style="346" customWidth="1"/>
    <col min="7418" max="7420" width="7.75" style="346" customWidth="1"/>
    <col min="7421" max="7422" width="11.83203125" style="346" customWidth="1"/>
    <col min="7423" max="7423" width="28.33203125" style="346" customWidth="1"/>
    <col min="7424" max="7425" width="9" style="346"/>
    <col min="7426" max="7426" width="12.33203125" style="346" customWidth="1"/>
    <col min="7427" max="7427" width="9" style="346"/>
    <col min="7428" max="7428" width="13.75" style="346" bestFit="1" customWidth="1"/>
    <col min="7429" max="7670" width="9" style="346"/>
    <col min="7671" max="7671" width="5.25" style="346" customWidth="1"/>
    <col min="7672" max="7672" width="24.33203125" style="346" customWidth="1"/>
    <col min="7673" max="7673" width="9.33203125" style="346" customWidth="1"/>
    <col min="7674" max="7676" width="7.75" style="346" customWidth="1"/>
    <col min="7677" max="7678" width="11.83203125" style="346" customWidth="1"/>
    <col min="7679" max="7679" width="28.33203125" style="346" customWidth="1"/>
    <col min="7680" max="7681" width="9" style="346"/>
    <col min="7682" max="7682" width="12.33203125" style="346" customWidth="1"/>
    <col min="7683" max="7683" width="9" style="346"/>
    <col min="7684" max="7684" width="13.75" style="346" bestFit="1" customWidth="1"/>
    <col min="7685" max="7926" width="9" style="346"/>
    <col min="7927" max="7927" width="5.25" style="346" customWidth="1"/>
    <col min="7928" max="7928" width="24.33203125" style="346" customWidth="1"/>
    <col min="7929" max="7929" width="9.33203125" style="346" customWidth="1"/>
    <col min="7930" max="7932" width="7.75" style="346" customWidth="1"/>
    <col min="7933" max="7934" width="11.83203125" style="346" customWidth="1"/>
    <col min="7935" max="7935" width="28.33203125" style="346" customWidth="1"/>
    <col min="7936" max="7937" width="9" style="346"/>
    <col min="7938" max="7938" width="12.33203125" style="346" customWidth="1"/>
    <col min="7939" max="7939" width="9" style="346"/>
    <col min="7940" max="7940" width="13.75" style="346" bestFit="1" customWidth="1"/>
    <col min="7941" max="8182" width="9" style="346"/>
    <col min="8183" max="8183" width="5.25" style="346" customWidth="1"/>
    <col min="8184" max="8184" width="24.33203125" style="346" customWidth="1"/>
    <col min="8185" max="8185" width="9.33203125" style="346" customWidth="1"/>
    <col min="8186" max="8188" width="7.75" style="346" customWidth="1"/>
    <col min="8189" max="8190" width="11.83203125" style="346" customWidth="1"/>
    <col min="8191" max="8191" width="28.33203125" style="346" customWidth="1"/>
    <col min="8192" max="8193" width="9" style="346"/>
    <col min="8194" max="8194" width="12.33203125" style="346" customWidth="1"/>
    <col min="8195" max="8195" width="9" style="346"/>
    <col min="8196" max="8196" width="13.75" style="346" bestFit="1" customWidth="1"/>
    <col min="8197" max="8438" width="9" style="346"/>
    <col min="8439" max="8439" width="5.25" style="346" customWidth="1"/>
    <col min="8440" max="8440" width="24.33203125" style="346" customWidth="1"/>
    <col min="8441" max="8441" width="9.33203125" style="346" customWidth="1"/>
    <col min="8442" max="8444" width="7.75" style="346" customWidth="1"/>
    <col min="8445" max="8446" width="11.83203125" style="346" customWidth="1"/>
    <col min="8447" max="8447" width="28.33203125" style="346" customWidth="1"/>
    <col min="8448" max="8449" width="9" style="346"/>
    <col min="8450" max="8450" width="12.33203125" style="346" customWidth="1"/>
    <col min="8451" max="8451" width="9" style="346"/>
    <col min="8452" max="8452" width="13.75" style="346" bestFit="1" customWidth="1"/>
    <col min="8453" max="8694" width="9" style="346"/>
    <col min="8695" max="8695" width="5.25" style="346" customWidth="1"/>
    <col min="8696" max="8696" width="24.33203125" style="346" customWidth="1"/>
    <col min="8697" max="8697" width="9.33203125" style="346" customWidth="1"/>
    <col min="8698" max="8700" width="7.75" style="346" customWidth="1"/>
    <col min="8701" max="8702" width="11.83203125" style="346" customWidth="1"/>
    <col min="8703" max="8703" width="28.33203125" style="346" customWidth="1"/>
    <col min="8704" max="8705" width="9" style="346"/>
    <col min="8706" max="8706" width="12.33203125" style="346" customWidth="1"/>
    <col min="8707" max="8707" width="9" style="346"/>
    <col min="8708" max="8708" width="13.75" style="346" bestFit="1" customWidth="1"/>
    <col min="8709" max="8950" width="9" style="346"/>
    <col min="8951" max="8951" width="5.25" style="346" customWidth="1"/>
    <col min="8952" max="8952" width="24.33203125" style="346" customWidth="1"/>
    <col min="8953" max="8953" width="9.33203125" style="346" customWidth="1"/>
    <col min="8954" max="8956" width="7.75" style="346" customWidth="1"/>
    <col min="8957" max="8958" width="11.83203125" style="346" customWidth="1"/>
    <col min="8959" max="8959" width="28.33203125" style="346" customWidth="1"/>
    <col min="8960" max="8961" width="9" style="346"/>
    <col min="8962" max="8962" width="12.33203125" style="346" customWidth="1"/>
    <col min="8963" max="8963" width="9" style="346"/>
    <col min="8964" max="8964" width="13.75" style="346" bestFit="1" customWidth="1"/>
    <col min="8965" max="9206" width="9" style="346"/>
    <col min="9207" max="9207" width="5.25" style="346" customWidth="1"/>
    <col min="9208" max="9208" width="24.33203125" style="346" customWidth="1"/>
    <col min="9209" max="9209" width="9.33203125" style="346" customWidth="1"/>
    <col min="9210" max="9212" width="7.75" style="346" customWidth="1"/>
    <col min="9213" max="9214" width="11.83203125" style="346" customWidth="1"/>
    <col min="9215" max="9215" width="28.33203125" style="346" customWidth="1"/>
    <col min="9216" max="9217" width="9" style="346"/>
    <col min="9218" max="9218" width="12.33203125" style="346" customWidth="1"/>
    <col min="9219" max="9219" width="9" style="346"/>
    <col min="9220" max="9220" width="13.75" style="346" bestFit="1" customWidth="1"/>
    <col min="9221" max="9462" width="9" style="346"/>
    <col min="9463" max="9463" width="5.25" style="346" customWidth="1"/>
    <col min="9464" max="9464" width="24.33203125" style="346" customWidth="1"/>
    <col min="9465" max="9465" width="9.33203125" style="346" customWidth="1"/>
    <col min="9466" max="9468" width="7.75" style="346" customWidth="1"/>
    <col min="9469" max="9470" width="11.83203125" style="346" customWidth="1"/>
    <col min="9471" max="9471" width="28.33203125" style="346" customWidth="1"/>
    <col min="9472" max="9473" width="9" style="346"/>
    <col min="9474" max="9474" width="12.33203125" style="346" customWidth="1"/>
    <col min="9475" max="9475" width="9" style="346"/>
    <col min="9476" max="9476" width="13.75" style="346" bestFit="1" customWidth="1"/>
    <col min="9477" max="9718" width="9" style="346"/>
    <col min="9719" max="9719" width="5.25" style="346" customWidth="1"/>
    <col min="9720" max="9720" width="24.33203125" style="346" customWidth="1"/>
    <col min="9721" max="9721" width="9.33203125" style="346" customWidth="1"/>
    <col min="9722" max="9724" width="7.75" style="346" customWidth="1"/>
    <col min="9725" max="9726" width="11.83203125" style="346" customWidth="1"/>
    <col min="9727" max="9727" width="28.33203125" style="346" customWidth="1"/>
    <col min="9728" max="9729" width="9" style="346"/>
    <col min="9730" max="9730" width="12.33203125" style="346" customWidth="1"/>
    <col min="9731" max="9731" width="9" style="346"/>
    <col min="9732" max="9732" width="13.75" style="346" bestFit="1" customWidth="1"/>
    <col min="9733" max="9974" width="9" style="346"/>
    <col min="9975" max="9975" width="5.25" style="346" customWidth="1"/>
    <col min="9976" max="9976" width="24.33203125" style="346" customWidth="1"/>
    <col min="9977" max="9977" width="9.33203125" style="346" customWidth="1"/>
    <col min="9978" max="9980" width="7.75" style="346" customWidth="1"/>
    <col min="9981" max="9982" width="11.83203125" style="346" customWidth="1"/>
    <col min="9983" max="9983" width="28.33203125" style="346" customWidth="1"/>
    <col min="9984" max="9985" width="9" style="346"/>
    <col min="9986" max="9986" width="12.33203125" style="346" customWidth="1"/>
    <col min="9987" max="9987" width="9" style="346"/>
    <col min="9988" max="9988" width="13.75" style="346" bestFit="1" customWidth="1"/>
    <col min="9989" max="10230" width="9" style="346"/>
    <col min="10231" max="10231" width="5.25" style="346" customWidth="1"/>
    <col min="10232" max="10232" width="24.33203125" style="346" customWidth="1"/>
    <col min="10233" max="10233" width="9.33203125" style="346" customWidth="1"/>
    <col min="10234" max="10236" width="7.75" style="346" customWidth="1"/>
    <col min="10237" max="10238" width="11.83203125" style="346" customWidth="1"/>
    <col min="10239" max="10239" width="28.33203125" style="346" customWidth="1"/>
    <col min="10240" max="10241" width="9" style="346"/>
    <col min="10242" max="10242" width="12.33203125" style="346" customWidth="1"/>
    <col min="10243" max="10243" width="9" style="346"/>
    <col min="10244" max="10244" width="13.75" style="346" bestFit="1" customWidth="1"/>
    <col min="10245" max="10486" width="9" style="346"/>
    <col min="10487" max="10487" width="5.25" style="346" customWidth="1"/>
    <col min="10488" max="10488" width="24.33203125" style="346" customWidth="1"/>
    <col min="10489" max="10489" width="9.33203125" style="346" customWidth="1"/>
    <col min="10490" max="10492" width="7.75" style="346" customWidth="1"/>
    <col min="10493" max="10494" width="11.83203125" style="346" customWidth="1"/>
    <col min="10495" max="10495" width="28.33203125" style="346" customWidth="1"/>
    <col min="10496" max="10497" width="9" style="346"/>
    <col min="10498" max="10498" width="12.33203125" style="346" customWidth="1"/>
    <col min="10499" max="10499" width="9" style="346"/>
    <col min="10500" max="10500" width="13.75" style="346" bestFit="1" customWidth="1"/>
    <col min="10501" max="10742" width="9" style="346"/>
    <col min="10743" max="10743" width="5.25" style="346" customWidth="1"/>
    <col min="10744" max="10744" width="24.33203125" style="346" customWidth="1"/>
    <col min="10745" max="10745" width="9.33203125" style="346" customWidth="1"/>
    <col min="10746" max="10748" width="7.75" style="346" customWidth="1"/>
    <col min="10749" max="10750" width="11.83203125" style="346" customWidth="1"/>
    <col min="10751" max="10751" width="28.33203125" style="346" customWidth="1"/>
    <col min="10752" max="10753" width="9" style="346"/>
    <col min="10754" max="10754" width="12.33203125" style="346" customWidth="1"/>
    <col min="10755" max="10755" width="9" style="346"/>
    <col min="10756" max="10756" width="13.75" style="346" bestFit="1" customWidth="1"/>
    <col min="10757" max="10998" width="9" style="346"/>
    <col min="10999" max="10999" width="5.25" style="346" customWidth="1"/>
    <col min="11000" max="11000" width="24.33203125" style="346" customWidth="1"/>
    <col min="11001" max="11001" width="9.33203125" style="346" customWidth="1"/>
    <col min="11002" max="11004" width="7.75" style="346" customWidth="1"/>
    <col min="11005" max="11006" width="11.83203125" style="346" customWidth="1"/>
    <col min="11007" max="11007" width="28.33203125" style="346" customWidth="1"/>
    <col min="11008" max="11009" width="9" style="346"/>
    <col min="11010" max="11010" width="12.33203125" style="346" customWidth="1"/>
    <col min="11011" max="11011" width="9" style="346"/>
    <col min="11012" max="11012" width="13.75" style="346" bestFit="1" customWidth="1"/>
    <col min="11013" max="11254" width="9" style="346"/>
    <col min="11255" max="11255" width="5.25" style="346" customWidth="1"/>
    <col min="11256" max="11256" width="24.33203125" style="346" customWidth="1"/>
    <col min="11257" max="11257" width="9.33203125" style="346" customWidth="1"/>
    <col min="11258" max="11260" width="7.75" style="346" customWidth="1"/>
    <col min="11261" max="11262" width="11.83203125" style="346" customWidth="1"/>
    <col min="11263" max="11263" width="28.33203125" style="346" customWidth="1"/>
    <col min="11264" max="11265" width="9" style="346"/>
    <col min="11266" max="11266" width="12.33203125" style="346" customWidth="1"/>
    <col min="11267" max="11267" width="9" style="346"/>
    <col min="11268" max="11268" width="13.75" style="346" bestFit="1" customWidth="1"/>
    <col min="11269" max="11510" width="9" style="346"/>
    <col min="11511" max="11511" width="5.25" style="346" customWidth="1"/>
    <col min="11512" max="11512" width="24.33203125" style="346" customWidth="1"/>
    <col min="11513" max="11513" width="9.33203125" style="346" customWidth="1"/>
    <col min="11514" max="11516" width="7.75" style="346" customWidth="1"/>
    <col min="11517" max="11518" width="11.83203125" style="346" customWidth="1"/>
    <col min="11519" max="11519" width="28.33203125" style="346" customWidth="1"/>
    <col min="11520" max="11521" width="9" style="346"/>
    <col min="11522" max="11522" width="12.33203125" style="346" customWidth="1"/>
    <col min="11523" max="11523" width="9" style="346"/>
    <col min="11524" max="11524" width="13.75" style="346" bestFit="1" customWidth="1"/>
    <col min="11525" max="11766" width="9" style="346"/>
    <col min="11767" max="11767" width="5.25" style="346" customWidth="1"/>
    <col min="11768" max="11768" width="24.33203125" style="346" customWidth="1"/>
    <col min="11769" max="11769" width="9.33203125" style="346" customWidth="1"/>
    <col min="11770" max="11772" width="7.75" style="346" customWidth="1"/>
    <col min="11773" max="11774" width="11.83203125" style="346" customWidth="1"/>
    <col min="11775" max="11775" width="28.33203125" style="346" customWidth="1"/>
    <col min="11776" max="11777" width="9" style="346"/>
    <col min="11778" max="11778" width="12.33203125" style="346" customWidth="1"/>
    <col min="11779" max="11779" width="9" style="346"/>
    <col min="11780" max="11780" width="13.75" style="346" bestFit="1" customWidth="1"/>
    <col min="11781" max="12022" width="9" style="346"/>
    <col min="12023" max="12023" width="5.25" style="346" customWidth="1"/>
    <col min="12024" max="12024" width="24.33203125" style="346" customWidth="1"/>
    <col min="12025" max="12025" width="9.33203125" style="346" customWidth="1"/>
    <col min="12026" max="12028" width="7.75" style="346" customWidth="1"/>
    <col min="12029" max="12030" width="11.83203125" style="346" customWidth="1"/>
    <col min="12031" max="12031" width="28.33203125" style="346" customWidth="1"/>
    <col min="12032" max="12033" width="9" style="346"/>
    <col min="12034" max="12034" width="12.33203125" style="346" customWidth="1"/>
    <col min="12035" max="12035" width="9" style="346"/>
    <col min="12036" max="12036" width="13.75" style="346" bestFit="1" customWidth="1"/>
    <col min="12037" max="12278" width="9" style="346"/>
    <col min="12279" max="12279" width="5.25" style="346" customWidth="1"/>
    <col min="12280" max="12280" width="24.33203125" style="346" customWidth="1"/>
    <col min="12281" max="12281" width="9.33203125" style="346" customWidth="1"/>
    <col min="12282" max="12284" width="7.75" style="346" customWidth="1"/>
    <col min="12285" max="12286" width="11.83203125" style="346" customWidth="1"/>
    <col min="12287" max="12287" width="28.33203125" style="346" customWidth="1"/>
    <col min="12288" max="12289" width="9" style="346"/>
    <col min="12290" max="12290" width="12.33203125" style="346" customWidth="1"/>
    <col min="12291" max="12291" width="9" style="346"/>
    <col min="12292" max="12292" width="13.75" style="346" bestFit="1" customWidth="1"/>
    <col min="12293" max="12534" width="9" style="346"/>
    <col min="12535" max="12535" width="5.25" style="346" customWidth="1"/>
    <col min="12536" max="12536" width="24.33203125" style="346" customWidth="1"/>
    <col min="12537" max="12537" width="9.33203125" style="346" customWidth="1"/>
    <col min="12538" max="12540" width="7.75" style="346" customWidth="1"/>
    <col min="12541" max="12542" width="11.83203125" style="346" customWidth="1"/>
    <col min="12543" max="12543" width="28.33203125" style="346" customWidth="1"/>
    <col min="12544" max="12545" width="9" style="346"/>
    <col min="12546" max="12546" width="12.33203125" style="346" customWidth="1"/>
    <col min="12547" max="12547" width="9" style="346"/>
    <col min="12548" max="12548" width="13.75" style="346" bestFit="1" customWidth="1"/>
    <col min="12549" max="12790" width="9" style="346"/>
    <col min="12791" max="12791" width="5.25" style="346" customWidth="1"/>
    <col min="12792" max="12792" width="24.33203125" style="346" customWidth="1"/>
    <col min="12793" max="12793" width="9.33203125" style="346" customWidth="1"/>
    <col min="12794" max="12796" width="7.75" style="346" customWidth="1"/>
    <col min="12797" max="12798" width="11.83203125" style="346" customWidth="1"/>
    <col min="12799" max="12799" width="28.33203125" style="346" customWidth="1"/>
    <col min="12800" max="12801" width="9" style="346"/>
    <col min="12802" max="12802" width="12.33203125" style="346" customWidth="1"/>
    <col min="12803" max="12803" width="9" style="346"/>
    <col min="12804" max="12804" width="13.75" style="346" bestFit="1" customWidth="1"/>
    <col min="12805" max="13046" width="9" style="346"/>
    <col min="13047" max="13047" width="5.25" style="346" customWidth="1"/>
    <col min="13048" max="13048" width="24.33203125" style="346" customWidth="1"/>
    <col min="13049" max="13049" width="9.33203125" style="346" customWidth="1"/>
    <col min="13050" max="13052" width="7.75" style="346" customWidth="1"/>
    <col min="13053" max="13054" width="11.83203125" style="346" customWidth="1"/>
    <col min="13055" max="13055" width="28.33203125" style="346" customWidth="1"/>
    <col min="13056" max="13057" width="9" style="346"/>
    <col min="13058" max="13058" width="12.33203125" style="346" customWidth="1"/>
    <col min="13059" max="13059" width="9" style="346"/>
    <col min="13060" max="13060" width="13.75" style="346" bestFit="1" customWidth="1"/>
    <col min="13061" max="13302" width="9" style="346"/>
    <col min="13303" max="13303" width="5.25" style="346" customWidth="1"/>
    <col min="13304" max="13304" width="24.33203125" style="346" customWidth="1"/>
    <col min="13305" max="13305" width="9.33203125" style="346" customWidth="1"/>
    <col min="13306" max="13308" width="7.75" style="346" customWidth="1"/>
    <col min="13309" max="13310" width="11.83203125" style="346" customWidth="1"/>
    <col min="13311" max="13311" width="28.33203125" style="346" customWidth="1"/>
    <col min="13312" max="13313" width="9" style="346"/>
    <col min="13314" max="13314" width="12.33203125" style="346" customWidth="1"/>
    <col min="13315" max="13315" width="9" style="346"/>
    <col min="13316" max="13316" width="13.75" style="346" bestFit="1" customWidth="1"/>
    <col min="13317" max="13558" width="9" style="346"/>
    <col min="13559" max="13559" width="5.25" style="346" customWidth="1"/>
    <col min="13560" max="13560" width="24.33203125" style="346" customWidth="1"/>
    <col min="13561" max="13561" width="9.33203125" style="346" customWidth="1"/>
    <col min="13562" max="13564" width="7.75" style="346" customWidth="1"/>
    <col min="13565" max="13566" width="11.83203125" style="346" customWidth="1"/>
    <col min="13567" max="13567" width="28.33203125" style="346" customWidth="1"/>
    <col min="13568" max="13569" width="9" style="346"/>
    <col min="13570" max="13570" width="12.33203125" style="346" customWidth="1"/>
    <col min="13571" max="13571" width="9" style="346"/>
    <col min="13572" max="13572" width="13.75" style="346" bestFit="1" customWidth="1"/>
    <col min="13573" max="13814" width="9" style="346"/>
    <col min="13815" max="13815" width="5.25" style="346" customWidth="1"/>
    <col min="13816" max="13816" width="24.33203125" style="346" customWidth="1"/>
    <col min="13817" max="13817" width="9.33203125" style="346" customWidth="1"/>
    <col min="13818" max="13820" width="7.75" style="346" customWidth="1"/>
    <col min="13821" max="13822" width="11.83203125" style="346" customWidth="1"/>
    <col min="13823" max="13823" width="28.33203125" style="346" customWidth="1"/>
    <col min="13824" max="13825" width="9" style="346"/>
    <col min="13826" max="13826" width="12.33203125" style="346" customWidth="1"/>
    <col min="13827" max="13827" width="9" style="346"/>
    <col min="13828" max="13828" width="13.75" style="346" bestFit="1" customWidth="1"/>
    <col min="13829" max="14070" width="9" style="346"/>
    <col min="14071" max="14071" width="5.25" style="346" customWidth="1"/>
    <col min="14072" max="14072" width="24.33203125" style="346" customWidth="1"/>
    <col min="14073" max="14073" width="9.33203125" style="346" customWidth="1"/>
    <col min="14074" max="14076" width="7.75" style="346" customWidth="1"/>
    <col min="14077" max="14078" width="11.83203125" style="346" customWidth="1"/>
    <col min="14079" max="14079" width="28.33203125" style="346" customWidth="1"/>
    <col min="14080" max="14081" width="9" style="346"/>
    <col min="14082" max="14082" width="12.33203125" style="346" customWidth="1"/>
    <col min="14083" max="14083" width="9" style="346"/>
    <col min="14084" max="14084" width="13.75" style="346" bestFit="1" customWidth="1"/>
    <col min="14085" max="14326" width="9" style="346"/>
    <col min="14327" max="14327" width="5.25" style="346" customWidth="1"/>
    <col min="14328" max="14328" width="24.33203125" style="346" customWidth="1"/>
    <col min="14329" max="14329" width="9.33203125" style="346" customWidth="1"/>
    <col min="14330" max="14332" width="7.75" style="346" customWidth="1"/>
    <col min="14333" max="14334" width="11.83203125" style="346" customWidth="1"/>
    <col min="14335" max="14335" width="28.33203125" style="346" customWidth="1"/>
    <col min="14336" max="14337" width="9" style="346"/>
    <col min="14338" max="14338" width="12.33203125" style="346" customWidth="1"/>
    <col min="14339" max="14339" width="9" style="346"/>
    <col min="14340" max="14340" width="13.75" style="346" bestFit="1" customWidth="1"/>
    <col min="14341" max="14582" width="9" style="346"/>
    <col min="14583" max="14583" width="5.25" style="346" customWidth="1"/>
    <col min="14584" max="14584" width="24.33203125" style="346" customWidth="1"/>
    <col min="14585" max="14585" width="9.33203125" style="346" customWidth="1"/>
    <col min="14586" max="14588" width="7.75" style="346" customWidth="1"/>
    <col min="14589" max="14590" width="11.83203125" style="346" customWidth="1"/>
    <col min="14591" max="14591" width="28.33203125" style="346" customWidth="1"/>
    <col min="14592" max="14593" width="9" style="346"/>
    <col min="14594" max="14594" width="12.33203125" style="346" customWidth="1"/>
    <col min="14595" max="14595" width="9" style="346"/>
    <col min="14596" max="14596" width="13.75" style="346" bestFit="1" customWidth="1"/>
    <col min="14597" max="14838" width="9" style="346"/>
    <col min="14839" max="14839" width="5.25" style="346" customWidth="1"/>
    <col min="14840" max="14840" width="24.33203125" style="346" customWidth="1"/>
    <col min="14841" max="14841" width="9.33203125" style="346" customWidth="1"/>
    <col min="14842" max="14844" width="7.75" style="346" customWidth="1"/>
    <col min="14845" max="14846" width="11.83203125" style="346" customWidth="1"/>
    <col min="14847" max="14847" width="28.33203125" style="346" customWidth="1"/>
    <col min="14848" max="14849" width="9" style="346"/>
    <col min="14850" max="14850" width="12.33203125" style="346" customWidth="1"/>
    <col min="14851" max="14851" width="9" style="346"/>
    <col min="14852" max="14852" width="13.75" style="346" bestFit="1" customWidth="1"/>
    <col min="14853" max="15094" width="9" style="346"/>
    <col min="15095" max="15095" width="5.25" style="346" customWidth="1"/>
    <col min="15096" max="15096" width="24.33203125" style="346" customWidth="1"/>
    <col min="15097" max="15097" width="9.33203125" style="346" customWidth="1"/>
    <col min="15098" max="15100" width="7.75" style="346" customWidth="1"/>
    <col min="15101" max="15102" width="11.83203125" style="346" customWidth="1"/>
    <col min="15103" max="15103" width="28.33203125" style="346" customWidth="1"/>
    <col min="15104" max="15105" width="9" style="346"/>
    <col min="15106" max="15106" width="12.33203125" style="346" customWidth="1"/>
    <col min="15107" max="15107" width="9" style="346"/>
    <col min="15108" max="15108" width="13.75" style="346" bestFit="1" customWidth="1"/>
    <col min="15109" max="15350" width="9" style="346"/>
    <col min="15351" max="15351" width="5.25" style="346" customWidth="1"/>
    <col min="15352" max="15352" width="24.33203125" style="346" customWidth="1"/>
    <col min="15353" max="15353" width="9.33203125" style="346" customWidth="1"/>
    <col min="15354" max="15356" width="7.75" style="346" customWidth="1"/>
    <col min="15357" max="15358" width="11.83203125" style="346" customWidth="1"/>
    <col min="15359" max="15359" width="28.33203125" style="346" customWidth="1"/>
    <col min="15360" max="15361" width="9" style="346"/>
    <col min="15362" max="15362" width="12.33203125" style="346" customWidth="1"/>
    <col min="15363" max="15363" width="9" style="346"/>
    <col min="15364" max="15364" width="13.75" style="346" bestFit="1" customWidth="1"/>
    <col min="15365" max="15606" width="9" style="346"/>
    <col min="15607" max="15607" width="5.25" style="346" customWidth="1"/>
    <col min="15608" max="15608" width="24.33203125" style="346" customWidth="1"/>
    <col min="15609" max="15609" width="9.33203125" style="346" customWidth="1"/>
    <col min="15610" max="15612" width="7.75" style="346" customWidth="1"/>
    <col min="15613" max="15614" width="11.83203125" style="346" customWidth="1"/>
    <col min="15615" max="15615" width="28.33203125" style="346" customWidth="1"/>
    <col min="15616" max="15617" width="9" style="346"/>
    <col min="15618" max="15618" width="12.33203125" style="346" customWidth="1"/>
    <col min="15619" max="15619" width="9" style="346"/>
    <col min="15620" max="15620" width="13.75" style="346" bestFit="1" customWidth="1"/>
    <col min="15621" max="15862" width="9" style="346"/>
    <col min="15863" max="15863" width="5.25" style="346" customWidth="1"/>
    <col min="15864" max="15864" width="24.33203125" style="346" customWidth="1"/>
    <col min="15865" max="15865" width="9.33203125" style="346" customWidth="1"/>
    <col min="15866" max="15868" width="7.75" style="346" customWidth="1"/>
    <col min="15869" max="15870" width="11.83203125" style="346" customWidth="1"/>
    <col min="15871" max="15871" width="28.33203125" style="346" customWidth="1"/>
    <col min="15872" max="15873" width="9" style="346"/>
    <col min="15874" max="15874" width="12.33203125" style="346" customWidth="1"/>
    <col min="15875" max="15875" width="9" style="346"/>
    <col min="15876" max="15876" width="13.75" style="346" bestFit="1" customWidth="1"/>
    <col min="15877" max="16118" width="9" style="346"/>
    <col min="16119" max="16119" width="5.25" style="346" customWidth="1"/>
    <col min="16120" max="16120" width="24.33203125" style="346" customWidth="1"/>
    <col min="16121" max="16121" width="9.33203125" style="346" customWidth="1"/>
    <col min="16122" max="16124" width="7.75" style="346" customWidth="1"/>
    <col min="16125" max="16126" width="11.83203125" style="346" customWidth="1"/>
    <col min="16127" max="16127" width="28.33203125" style="346" customWidth="1"/>
    <col min="16128" max="16129" width="9" style="346"/>
    <col min="16130" max="16130" width="12.33203125" style="346" customWidth="1"/>
    <col min="16131" max="16131" width="9" style="346"/>
    <col min="16132" max="16132" width="13.75" style="346" bestFit="1" customWidth="1"/>
    <col min="16133" max="16384" width="9" style="346"/>
  </cols>
  <sheetData>
    <row r="1" spans="1:14">
      <c r="A1" s="1030" t="s">
        <v>0</v>
      </c>
      <c r="B1" s="1030"/>
      <c r="C1" s="1030"/>
      <c r="D1" s="1030"/>
      <c r="E1" s="1030"/>
      <c r="F1" s="1030"/>
      <c r="G1" s="1030"/>
      <c r="H1" s="1030"/>
      <c r="I1" s="1030"/>
      <c r="J1" s="1030"/>
      <c r="K1" s="1030"/>
      <c r="L1" s="1030"/>
    </row>
    <row r="2" spans="1:14" ht="17" thickBot="1">
      <c r="A2" s="413"/>
      <c r="B2" s="413"/>
      <c r="C2" s="413"/>
      <c r="D2" s="413"/>
      <c r="E2" s="413"/>
      <c r="F2" s="413"/>
      <c r="G2" s="413"/>
      <c r="H2" s="413"/>
      <c r="I2" s="413"/>
      <c r="J2" s="413"/>
      <c r="K2" s="400"/>
      <c r="L2" s="413"/>
    </row>
    <row r="3" spans="1:14" s="345" customFormat="1" ht="30.65" customHeight="1" thickTop="1">
      <c r="A3" s="352" t="s">
        <v>1</v>
      </c>
      <c r="B3" s="452" t="s">
        <v>427</v>
      </c>
      <c r="C3" s="414" t="s">
        <v>2</v>
      </c>
      <c r="D3" s="414" t="s">
        <v>3</v>
      </c>
      <c r="E3" s="1029" t="s">
        <v>4</v>
      </c>
      <c r="F3" s="1029"/>
      <c r="G3" s="1029"/>
      <c r="H3" s="1029" t="s">
        <v>5</v>
      </c>
      <c r="I3" s="1029"/>
      <c r="J3" s="414" t="s">
        <v>51</v>
      </c>
      <c r="K3" s="401" t="s">
        <v>52</v>
      </c>
      <c r="L3" s="354" t="s">
        <v>6</v>
      </c>
    </row>
    <row r="4" spans="1:14" s="345" customFormat="1" ht="25.5" customHeight="1">
      <c r="A4" s="371" t="s">
        <v>367</v>
      </c>
      <c r="B4" s="453"/>
      <c r="C4" s="372" t="s">
        <v>366</v>
      </c>
      <c r="D4" s="372"/>
      <c r="E4" s="372"/>
      <c r="F4" s="372"/>
      <c r="G4" s="372"/>
      <c r="H4" s="372"/>
      <c r="I4" s="372"/>
      <c r="J4" s="372"/>
      <c r="K4" s="402" t="e">
        <f>SUM(K6:K28)</f>
        <v>#REF!</v>
      </c>
      <c r="L4" s="373"/>
    </row>
    <row r="5" spans="1:14" s="347" customFormat="1" ht="49.5">
      <c r="A5" s="355" t="s">
        <v>12</v>
      </c>
      <c r="B5" s="454"/>
      <c r="C5" s="356" t="s">
        <v>316</v>
      </c>
      <c r="D5" s="357"/>
      <c r="E5" s="358"/>
      <c r="F5" s="358"/>
      <c r="G5" s="358"/>
      <c r="H5" s="357"/>
      <c r="I5" s="358" t="s">
        <v>13</v>
      </c>
      <c r="J5" s="358"/>
      <c r="K5" s="403"/>
      <c r="L5" s="359" t="s">
        <v>14</v>
      </c>
    </row>
    <row r="6" spans="1:14" s="348" customFormat="1" ht="33">
      <c r="A6" s="360">
        <v>1</v>
      </c>
      <c r="B6" s="455"/>
      <c r="C6" s="361" t="s">
        <v>15</v>
      </c>
      <c r="D6" s="362" t="s">
        <v>318</v>
      </c>
      <c r="E6" s="362">
        <v>0.1</v>
      </c>
      <c r="F6" s="362">
        <v>0.1</v>
      </c>
      <c r="G6" s="362"/>
      <c r="H6" s="363">
        <f>E6*F6</f>
        <v>1.0000000000000002E-2</v>
      </c>
      <c r="I6" s="362">
        <v>30</v>
      </c>
      <c r="J6" s="364">
        <f>'2CT'!G6</f>
        <v>638164.08802197105</v>
      </c>
      <c r="K6" s="404">
        <f>J6*I6</f>
        <v>19144922.640659131</v>
      </c>
      <c r="L6" s="365" t="s">
        <v>374</v>
      </c>
      <c r="N6" s="348">
        <v>0.01</v>
      </c>
    </row>
    <row r="7" spans="1:14" s="348" customFormat="1" ht="33">
      <c r="A7" s="360"/>
      <c r="B7" s="455"/>
      <c r="C7" s="361" t="s">
        <v>428</v>
      </c>
      <c r="D7" s="362" t="s">
        <v>318</v>
      </c>
      <c r="E7" s="362"/>
      <c r="F7" s="362"/>
      <c r="G7" s="362"/>
      <c r="H7" s="363"/>
      <c r="I7" s="362">
        <v>100</v>
      </c>
      <c r="J7" s="364"/>
      <c r="K7" s="404"/>
      <c r="L7" s="365"/>
    </row>
    <row r="8" spans="1:14" s="348" customFormat="1" ht="49.5">
      <c r="A8" s="360">
        <v>2</v>
      </c>
      <c r="B8" s="455"/>
      <c r="C8" s="361" t="str">
        <f>'2CT'!C46</f>
        <v>Đường hàn kín nước(lỗ khoan bị thấm nước)bằng que hàn dưới nước Broco Underwater</v>
      </c>
      <c r="D8" s="362" t="s">
        <v>318</v>
      </c>
      <c r="E8" s="362" t="s">
        <v>19</v>
      </c>
      <c r="F8" s="362" t="s">
        <v>19</v>
      </c>
      <c r="G8" s="362"/>
      <c r="H8" s="363">
        <v>0.32</v>
      </c>
      <c r="I8" s="362">
        <v>100</v>
      </c>
      <c r="J8" s="364">
        <f>'2CT'!G46</f>
        <v>1880749.3221275189</v>
      </c>
      <c r="K8" s="404">
        <f>J8*I8</f>
        <v>188074932.2127519</v>
      </c>
      <c r="L8" s="365" t="s">
        <v>374</v>
      </c>
    </row>
    <row r="9" spans="1:14" s="348" customFormat="1">
      <c r="A9" s="360">
        <v>3</v>
      </c>
      <c r="B9" s="455"/>
      <c r="C9" s="363" t="s">
        <v>317</v>
      </c>
      <c r="D9" s="362" t="s">
        <v>318</v>
      </c>
      <c r="E9" s="362"/>
      <c r="F9" s="362"/>
      <c r="G9" s="362"/>
      <c r="H9" s="363"/>
      <c r="I9" s="362">
        <v>100</v>
      </c>
      <c r="J9" s="364">
        <f>'2CT'!G65</f>
        <v>59440.881823899043</v>
      </c>
      <c r="K9" s="404">
        <f>J9*I9</f>
        <v>5944088.1823899038</v>
      </c>
      <c r="L9" s="365" t="s">
        <v>374</v>
      </c>
      <c r="M9" s="348" t="s">
        <v>324</v>
      </c>
    </row>
    <row r="10" spans="1:14" s="347" customFormat="1" ht="33">
      <c r="A10" s="355" t="s">
        <v>20</v>
      </c>
      <c r="B10" s="454"/>
      <c r="C10" s="356" t="s">
        <v>325</v>
      </c>
      <c r="D10" s="357"/>
      <c r="E10" s="358"/>
      <c r="F10" s="358"/>
      <c r="G10" s="358"/>
      <c r="H10" s="357"/>
      <c r="I10" s="358" t="s">
        <v>21</v>
      </c>
      <c r="J10" s="358"/>
      <c r="K10" s="405"/>
      <c r="L10" s="359"/>
    </row>
    <row r="11" spans="1:14" s="348" customFormat="1" ht="33">
      <c r="A11" s="360">
        <v>1</v>
      </c>
      <c r="B11" s="455"/>
      <c r="C11" s="361" t="s">
        <v>319</v>
      </c>
      <c r="D11" s="362" t="s">
        <v>318</v>
      </c>
      <c r="E11" s="362"/>
      <c r="F11" s="362"/>
      <c r="G11" s="362"/>
      <c r="H11" s="363"/>
      <c r="I11" s="362">
        <v>10</v>
      </c>
      <c r="J11" s="364">
        <f>'2CT'!G81</f>
        <v>806754.2736213475</v>
      </c>
      <c r="K11" s="404">
        <f>J11*I11</f>
        <v>8067542.7362134755</v>
      </c>
      <c r="L11" s="365" t="s">
        <v>374</v>
      </c>
    </row>
    <row r="12" spans="1:14" s="348" customFormat="1" ht="33">
      <c r="A12" s="360">
        <v>2</v>
      </c>
      <c r="B12" s="455"/>
      <c r="C12" s="361" t="s">
        <v>15</v>
      </c>
      <c r="D12" s="362" t="s">
        <v>318</v>
      </c>
      <c r="E12" s="362">
        <v>0.1</v>
      </c>
      <c r="F12" s="362">
        <v>0.1</v>
      </c>
      <c r="G12" s="362"/>
      <c r="H12" s="363">
        <f>E12*F12</f>
        <v>1.0000000000000002E-2</v>
      </c>
      <c r="I12" s="362">
        <v>10</v>
      </c>
      <c r="J12" s="364">
        <f>J6</f>
        <v>638164.08802197105</v>
      </c>
      <c r="K12" s="404">
        <f>J12*I12</f>
        <v>6381640.880219711</v>
      </c>
      <c r="L12" s="365" t="s">
        <v>374</v>
      </c>
    </row>
    <row r="13" spans="1:14" s="348" customFormat="1" ht="49.5">
      <c r="A13" s="360">
        <v>3</v>
      </c>
      <c r="B13" s="455"/>
      <c r="C13" s="361" t="s">
        <v>377</v>
      </c>
      <c r="D13" s="362" t="s">
        <v>318</v>
      </c>
      <c r="E13" s="362" t="s">
        <v>19</v>
      </c>
      <c r="F13" s="362" t="s">
        <v>19</v>
      </c>
      <c r="G13" s="362"/>
      <c r="H13" s="363">
        <v>0.64</v>
      </c>
      <c r="I13" s="362">
        <f>I12</f>
        <v>10</v>
      </c>
      <c r="J13" s="364">
        <f>'2CT'!G100</f>
        <v>8267367.2820251295</v>
      </c>
      <c r="K13" s="404">
        <f>J13*I13</f>
        <v>82673672.820251301</v>
      </c>
      <c r="L13" s="365" t="s">
        <v>374</v>
      </c>
    </row>
    <row r="14" spans="1:14" s="348" customFormat="1">
      <c r="A14" s="360">
        <v>4</v>
      </c>
      <c r="B14" s="455"/>
      <c r="C14" s="363" t="s">
        <v>317</v>
      </c>
      <c r="D14" s="362" t="s">
        <v>318</v>
      </c>
      <c r="E14" s="362"/>
      <c r="F14" s="362"/>
      <c r="G14" s="362"/>
      <c r="H14" s="363"/>
      <c r="I14" s="362">
        <v>10</v>
      </c>
      <c r="J14" s="364">
        <f>J9</f>
        <v>59440.881823899043</v>
      </c>
      <c r="K14" s="404">
        <f>J14*I14</f>
        <v>594408.81823899038</v>
      </c>
      <c r="L14" s="365" t="s">
        <v>374</v>
      </c>
      <c r="M14" s="348" t="s">
        <v>324</v>
      </c>
    </row>
    <row r="15" spans="1:14" s="348" customFormat="1" ht="52.5">
      <c r="A15" s="360">
        <v>6</v>
      </c>
      <c r="B15" s="455"/>
      <c r="C15" s="361" t="s">
        <v>371</v>
      </c>
      <c r="D15" s="362" t="s">
        <v>16</v>
      </c>
      <c r="E15" s="362"/>
      <c r="F15" s="362"/>
      <c r="G15" s="362"/>
      <c r="H15" s="363"/>
      <c r="I15" s="362">
        <v>2.6</v>
      </c>
      <c r="J15" s="364">
        <v>462524</v>
      </c>
      <c r="K15" s="404">
        <f>J15*I15</f>
        <v>1202562.4000000001</v>
      </c>
      <c r="L15" s="388" t="s">
        <v>372</v>
      </c>
    </row>
    <row r="16" spans="1:14" s="347" customFormat="1">
      <c r="A16" s="355" t="s">
        <v>23</v>
      </c>
      <c r="B16" s="454"/>
      <c r="C16" s="356" t="s">
        <v>24</v>
      </c>
      <c r="D16" s="357"/>
      <c r="E16" s="358"/>
      <c r="F16" s="358"/>
      <c r="G16" s="358"/>
      <c r="H16" s="357"/>
      <c r="I16" s="358" t="s">
        <v>25</v>
      </c>
      <c r="J16" s="358"/>
      <c r="K16" s="405"/>
      <c r="L16" s="359"/>
    </row>
    <row r="17" spans="1:16" s="348" customFormat="1" ht="21">
      <c r="A17" s="360">
        <v>1</v>
      </c>
      <c r="B17" s="455"/>
      <c r="C17" s="361" t="s">
        <v>406</v>
      </c>
      <c r="D17" s="362" t="s">
        <v>318</v>
      </c>
      <c r="E17" s="362">
        <v>0.1</v>
      </c>
      <c r="F17" s="362">
        <f>3.14*3.2</f>
        <v>10.048000000000002</v>
      </c>
      <c r="G17" s="362"/>
      <c r="H17" s="363">
        <f>E17*F17</f>
        <v>1.0048000000000001</v>
      </c>
      <c r="I17" s="362">
        <v>4</v>
      </c>
      <c r="J17" s="364">
        <f>N17*J6</f>
        <v>64122727.564447664</v>
      </c>
      <c r="K17" s="404">
        <f>J17*I17</f>
        <v>256490910.25779065</v>
      </c>
      <c r="L17" s="388" t="s">
        <v>407</v>
      </c>
      <c r="M17" s="348">
        <f>3.2*3.14*0.1</f>
        <v>1.0048000000000001</v>
      </c>
      <c r="N17" s="348">
        <f>M17/N6</f>
        <v>100.48000000000002</v>
      </c>
    </row>
    <row r="18" spans="1:16" s="348" customFormat="1" ht="33">
      <c r="A18" s="360">
        <v>2</v>
      </c>
      <c r="B18" s="455"/>
      <c r="C18" s="361" t="s">
        <v>410</v>
      </c>
      <c r="D18" s="362" t="s">
        <v>318</v>
      </c>
      <c r="E18" s="362">
        <v>0.1</v>
      </c>
      <c r="F18" s="362">
        <f>3.14*3.2</f>
        <v>10.048000000000002</v>
      </c>
      <c r="G18" s="362"/>
      <c r="H18" s="363">
        <f>(E18+F18)*2</f>
        <v>20.296000000000003</v>
      </c>
      <c r="I18" s="362">
        <v>4</v>
      </c>
      <c r="J18" s="364" t="e">
        <f>'2CT'!#REF!</f>
        <v>#REF!</v>
      </c>
      <c r="K18" s="404" t="e">
        <f>J18*I18</f>
        <v>#REF!</v>
      </c>
      <c r="L18" s="388" t="s">
        <v>416</v>
      </c>
      <c r="M18" s="348" t="e">
        <f>J18/(3.2*3.14)</f>
        <v>#REF!</v>
      </c>
    </row>
    <row r="19" spans="1:16" s="348" customFormat="1">
      <c r="A19" s="360">
        <v>3</v>
      </c>
      <c r="B19" s="455"/>
      <c r="C19" s="361" t="s">
        <v>409</v>
      </c>
      <c r="D19" s="362" t="s">
        <v>318</v>
      </c>
      <c r="E19" s="462">
        <v>4</v>
      </c>
      <c r="F19" s="362"/>
      <c r="G19" s="362"/>
      <c r="H19" s="363"/>
      <c r="I19" s="362">
        <v>4</v>
      </c>
      <c r="J19" s="364"/>
      <c r="K19" s="404"/>
      <c r="L19" s="388"/>
    </row>
    <row r="20" spans="1:16" s="348" customFormat="1" ht="33">
      <c r="A20" s="360">
        <v>4</v>
      </c>
      <c r="B20" s="455"/>
      <c r="C20" s="361" t="s">
        <v>384</v>
      </c>
      <c r="D20" s="362" t="s">
        <v>318</v>
      </c>
      <c r="E20" s="362"/>
      <c r="F20" s="362"/>
      <c r="G20" s="362"/>
      <c r="H20" s="363"/>
      <c r="I20" s="362">
        <v>4</v>
      </c>
      <c r="J20" s="364"/>
      <c r="K20" s="404"/>
      <c r="L20" s="388"/>
    </row>
    <row r="21" spans="1:16" s="348" customFormat="1" ht="52.5">
      <c r="A21" s="360">
        <v>5</v>
      </c>
      <c r="B21" s="455"/>
      <c r="C21" s="361" t="s">
        <v>371</v>
      </c>
      <c r="D21" s="362" t="s">
        <v>16</v>
      </c>
      <c r="E21" s="362"/>
      <c r="F21" s="362"/>
      <c r="G21" s="362"/>
      <c r="H21" s="363"/>
      <c r="I21" s="362">
        <v>22</v>
      </c>
      <c r="J21" s="364">
        <v>462524</v>
      </c>
      <c r="K21" s="404">
        <f>J21*I21</f>
        <v>10175528</v>
      </c>
      <c r="L21" s="388" t="s">
        <v>372</v>
      </c>
    </row>
    <row r="22" spans="1:16" s="348" customFormat="1">
      <c r="A22" s="367" t="s">
        <v>27</v>
      </c>
      <c r="B22" s="456"/>
      <c r="C22" s="368" t="s">
        <v>28</v>
      </c>
      <c r="D22" s="362"/>
      <c r="E22" s="369"/>
      <c r="F22" s="369"/>
      <c r="G22" s="369"/>
      <c r="H22" s="368"/>
      <c r="I22" s="369" t="s">
        <v>10</v>
      </c>
      <c r="J22" s="369"/>
      <c r="K22" s="406"/>
      <c r="L22" s="370"/>
    </row>
    <row r="23" spans="1:16" s="348" customFormat="1" ht="49.5">
      <c r="A23" s="360">
        <v>1</v>
      </c>
      <c r="B23" s="455"/>
      <c r="C23" s="361" t="s">
        <v>414</v>
      </c>
      <c r="D23" s="362" t="s">
        <v>318</v>
      </c>
      <c r="E23" s="462">
        <v>1</v>
      </c>
      <c r="F23" s="362">
        <v>0.6</v>
      </c>
      <c r="G23" s="362"/>
      <c r="H23" s="363">
        <f>E23*F23</f>
        <v>0.6</v>
      </c>
      <c r="I23" s="362">
        <v>1</v>
      </c>
      <c r="J23" s="364">
        <f>J6*6</f>
        <v>3828984.5281318263</v>
      </c>
      <c r="K23" s="404">
        <f t="shared" ref="K23:K28" si="0">J23*I23</f>
        <v>3828984.5281318263</v>
      </c>
      <c r="L23" s="366" t="s">
        <v>327</v>
      </c>
      <c r="M23" s="348">
        <f>0.06/0.01</f>
        <v>6</v>
      </c>
    </row>
    <row r="24" spans="1:16" s="348" customFormat="1" ht="33">
      <c r="A24" s="360">
        <v>2</v>
      </c>
      <c r="B24" s="455"/>
      <c r="C24" s="361" t="s">
        <v>26</v>
      </c>
      <c r="D24" s="362" t="s">
        <v>318</v>
      </c>
      <c r="E24" s="462">
        <v>1</v>
      </c>
      <c r="F24" s="362">
        <v>0.6</v>
      </c>
      <c r="G24" s="362">
        <v>5.0000000000000001E-3</v>
      </c>
      <c r="H24" s="363">
        <f>E24*F24*G24*7850</f>
        <v>23.55</v>
      </c>
      <c r="I24" s="362">
        <f>H24*1</f>
        <v>23.55</v>
      </c>
      <c r="J24" s="362"/>
      <c r="K24" s="404">
        <f t="shared" si="0"/>
        <v>0</v>
      </c>
      <c r="L24" s="365"/>
    </row>
    <row r="25" spans="1:16" s="348" customFormat="1" ht="66">
      <c r="A25" s="360">
        <v>3</v>
      </c>
      <c r="B25" s="455"/>
      <c r="C25" s="361" t="s">
        <v>410</v>
      </c>
      <c r="D25" s="362" t="s">
        <v>318</v>
      </c>
      <c r="E25" s="462">
        <v>1</v>
      </c>
      <c r="F25" s="362">
        <v>0.6</v>
      </c>
      <c r="G25" s="362"/>
      <c r="H25" s="363">
        <f>(E25+F25)*2</f>
        <v>3.2</v>
      </c>
      <c r="I25" s="362">
        <v>1</v>
      </c>
      <c r="J25" s="364" t="e">
        <f>(J18/(3.2*3.14))*1.4</f>
        <v>#REF!</v>
      </c>
      <c r="K25" s="404" t="e">
        <f t="shared" si="0"/>
        <v>#REF!</v>
      </c>
      <c r="L25" s="366" t="s">
        <v>328</v>
      </c>
      <c r="M25" s="348">
        <f>3.14*3.2</f>
        <v>10.048000000000002</v>
      </c>
    </row>
    <row r="26" spans="1:16" s="348" customFormat="1">
      <c r="A26" s="360">
        <v>4</v>
      </c>
      <c r="B26" s="455"/>
      <c r="C26" s="361" t="s">
        <v>409</v>
      </c>
      <c r="D26" s="362" t="s">
        <v>318</v>
      </c>
      <c r="E26" s="462">
        <v>1</v>
      </c>
      <c r="F26" s="362">
        <v>0.3</v>
      </c>
      <c r="G26" s="362"/>
      <c r="H26" s="363">
        <f>E26*F26</f>
        <v>0.3</v>
      </c>
      <c r="I26" s="362">
        <v>1.5</v>
      </c>
      <c r="J26" s="364"/>
      <c r="K26" s="404">
        <f t="shared" si="0"/>
        <v>0</v>
      </c>
      <c r="L26" s="365" t="s">
        <v>374</v>
      </c>
    </row>
    <row r="27" spans="1:16" s="348" customFormat="1" ht="33">
      <c r="A27" s="360">
        <v>5</v>
      </c>
      <c r="B27" s="455"/>
      <c r="C27" s="361" t="s">
        <v>429</v>
      </c>
      <c r="D27" s="362" t="s">
        <v>318</v>
      </c>
      <c r="E27" s="462">
        <v>1</v>
      </c>
      <c r="F27" s="362"/>
      <c r="G27" s="362"/>
      <c r="H27" s="363"/>
      <c r="I27" s="362">
        <v>1.5</v>
      </c>
      <c r="J27" s="364">
        <v>150000</v>
      </c>
      <c r="K27" s="404">
        <f t="shared" si="0"/>
        <v>225000</v>
      </c>
      <c r="L27" s="365" t="s">
        <v>373</v>
      </c>
    </row>
    <row r="28" spans="1:16" s="348" customFormat="1" ht="33">
      <c r="A28" s="360">
        <v>6</v>
      </c>
      <c r="B28" s="455"/>
      <c r="C28" s="361" t="s">
        <v>384</v>
      </c>
      <c r="D28" s="362" t="s">
        <v>318</v>
      </c>
      <c r="E28" s="462">
        <v>1</v>
      </c>
      <c r="F28" s="362"/>
      <c r="G28" s="362"/>
      <c r="H28" s="363"/>
      <c r="I28" s="362">
        <v>1.5</v>
      </c>
      <c r="J28" s="364">
        <v>100000</v>
      </c>
      <c r="K28" s="404">
        <f t="shared" si="0"/>
        <v>150000</v>
      </c>
      <c r="L28" s="365" t="s">
        <v>373</v>
      </c>
    </row>
    <row r="29" spans="1:16" s="345" customFormat="1" ht="30.65" customHeight="1">
      <c r="A29" s="371" t="s">
        <v>368</v>
      </c>
      <c r="B29" s="453"/>
      <c r="C29" s="372" t="s">
        <v>31</v>
      </c>
      <c r="D29" s="372"/>
      <c r="E29" s="372"/>
      <c r="F29" s="372"/>
      <c r="G29" s="372"/>
      <c r="H29" s="372"/>
      <c r="I29" s="372"/>
      <c r="J29" s="372"/>
      <c r="K29" s="402">
        <f>SUM(K30:K63)</f>
        <v>513769430</v>
      </c>
      <c r="L29" s="373"/>
    </row>
    <row r="30" spans="1:16" s="349" customFormat="1" ht="33">
      <c r="A30" s="701" t="s">
        <v>12</v>
      </c>
      <c r="B30" s="702"/>
      <c r="C30" s="703" t="s">
        <v>2179</v>
      </c>
      <c r="D30" s="704"/>
      <c r="E30" s="369"/>
      <c r="F30" s="369"/>
      <c r="G30" s="369"/>
      <c r="H30" s="368"/>
      <c r="I30" s="704"/>
      <c r="J30" s="707"/>
      <c r="K30" s="706"/>
      <c r="L30" s="370"/>
    </row>
    <row r="31" spans="1:16" s="349" customFormat="1">
      <c r="A31" s="377">
        <v>1</v>
      </c>
      <c r="B31" s="458" t="s">
        <v>7</v>
      </c>
      <c r="C31" s="378" t="s">
        <v>329</v>
      </c>
      <c r="D31" s="376" t="s">
        <v>18</v>
      </c>
      <c r="E31" s="369"/>
      <c r="F31" s="369"/>
      <c r="G31" s="369"/>
      <c r="H31" s="368"/>
      <c r="I31" s="376">
        <v>600</v>
      </c>
      <c r="J31" s="379">
        <f>28990+(28900*10%)</f>
        <v>31880</v>
      </c>
      <c r="K31" s="408">
        <f>J31*I31</f>
        <v>19128000</v>
      </c>
      <c r="L31" s="389" t="s">
        <v>102</v>
      </c>
      <c r="N31" s="349">
        <v>35030</v>
      </c>
      <c r="O31" s="683" t="s">
        <v>2175</v>
      </c>
    </row>
    <row r="32" spans="1:16" s="349" customFormat="1">
      <c r="A32" s="377">
        <v>2</v>
      </c>
      <c r="B32" s="458" t="s">
        <v>7</v>
      </c>
      <c r="C32" s="378" t="s">
        <v>330</v>
      </c>
      <c r="D32" s="376" t="s">
        <v>18</v>
      </c>
      <c r="E32" s="369"/>
      <c r="F32" s="369"/>
      <c r="G32" s="369"/>
      <c r="H32" s="368"/>
      <c r="I32" s="380">
        <v>1040</v>
      </c>
      <c r="J32" s="379">
        <f>39520+(39520*10%)</f>
        <v>43472</v>
      </c>
      <c r="K32" s="408">
        <f t="shared" ref="K32:K62" si="1">J32*I32</f>
        <v>45210880</v>
      </c>
      <c r="L32" s="389" t="s">
        <v>102</v>
      </c>
      <c r="N32" s="689">
        <f>'GIA TT-Hue'!E1012</f>
        <v>53900</v>
      </c>
      <c r="P32" s="683" t="s">
        <v>2176</v>
      </c>
    </row>
    <row r="33" spans="1:16" s="349" customFormat="1">
      <c r="A33" s="377">
        <v>3</v>
      </c>
      <c r="B33" s="458" t="s">
        <v>7</v>
      </c>
      <c r="C33" s="378" t="s">
        <v>331</v>
      </c>
      <c r="D33" s="376" t="s">
        <v>18</v>
      </c>
      <c r="E33" s="369"/>
      <c r="F33" s="369"/>
      <c r="G33" s="369"/>
      <c r="H33" s="368"/>
      <c r="I33" s="376">
        <v>400</v>
      </c>
      <c r="J33" s="379">
        <f>13600+(13600*10%)</f>
        <v>14960</v>
      </c>
      <c r="K33" s="408">
        <f t="shared" si="1"/>
        <v>5984000</v>
      </c>
      <c r="L33" s="389" t="s">
        <v>102</v>
      </c>
      <c r="N33" s="689">
        <f>'GIA TT-Hue'!E998</f>
        <v>14200</v>
      </c>
      <c r="P33" s="683" t="s">
        <v>2176</v>
      </c>
    </row>
    <row r="34" spans="1:16" s="349" customFormat="1">
      <c r="A34" s="377">
        <v>4</v>
      </c>
      <c r="B34" s="458" t="s">
        <v>7</v>
      </c>
      <c r="C34" s="378" t="s">
        <v>332</v>
      </c>
      <c r="D34" s="376" t="s">
        <v>18</v>
      </c>
      <c r="E34" s="369"/>
      <c r="F34" s="369"/>
      <c r="G34" s="369"/>
      <c r="H34" s="368"/>
      <c r="I34" s="376">
        <v>600</v>
      </c>
      <c r="J34" s="379">
        <f>9880+(9880*10%)</f>
        <v>10868</v>
      </c>
      <c r="K34" s="408">
        <f t="shared" si="1"/>
        <v>6520800</v>
      </c>
      <c r="L34" s="389" t="s">
        <v>102</v>
      </c>
      <c r="N34" s="689">
        <f>'GIA TT-Hue'!E994</f>
        <v>5000</v>
      </c>
      <c r="P34" s="683" t="s">
        <v>2176</v>
      </c>
    </row>
    <row r="35" spans="1:16" s="349" customFormat="1">
      <c r="A35" s="377">
        <v>5</v>
      </c>
      <c r="B35" s="458" t="s">
        <v>7</v>
      </c>
      <c r="C35" s="378" t="s">
        <v>333</v>
      </c>
      <c r="D35" s="376" t="s">
        <v>18</v>
      </c>
      <c r="E35" s="369"/>
      <c r="F35" s="369"/>
      <c r="G35" s="369"/>
      <c r="H35" s="368"/>
      <c r="I35" s="376">
        <v>200</v>
      </c>
      <c r="J35" s="379">
        <f>16900+(16900*10%)</f>
        <v>18590</v>
      </c>
      <c r="K35" s="408">
        <f t="shared" si="1"/>
        <v>3718000</v>
      </c>
      <c r="L35" s="389" t="s">
        <v>102</v>
      </c>
      <c r="N35" s="689">
        <f>'GIA TT-Hue'!E936</f>
        <v>16016</v>
      </c>
      <c r="P35" s="683" t="s">
        <v>2176</v>
      </c>
    </row>
    <row r="36" spans="1:16" s="349" customFormat="1">
      <c r="A36" s="377">
        <v>6</v>
      </c>
      <c r="B36" s="458" t="s">
        <v>7</v>
      </c>
      <c r="C36" s="378" t="s">
        <v>334</v>
      </c>
      <c r="D36" s="376" t="s">
        <v>335</v>
      </c>
      <c r="E36" s="369"/>
      <c r="F36" s="369"/>
      <c r="G36" s="369"/>
      <c r="H36" s="368"/>
      <c r="I36" s="376">
        <v>5</v>
      </c>
      <c r="J36" s="379">
        <f>350000+(350000*10%)</f>
        <v>385000</v>
      </c>
      <c r="K36" s="408">
        <f t="shared" si="1"/>
        <v>1925000</v>
      </c>
      <c r="L36" s="389" t="s">
        <v>102</v>
      </c>
      <c r="N36" s="689">
        <v>276000</v>
      </c>
      <c r="O36" s="349" t="s">
        <v>2178</v>
      </c>
      <c r="P36" s="683" t="s">
        <v>2176</v>
      </c>
    </row>
    <row r="37" spans="1:16" s="349" customFormat="1">
      <c r="A37" s="377">
        <v>7</v>
      </c>
      <c r="B37" s="458"/>
      <c r="C37" s="378" t="s">
        <v>336</v>
      </c>
      <c r="D37" s="376" t="s">
        <v>337</v>
      </c>
      <c r="E37" s="369"/>
      <c r="F37" s="369"/>
      <c r="G37" s="369"/>
      <c r="H37" s="368"/>
      <c r="I37" s="376">
        <v>18</v>
      </c>
      <c r="J37" s="379">
        <f>149500+(149500*10%)</f>
        <v>164450</v>
      </c>
      <c r="K37" s="408">
        <f t="shared" si="1"/>
        <v>2960100</v>
      </c>
      <c r="L37" s="389" t="s">
        <v>102</v>
      </c>
      <c r="N37" s="689">
        <v>330000</v>
      </c>
      <c r="O37" s="349" t="s">
        <v>2177</v>
      </c>
    </row>
    <row r="38" spans="1:16" s="349" customFormat="1">
      <c r="A38" s="377">
        <v>8</v>
      </c>
      <c r="B38" s="458" t="s">
        <v>7</v>
      </c>
      <c r="C38" s="378" t="s">
        <v>338</v>
      </c>
      <c r="D38" s="376" t="s">
        <v>335</v>
      </c>
      <c r="E38" s="369"/>
      <c r="F38" s="369"/>
      <c r="G38" s="369"/>
      <c r="H38" s="368"/>
      <c r="I38" s="376">
        <v>2</v>
      </c>
      <c r="J38" s="379">
        <f>1330000+(1330000*10%)</f>
        <v>1463000</v>
      </c>
      <c r="K38" s="408">
        <f t="shared" si="1"/>
        <v>2926000</v>
      </c>
      <c r="L38" s="389" t="s">
        <v>102</v>
      </c>
      <c r="N38" s="689">
        <f>'GIA TT-Hue'!E845</f>
        <v>1920000</v>
      </c>
      <c r="P38" s="349" t="s">
        <v>2176</v>
      </c>
    </row>
    <row r="39" spans="1:16" s="349" customFormat="1">
      <c r="A39" s="377">
        <v>9</v>
      </c>
      <c r="B39" s="458"/>
      <c r="C39" s="378" t="s">
        <v>339</v>
      </c>
      <c r="D39" s="376" t="s">
        <v>335</v>
      </c>
      <c r="E39" s="369"/>
      <c r="F39" s="369"/>
      <c r="G39" s="369"/>
      <c r="H39" s="368"/>
      <c r="I39" s="376">
        <v>100</v>
      </c>
      <c r="J39" s="379">
        <f>10000+(10000*10%)</f>
        <v>11000</v>
      </c>
      <c r="K39" s="408">
        <f t="shared" si="1"/>
        <v>1100000</v>
      </c>
      <c r="L39" s="389" t="s">
        <v>102</v>
      </c>
      <c r="N39" s="689">
        <f>J37</f>
        <v>164450</v>
      </c>
      <c r="O39" s="349" t="s">
        <v>2178</v>
      </c>
    </row>
    <row r="40" spans="1:16" s="349" customFormat="1">
      <c r="A40" s="377">
        <v>10</v>
      </c>
      <c r="B40" s="458"/>
      <c r="C40" s="378" t="s">
        <v>340</v>
      </c>
      <c r="D40" s="376" t="s">
        <v>335</v>
      </c>
      <c r="E40" s="369"/>
      <c r="F40" s="369"/>
      <c r="G40" s="369"/>
      <c r="H40" s="368"/>
      <c r="I40" s="376">
        <v>7</v>
      </c>
      <c r="J40" s="379">
        <f>325000+(325000*10%)</f>
        <v>357500</v>
      </c>
      <c r="K40" s="408">
        <f t="shared" si="1"/>
        <v>2502500</v>
      </c>
      <c r="L40" s="389" t="s">
        <v>102</v>
      </c>
      <c r="N40" s="689">
        <f>'GIA TT-Hue'!E856</f>
        <v>280000</v>
      </c>
    </row>
    <row r="41" spans="1:16" s="349" customFormat="1">
      <c r="A41" s="377">
        <v>11</v>
      </c>
      <c r="B41" s="458"/>
      <c r="C41" s="378" t="s">
        <v>341</v>
      </c>
      <c r="D41" s="376" t="s">
        <v>335</v>
      </c>
      <c r="E41" s="369"/>
      <c r="F41" s="369"/>
      <c r="G41" s="369"/>
      <c r="H41" s="368"/>
      <c r="I41" s="376">
        <v>100</v>
      </c>
      <c r="J41" s="379">
        <f>6000+(6000*10%)</f>
        <v>6600</v>
      </c>
      <c r="K41" s="408">
        <f t="shared" si="1"/>
        <v>660000</v>
      </c>
      <c r="L41" s="389" t="s">
        <v>102</v>
      </c>
      <c r="N41" s="689">
        <f>J41</f>
        <v>6600</v>
      </c>
      <c r="O41" s="349" t="s">
        <v>2178</v>
      </c>
    </row>
    <row r="42" spans="1:16" s="349" customFormat="1">
      <c r="A42" s="377">
        <v>12</v>
      </c>
      <c r="B42" s="458"/>
      <c r="C42" s="378" t="s">
        <v>342</v>
      </c>
      <c r="D42" s="376" t="s">
        <v>45</v>
      </c>
      <c r="E42" s="369"/>
      <c r="F42" s="369"/>
      <c r="G42" s="369"/>
      <c r="H42" s="368"/>
      <c r="I42" s="376">
        <v>1</v>
      </c>
      <c r="J42" s="379">
        <f>6900000+(6900000*10%)</f>
        <v>7590000</v>
      </c>
      <c r="K42" s="408">
        <f t="shared" si="1"/>
        <v>7590000</v>
      </c>
      <c r="L42" s="389" t="s">
        <v>102</v>
      </c>
      <c r="N42" s="689">
        <f>J42</f>
        <v>7590000</v>
      </c>
      <c r="O42" s="349" t="s">
        <v>2178</v>
      </c>
    </row>
    <row r="43" spans="1:16" s="349" customFormat="1">
      <c r="A43" s="377">
        <v>13</v>
      </c>
      <c r="B43" s="458"/>
      <c r="C43" s="378" t="s">
        <v>343</v>
      </c>
      <c r="D43" s="376" t="s">
        <v>45</v>
      </c>
      <c r="E43" s="369"/>
      <c r="F43" s="369"/>
      <c r="G43" s="369"/>
      <c r="H43" s="368"/>
      <c r="I43" s="376">
        <v>4</v>
      </c>
      <c r="J43" s="379">
        <v>4500000</v>
      </c>
      <c r="K43" s="408">
        <f t="shared" si="1"/>
        <v>18000000</v>
      </c>
      <c r="L43" s="389" t="s">
        <v>102</v>
      </c>
      <c r="N43" s="689">
        <v>4300000</v>
      </c>
      <c r="O43" s="349" t="s">
        <v>2178</v>
      </c>
    </row>
    <row r="44" spans="1:16" s="349" customFormat="1">
      <c r="A44" s="377">
        <v>14</v>
      </c>
      <c r="B44" s="458"/>
      <c r="C44" s="378" t="s">
        <v>344</v>
      </c>
      <c r="D44" s="376" t="s">
        <v>18</v>
      </c>
      <c r="E44" s="369"/>
      <c r="F44" s="369"/>
      <c r="G44" s="369"/>
      <c r="H44" s="368"/>
      <c r="I44" s="376">
        <v>1600</v>
      </c>
      <c r="J44" s="379">
        <v>35500</v>
      </c>
      <c r="K44" s="408">
        <f t="shared" si="1"/>
        <v>56800000</v>
      </c>
      <c r="L44" s="389" t="s">
        <v>102</v>
      </c>
      <c r="N44" s="689">
        <v>33000</v>
      </c>
    </row>
    <row r="45" spans="1:16" s="349" customFormat="1">
      <c r="A45" s="377">
        <v>15</v>
      </c>
      <c r="B45" s="458"/>
      <c r="C45" s="378" t="s">
        <v>345</v>
      </c>
      <c r="D45" s="376" t="s">
        <v>337</v>
      </c>
      <c r="E45" s="369"/>
      <c r="F45" s="369"/>
      <c r="G45" s="369"/>
      <c r="H45" s="368"/>
      <c r="I45" s="376">
        <v>2</v>
      </c>
      <c r="J45" s="379">
        <v>33000</v>
      </c>
      <c r="K45" s="408">
        <f t="shared" si="1"/>
        <v>66000</v>
      </c>
      <c r="L45" s="389" t="s">
        <v>102</v>
      </c>
    </row>
    <row r="46" spans="1:16" s="349" customFormat="1">
      <c r="A46" s="377">
        <v>16</v>
      </c>
      <c r="B46" s="458"/>
      <c r="C46" s="378" t="s">
        <v>346</v>
      </c>
      <c r="D46" s="376" t="s">
        <v>30</v>
      </c>
      <c r="E46" s="369"/>
      <c r="F46" s="369"/>
      <c r="G46" s="369"/>
      <c r="H46" s="368"/>
      <c r="I46" s="376">
        <f>80.1*3</f>
        <v>240.29999999999998</v>
      </c>
      <c r="J46" s="379">
        <v>35500</v>
      </c>
      <c r="K46" s="408">
        <f t="shared" si="1"/>
        <v>8530650</v>
      </c>
      <c r="L46" s="389" t="s">
        <v>102</v>
      </c>
    </row>
    <row r="47" spans="1:16" s="349" customFormat="1" ht="33">
      <c r="A47" s="701" t="s">
        <v>20</v>
      </c>
      <c r="B47" s="702"/>
      <c r="C47" s="703" t="s">
        <v>2180</v>
      </c>
      <c r="D47" s="704"/>
      <c r="E47" s="369"/>
      <c r="F47" s="369"/>
      <c r="G47" s="369"/>
      <c r="H47" s="368"/>
      <c r="I47" s="704"/>
      <c r="J47" s="705"/>
      <c r="K47" s="706"/>
      <c r="L47" s="370"/>
    </row>
    <row r="48" spans="1:16" s="349" customFormat="1">
      <c r="A48" s="377">
        <v>17</v>
      </c>
      <c r="B48" s="458"/>
      <c r="C48" s="378" t="s">
        <v>347</v>
      </c>
      <c r="D48" s="376" t="s">
        <v>45</v>
      </c>
      <c r="E48" s="369"/>
      <c r="F48" s="369"/>
      <c r="G48" s="369"/>
      <c r="H48" s="368"/>
      <c r="I48" s="376">
        <v>6</v>
      </c>
      <c r="J48" s="379">
        <v>150000</v>
      </c>
      <c r="K48" s="408">
        <f t="shared" si="1"/>
        <v>900000</v>
      </c>
      <c r="L48" s="389" t="s">
        <v>102</v>
      </c>
    </row>
    <row r="49" spans="1:12" s="349" customFormat="1" ht="33">
      <c r="A49" s="377">
        <v>18</v>
      </c>
      <c r="B49" s="458"/>
      <c r="C49" s="378" t="s">
        <v>348</v>
      </c>
      <c r="D49" s="376" t="s">
        <v>30</v>
      </c>
      <c r="E49" s="369"/>
      <c r="F49" s="369"/>
      <c r="G49" s="369"/>
      <c r="H49" s="368"/>
      <c r="I49" s="376">
        <v>22.6</v>
      </c>
      <c r="J49" s="379">
        <v>35500</v>
      </c>
      <c r="K49" s="408">
        <f t="shared" si="1"/>
        <v>802300</v>
      </c>
      <c r="L49" s="389" t="s">
        <v>102</v>
      </c>
    </row>
    <row r="50" spans="1:12" s="349" customFormat="1">
      <c r="A50" s="377">
        <v>19</v>
      </c>
      <c r="B50" s="458"/>
      <c r="C50" s="378" t="s">
        <v>349</v>
      </c>
      <c r="D50" s="376" t="s">
        <v>30</v>
      </c>
      <c r="E50" s="369"/>
      <c r="F50" s="369"/>
      <c r="G50" s="369"/>
      <c r="H50" s="368"/>
      <c r="I50" s="376">
        <v>188.2</v>
      </c>
      <c r="J50" s="379">
        <v>33500</v>
      </c>
      <c r="K50" s="408">
        <f t="shared" si="1"/>
        <v>6304700</v>
      </c>
      <c r="L50" s="389" t="s">
        <v>102</v>
      </c>
    </row>
    <row r="51" spans="1:12" s="349" customFormat="1">
      <c r="A51" s="377">
        <v>20</v>
      </c>
      <c r="B51" s="458"/>
      <c r="C51" s="378" t="s">
        <v>350</v>
      </c>
      <c r="D51" s="376" t="s">
        <v>45</v>
      </c>
      <c r="E51" s="369"/>
      <c r="F51" s="369"/>
      <c r="G51" s="369"/>
      <c r="H51" s="368"/>
      <c r="I51" s="376">
        <v>3</v>
      </c>
      <c r="J51" s="379">
        <f>950000+(950000*10%)</f>
        <v>1045000</v>
      </c>
      <c r="K51" s="408">
        <f t="shared" si="1"/>
        <v>3135000</v>
      </c>
      <c r="L51" s="389" t="s">
        <v>102</v>
      </c>
    </row>
    <row r="52" spans="1:12" s="349" customFormat="1">
      <c r="A52" s="377">
        <v>21</v>
      </c>
      <c r="B52" s="458"/>
      <c r="C52" s="378" t="s">
        <v>365</v>
      </c>
      <c r="D52" s="376" t="s">
        <v>30</v>
      </c>
      <c r="E52" s="369"/>
      <c r="F52" s="369"/>
      <c r="G52" s="369"/>
      <c r="H52" s="368"/>
      <c r="I52" s="376">
        <v>188.2</v>
      </c>
      <c r="J52" s="379">
        <v>33500</v>
      </c>
      <c r="K52" s="408">
        <f t="shared" si="1"/>
        <v>6304700</v>
      </c>
      <c r="L52" s="389" t="s">
        <v>102</v>
      </c>
    </row>
    <row r="53" spans="1:12" s="349" customFormat="1">
      <c r="A53" s="701" t="s">
        <v>23</v>
      </c>
      <c r="B53" s="702"/>
      <c r="C53" s="703" t="s">
        <v>2181</v>
      </c>
      <c r="D53" s="704"/>
      <c r="E53" s="369"/>
      <c r="F53" s="369"/>
      <c r="G53" s="369"/>
      <c r="H53" s="368"/>
      <c r="I53" s="704"/>
      <c r="J53" s="705"/>
      <c r="K53" s="706"/>
      <c r="L53" s="370"/>
    </row>
    <row r="54" spans="1:12" s="349" customFormat="1">
      <c r="A54" s="377">
        <v>27</v>
      </c>
      <c r="B54" s="458"/>
      <c r="C54" s="378" t="s">
        <v>360</v>
      </c>
      <c r="D54" s="376" t="s">
        <v>361</v>
      </c>
      <c r="E54" s="369"/>
      <c r="F54" s="369"/>
      <c r="G54" s="369"/>
      <c r="H54" s="368"/>
      <c r="I54" s="376">
        <v>1</v>
      </c>
      <c r="J54" s="379">
        <v>30000000</v>
      </c>
      <c r="K54" s="408">
        <f>J54*I54</f>
        <v>30000000</v>
      </c>
      <c r="L54" s="389" t="s">
        <v>102</v>
      </c>
    </row>
    <row r="55" spans="1:12" s="349" customFormat="1" ht="33">
      <c r="A55" s="377">
        <v>28</v>
      </c>
      <c r="B55" s="458"/>
      <c r="C55" s="378" t="s">
        <v>362</v>
      </c>
      <c r="D55" s="376" t="s">
        <v>357</v>
      </c>
      <c r="E55" s="369"/>
      <c r="F55" s="369"/>
      <c r="G55" s="369"/>
      <c r="H55" s="368"/>
      <c r="I55" s="376">
        <v>14</v>
      </c>
      <c r="J55" s="379">
        <v>800000</v>
      </c>
      <c r="K55" s="408">
        <f>J55*I55</f>
        <v>11200000</v>
      </c>
      <c r="L55" s="709" t="s">
        <v>2182</v>
      </c>
    </row>
    <row r="56" spans="1:12" s="349" customFormat="1" ht="33">
      <c r="A56" s="377">
        <v>22</v>
      </c>
      <c r="B56" s="458"/>
      <c r="C56" s="378" t="s">
        <v>351</v>
      </c>
      <c r="D56" s="376" t="s">
        <v>166</v>
      </c>
      <c r="E56" s="369"/>
      <c r="F56" s="369"/>
      <c r="G56" s="369"/>
      <c r="H56" s="368"/>
      <c r="I56" s="376">
        <v>1</v>
      </c>
      <c r="J56" s="379">
        <v>30000000</v>
      </c>
      <c r="K56" s="408">
        <f t="shared" si="1"/>
        <v>30000000</v>
      </c>
      <c r="L56" s="389" t="s">
        <v>102</v>
      </c>
    </row>
    <row r="57" spans="1:12" s="349" customFormat="1" ht="82.5">
      <c r="A57" s="377">
        <v>23</v>
      </c>
      <c r="B57" s="458"/>
      <c r="C57" s="378" t="s">
        <v>352</v>
      </c>
      <c r="D57" s="376" t="s">
        <v>353</v>
      </c>
      <c r="E57" s="369"/>
      <c r="F57" s="369"/>
      <c r="G57" s="369"/>
      <c r="H57" s="368"/>
      <c r="I57" s="381">
        <f>40*20*3+18*20*3</f>
        <v>3480</v>
      </c>
      <c r="J57" s="379">
        <v>15460</v>
      </c>
      <c r="K57" s="408">
        <f t="shared" si="1"/>
        <v>53800800</v>
      </c>
      <c r="L57" s="382" t="s">
        <v>370</v>
      </c>
    </row>
    <row r="58" spans="1:12" s="349" customFormat="1">
      <c r="A58" s="377">
        <v>24</v>
      </c>
      <c r="B58" s="458"/>
      <c r="C58" s="378" t="s">
        <v>354</v>
      </c>
      <c r="D58" s="376" t="s">
        <v>355</v>
      </c>
      <c r="E58" s="369"/>
      <c r="F58" s="369"/>
      <c r="G58" s="369"/>
      <c r="H58" s="368"/>
      <c r="I58" s="376">
        <v>2</v>
      </c>
      <c r="J58" s="379">
        <v>1100000</v>
      </c>
      <c r="K58" s="408">
        <f t="shared" si="1"/>
        <v>2200000</v>
      </c>
      <c r="L58" s="389" t="s">
        <v>102</v>
      </c>
    </row>
    <row r="59" spans="1:12" s="349" customFormat="1" ht="33">
      <c r="A59" s="377">
        <v>25</v>
      </c>
      <c r="B59" s="458"/>
      <c r="C59" s="378" t="s">
        <v>356</v>
      </c>
      <c r="D59" s="376" t="s">
        <v>357</v>
      </c>
      <c r="E59" s="369"/>
      <c r="F59" s="369"/>
      <c r="G59" s="369"/>
      <c r="H59" s="368"/>
      <c r="I59" s="376">
        <v>15</v>
      </c>
      <c r="J59" s="379">
        <v>620000</v>
      </c>
      <c r="K59" s="408">
        <f t="shared" si="1"/>
        <v>9300000</v>
      </c>
      <c r="L59" s="389" t="s">
        <v>102</v>
      </c>
    </row>
    <row r="60" spans="1:12" s="349" customFormat="1" ht="33">
      <c r="A60" s="377">
        <v>26</v>
      </c>
      <c r="B60" s="458"/>
      <c r="C60" s="378" t="s">
        <v>358</v>
      </c>
      <c r="D60" s="376" t="s">
        <v>359</v>
      </c>
      <c r="E60" s="369"/>
      <c r="F60" s="369"/>
      <c r="G60" s="369"/>
      <c r="H60" s="368"/>
      <c r="I60" s="376"/>
      <c r="J60" s="379">
        <v>10000000</v>
      </c>
      <c r="K60" s="408">
        <f>J60</f>
        <v>10000000</v>
      </c>
      <c r="L60" s="389" t="s">
        <v>102</v>
      </c>
    </row>
    <row r="61" spans="1:12" s="349" customFormat="1">
      <c r="A61" s="377">
        <v>27</v>
      </c>
      <c r="B61" s="458"/>
      <c r="C61" s="378" t="s">
        <v>360</v>
      </c>
      <c r="D61" s="376" t="s">
        <v>361</v>
      </c>
      <c r="E61" s="369"/>
      <c r="F61" s="369"/>
      <c r="G61" s="369"/>
      <c r="H61" s="368"/>
      <c r="I61" s="376">
        <v>1</v>
      </c>
      <c r="J61" s="379">
        <v>30000000</v>
      </c>
      <c r="K61" s="408">
        <f t="shared" si="1"/>
        <v>30000000</v>
      </c>
      <c r="L61" s="389" t="s">
        <v>102</v>
      </c>
    </row>
    <row r="62" spans="1:12" s="349" customFormat="1">
      <c r="A62" s="377">
        <v>28</v>
      </c>
      <c r="B62" s="458"/>
      <c r="C62" s="378" t="s">
        <v>362</v>
      </c>
      <c r="D62" s="376" t="s">
        <v>357</v>
      </c>
      <c r="E62" s="369"/>
      <c r="F62" s="369"/>
      <c r="G62" s="369"/>
      <c r="H62" s="368"/>
      <c r="I62" s="376">
        <v>14</v>
      </c>
      <c r="J62" s="379">
        <v>800000</v>
      </c>
      <c r="K62" s="408">
        <f t="shared" si="1"/>
        <v>11200000</v>
      </c>
      <c r="L62" s="389" t="s">
        <v>102</v>
      </c>
    </row>
    <row r="63" spans="1:12" s="349" customFormat="1" ht="33">
      <c r="A63" s="374" t="s">
        <v>20</v>
      </c>
      <c r="B63" s="457"/>
      <c r="C63" s="375" t="s">
        <v>363</v>
      </c>
      <c r="D63" s="376" t="s">
        <v>364</v>
      </c>
      <c r="E63" s="369"/>
      <c r="F63" s="369"/>
      <c r="G63" s="369"/>
      <c r="H63" s="368"/>
      <c r="I63" s="376"/>
      <c r="J63" s="379"/>
      <c r="K63" s="407">
        <v>125000000</v>
      </c>
      <c r="L63" s="370" t="s">
        <v>373</v>
      </c>
    </row>
    <row r="64" spans="1:12" s="349" customFormat="1">
      <c r="A64" s="383" t="s">
        <v>369</v>
      </c>
      <c r="B64" s="459"/>
      <c r="C64" s="384" t="s">
        <v>378</v>
      </c>
      <c r="D64" s="384"/>
      <c r="E64" s="385"/>
      <c r="F64" s="385"/>
      <c r="G64" s="385"/>
      <c r="H64" s="384"/>
      <c r="I64" s="385"/>
      <c r="J64" s="385"/>
      <c r="K64" s="409" t="e">
        <f>K29+K4</f>
        <v>#REF!</v>
      </c>
      <c r="L64" s="386"/>
    </row>
    <row r="65" spans="1:12" s="349" customFormat="1" ht="16" hidden="1" customHeight="1">
      <c r="A65" s="367"/>
      <c r="B65" s="456"/>
      <c r="C65" s="368"/>
      <c r="D65" s="368"/>
      <c r="E65" s="369"/>
      <c r="F65" s="369"/>
      <c r="G65" s="369"/>
      <c r="H65" s="368"/>
      <c r="I65" s="369"/>
      <c r="J65" s="369"/>
      <c r="K65" s="406"/>
      <c r="L65" s="370"/>
    </row>
    <row r="66" spans="1:12" s="349" customFormat="1" ht="16" hidden="1" customHeight="1">
      <c r="A66" s="367"/>
      <c r="B66" s="456"/>
      <c r="C66" s="368"/>
      <c r="D66" s="368"/>
      <c r="E66" s="369"/>
      <c r="F66" s="369"/>
      <c r="G66" s="369"/>
      <c r="H66" s="368"/>
      <c r="I66" s="369"/>
      <c r="J66" s="369"/>
      <c r="K66" s="406"/>
      <c r="L66" s="370"/>
    </row>
    <row r="67" spans="1:12" s="349" customFormat="1" ht="16" hidden="1" customHeight="1">
      <c r="A67" s="367"/>
      <c r="B67" s="456"/>
      <c r="C67" s="368"/>
      <c r="D67" s="368"/>
      <c r="E67" s="369"/>
      <c r="F67" s="369"/>
      <c r="G67" s="369"/>
      <c r="H67" s="368"/>
      <c r="I67" s="369"/>
      <c r="J67" s="369"/>
      <c r="K67" s="406"/>
      <c r="L67" s="370"/>
    </row>
    <row r="68" spans="1:12" s="349" customFormat="1" ht="16" hidden="1" customHeight="1">
      <c r="A68" s="367"/>
      <c r="B68" s="456"/>
      <c r="C68" s="368"/>
      <c r="D68" s="368"/>
      <c r="E68" s="369"/>
      <c r="F68" s="369"/>
      <c r="G68" s="369"/>
      <c r="H68" s="368"/>
      <c r="I68" s="369"/>
      <c r="J68" s="369"/>
      <c r="K68" s="406"/>
      <c r="L68" s="370"/>
    </row>
    <row r="69" spans="1:12" s="349" customFormat="1" ht="16" hidden="1" customHeight="1">
      <c r="A69" s="367"/>
      <c r="B69" s="456"/>
      <c r="C69" s="368"/>
      <c r="D69" s="368"/>
      <c r="E69" s="369"/>
      <c r="F69" s="369"/>
      <c r="G69" s="369"/>
      <c r="H69" s="368"/>
      <c r="I69" s="369"/>
      <c r="J69" s="369"/>
      <c r="K69" s="406"/>
      <c r="L69" s="370"/>
    </row>
    <row r="70" spans="1:12" s="349" customFormat="1" ht="16" hidden="1" customHeight="1">
      <c r="A70" s="367"/>
      <c r="B70" s="456"/>
      <c r="C70" s="368"/>
      <c r="D70" s="368"/>
      <c r="E70" s="369"/>
      <c r="F70" s="369"/>
      <c r="G70" s="369"/>
      <c r="H70" s="368"/>
      <c r="I70" s="369"/>
      <c r="J70" s="369"/>
      <c r="K70" s="406"/>
      <c r="L70" s="370"/>
    </row>
    <row r="71" spans="1:12" s="349" customFormat="1" ht="16" hidden="1" customHeight="1">
      <c r="A71" s="367"/>
      <c r="B71" s="456"/>
      <c r="C71" s="368"/>
      <c r="D71" s="368"/>
      <c r="E71" s="369"/>
      <c r="F71" s="369"/>
      <c r="G71" s="369"/>
      <c r="H71" s="368"/>
      <c r="I71" s="369"/>
      <c r="J71" s="369"/>
      <c r="K71" s="406"/>
      <c r="L71" s="370"/>
    </row>
    <row r="72" spans="1:12" s="349" customFormat="1" ht="16" hidden="1" customHeight="1">
      <c r="A72" s="367"/>
      <c r="B72" s="456"/>
      <c r="C72" s="368"/>
      <c r="D72" s="368"/>
      <c r="E72" s="369"/>
      <c r="F72" s="369"/>
      <c r="G72" s="369"/>
      <c r="H72" s="368"/>
      <c r="I72" s="369"/>
      <c r="J72" s="369"/>
      <c r="K72" s="406"/>
      <c r="L72" s="370"/>
    </row>
    <row r="73" spans="1:12" s="349" customFormat="1" ht="16" hidden="1" customHeight="1">
      <c r="A73" s="367"/>
      <c r="B73" s="456"/>
      <c r="C73" s="368"/>
      <c r="D73" s="368"/>
      <c r="E73" s="369"/>
      <c r="F73" s="369"/>
      <c r="G73" s="369"/>
      <c r="H73" s="368"/>
      <c r="I73" s="369"/>
      <c r="J73" s="369"/>
      <c r="K73" s="406"/>
      <c r="L73" s="370"/>
    </row>
    <row r="74" spans="1:12" s="349" customFormat="1" ht="16" hidden="1" customHeight="1">
      <c r="A74" s="367"/>
      <c r="B74" s="456"/>
      <c r="C74" s="368"/>
      <c r="D74" s="368"/>
      <c r="E74" s="369"/>
      <c r="F74" s="369"/>
      <c r="G74" s="369"/>
      <c r="H74" s="368"/>
      <c r="I74" s="369"/>
      <c r="J74" s="369"/>
      <c r="K74" s="406"/>
      <c r="L74" s="370"/>
    </row>
    <row r="75" spans="1:12" s="349" customFormat="1" ht="16" hidden="1" customHeight="1">
      <c r="A75" s="367"/>
      <c r="B75" s="456"/>
      <c r="C75" s="368"/>
      <c r="D75" s="368"/>
      <c r="E75" s="369"/>
      <c r="F75" s="369"/>
      <c r="G75" s="369"/>
      <c r="H75" s="368"/>
      <c r="I75" s="369"/>
      <c r="J75" s="369"/>
      <c r="K75" s="406"/>
      <c r="L75" s="370"/>
    </row>
    <row r="76" spans="1:12" s="349" customFormat="1" ht="16" hidden="1" customHeight="1">
      <c r="A76" s="367"/>
      <c r="B76" s="456"/>
      <c r="C76" s="368"/>
      <c r="D76" s="368"/>
      <c r="E76" s="369"/>
      <c r="F76" s="369"/>
      <c r="G76" s="369"/>
      <c r="H76" s="368"/>
      <c r="I76" s="369"/>
      <c r="J76" s="369"/>
      <c r="K76" s="406"/>
      <c r="L76" s="370"/>
    </row>
    <row r="77" spans="1:12" s="349" customFormat="1" ht="16" hidden="1" customHeight="1">
      <c r="A77" s="367"/>
      <c r="B77" s="456"/>
      <c r="C77" s="368"/>
      <c r="D77" s="368"/>
      <c r="E77" s="369"/>
      <c r="F77" s="369"/>
      <c r="G77" s="369"/>
      <c r="H77" s="368"/>
      <c r="I77" s="369"/>
      <c r="J77" s="369"/>
      <c r="K77" s="406"/>
      <c r="L77" s="370"/>
    </row>
    <row r="78" spans="1:12" s="349" customFormat="1" ht="16" hidden="1" customHeight="1">
      <c r="A78" s="367"/>
      <c r="B78" s="456"/>
      <c r="C78" s="368"/>
      <c r="D78" s="368"/>
      <c r="E78" s="369"/>
      <c r="F78" s="369"/>
      <c r="G78" s="369"/>
      <c r="H78" s="368"/>
      <c r="I78" s="369"/>
      <c r="J78" s="369"/>
      <c r="K78" s="406"/>
      <c r="L78" s="370"/>
    </row>
    <row r="79" spans="1:12" s="348" customFormat="1" ht="16" hidden="1" customHeight="1">
      <c r="A79" s="360">
        <v>1</v>
      </c>
      <c r="B79" s="455"/>
      <c r="C79" s="361" t="s">
        <v>32</v>
      </c>
      <c r="D79" s="362" t="s">
        <v>33</v>
      </c>
      <c r="E79" s="362"/>
      <c r="F79" s="362"/>
      <c r="G79" s="362"/>
      <c r="H79" s="363">
        <v>256.67</v>
      </c>
      <c r="I79" s="387">
        <f>H79*5</f>
        <v>1283.3500000000001</v>
      </c>
      <c r="J79" s="387"/>
      <c r="K79" s="404"/>
      <c r="L79" s="365" t="s">
        <v>34</v>
      </c>
    </row>
    <row r="80" spans="1:12" s="348" customFormat="1" ht="16" hidden="1" customHeight="1">
      <c r="A80" s="360">
        <v>2</v>
      </c>
      <c r="B80" s="455"/>
      <c r="C80" s="361" t="s">
        <v>35</v>
      </c>
      <c r="D80" s="362" t="s">
        <v>16</v>
      </c>
      <c r="E80" s="362"/>
      <c r="F80" s="362"/>
      <c r="G80" s="362"/>
      <c r="H80" s="363">
        <f>(2.4+1.2)*2.1*0.03</f>
        <v>0.22679999999999997</v>
      </c>
      <c r="I80" s="387">
        <f>H80*5</f>
        <v>1.1339999999999999</v>
      </c>
      <c r="J80" s="387"/>
      <c r="K80" s="404"/>
      <c r="L80" s="365" t="s">
        <v>36</v>
      </c>
    </row>
    <row r="81" spans="1:12" s="348" customFormat="1" hidden="1">
      <c r="A81" s="360">
        <v>3</v>
      </c>
      <c r="B81" s="455"/>
      <c r="C81" s="363" t="s">
        <v>37</v>
      </c>
      <c r="D81" s="362"/>
      <c r="E81" s="362">
        <v>900</v>
      </c>
      <c r="F81" s="362"/>
      <c r="G81" s="362"/>
      <c r="H81" s="363"/>
      <c r="I81" s="362"/>
      <c r="J81" s="362"/>
      <c r="K81" s="404"/>
      <c r="L81" s="365"/>
    </row>
    <row r="82" spans="1:12" s="348" customFormat="1" hidden="1">
      <c r="A82" s="360"/>
      <c r="B82" s="455"/>
      <c r="C82" s="363" t="s">
        <v>38</v>
      </c>
      <c r="D82" s="362"/>
      <c r="E82" s="362">
        <f>E81-E83-E84</f>
        <v>600</v>
      </c>
      <c r="F82" s="362"/>
      <c r="G82" s="362"/>
      <c r="H82" s="363"/>
      <c r="I82" s="362">
        <f>SUM(E82:F82)</f>
        <v>600</v>
      </c>
      <c r="J82" s="362"/>
      <c r="K82" s="404"/>
      <c r="L82" s="365"/>
    </row>
    <row r="83" spans="1:12" s="348" customFormat="1" hidden="1">
      <c r="A83" s="360"/>
      <c r="B83" s="455"/>
      <c r="C83" s="363" t="s">
        <v>39</v>
      </c>
      <c r="D83" s="362"/>
      <c r="E83" s="362">
        <v>240</v>
      </c>
      <c r="F83" s="362"/>
      <c r="G83" s="362"/>
      <c r="H83" s="363"/>
      <c r="I83" s="362">
        <f>SUM(E83:F83)</f>
        <v>240</v>
      </c>
      <c r="J83" s="362"/>
      <c r="K83" s="404"/>
      <c r="L83" s="365"/>
    </row>
    <row r="84" spans="1:12" s="348" customFormat="1" hidden="1">
      <c r="A84" s="360"/>
      <c r="B84" s="455"/>
      <c r="C84" s="363" t="s">
        <v>40</v>
      </c>
      <c r="D84" s="362"/>
      <c r="E84" s="362">
        <v>60</v>
      </c>
      <c r="F84" s="362"/>
      <c r="G84" s="362"/>
      <c r="H84" s="363"/>
      <c r="I84" s="362">
        <f>SUM(E84:F84)</f>
        <v>60</v>
      </c>
      <c r="J84" s="362"/>
      <c r="K84" s="404"/>
      <c r="L84" s="365"/>
    </row>
    <row r="85" spans="1:12" s="348" customFormat="1" hidden="1">
      <c r="A85" s="360">
        <v>4</v>
      </c>
      <c r="B85" s="455"/>
      <c r="C85" s="363" t="s">
        <v>41</v>
      </c>
      <c r="D85" s="362"/>
      <c r="E85" s="362"/>
      <c r="F85" s="362"/>
      <c r="G85" s="362"/>
      <c r="H85" s="363"/>
      <c r="I85" s="362"/>
      <c r="J85" s="362"/>
      <c r="K85" s="404"/>
      <c r="L85" s="365"/>
    </row>
    <row r="86" spans="1:12" s="348" customFormat="1" hidden="1">
      <c r="A86" s="360"/>
      <c r="B86" s="455"/>
      <c r="C86" s="363" t="s">
        <v>42</v>
      </c>
      <c r="D86" s="362" t="s">
        <v>18</v>
      </c>
      <c r="E86" s="362">
        <v>900</v>
      </c>
      <c r="F86" s="362">
        <v>700</v>
      </c>
      <c r="G86" s="362"/>
      <c r="H86" s="363"/>
      <c r="I86" s="362">
        <f t="shared" ref="I86:I91" si="2">SUM(E86:F86)</f>
        <v>1600</v>
      </c>
      <c r="J86" s="362"/>
      <c r="K86" s="404"/>
      <c r="L86" s="365"/>
    </row>
    <row r="87" spans="1:12" s="348" customFormat="1" hidden="1">
      <c r="A87" s="360"/>
      <c r="B87" s="455"/>
      <c r="C87" s="363" t="s">
        <v>43</v>
      </c>
      <c r="D87" s="362" t="s">
        <v>18</v>
      </c>
      <c r="E87" s="362">
        <f>E86/4</f>
        <v>225</v>
      </c>
      <c r="F87" s="362">
        <f>F86/4</f>
        <v>175</v>
      </c>
      <c r="G87" s="362"/>
      <c r="H87" s="363"/>
      <c r="I87" s="362">
        <f t="shared" si="2"/>
        <v>400</v>
      </c>
      <c r="J87" s="362"/>
      <c r="K87" s="404"/>
      <c r="L87" s="365"/>
    </row>
    <row r="88" spans="1:12" s="348" customFormat="1" hidden="1">
      <c r="A88" s="360"/>
      <c r="B88" s="455"/>
      <c r="C88" s="363" t="s">
        <v>44</v>
      </c>
      <c r="D88" s="362" t="s">
        <v>45</v>
      </c>
      <c r="E88" s="362">
        <f>E86/20</f>
        <v>45</v>
      </c>
      <c r="F88" s="362">
        <f>F86/20</f>
        <v>35</v>
      </c>
      <c r="G88" s="362"/>
      <c r="H88" s="363"/>
      <c r="I88" s="362">
        <f t="shared" si="2"/>
        <v>80</v>
      </c>
      <c r="J88" s="362"/>
      <c r="K88" s="404"/>
      <c r="L88" s="365"/>
    </row>
    <row r="89" spans="1:12" s="348" customFormat="1" hidden="1">
      <c r="A89" s="360"/>
      <c r="B89" s="455"/>
      <c r="C89" s="363" t="s">
        <v>46</v>
      </c>
      <c r="D89" s="362" t="s">
        <v>45</v>
      </c>
      <c r="E89" s="362">
        <f>E88</f>
        <v>45</v>
      </c>
      <c r="F89" s="362">
        <f>F88</f>
        <v>35</v>
      </c>
      <c r="G89" s="362"/>
      <c r="H89" s="363"/>
      <c r="I89" s="362">
        <f t="shared" si="2"/>
        <v>80</v>
      </c>
      <c r="J89" s="362"/>
      <c r="K89" s="404"/>
      <c r="L89" s="365"/>
    </row>
    <row r="90" spans="1:12" s="348" customFormat="1" hidden="1">
      <c r="A90" s="360"/>
      <c r="B90" s="455"/>
      <c r="C90" s="363" t="s">
        <v>47</v>
      </c>
      <c r="D90" s="362" t="s">
        <v>45</v>
      </c>
      <c r="E90" s="362">
        <f>E89</f>
        <v>45</v>
      </c>
      <c r="F90" s="362">
        <f>F89</f>
        <v>35</v>
      </c>
      <c r="G90" s="362"/>
      <c r="H90" s="363"/>
      <c r="I90" s="362">
        <f t="shared" si="2"/>
        <v>80</v>
      </c>
      <c r="J90" s="362"/>
      <c r="K90" s="404"/>
      <c r="L90" s="365"/>
    </row>
    <row r="91" spans="1:12" s="348" customFormat="1" hidden="1">
      <c r="A91" s="360"/>
      <c r="B91" s="455"/>
      <c r="C91" s="363" t="s">
        <v>48</v>
      </c>
      <c r="D91" s="362" t="s">
        <v>49</v>
      </c>
      <c r="E91" s="362">
        <v>2</v>
      </c>
      <c r="F91" s="362">
        <v>2</v>
      </c>
      <c r="G91" s="362"/>
      <c r="H91" s="363"/>
      <c r="I91" s="362">
        <f t="shared" si="2"/>
        <v>4</v>
      </c>
      <c r="J91" s="362"/>
      <c r="K91" s="404"/>
      <c r="L91" s="365"/>
    </row>
    <row r="92" spans="1:12" s="348" customFormat="1" hidden="1">
      <c r="A92" s="360">
        <v>5</v>
      </c>
      <c r="B92" s="455"/>
      <c r="C92" s="363" t="s">
        <v>50</v>
      </c>
      <c r="D92" s="362" t="s">
        <v>33</v>
      </c>
      <c r="E92" s="362"/>
      <c r="F92" s="362"/>
      <c r="G92" s="362"/>
      <c r="H92" s="363"/>
      <c r="I92" s="362">
        <v>200</v>
      </c>
      <c r="J92" s="362"/>
      <c r="K92" s="404"/>
      <c r="L92" s="365"/>
    </row>
    <row r="93" spans="1:12" s="348" customFormat="1" hidden="1">
      <c r="A93" s="360"/>
      <c r="B93" s="455"/>
      <c r="C93" s="363"/>
      <c r="D93" s="363"/>
      <c r="E93" s="363"/>
      <c r="F93" s="363"/>
      <c r="G93" s="363"/>
      <c r="H93" s="363"/>
      <c r="I93" s="362"/>
      <c r="J93" s="362"/>
      <c r="K93" s="404"/>
      <c r="L93" s="365"/>
    </row>
    <row r="94" spans="1:12" s="394" customFormat="1">
      <c r="A94" s="390"/>
      <c r="B94" s="460"/>
      <c r="C94" s="391" t="s">
        <v>379</v>
      </c>
      <c r="D94" s="391"/>
      <c r="E94" s="391"/>
      <c r="F94" s="391"/>
      <c r="G94" s="391"/>
      <c r="H94" s="391"/>
      <c r="I94" s="392"/>
      <c r="J94" s="392"/>
      <c r="K94" s="399" t="e">
        <f>K64*0.1</f>
        <v>#REF!</v>
      </c>
      <c r="L94" s="393"/>
    </row>
    <row r="95" spans="1:12" s="394" customFormat="1" ht="17" thickBot="1">
      <c r="A95" s="395"/>
      <c r="B95" s="461"/>
      <c r="C95" s="396" t="s">
        <v>380</v>
      </c>
      <c r="D95" s="396"/>
      <c r="E95" s="396"/>
      <c r="F95" s="396"/>
      <c r="G95" s="396"/>
      <c r="H95" s="396"/>
      <c r="I95" s="397"/>
      <c r="J95" s="397"/>
      <c r="K95" s="410" t="e">
        <f>K64+K94</f>
        <v>#REF!</v>
      </c>
      <c r="L95" s="398"/>
    </row>
    <row r="96" spans="1:12" s="348" customFormat="1" ht="17" thickTop="1">
      <c r="A96" s="350"/>
      <c r="B96" s="350"/>
      <c r="I96" s="350"/>
      <c r="J96" s="350"/>
      <c r="K96" s="411"/>
      <c r="L96" s="350"/>
    </row>
    <row r="97" spans="1:12" s="348" customFormat="1">
      <c r="A97" s="350"/>
      <c r="B97" s="350"/>
      <c r="I97" s="350"/>
      <c r="J97" s="350"/>
      <c r="K97" s="411"/>
      <c r="L97" s="350"/>
    </row>
    <row r="98" spans="1:12" s="348" customFormat="1">
      <c r="A98" s="350"/>
      <c r="B98" s="350"/>
      <c r="I98" s="350"/>
      <c r="J98" s="350"/>
      <c r="K98" s="411"/>
      <c r="L98" s="350"/>
    </row>
    <row r="99" spans="1:12" s="348" customFormat="1">
      <c r="A99" s="350"/>
      <c r="B99" s="350"/>
      <c r="I99" s="350"/>
      <c r="J99" s="350"/>
      <c r="K99" s="411"/>
      <c r="L99" s="350"/>
    </row>
    <row r="100" spans="1:12" s="348" customFormat="1">
      <c r="A100" s="350"/>
      <c r="B100" s="350"/>
      <c r="I100" s="350"/>
      <c r="J100" s="350"/>
      <c r="K100" s="411"/>
      <c r="L100" s="350"/>
    </row>
    <row r="101" spans="1:12" s="348" customFormat="1">
      <c r="A101" s="350"/>
      <c r="B101" s="350"/>
      <c r="I101" s="350"/>
      <c r="J101" s="350"/>
      <c r="K101" s="411"/>
      <c r="L101" s="350"/>
    </row>
    <row r="102" spans="1:12" s="348" customFormat="1">
      <c r="A102" s="350"/>
      <c r="B102" s="350"/>
      <c r="I102" s="350"/>
      <c r="J102" s="350"/>
      <c r="K102" s="411"/>
      <c r="L102" s="350"/>
    </row>
    <row r="103" spans="1:12" s="348" customFormat="1">
      <c r="A103" s="350"/>
      <c r="B103" s="350"/>
      <c r="I103" s="350"/>
      <c r="J103" s="350"/>
      <c r="K103" s="411"/>
      <c r="L103" s="350"/>
    </row>
    <row r="104" spans="1:12" s="348" customFormat="1">
      <c r="A104" s="350"/>
      <c r="B104" s="350"/>
      <c r="I104" s="350"/>
      <c r="J104" s="350"/>
      <c r="K104" s="411"/>
      <c r="L104" s="350"/>
    </row>
    <row r="105" spans="1:12" s="348" customFormat="1">
      <c r="A105" s="350"/>
      <c r="B105" s="350"/>
      <c r="I105" s="350"/>
      <c r="J105" s="350"/>
      <c r="K105" s="411"/>
      <c r="L105" s="350"/>
    </row>
    <row r="106" spans="1:12" s="348" customFormat="1">
      <c r="A106" s="350"/>
      <c r="B106" s="350"/>
      <c r="I106" s="350"/>
      <c r="J106" s="350"/>
      <c r="K106" s="411"/>
      <c r="L106" s="350"/>
    </row>
    <row r="107" spans="1:12" s="348" customFormat="1">
      <c r="A107" s="350"/>
      <c r="B107" s="350"/>
      <c r="I107" s="350"/>
      <c r="J107" s="350"/>
      <c r="K107" s="411"/>
      <c r="L107" s="350"/>
    </row>
    <row r="108" spans="1:12" s="348" customFormat="1">
      <c r="A108" s="350"/>
      <c r="B108" s="350"/>
      <c r="I108" s="350"/>
      <c r="J108" s="350"/>
      <c r="K108" s="411"/>
      <c r="L108" s="350"/>
    </row>
    <row r="109" spans="1:12" s="348" customFormat="1">
      <c r="A109" s="350"/>
      <c r="B109" s="350"/>
      <c r="I109" s="350"/>
      <c r="J109" s="350"/>
      <c r="K109" s="411"/>
      <c r="L109" s="350"/>
    </row>
  </sheetData>
  <mergeCells count="3">
    <mergeCell ref="A1:L1"/>
    <mergeCell ref="E3:G3"/>
    <mergeCell ref="H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6"/>
  <sheetViews>
    <sheetView view="pageBreakPreview" topLeftCell="A295" zoomScaleNormal="70" zoomScaleSheetLayoutView="100" workbookViewId="0">
      <selection activeCell="F140" sqref="F140"/>
    </sheetView>
  </sheetViews>
  <sheetFormatPr defaultColWidth="8.75" defaultRowHeight="16.5"/>
  <cols>
    <col min="1" max="1" width="8.25" style="195" customWidth="1"/>
    <col min="2" max="2" width="10.08203125" style="195" customWidth="1"/>
    <col min="3" max="3" width="36.33203125" style="196" customWidth="1"/>
    <col min="4" max="4" width="7.83203125" style="195" customWidth="1"/>
    <col min="5" max="5" width="9.33203125" style="195" customWidth="1"/>
    <col min="6" max="6" width="13.58203125" style="197" customWidth="1"/>
    <col min="7" max="7" width="15.58203125" style="197" customWidth="1"/>
    <col min="8" max="8" width="20.58203125" style="912" customWidth="1"/>
    <col min="9" max="9" width="0" style="192" hidden="1" customWidth="1"/>
    <col min="10" max="10" width="17.33203125" style="192" hidden="1" customWidth="1"/>
    <col min="11" max="11" width="18.83203125" style="192" hidden="1" customWidth="1"/>
    <col min="12" max="12" width="20.25" style="192" hidden="1" customWidth="1"/>
    <col min="13" max="13" width="11.83203125" style="192" bestFit="1" customWidth="1"/>
    <col min="14" max="14" width="10.83203125" style="192" bestFit="1" customWidth="1"/>
    <col min="15" max="16384" width="8.75" style="192"/>
  </cols>
  <sheetData>
    <row r="1" spans="1:14" ht="28.5" customHeight="1">
      <c r="A1" s="1031" t="s">
        <v>2347</v>
      </c>
      <c r="B1" s="1031"/>
      <c r="C1" s="1031"/>
      <c r="D1" s="1031"/>
      <c r="E1" s="1031"/>
      <c r="F1" s="1031"/>
      <c r="G1" s="1031"/>
      <c r="H1" s="1031"/>
    </row>
    <row r="2" spans="1:14" ht="17" thickBot="1">
      <c r="A2" s="3"/>
      <c r="B2" s="3"/>
      <c r="C2" s="3"/>
      <c r="D2" s="3"/>
      <c r="E2" s="3"/>
    </row>
    <row r="3" spans="1:14" s="193" customFormat="1" ht="33.5" thickTop="1">
      <c r="A3" s="302" t="s">
        <v>1</v>
      </c>
      <c r="B3" s="303" t="s">
        <v>53</v>
      </c>
      <c r="C3" s="303" t="s">
        <v>2</v>
      </c>
      <c r="D3" s="303" t="s">
        <v>3</v>
      </c>
      <c r="E3" s="303" t="s">
        <v>55</v>
      </c>
      <c r="F3" s="304" t="s">
        <v>51</v>
      </c>
      <c r="G3" s="340" t="s">
        <v>52</v>
      </c>
      <c r="H3" s="913" t="s">
        <v>6</v>
      </c>
    </row>
    <row r="4" spans="1:14">
      <c r="A4" s="305"/>
      <c r="B4" s="306"/>
      <c r="C4" s="306"/>
      <c r="D4" s="306"/>
      <c r="E4" s="306"/>
      <c r="F4" s="307"/>
      <c r="G4" s="307"/>
      <c r="H4" s="914"/>
    </row>
    <row r="5" spans="1:14" s="330" customFormat="1" ht="33">
      <c r="A5" s="333" t="s">
        <v>12</v>
      </c>
      <c r="B5" s="334"/>
      <c r="C5" s="335" t="str">
        <f>'1TH'!C6</f>
        <v>Xử lý lỗ khoan bị thấm nước (dùng que hàn dưới nước để xử lý).</v>
      </c>
      <c r="D5" s="334"/>
      <c r="E5" s="334"/>
      <c r="F5" s="336"/>
      <c r="G5" s="341"/>
      <c r="H5" s="915"/>
    </row>
    <row r="6" spans="1:14" s="194" customFormat="1" ht="66">
      <c r="A6" s="314" t="s">
        <v>2286</v>
      </c>
      <c r="B6" s="310" t="s">
        <v>54</v>
      </c>
      <c r="C6" s="311" t="s">
        <v>2323</v>
      </c>
      <c r="D6" s="310" t="s">
        <v>313</v>
      </c>
      <c r="E6" s="310"/>
      <c r="F6" s="312"/>
      <c r="G6" s="312">
        <f>G25</f>
        <v>638164.08802197105</v>
      </c>
      <c r="H6" s="916"/>
    </row>
    <row r="7" spans="1:14">
      <c r="A7" s="313"/>
      <c r="B7" s="314"/>
      <c r="C7" s="315" t="s">
        <v>56</v>
      </c>
      <c r="D7" s="314"/>
      <c r="E7" s="314"/>
      <c r="F7" s="307"/>
      <c r="G7" s="342">
        <f>SUM(G8:G10)</f>
        <v>19320</v>
      </c>
      <c r="H7" s="914"/>
    </row>
    <row r="8" spans="1:14">
      <c r="A8" s="313"/>
      <c r="B8" s="314"/>
      <c r="C8" s="316" t="s">
        <v>206</v>
      </c>
      <c r="D8" s="314" t="s">
        <v>207</v>
      </c>
      <c r="E8" s="314">
        <v>0.5</v>
      </c>
      <c r="F8" s="307">
        <f>32000</f>
        <v>32000</v>
      </c>
      <c r="G8" s="307">
        <f>F8*E8</f>
        <v>16000</v>
      </c>
      <c r="H8" s="914"/>
      <c r="N8" s="314">
        <v>3</v>
      </c>
    </row>
    <row r="9" spans="1:14">
      <c r="A9" s="313"/>
      <c r="B9" s="314"/>
      <c r="C9" s="316" t="s">
        <v>57</v>
      </c>
      <c r="D9" s="314" t="s">
        <v>30</v>
      </c>
      <c r="E9" s="314">
        <v>0.04</v>
      </c>
      <c r="F9" s="307">
        <v>60000</v>
      </c>
      <c r="G9" s="307">
        <f>F9*E9</f>
        <v>2400</v>
      </c>
      <c r="H9" s="914"/>
      <c r="N9" s="314">
        <v>0.04</v>
      </c>
    </row>
    <row r="10" spans="1:14">
      <c r="A10" s="313"/>
      <c r="B10" s="314"/>
      <c r="C10" s="316" t="s">
        <v>58</v>
      </c>
      <c r="D10" s="314" t="s">
        <v>59</v>
      </c>
      <c r="E10" s="314">
        <v>5</v>
      </c>
      <c r="F10" s="307"/>
      <c r="G10" s="307">
        <f>SUM(G8:G9)*0.05</f>
        <v>920</v>
      </c>
      <c r="H10" s="914"/>
      <c r="N10" s="314">
        <v>5</v>
      </c>
    </row>
    <row r="11" spans="1:14">
      <c r="A11" s="313"/>
      <c r="B11" s="314"/>
      <c r="C11" s="315" t="s">
        <v>60</v>
      </c>
      <c r="D11" s="314"/>
      <c r="E11" s="314"/>
      <c r="F11" s="307"/>
      <c r="G11" s="342">
        <f>SUM(G12:G14)</f>
        <v>504938.07692307688</v>
      </c>
      <c r="H11" s="914"/>
      <c r="N11" s="314"/>
    </row>
    <row r="12" spans="1:14">
      <c r="A12" s="313"/>
      <c r="B12" s="314"/>
      <c r="C12" s="316" t="s">
        <v>2324</v>
      </c>
      <c r="D12" s="314" t="s">
        <v>62</v>
      </c>
      <c r="E12" s="314">
        <v>1</v>
      </c>
      <c r="F12" s="307">
        <f>'3NC'!N33</f>
        <v>336625.38461538462</v>
      </c>
      <c r="G12" s="307">
        <f>F12:F15*E12</f>
        <v>336625.38461538462</v>
      </c>
      <c r="H12" s="914"/>
      <c r="N12" s="314">
        <v>2</v>
      </c>
    </row>
    <row r="13" spans="1:14">
      <c r="A13" s="313"/>
      <c r="B13" s="314"/>
      <c r="C13" s="316" t="s">
        <v>2325</v>
      </c>
      <c r="D13" s="314" t="s">
        <v>62</v>
      </c>
      <c r="E13" s="314">
        <v>0.25</v>
      </c>
      <c r="F13" s="307">
        <v>336625.38461538462</v>
      </c>
      <c r="G13" s="307">
        <f>E13*F13</f>
        <v>84156.346153846156</v>
      </c>
      <c r="H13" s="914"/>
      <c r="N13" s="314">
        <v>0.25</v>
      </c>
    </row>
    <row r="14" spans="1:14" ht="33">
      <c r="A14" s="313"/>
      <c r="B14" s="314"/>
      <c r="C14" s="316" t="s">
        <v>2327</v>
      </c>
      <c r="D14" s="314" t="s">
        <v>62</v>
      </c>
      <c r="E14" s="314">
        <v>0.25</v>
      </c>
      <c r="F14" s="322">
        <v>336625.38461538462</v>
      </c>
      <c r="G14" s="307">
        <f>E14*F14</f>
        <v>84156.346153846156</v>
      </c>
      <c r="H14" s="917"/>
      <c r="N14" s="314">
        <v>0.25</v>
      </c>
    </row>
    <row r="15" spans="1:14" s="330" customFormat="1">
      <c r="A15" s="337"/>
      <c r="B15" s="338"/>
      <c r="C15" s="339" t="s">
        <v>63</v>
      </c>
      <c r="D15" s="338"/>
      <c r="E15" s="338"/>
      <c r="F15" s="329"/>
      <c r="G15" s="342">
        <f>SUM(G16:G18)</f>
        <v>0</v>
      </c>
      <c r="H15" s="918"/>
    </row>
    <row r="16" spans="1:14">
      <c r="A16" s="313"/>
      <c r="B16" s="314"/>
      <c r="C16" s="316" t="s">
        <v>2406</v>
      </c>
      <c r="D16" s="314" t="s">
        <v>64</v>
      </c>
      <c r="E16" s="314">
        <v>0.1</v>
      </c>
      <c r="F16" s="307"/>
      <c r="G16" s="307">
        <f>F16:F17*E16</f>
        <v>0</v>
      </c>
      <c r="H16" s="914" t="s">
        <v>314</v>
      </c>
    </row>
    <row r="17" spans="1:8">
      <c r="A17" s="313"/>
      <c r="B17" s="314"/>
      <c r="C17" s="316" t="s">
        <v>205</v>
      </c>
      <c r="D17" s="314" t="s">
        <v>64</v>
      </c>
      <c r="E17" s="314">
        <v>0.1</v>
      </c>
      <c r="F17" s="307"/>
      <c r="G17" s="307">
        <f>F17:F18*E17</f>
        <v>0</v>
      </c>
      <c r="H17" s="914" t="s">
        <v>314</v>
      </c>
    </row>
    <row r="18" spans="1:8">
      <c r="A18" s="313"/>
      <c r="B18" s="314"/>
      <c r="C18" s="316" t="s">
        <v>312</v>
      </c>
      <c r="D18" s="314" t="s">
        <v>64</v>
      </c>
      <c r="E18" s="314">
        <v>0.5</v>
      </c>
      <c r="F18" s="307">
        <f>'5CM'!E49*0</f>
        <v>0</v>
      </c>
      <c r="G18" s="307">
        <f>F18:F19*E18</f>
        <v>0</v>
      </c>
      <c r="H18" s="914"/>
    </row>
    <row r="19" spans="1:8">
      <c r="A19" s="313"/>
      <c r="B19" s="314" t="s">
        <v>2381</v>
      </c>
      <c r="C19" s="331" t="s">
        <v>2386</v>
      </c>
      <c r="D19" s="888" t="s">
        <v>2390</v>
      </c>
      <c r="E19" s="897"/>
      <c r="F19" s="325"/>
      <c r="G19" s="342">
        <f>G7+G11+G15</f>
        <v>524258.07692307688</v>
      </c>
      <c r="H19" s="914"/>
    </row>
    <row r="20" spans="1:8">
      <c r="A20" s="313"/>
      <c r="B20" s="314" t="s">
        <v>369</v>
      </c>
      <c r="C20" s="890" t="s">
        <v>2387</v>
      </c>
      <c r="D20" s="888" t="s">
        <v>2391</v>
      </c>
      <c r="E20" s="897"/>
      <c r="F20" s="887">
        <f>6.5%*1.05</f>
        <v>6.8250000000000005E-2</v>
      </c>
      <c r="G20" s="325">
        <f>G19*F20</f>
        <v>35780.613749999997</v>
      </c>
      <c r="H20" s="914"/>
    </row>
    <row r="21" spans="1:8">
      <c r="A21" s="313"/>
      <c r="B21" s="314" t="s">
        <v>2383</v>
      </c>
      <c r="C21" s="890" t="s">
        <v>2388</v>
      </c>
      <c r="D21" s="888" t="s">
        <v>2392</v>
      </c>
      <c r="E21" s="897"/>
      <c r="F21" s="887">
        <v>0.06</v>
      </c>
      <c r="G21" s="325">
        <f>SUM(G19:G20)*F21</f>
        <v>33602.321440384614</v>
      </c>
      <c r="H21" s="914"/>
    </row>
    <row r="22" spans="1:8">
      <c r="A22" s="313"/>
      <c r="B22" s="314" t="s">
        <v>803</v>
      </c>
      <c r="C22" s="890" t="s">
        <v>2389</v>
      </c>
      <c r="D22" s="888" t="s">
        <v>2393</v>
      </c>
      <c r="E22" s="897"/>
      <c r="F22" s="325"/>
      <c r="G22" s="325">
        <f>SUM(G19:G21)</f>
        <v>593641.0121134615</v>
      </c>
      <c r="H22" s="914"/>
    </row>
    <row r="23" spans="1:8">
      <c r="A23" s="313"/>
      <c r="B23" s="314" t="s">
        <v>808</v>
      </c>
      <c r="C23" s="890" t="s">
        <v>2384</v>
      </c>
      <c r="D23" s="888" t="s">
        <v>2394</v>
      </c>
      <c r="E23" s="897"/>
      <c r="F23" s="887">
        <v>6.5000000000000002E-2</v>
      </c>
      <c r="G23" s="325">
        <f>G22*F23</f>
        <v>38586.665787375001</v>
      </c>
      <c r="H23" s="914"/>
    </row>
    <row r="24" spans="1:8">
      <c r="A24" s="313"/>
      <c r="B24" s="314" t="s">
        <v>2398</v>
      </c>
      <c r="C24" s="890" t="s">
        <v>2395</v>
      </c>
      <c r="D24" s="888" t="s">
        <v>2396</v>
      </c>
      <c r="E24" s="897"/>
      <c r="F24" s="887">
        <v>0.01</v>
      </c>
      <c r="G24" s="325">
        <f>G22*F24</f>
        <v>5936.4101211346151</v>
      </c>
      <c r="H24" s="914"/>
    </row>
    <row r="25" spans="1:8">
      <c r="A25" s="313"/>
      <c r="B25" s="314" t="s">
        <v>2399</v>
      </c>
      <c r="C25" s="331" t="s">
        <v>2385</v>
      </c>
      <c r="D25" s="888" t="s">
        <v>2397</v>
      </c>
      <c r="E25" s="897"/>
      <c r="F25" s="887"/>
      <c r="G25" s="343">
        <f>SUM(G22:G24)</f>
        <v>638164.08802197105</v>
      </c>
      <c r="H25" s="914"/>
    </row>
    <row r="26" spans="1:8" s="194" customFormat="1" ht="33">
      <c r="A26" s="309" t="s">
        <v>2287</v>
      </c>
      <c r="B26" s="310" t="s">
        <v>54</v>
      </c>
      <c r="C26" s="311" t="str">
        <f>'1TH'!C8</f>
        <v>Mài rãnh mối hàn cũ bằng máy mài để phục vụ hàn xử lý kín nước</v>
      </c>
      <c r="D26" s="310" t="s">
        <v>313</v>
      </c>
      <c r="E26" s="310"/>
      <c r="F26" s="312"/>
      <c r="G26" s="312">
        <f>G45</f>
        <v>247174.99751999037</v>
      </c>
      <c r="H26" s="916"/>
    </row>
    <row r="27" spans="1:8">
      <c r="A27" s="313"/>
      <c r="B27" s="314"/>
      <c r="C27" s="315" t="s">
        <v>56</v>
      </c>
      <c r="D27" s="314"/>
      <c r="E27" s="314"/>
      <c r="F27" s="307"/>
      <c r="G27" s="342">
        <f>SUM(G28:G30)</f>
        <v>34744</v>
      </c>
      <c r="H27" s="914"/>
    </row>
    <row r="28" spans="1:8">
      <c r="A28" s="313"/>
      <c r="B28" s="314"/>
      <c r="C28" s="316" t="s">
        <v>206</v>
      </c>
      <c r="D28" s="314" t="s">
        <v>207</v>
      </c>
      <c r="E28" s="314">
        <v>1</v>
      </c>
      <c r="F28" s="307">
        <f>32000</f>
        <v>32000</v>
      </c>
      <c r="G28" s="307">
        <f>F28*E28</f>
        <v>32000</v>
      </c>
      <c r="H28" s="914"/>
    </row>
    <row r="29" spans="1:8">
      <c r="A29" s="313"/>
      <c r="B29" s="314"/>
      <c r="C29" s="316" t="s">
        <v>57</v>
      </c>
      <c r="D29" s="314" t="s">
        <v>30</v>
      </c>
      <c r="E29" s="314">
        <v>0.04</v>
      </c>
      <c r="F29" s="307">
        <v>60000</v>
      </c>
      <c r="G29" s="307">
        <f>F29*E29</f>
        <v>2400</v>
      </c>
      <c r="H29" s="914"/>
    </row>
    <row r="30" spans="1:8">
      <c r="A30" s="313"/>
      <c r="B30" s="314"/>
      <c r="C30" s="316" t="s">
        <v>58</v>
      </c>
      <c r="D30" s="314" t="s">
        <v>59</v>
      </c>
      <c r="E30" s="314">
        <v>1</v>
      </c>
      <c r="F30" s="307"/>
      <c r="G30" s="307">
        <f>SUM(G28:G29)*0.01</f>
        <v>344</v>
      </c>
      <c r="H30" s="914"/>
    </row>
    <row r="31" spans="1:8">
      <c r="A31" s="313"/>
      <c r="B31" s="314"/>
      <c r="C31" s="315" t="s">
        <v>60</v>
      </c>
      <c r="D31" s="314"/>
      <c r="E31" s="314"/>
      <c r="F31" s="307"/>
      <c r="G31" s="342">
        <f>SUM(G32:G34)</f>
        <v>168312.69230769231</v>
      </c>
      <c r="H31" s="914"/>
    </row>
    <row r="32" spans="1:8">
      <c r="A32" s="313"/>
      <c r="B32" s="314" t="s">
        <v>102</v>
      </c>
      <c r="C32" s="316" t="s">
        <v>61</v>
      </c>
      <c r="D32" s="314" t="s">
        <v>62</v>
      </c>
      <c r="E32" s="314">
        <v>0.5</v>
      </c>
      <c r="F32" s="307">
        <f>'3NC'!N33</f>
        <v>336625.38461538462</v>
      </c>
      <c r="G32" s="307">
        <f>F32*E32</f>
        <v>168312.69230769231</v>
      </c>
      <c r="H32" s="917"/>
    </row>
    <row r="33" spans="1:11">
      <c r="A33" s="313"/>
      <c r="B33" s="314"/>
      <c r="C33" s="316" t="s">
        <v>2325</v>
      </c>
      <c r="D33" s="314" t="s">
        <v>62</v>
      </c>
      <c r="E33" s="314">
        <v>0.25</v>
      </c>
      <c r="F33" s="307"/>
      <c r="G33" s="307">
        <f>E33*F33</f>
        <v>0</v>
      </c>
      <c r="H33" s="917" t="s">
        <v>2442</v>
      </c>
    </row>
    <row r="34" spans="1:11" ht="33">
      <c r="A34" s="313"/>
      <c r="B34" s="314"/>
      <c r="C34" s="316" t="s">
        <v>2327</v>
      </c>
      <c r="D34" s="314" t="s">
        <v>62</v>
      </c>
      <c r="E34" s="314">
        <v>0.25</v>
      </c>
      <c r="F34" s="322"/>
      <c r="G34" s="307">
        <f>E34*F34</f>
        <v>0</v>
      </c>
      <c r="H34" s="917"/>
    </row>
    <row r="35" spans="1:11" s="330" customFormat="1">
      <c r="A35" s="337"/>
      <c r="B35" s="338"/>
      <c r="C35" s="339" t="s">
        <v>63</v>
      </c>
      <c r="D35" s="338"/>
      <c r="E35" s="338"/>
      <c r="F35" s="329"/>
      <c r="G35" s="342">
        <f>SUM(G36:G38)</f>
        <v>0</v>
      </c>
      <c r="H35" s="918"/>
    </row>
    <row r="36" spans="1:11">
      <c r="A36" s="313"/>
      <c r="B36" s="314"/>
      <c r="C36" s="316" t="s">
        <v>376</v>
      </c>
      <c r="D36" s="314" t="s">
        <v>64</v>
      </c>
      <c r="E36" s="314">
        <v>0.1</v>
      </c>
      <c r="F36" s="307"/>
      <c r="G36" s="307">
        <f>F36:F37*E36</f>
        <v>0</v>
      </c>
      <c r="H36" s="914" t="s">
        <v>314</v>
      </c>
    </row>
    <row r="37" spans="1:11">
      <c r="A37" s="313"/>
      <c r="B37" s="314"/>
      <c r="C37" s="316" t="s">
        <v>205</v>
      </c>
      <c r="D37" s="314" t="s">
        <v>64</v>
      </c>
      <c r="E37" s="314">
        <v>0.1</v>
      </c>
      <c r="F37" s="307"/>
      <c r="G37" s="307">
        <f>F37:F38*E37</f>
        <v>0</v>
      </c>
      <c r="H37" s="914" t="s">
        <v>314</v>
      </c>
    </row>
    <row r="38" spans="1:11">
      <c r="A38" s="313"/>
      <c r="B38" s="314"/>
      <c r="C38" s="316" t="s">
        <v>312</v>
      </c>
      <c r="D38" s="314" t="s">
        <v>64</v>
      </c>
      <c r="E38" s="314">
        <v>0.5</v>
      </c>
      <c r="F38" s="307">
        <f>'5CM'!E67*0</f>
        <v>0</v>
      </c>
      <c r="G38" s="307">
        <f>F38:F45*E38</f>
        <v>0</v>
      </c>
      <c r="H38" s="914"/>
    </row>
    <row r="39" spans="1:11">
      <c r="A39" s="313"/>
      <c r="B39" s="314" t="s">
        <v>2381</v>
      </c>
      <c r="C39" s="331" t="s">
        <v>2386</v>
      </c>
      <c r="D39" s="888" t="s">
        <v>2390</v>
      </c>
      <c r="E39" s="897"/>
      <c r="F39" s="325"/>
      <c r="G39" s="342">
        <f>G27+G31+G35</f>
        <v>203056.69230769231</v>
      </c>
      <c r="H39" s="914"/>
    </row>
    <row r="40" spans="1:11">
      <c r="A40" s="313"/>
      <c r="B40" s="314" t="s">
        <v>369</v>
      </c>
      <c r="C40" s="890" t="s">
        <v>2387</v>
      </c>
      <c r="D40" s="888" t="s">
        <v>2391</v>
      </c>
      <c r="E40" s="897"/>
      <c r="F40" s="887">
        <f>6.5%*1.05</f>
        <v>6.8250000000000005E-2</v>
      </c>
      <c r="G40" s="325">
        <f>G39*F40</f>
        <v>13858.619250000002</v>
      </c>
      <c r="H40" s="914"/>
    </row>
    <row r="41" spans="1:11">
      <c r="A41" s="313"/>
      <c r="B41" s="314" t="s">
        <v>2383</v>
      </c>
      <c r="C41" s="890" t="s">
        <v>2388</v>
      </c>
      <c r="D41" s="888" t="s">
        <v>2392</v>
      </c>
      <c r="E41" s="897"/>
      <c r="F41" s="887">
        <v>0.06</v>
      </c>
      <c r="G41" s="325">
        <f>SUM(G39:G40)*F41</f>
        <v>13014.918693461537</v>
      </c>
      <c r="H41" s="914"/>
    </row>
    <row r="42" spans="1:11">
      <c r="A42" s="313"/>
      <c r="B42" s="314" t="s">
        <v>803</v>
      </c>
      <c r="C42" s="890" t="s">
        <v>2389</v>
      </c>
      <c r="D42" s="888" t="s">
        <v>2393</v>
      </c>
      <c r="E42" s="897"/>
      <c r="F42" s="325"/>
      <c r="G42" s="325">
        <f>SUM(G39:G41)</f>
        <v>229930.23025115384</v>
      </c>
      <c r="H42" s="914"/>
    </row>
    <row r="43" spans="1:11">
      <c r="A43" s="313"/>
      <c r="B43" s="314" t="s">
        <v>808</v>
      </c>
      <c r="C43" s="890" t="s">
        <v>2384</v>
      </c>
      <c r="D43" s="888" t="s">
        <v>2394</v>
      </c>
      <c r="E43" s="897"/>
      <c r="F43" s="887">
        <v>6.5000000000000002E-2</v>
      </c>
      <c r="G43" s="325">
        <f>G42*F43</f>
        <v>14945.464966325</v>
      </c>
      <c r="H43" s="914"/>
    </row>
    <row r="44" spans="1:11">
      <c r="A44" s="313"/>
      <c r="B44" s="314" t="s">
        <v>2398</v>
      </c>
      <c r="C44" s="890" t="s">
        <v>2395</v>
      </c>
      <c r="D44" s="888" t="s">
        <v>2396</v>
      </c>
      <c r="E44" s="897"/>
      <c r="F44" s="887">
        <v>0.01</v>
      </c>
      <c r="G44" s="325">
        <f>G42*F44</f>
        <v>2299.3023025115385</v>
      </c>
      <c r="H44" s="914"/>
    </row>
    <row r="45" spans="1:11">
      <c r="A45" s="313"/>
      <c r="B45" s="314" t="s">
        <v>2399</v>
      </c>
      <c r="C45" s="331" t="s">
        <v>2385</v>
      </c>
      <c r="D45" s="888" t="s">
        <v>2397</v>
      </c>
      <c r="E45" s="897"/>
      <c r="F45" s="887"/>
      <c r="G45" s="343">
        <f>SUM(G42:G44)</f>
        <v>247174.99751999037</v>
      </c>
      <c r="H45" s="914"/>
    </row>
    <row r="46" spans="1:11" s="194" customFormat="1" ht="49.5">
      <c r="A46" s="309" t="s">
        <v>2288</v>
      </c>
      <c r="B46" s="317" t="s">
        <v>102</v>
      </c>
      <c r="C46" s="311" t="s">
        <v>375</v>
      </c>
      <c r="D46" s="310" t="s">
        <v>313</v>
      </c>
      <c r="E46" s="310"/>
      <c r="F46" s="312"/>
      <c r="G46" s="312">
        <f>G64</f>
        <v>1880749.3221275189</v>
      </c>
      <c r="H46" s="916"/>
      <c r="J46" s="850" t="e">
        <f>SUM(#REF!)</f>
        <v>#REF!</v>
      </c>
      <c r="K46" s="851" t="e">
        <f>J46/95</f>
        <v>#REF!</v>
      </c>
    </row>
    <row r="47" spans="1:11">
      <c r="A47" s="313"/>
      <c r="B47" s="314"/>
      <c r="C47" s="315" t="s">
        <v>56</v>
      </c>
      <c r="D47" s="314"/>
      <c r="E47" s="314"/>
      <c r="F47" s="307"/>
      <c r="G47" s="342">
        <f>SUM(G48:G48)</f>
        <v>300410.5263157895</v>
      </c>
      <c r="H47" s="914"/>
    </row>
    <row r="48" spans="1:11" ht="23">
      <c r="A48" s="313"/>
      <c r="B48" s="314"/>
      <c r="C48" s="308" t="s">
        <v>208</v>
      </c>
      <c r="D48" s="321" t="s">
        <v>30</v>
      </c>
      <c r="E48" s="332">
        <f>K49*3</f>
        <v>0.1136842105263158</v>
      </c>
      <c r="F48" s="322">
        <f>10570000/4</f>
        <v>2642500</v>
      </c>
      <c r="G48" s="320">
        <f>E48*F48</f>
        <v>300410.5263157895</v>
      </c>
      <c r="H48" s="914" t="s">
        <v>326</v>
      </c>
      <c r="J48" s="192">
        <v>95</v>
      </c>
      <c r="K48" s="192">
        <v>3.6</v>
      </c>
    </row>
    <row r="49" spans="1:11">
      <c r="A49" s="313"/>
      <c r="B49" s="314"/>
      <c r="C49" s="315" t="s">
        <v>60</v>
      </c>
      <c r="D49" s="314"/>
      <c r="E49" s="314"/>
      <c r="F49" s="307"/>
      <c r="G49" s="342">
        <f>SUM(G50:G53)</f>
        <v>896249.62615384615</v>
      </c>
      <c r="H49" s="914"/>
      <c r="J49" s="192">
        <v>1</v>
      </c>
      <c r="K49" s="192">
        <f>K48/J48</f>
        <v>3.7894736842105266E-2</v>
      </c>
    </row>
    <row r="50" spans="1:11">
      <c r="A50" s="313"/>
      <c r="B50" s="314"/>
      <c r="C50" s="308" t="s">
        <v>75</v>
      </c>
      <c r="D50" s="323" t="s">
        <v>62</v>
      </c>
      <c r="E50" s="321">
        <v>2.08</v>
      </c>
      <c r="F50" s="322">
        <f>'3NC'!N37</f>
        <v>390429.46153846156</v>
      </c>
      <c r="G50" s="320">
        <f>E50*F50</f>
        <v>812093.28</v>
      </c>
      <c r="H50" s="914"/>
    </row>
    <row r="51" spans="1:11">
      <c r="A51" s="313"/>
      <c r="B51" s="314"/>
      <c r="C51" s="316" t="s">
        <v>2325</v>
      </c>
      <c r="D51" s="314" t="s">
        <v>62</v>
      </c>
      <c r="E51" s="314">
        <v>0.25</v>
      </c>
      <c r="F51" s="322"/>
      <c r="G51" s="307">
        <f>E51*F51</f>
        <v>0</v>
      </c>
      <c r="H51" s="1032" t="s">
        <v>2443</v>
      </c>
    </row>
    <row r="52" spans="1:11">
      <c r="A52" s="313"/>
      <c r="B52" s="314"/>
      <c r="C52" s="308" t="s">
        <v>2326</v>
      </c>
      <c r="D52" s="314" t="s">
        <v>62</v>
      </c>
      <c r="E52" s="321">
        <v>0.25</v>
      </c>
      <c r="F52" s="322"/>
      <c r="G52" s="320">
        <f>E52*F52</f>
        <v>0</v>
      </c>
      <c r="H52" s="1033"/>
    </row>
    <row r="53" spans="1:11" ht="33">
      <c r="A53" s="313"/>
      <c r="B53" s="314"/>
      <c r="C53" s="316" t="s">
        <v>2327</v>
      </c>
      <c r="D53" s="314" t="s">
        <v>62</v>
      </c>
      <c r="E53" s="314">
        <v>0.25</v>
      </c>
      <c r="F53" s="322">
        <v>336625.38461538462</v>
      </c>
      <c r="G53" s="307">
        <f>E53*F53</f>
        <v>84156.346153846156</v>
      </c>
      <c r="H53" s="917"/>
    </row>
    <row r="54" spans="1:11">
      <c r="A54" s="313"/>
      <c r="B54" s="314"/>
      <c r="C54" s="339" t="s">
        <v>63</v>
      </c>
      <c r="D54" s="314"/>
      <c r="E54" s="314"/>
      <c r="F54" s="307"/>
      <c r="G54" s="342">
        <f>SUM(G55:G57)</f>
        <v>348393.91951538459</v>
      </c>
      <c r="H54" s="914"/>
    </row>
    <row r="55" spans="1:11">
      <c r="A55" s="313"/>
      <c r="B55" s="314"/>
      <c r="C55" s="308" t="s">
        <v>79</v>
      </c>
      <c r="D55" s="323" t="s">
        <v>64</v>
      </c>
      <c r="E55" s="321">
        <v>0.75</v>
      </c>
      <c r="F55" s="322">
        <f>'5CM'!E14</f>
        <v>442404.97716239316</v>
      </c>
      <c r="G55" s="320">
        <f>E55*F55</f>
        <v>331803.73287179484</v>
      </c>
      <c r="H55" s="914"/>
    </row>
    <row r="56" spans="1:11">
      <c r="A56" s="313"/>
      <c r="B56" s="314"/>
      <c r="C56" s="308" t="s">
        <v>80</v>
      </c>
      <c r="D56" s="323" t="s">
        <v>64</v>
      </c>
      <c r="E56" s="321">
        <f>E55</f>
        <v>0.75</v>
      </c>
      <c r="F56" s="324"/>
      <c r="G56" s="320"/>
      <c r="H56" s="914" t="s">
        <v>314</v>
      </c>
    </row>
    <row r="57" spans="1:11">
      <c r="A57" s="313"/>
      <c r="B57" s="314"/>
      <c r="C57" s="308" t="s">
        <v>81</v>
      </c>
      <c r="D57" s="323" t="s">
        <v>59</v>
      </c>
      <c r="E57" s="321">
        <v>5</v>
      </c>
      <c r="F57" s="320"/>
      <c r="G57" s="320">
        <f>5%*SUM(G55:G56)</f>
        <v>16590.186643589743</v>
      </c>
      <c r="H57" s="914"/>
    </row>
    <row r="58" spans="1:11">
      <c r="A58" s="313"/>
      <c r="B58" s="314" t="s">
        <v>2381</v>
      </c>
      <c r="C58" s="331" t="s">
        <v>2386</v>
      </c>
      <c r="D58" s="888" t="s">
        <v>2390</v>
      </c>
      <c r="E58" s="897"/>
      <c r="F58" s="325"/>
      <c r="G58" s="342">
        <f>G47+G49+G54</f>
        <v>1545054.0719850203</v>
      </c>
      <c r="H58" s="914"/>
    </row>
    <row r="59" spans="1:11">
      <c r="A59" s="313"/>
      <c r="B59" s="314" t="s">
        <v>369</v>
      </c>
      <c r="C59" s="890" t="s">
        <v>2387</v>
      </c>
      <c r="D59" s="888" t="s">
        <v>2391</v>
      </c>
      <c r="E59" s="897"/>
      <c r="F59" s="887">
        <f>6.5%*1.05</f>
        <v>6.8250000000000005E-2</v>
      </c>
      <c r="G59" s="325">
        <f>G58*F59</f>
        <v>105449.94041297764</v>
      </c>
      <c r="H59" s="914"/>
    </row>
    <row r="60" spans="1:11">
      <c r="A60" s="313"/>
      <c r="B60" s="314" t="s">
        <v>2383</v>
      </c>
      <c r="C60" s="890" t="s">
        <v>2388</v>
      </c>
      <c r="D60" s="888" t="s">
        <v>2392</v>
      </c>
      <c r="E60" s="897"/>
      <c r="F60" s="887">
        <v>0.06</v>
      </c>
      <c r="G60" s="325">
        <f>SUM(G58:G59)*F60</f>
        <v>99030.240743879884</v>
      </c>
      <c r="H60" s="914"/>
    </row>
    <row r="61" spans="1:11">
      <c r="A61" s="313"/>
      <c r="B61" s="314" t="s">
        <v>803</v>
      </c>
      <c r="C61" s="890" t="s">
        <v>2389</v>
      </c>
      <c r="D61" s="888" t="s">
        <v>2393</v>
      </c>
      <c r="E61" s="897"/>
      <c r="F61" s="325"/>
      <c r="G61" s="325">
        <f>SUM(G58:G60)</f>
        <v>1749534.2531418779</v>
      </c>
      <c r="H61" s="914"/>
    </row>
    <row r="62" spans="1:11">
      <c r="A62" s="313"/>
      <c r="B62" s="314" t="s">
        <v>808</v>
      </c>
      <c r="C62" s="890" t="s">
        <v>2384</v>
      </c>
      <c r="D62" s="888" t="s">
        <v>2394</v>
      </c>
      <c r="E62" s="897"/>
      <c r="F62" s="887">
        <v>6.5000000000000002E-2</v>
      </c>
      <c r="G62" s="325">
        <f>G61*F62</f>
        <v>113719.72645422207</v>
      </c>
      <c r="H62" s="914"/>
    </row>
    <row r="63" spans="1:11">
      <c r="A63" s="313"/>
      <c r="B63" s="314" t="s">
        <v>2398</v>
      </c>
      <c r="C63" s="890" t="s">
        <v>2395</v>
      </c>
      <c r="D63" s="888" t="s">
        <v>2396</v>
      </c>
      <c r="E63" s="897"/>
      <c r="F63" s="887">
        <v>0.01</v>
      </c>
      <c r="G63" s="325">
        <f>G61*F63</f>
        <v>17495.342531418781</v>
      </c>
      <c r="H63" s="914"/>
    </row>
    <row r="64" spans="1:11">
      <c r="A64" s="313"/>
      <c r="B64" s="314" t="s">
        <v>2399</v>
      </c>
      <c r="C64" s="331" t="s">
        <v>2385</v>
      </c>
      <c r="D64" s="888" t="s">
        <v>2397</v>
      </c>
      <c r="E64" s="897"/>
      <c r="F64" s="887"/>
      <c r="G64" s="343">
        <f>SUM(G61:G63)</f>
        <v>1880749.3221275189</v>
      </c>
      <c r="H64" s="914"/>
    </row>
    <row r="65" spans="1:11" s="194" customFormat="1" ht="23">
      <c r="A65" s="309" t="s">
        <v>2289</v>
      </c>
      <c r="B65" s="317" t="s">
        <v>102</v>
      </c>
      <c r="C65" s="311" t="s">
        <v>315</v>
      </c>
      <c r="D65" s="310" t="s">
        <v>382</v>
      </c>
      <c r="E65" s="310"/>
      <c r="F65" s="312"/>
      <c r="G65" s="312">
        <f>G79</f>
        <v>59440.881823899043</v>
      </c>
      <c r="H65" s="911" t="s">
        <v>2285</v>
      </c>
    </row>
    <row r="66" spans="1:11">
      <c r="A66" s="313"/>
      <c r="B66" s="314"/>
      <c r="C66" s="315" t="s">
        <v>70</v>
      </c>
      <c r="D66" s="314"/>
      <c r="E66" s="314"/>
      <c r="F66" s="307"/>
      <c r="G66" s="342">
        <f>SUM(G67:G67)</f>
        <v>32000</v>
      </c>
      <c r="H66" s="914"/>
    </row>
    <row r="67" spans="1:11">
      <c r="A67" s="313"/>
      <c r="B67" s="314"/>
      <c r="C67" s="308" t="s">
        <v>96</v>
      </c>
      <c r="D67" s="321" t="s">
        <v>207</v>
      </c>
      <c r="E67" s="332">
        <v>1</v>
      </c>
      <c r="F67" s="322">
        <v>32000</v>
      </c>
      <c r="G67" s="320">
        <f>E67*F67</f>
        <v>32000</v>
      </c>
      <c r="H67" s="914"/>
      <c r="J67" s="192">
        <v>90</v>
      </c>
      <c r="K67" s="192">
        <v>4</v>
      </c>
    </row>
    <row r="68" spans="1:11">
      <c r="A68" s="313"/>
      <c r="B68" s="314"/>
      <c r="C68" s="315" t="s">
        <v>74</v>
      </c>
      <c r="D68" s="314"/>
      <c r="E68" s="314"/>
      <c r="F68" s="307"/>
      <c r="G68" s="342">
        <f>SUM(G69:G69)</f>
        <v>16831.26923076923</v>
      </c>
      <c r="H68" s="914"/>
      <c r="J68" s="192">
        <v>1</v>
      </c>
      <c r="K68" s="192">
        <f>4/90</f>
        <v>4.4444444444444446E-2</v>
      </c>
    </row>
    <row r="69" spans="1:11">
      <c r="A69" s="313"/>
      <c r="B69" s="314"/>
      <c r="C69" s="308" t="s">
        <v>61</v>
      </c>
      <c r="D69" s="323" t="s">
        <v>62</v>
      </c>
      <c r="E69" s="321">
        <v>0.05</v>
      </c>
      <c r="F69" s="324">
        <f>'3NC'!N33</f>
        <v>336625.38461538462</v>
      </c>
      <c r="G69" s="320">
        <f>E69*F69</f>
        <v>16831.26923076923</v>
      </c>
      <c r="H69" s="914"/>
    </row>
    <row r="70" spans="1:11">
      <c r="A70" s="313"/>
      <c r="B70" s="314"/>
      <c r="C70" s="315" t="s">
        <v>77</v>
      </c>
      <c r="D70" s="314"/>
      <c r="E70" s="314"/>
      <c r="F70" s="307"/>
      <c r="G70" s="342">
        <f>SUM(G71:G72)</f>
        <v>0</v>
      </c>
      <c r="H70" s="914"/>
    </row>
    <row r="71" spans="1:11">
      <c r="A71" s="313"/>
      <c r="B71" s="314"/>
      <c r="C71" s="308" t="s">
        <v>80</v>
      </c>
      <c r="D71" s="323" t="s">
        <v>64</v>
      </c>
      <c r="E71" s="321">
        <v>0.1</v>
      </c>
      <c r="F71" s="324">
        <f>F56</f>
        <v>0</v>
      </c>
      <c r="G71" s="320">
        <f>E71*F71</f>
        <v>0</v>
      </c>
      <c r="H71" s="914"/>
    </row>
    <row r="72" spans="1:11">
      <c r="A72" s="313"/>
      <c r="B72" s="314"/>
      <c r="C72" s="308" t="s">
        <v>81</v>
      </c>
      <c r="D72" s="323" t="s">
        <v>59</v>
      </c>
      <c r="E72" s="321">
        <v>5</v>
      </c>
      <c r="F72" s="320"/>
      <c r="G72" s="320">
        <f>5%*SUM(G71:G71)</f>
        <v>0</v>
      </c>
      <c r="H72" s="914"/>
    </row>
    <row r="73" spans="1:11">
      <c r="A73" s="313"/>
      <c r="B73" s="314" t="s">
        <v>2381</v>
      </c>
      <c r="C73" s="331" t="s">
        <v>2386</v>
      </c>
      <c r="D73" s="888" t="s">
        <v>2390</v>
      </c>
      <c r="E73" s="897"/>
      <c r="F73" s="325"/>
      <c r="G73" s="342">
        <f>G70+G66+G68</f>
        <v>48831.269230769234</v>
      </c>
      <c r="H73" s="914"/>
    </row>
    <row r="74" spans="1:11">
      <c r="A74" s="313"/>
      <c r="B74" s="314" t="s">
        <v>369</v>
      </c>
      <c r="C74" s="890" t="s">
        <v>2387</v>
      </c>
      <c r="D74" s="888" t="s">
        <v>2391</v>
      </c>
      <c r="E74" s="897"/>
      <c r="F74" s="887">
        <f>6.5%*1.05</f>
        <v>6.8250000000000005E-2</v>
      </c>
      <c r="G74" s="325">
        <f>G73*F74</f>
        <v>3332.7341250000004</v>
      </c>
      <c r="H74" s="914"/>
    </row>
    <row r="75" spans="1:11">
      <c r="A75" s="313"/>
      <c r="B75" s="314" t="s">
        <v>2383</v>
      </c>
      <c r="C75" s="890" t="s">
        <v>2388</v>
      </c>
      <c r="D75" s="888" t="s">
        <v>2392</v>
      </c>
      <c r="E75" s="897"/>
      <c r="F75" s="887">
        <v>0.06</v>
      </c>
      <c r="G75" s="325">
        <f>SUM(G73:G74)*F75</f>
        <v>3129.8402013461541</v>
      </c>
      <c r="H75" s="914"/>
    </row>
    <row r="76" spans="1:11">
      <c r="A76" s="313"/>
      <c r="B76" s="314" t="s">
        <v>803</v>
      </c>
      <c r="C76" s="890" t="s">
        <v>2389</v>
      </c>
      <c r="D76" s="888" t="s">
        <v>2393</v>
      </c>
      <c r="E76" s="897"/>
      <c r="F76" s="325"/>
      <c r="G76" s="325">
        <f>SUM(G73:G75)</f>
        <v>55293.84355711539</v>
      </c>
      <c r="H76" s="914"/>
    </row>
    <row r="77" spans="1:11">
      <c r="A77" s="313"/>
      <c r="B77" s="314" t="s">
        <v>808</v>
      </c>
      <c r="C77" s="890" t="s">
        <v>2384</v>
      </c>
      <c r="D77" s="888" t="s">
        <v>2394</v>
      </c>
      <c r="E77" s="897"/>
      <c r="F77" s="887">
        <v>6.5000000000000002E-2</v>
      </c>
      <c r="G77" s="325">
        <f>G76*F77</f>
        <v>3594.0998312125002</v>
      </c>
      <c r="H77" s="914"/>
    </row>
    <row r="78" spans="1:11">
      <c r="A78" s="313"/>
      <c r="B78" s="314" t="s">
        <v>2398</v>
      </c>
      <c r="C78" s="890" t="s">
        <v>2395</v>
      </c>
      <c r="D78" s="888" t="s">
        <v>2396</v>
      </c>
      <c r="E78" s="897"/>
      <c r="F78" s="887">
        <v>0.01</v>
      </c>
      <c r="G78" s="325">
        <f>G76*F78</f>
        <v>552.93843557115395</v>
      </c>
      <c r="H78" s="914"/>
    </row>
    <row r="79" spans="1:11">
      <c r="A79" s="313"/>
      <c r="B79" s="314" t="s">
        <v>2399</v>
      </c>
      <c r="C79" s="331" t="s">
        <v>2385</v>
      </c>
      <c r="D79" s="888" t="s">
        <v>2397</v>
      </c>
      <c r="E79" s="897"/>
      <c r="F79" s="887"/>
      <c r="G79" s="343">
        <f>SUM(G76:G78)</f>
        <v>59440.881823899043</v>
      </c>
      <c r="H79" s="914"/>
    </row>
    <row r="80" spans="1:11" s="330" customFormat="1" ht="33">
      <c r="A80" s="333" t="s">
        <v>20</v>
      </c>
      <c r="B80" s="334"/>
      <c r="C80" s="335" t="str">
        <f>'1TH'!C11</f>
        <v xml:space="preserve">Lỗ khoan bị xịt nước(dùng bích ốp vào để hàn xử lý. </v>
      </c>
      <c r="D80" s="334"/>
      <c r="E80" s="334"/>
      <c r="F80" s="336"/>
      <c r="G80" s="341"/>
      <c r="H80" s="915"/>
    </row>
    <row r="81" spans="1:8" s="194" customFormat="1" ht="33">
      <c r="A81" s="309" t="s">
        <v>2291</v>
      </c>
      <c r="B81" s="317" t="s">
        <v>102</v>
      </c>
      <c r="C81" s="311" t="s">
        <v>319</v>
      </c>
      <c r="D81" s="310" t="s">
        <v>318</v>
      </c>
      <c r="E81" s="310"/>
      <c r="F81" s="312"/>
      <c r="G81" s="312">
        <f>G99</f>
        <v>806754.2736213475</v>
      </c>
      <c r="H81" s="916"/>
    </row>
    <row r="82" spans="1:8">
      <c r="A82" s="313"/>
      <c r="B82" s="314"/>
      <c r="C82" s="315" t="s">
        <v>56</v>
      </c>
      <c r="D82" s="314"/>
      <c r="E82" s="314"/>
      <c r="F82" s="307"/>
      <c r="G82" s="342">
        <f>G83+G84</f>
        <v>45450</v>
      </c>
      <c r="H82" s="914"/>
    </row>
    <row r="83" spans="1:8" s="194" customFormat="1">
      <c r="A83" s="318"/>
      <c r="B83" s="317"/>
      <c r="C83" s="319" t="s">
        <v>320</v>
      </c>
      <c r="D83" s="317" t="s">
        <v>45</v>
      </c>
      <c r="E83" s="317">
        <v>1</v>
      </c>
      <c r="F83" s="322">
        <v>45000</v>
      </c>
      <c r="G83" s="322">
        <f>F83*E83</f>
        <v>45000</v>
      </c>
      <c r="H83" s="916"/>
    </row>
    <row r="84" spans="1:8" s="194" customFormat="1">
      <c r="A84" s="318"/>
      <c r="B84" s="317"/>
      <c r="C84" s="319" t="s">
        <v>58</v>
      </c>
      <c r="D84" s="317" t="s">
        <v>59</v>
      </c>
      <c r="E84" s="317">
        <v>1</v>
      </c>
      <c r="F84" s="322"/>
      <c r="G84" s="322">
        <f>G83*0.01</f>
        <v>450</v>
      </c>
      <c r="H84" s="916"/>
    </row>
    <row r="85" spans="1:8">
      <c r="A85" s="313"/>
      <c r="B85" s="314"/>
      <c r="C85" s="315" t="s">
        <v>60</v>
      </c>
      <c r="D85" s="314"/>
      <c r="E85" s="314"/>
      <c r="F85" s="307"/>
      <c r="G85" s="342">
        <f>SUM(G86:G88)</f>
        <v>617306.57307692303</v>
      </c>
      <c r="H85" s="914"/>
    </row>
    <row r="86" spans="1:8" s="194" customFormat="1">
      <c r="A86" s="318"/>
      <c r="B86" s="317"/>
      <c r="C86" s="319" t="s">
        <v>323</v>
      </c>
      <c r="D86" s="317" t="s">
        <v>62</v>
      </c>
      <c r="E86" s="317">
        <v>1.1499999999999999</v>
      </c>
      <c r="F86" s="322">
        <f>'3NC'!N37</f>
        <v>390429.46153846156</v>
      </c>
      <c r="G86" s="322">
        <f>F86*E86</f>
        <v>448993.88076923077</v>
      </c>
      <c r="H86" s="914"/>
    </row>
    <row r="87" spans="1:8" s="194" customFormat="1">
      <c r="A87" s="318"/>
      <c r="B87" s="317"/>
      <c r="C87" s="316" t="s">
        <v>2325</v>
      </c>
      <c r="D87" s="314" t="s">
        <v>62</v>
      </c>
      <c r="E87" s="314">
        <v>0.25</v>
      </c>
      <c r="F87" s="322">
        <v>336625.38461538462</v>
      </c>
      <c r="G87" s="307">
        <f>E87*F87</f>
        <v>84156.346153846156</v>
      </c>
      <c r="H87" s="917"/>
    </row>
    <row r="88" spans="1:8" s="194" customFormat="1" ht="33">
      <c r="A88" s="318"/>
      <c r="B88" s="317"/>
      <c r="C88" s="316" t="s">
        <v>2327</v>
      </c>
      <c r="D88" s="314"/>
      <c r="E88" s="314">
        <v>0.25</v>
      </c>
      <c r="F88" s="322">
        <v>336625.38461538462</v>
      </c>
      <c r="G88" s="307">
        <f>E88*F88</f>
        <v>84156.346153846156</v>
      </c>
      <c r="H88" s="917"/>
    </row>
    <row r="89" spans="1:8">
      <c r="A89" s="313"/>
      <c r="B89" s="314"/>
      <c r="C89" s="315" t="s">
        <v>63</v>
      </c>
      <c r="D89" s="314"/>
      <c r="E89" s="314"/>
      <c r="F89" s="307"/>
      <c r="G89" s="307"/>
      <c r="H89" s="914"/>
    </row>
    <row r="90" spans="1:8" s="194" customFormat="1">
      <c r="A90" s="318"/>
      <c r="B90" s="317"/>
      <c r="C90" s="319" t="s">
        <v>205</v>
      </c>
      <c r="D90" s="317" t="s">
        <v>64</v>
      </c>
      <c r="E90" s="317">
        <v>0.05</v>
      </c>
      <c r="F90" s="322">
        <v>0</v>
      </c>
      <c r="G90" s="307">
        <f t="shared" ref="G90:G91" si="0">E90*F90</f>
        <v>0</v>
      </c>
      <c r="H90" s="914" t="s">
        <v>321</v>
      </c>
    </row>
    <row r="91" spans="1:8" s="194" customFormat="1">
      <c r="A91" s="318"/>
      <c r="B91" s="317"/>
      <c r="C91" s="319" t="s">
        <v>322</v>
      </c>
      <c r="D91" s="317" t="s">
        <v>64</v>
      </c>
      <c r="E91" s="317">
        <v>0.05</v>
      </c>
      <c r="F91" s="322">
        <v>0</v>
      </c>
      <c r="G91" s="307">
        <f t="shared" si="0"/>
        <v>0</v>
      </c>
      <c r="H91" s="914" t="s">
        <v>321</v>
      </c>
    </row>
    <row r="92" spans="1:8" s="194" customFormat="1">
      <c r="A92" s="318"/>
      <c r="B92" s="317"/>
      <c r="C92" s="319" t="s">
        <v>81</v>
      </c>
      <c r="D92" s="317" t="s">
        <v>59</v>
      </c>
      <c r="E92" s="317">
        <v>5</v>
      </c>
      <c r="F92" s="322"/>
      <c r="G92" s="322"/>
      <c r="H92" s="914"/>
    </row>
    <row r="93" spans="1:8">
      <c r="A93" s="313"/>
      <c r="B93" s="314" t="s">
        <v>2381</v>
      </c>
      <c r="C93" s="331" t="s">
        <v>2386</v>
      </c>
      <c r="D93" s="888" t="s">
        <v>2390</v>
      </c>
      <c r="E93" s="897"/>
      <c r="F93" s="325"/>
      <c r="G93" s="342">
        <f>G89+G82+G85</f>
        <v>662756.57307692303</v>
      </c>
      <c r="H93" s="914"/>
    </row>
    <row r="94" spans="1:8">
      <c r="A94" s="313"/>
      <c r="B94" s="314" t="s">
        <v>369</v>
      </c>
      <c r="C94" s="890" t="s">
        <v>2387</v>
      </c>
      <c r="D94" s="888" t="s">
        <v>2391</v>
      </c>
      <c r="E94" s="897"/>
      <c r="F94" s="887">
        <f>6.5%*1.05</f>
        <v>6.8250000000000005E-2</v>
      </c>
      <c r="G94" s="325">
        <f>G93*F94</f>
        <v>45233.136112499997</v>
      </c>
      <c r="H94" s="914"/>
    </row>
    <row r="95" spans="1:8">
      <c r="A95" s="313"/>
      <c r="B95" s="314" t="s">
        <v>2383</v>
      </c>
      <c r="C95" s="890" t="s">
        <v>2388</v>
      </c>
      <c r="D95" s="888" t="s">
        <v>2392</v>
      </c>
      <c r="E95" s="897"/>
      <c r="F95" s="887">
        <v>0.06</v>
      </c>
      <c r="G95" s="325">
        <f>SUM(G93:G94)*F95</f>
        <v>42479.382551365379</v>
      </c>
      <c r="H95" s="914"/>
    </row>
    <row r="96" spans="1:8">
      <c r="A96" s="313"/>
      <c r="B96" s="314" t="s">
        <v>803</v>
      </c>
      <c r="C96" s="890" t="s">
        <v>2389</v>
      </c>
      <c r="D96" s="888" t="s">
        <v>2393</v>
      </c>
      <c r="E96" s="897"/>
      <c r="F96" s="325"/>
      <c r="G96" s="325">
        <f>SUM(G93:G95)</f>
        <v>750469.09174078843</v>
      </c>
      <c r="H96" s="914"/>
    </row>
    <row r="97" spans="1:8">
      <c r="A97" s="313"/>
      <c r="B97" s="314" t="s">
        <v>808</v>
      </c>
      <c r="C97" s="890" t="s">
        <v>2384</v>
      </c>
      <c r="D97" s="888" t="s">
        <v>2394</v>
      </c>
      <c r="E97" s="897"/>
      <c r="F97" s="887">
        <v>6.5000000000000002E-2</v>
      </c>
      <c r="G97" s="325">
        <f>G96*F97</f>
        <v>48780.490963151249</v>
      </c>
      <c r="H97" s="914"/>
    </row>
    <row r="98" spans="1:8">
      <c r="A98" s="313"/>
      <c r="B98" s="314" t="s">
        <v>2398</v>
      </c>
      <c r="C98" s="890" t="s">
        <v>2395</v>
      </c>
      <c r="D98" s="888" t="s">
        <v>2396</v>
      </c>
      <c r="E98" s="897"/>
      <c r="F98" s="887">
        <v>0.01</v>
      </c>
      <c r="G98" s="325">
        <f>G96*F98</f>
        <v>7504.6909174078846</v>
      </c>
      <c r="H98" s="914"/>
    </row>
    <row r="99" spans="1:8">
      <c r="A99" s="313"/>
      <c r="B99" s="314" t="s">
        <v>2399</v>
      </c>
      <c r="C99" s="331" t="s">
        <v>2385</v>
      </c>
      <c r="D99" s="888" t="s">
        <v>2397</v>
      </c>
      <c r="E99" s="897"/>
      <c r="F99" s="887"/>
      <c r="G99" s="343">
        <f>SUM(G96:G98)</f>
        <v>806754.2736213475</v>
      </c>
      <c r="H99" s="914"/>
    </row>
    <row r="100" spans="1:8" s="194" customFormat="1" ht="33">
      <c r="A100" s="309" t="s">
        <v>2290</v>
      </c>
      <c r="B100" s="317" t="s">
        <v>102</v>
      </c>
      <c r="C100" s="311" t="str">
        <f>'1TH'!C14</f>
        <v>Đường hàn kín nước (dùng tấm bích hàn đắp lên)</v>
      </c>
      <c r="D100" s="310" t="s">
        <v>313</v>
      </c>
      <c r="E100" s="310"/>
      <c r="F100" s="312"/>
      <c r="G100" s="312">
        <f>G122</f>
        <v>8267367.2820251295</v>
      </c>
      <c r="H100" s="916"/>
    </row>
    <row r="101" spans="1:8" s="194" customFormat="1">
      <c r="A101" s="309"/>
      <c r="B101" s="317"/>
      <c r="C101" s="800" t="s">
        <v>70</v>
      </c>
      <c r="D101" s="801"/>
      <c r="E101" s="898"/>
      <c r="F101" s="804"/>
      <c r="G101" s="802">
        <f>SUM(G102:G104)</f>
        <v>376368.96</v>
      </c>
      <c r="H101" s="916"/>
    </row>
    <row r="102" spans="1:8" s="194" customFormat="1">
      <c r="A102" s="309"/>
      <c r="B102" s="317"/>
      <c r="C102" s="378" t="s">
        <v>2444</v>
      </c>
      <c r="D102" s="376" t="s">
        <v>30</v>
      </c>
      <c r="E102" s="376">
        <f>0.11^2*3.14*0.008*8000</f>
        <v>2.431616</v>
      </c>
      <c r="F102" s="804">
        <f>'4GVL'!D13</f>
        <v>14545.454545454544</v>
      </c>
      <c r="G102" s="803">
        <f>E102*F102</f>
        <v>35368.959999999999</v>
      </c>
      <c r="H102" s="916"/>
    </row>
    <row r="103" spans="1:8" s="194" customFormat="1">
      <c r="A103" s="309"/>
      <c r="B103" s="317"/>
      <c r="C103" s="378" t="s">
        <v>72</v>
      </c>
      <c r="D103" s="376" t="s">
        <v>45</v>
      </c>
      <c r="E103" s="376">
        <v>2</v>
      </c>
      <c r="F103" s="804">
        <v>110000</v>
      </c>
      <c r="G103" s="803">
        <f>E103*F103</f>
        <v>220000</v>
      </c>
      <c r="H103" s="916"/>
    </row>
    <row r="104" spans="1:8" s="194" customFormat="1">
      <c r="A104" s="309"/>
      <c r="B104" s="317"/>
      <c r="C104" s="378" t="s">
        <v>98</v>
      </c>
      <c r="D104" s="376" t="s">
        <v>30</v>
      </c>
      <c r="E104" s="376">
        <v>2.2000000000000002</v>
      </c>
      <c r="F104" s="804">
        <f>'4GVL'!D12</f>
        <v>55000</v>
      </c>
      <c r="G104" s="803">
        <f>E104*F104</f>
        <v>121000.00000000001</v>
      </c>
      <c r="H104" s="916"/>
    </row>
    <row r="105" spans="1:8" s="194" customFormat="1">
      <c r="A105" s="309"/>
      <c r="B105" s="317"/>
      <c r="C105" s="375" t="s">
        <v>74</v>
      </c>
      <c r="D105" s="801"/>
      <c r="E105" s="376"/>
      <c r="F105" s="805"/>
      <c r="G105" s="802">
        <f>SUM(G106:G110)</f>
        <v>5021778.923076923</v>
      </c>
      <c r="H105" s="916"/>
    </row>
    <row r="106" spans="1:8" s="194" customFormat="1">
      <c r="A106" s="309"/>
      <c r="B106" s="317"/>
      <c r="C106" s="316" t="s">
        <v>75</v>
      </c>
      <c r="D106" s="314" t="s">
        <v>62</v>
      </c>
      <c r="E106" s="314">
        <v>12</v>
      </c>
      <c r="F106" s="322">
        <f>'3NC'!N37</f>
        <v>390429.46153846156</v>
      </c>
      <c r="G106" s="307">
        <f>E106*F106</f>
        <v>4685153.538461539</v>
      </c>
      <c r="H106" s="917"/>
    </row>
    <row r="107" spans="1:8" s="194" customFormat="1" ht="23">
      <c r="A107" s="309"/>
      <c r="B107" s="317"/>
      <c r="C107" s="316" t="s">
        <v>2325</v>
      </c>
      <c r="D107" s="314" t="s">
        <v>62</v>
      </c>
      <c r="E107" s="314">
        <v>0.5</v>
      </c>
      <c r="F107" s="322"/>
      <c r="G107" s="307">
        <f>E107*F107</f>
        <v>0</v>
      </c>
      <c r="H107" s="917" t="s">
        <v>2445</v>
      </c>
    </row>
    <row r="108" spans="1:8" s="194" customFormat="1">
      <c r="A108" s="309"/>
      <c r="B108" s="317"/>
      <c r="C108" s="308" t="s">
        <v>2326</v>
      </c>
      <c r="D108" s="314" t="s">
        <v>62</v>
      </c>
      <c r="E108" s="321">
        <v>0.5</v>
      </c>
      <c r="F108" s="322"/>
      <c r="G108" s="320">
        <f>E108*F108</f>
        <v>0</v>
      </c>
      <c r="H108" s="914"/>
    </row>
    <row r="109" spans="1:8" s="194" customFormat="1" ht="33">
      <c r="A109" s="309"/>
      <c r="B109" s="317"/>
      <c r="C109" s="316" t="s">
        <v>2327</v>
      </c>
      <c r="D109" s="314" t="s">
        <v>62</v>
      </c>
      <c r="E109" s="314">
        <v>0.5</v>
      </c>
      <c r="F109" s="322">
        <v>336625.38461538462</v>
      </c>
      <c r="G109" s="307">
        <f>E109*F109</f>
        <v>168312.69230769231</v>
      </c>
      <c r="H109" s="917"/>
    </row>
    <row r="110" spans="1:8" s="194" customFormat="1" ht="33">
      <c r="A110" s="309"/>
      <c r="B110" s="317"/>
      <c r="C110" s="316" t="s">
        <v>2359</v>
      </c>
      <c r="D110" s="314" t="s">
        <v>62</v>
      </c>
      <c r="E110" s="314">
        <v>0.5</v>
      </c>
      <c r="F110" s="322">
        <v>336625.38461538462</v>
      </c>
      <c r="G110" s="307">
        <f>E110*F110</f>
        <v>168312.69230769231</v>
      </c>
      <c r="H110" s="917"/>
    </row>
    <row r="111" spans="1:8" s="194" customFormat="1">
      <c r="A111" s="309"/>
      <c r="B111" s="317"/>
      <c r="C111" s="375" t="s">
        <v>77</v>
      </c>
      <c r="D111" s="801"/>
      <c r="E111" s="899"/>
      <c r="F111" s="805"/>
      <c r="G111" s="802">
        <f>SUM(G112:G115)</f>
        <v>1393575.6780615384</v>
      </c>
      <c r="H111" s="916"/>
    </row>
    <row r="112" spans="1:8" s="194" customFormat="1">
      <c r="A112" s="309"/>
      <c r="B112" s="317"/>
      <c r="C112" s="378" t="s">
        <v>78</v>
      </c>
      <c r="D112" s="801" t="s">
        <v>64</v>
      </c>
      <c r="E112" s="376">
        <v>1</v>
      </c>
      <c r="F112" s="805">
        <f>801969*0</f>
        <v>0</v>
      </c>
      <c r="G112" s="803">
        <f>E112*F112</f>
        <v>0</v>
      </c>
      <c r="H112" s="914" t="s">
        <v>321</v>
      </c>
    </row>
    <row r="113" spans="1:8" s="194" customFormat="1">
      <c r="A113" s="309"/>
      <c r="B113" s="317"/>
      <c r="C113" s="378" t="s">
        <v>79</v>
      </c>
      <c r="D113" s="801" t="s">
        <v>64</v>
      </c>
      <c r="E113" s="376">
        <v>3</v>
      </c>
      <c r="F113" s="806">
        <f>'5CM'!E14</f>
        <v>442404.97716239316</v>
      </c>
      <c r="G113" s="803">
        <f>E113*F113</f>
        <v>1327214.9314871794</v>
      </c>
      <c r="H113" s="916"/>
    </row>
    <row r="114" spans="1:8" s="194" customFormat="1">
      <c r="A114" s="309"/>
      <c r="B114" s="317"/>
      <c r="C114" s="378" t="s">
        <v>80</v>
      </c>
      <c r="D114" s="801" t="s">
        <v>64</v>
      </c>
      <c r="E114" s="376">
        <v>1</v>
      </c>
      <c r="F114" s="807"/>
      <c r="G114" s="803">
        <f>E114*F114</f>
        <v>0</v>
      </c>
      <c r="H114" s="914" t="s">
        <v>321</v>
      </c>
    </row>
    <row r="115" spans="1:8" s="194" customFormat="1">
      <c r="A115" s="309"/>
      <c r="B115" s="317"/>
      <c r="C115" s="378" t="s">
        <v>81</v>
      </c>
      <c r="D115" s="801" t="s">
        <v>59</v>
      </c>
      <c r="E115" s="376">
        <v>5</v>
      </c>
      <c r="F115" s="805"/>
      <c r="G115" s="803">
        <f>5%*SUM(G112:G114)</f>
        <v>66360.746574358971</v>
      </c>
      <c r="H115" s="916"/>
    </row>
    <row r="116" spans="1:8">
      <c r="A116" s="313"/>
      <c r="B116" s="314" t="s">
        <v>2381</v>
      </c>
      <c r="C116" s="331" t="s">
        <v>2386</v>
      </c>
      <c r="D116" s="888" t="s">
        <v>2390</v>
      </c>
      <c r="E116" s="897"/>
      <c r="F116" s="325"/>
      <c r="G116" s="342">
        <f>G111+G101+G105</f>
        <v>6791723.5611384613</v>
      </c>
      <c r="H116" s="914"/>
    </row>
    <row r="117" spans="1:8">
      <c r="A117" s="313"/>
      <c r="B117" s="314" t="s">
        <v>369</v>
      </c>
      <c r="C117" s="890" t="s">
        <v>2387</v>
      </c>
      <c r="D117" s="888" t="s">
        <v>2391</v>
      </c>
      <c r="E117" s="897"/>
      <c r="F117" s="887">
        <f>6.5%*1.05</f>
        <v>6.8250000000000005E-2</v>
      </c>
      <c r="G117" s="325">
        <f>G116*F117</f>
        <v>463535.13304770004</v>
      </c>
      <c r="H117" s="914"/>
    </row>
    <row r="118" spans="1:8">
      <c r="A118" s="313"/>
      <c r="B118" s="314" t="s">
        <v>2383</v>
      </c>
      <c r="C118" s="890" t="s">
        <v>2388</v>
      </c>
      <c r="D118" s="888" t="s">
        <v>2392</v>
      </c>
      <c r="E118" s="897"/>
      <c r="F118" s="887">
        <v>0.06</v>
      </c>
      <c r="G118" s="325">
        <f>SUM(G116:G117)*F118</f>
        <v>435315.52165116963</v>
      </c>
      <c r="H118" s="914"/>
    </row>
    <row r="119" spans="1:8">
      <c r="A119" s="313"/>
      <c r="B119" s="314" t="s">
        <v>803</v>
      </c>
      <c r="C119" s="890" t="s">
        <v>2389</v>
      </c>
      <c r="D119" s="888" t="s">
        <v>2393</v>
      </c>
      <c r="E119" s="897"/>
      <c r="F119" s="325"/>
      <c r="G119" s="325">
        <f>SUM(G116:G118)</f>
        <v>7690574.2158373306</v>
      </c>
      <c r="H119" s="914"/>
    </row>
    <row r="120" spans="1:8">
      <c r="A120" s="313"/>
      <c r="B120" s="314" t="s">
        <v>808</v>
      </c>
      <c r="C120" s="890" t="s">
        <v>2384</v>
      </c>
      <c r="D120" s="888" t="s">
        <v>2394</v>
      </c>
      <c r="E120" s="897"/>
      <c r="F120" s="887">
        <v>6.5000000000000002E-2</v>
      </c>
      <c r="G120" s="325">
        <f>G119*F120</f>
        <v>499887.3240294265</v>
      </c>
      <c r="H120" s="914"/>
    </row>
    <row r="121" spans="1:8">
      <c r="A121" s="313"/>
      <c r="B121" s="314" t="s">
        <v>2398</v>
      </c>
      <c r="C121" s="890" t="s">
        <v>2395</v>
      </c>
      <c r="D121" s="888" t="s">
        <v>2396</v>
      </c>
      <c r="E121" s="897"/>
      <c r="F121" s="887">
        <v>0.01</v>
      </c>
      <c r="G121" s="325">
        <f>G119*F121</f>
        <v>76905.742158373308</v>
      </c>
      <c r="H121" s="914"/>
    </row>
    <row r="122" spans="1:8">
      <c r="A122" s="313"/>
      <c r="B122" s="314" t="s">
        <v>2399</v>
      </c>
      <c r="C122" s="331" t="s">
        <v>2385</v>
      </c>
      <c r="D122" s="888" t="s">
        <v>2397</v>
      </c>
      <c r="E122" s="897"/>
      <c r="F122" s="887"/>
      <c r="G122" s="891">
        <f>SUM(G119:G121)</f>
        <v>8267367.2820251295</v>
      </c>
      <c r="H122" s="914"/>
    </row>
    <row r="123" spans="1:8" s="194" customFormat="1" ht="23">
      <c r="A123" s="309" t="s">
        <v>2292</v>
      </c>
      <c r="B123" s="317" t="s">
        <v>102</v>
      </c>
      <c r="C123" s="311" t="str">
        <f>'1TH'!C15</f>
        <v>Mài sạch ba bia sau khi hàn loại 2</v>
      </c>
      <c r="D123" s="310" t="s">
        <v>382</v>
      </c>
      <c r="E123" s="310" t="s">
        <v>2293</v>
      </c>
      <c r="F123" s="312"/>
      <c r="G123" s="312">
        <f>G65*2</f>
        <v>118881.76364779809</v>
      </c>
      <c r="H123" s="919" t="s">
        <v>2360</v>
      </c>
    </row>
    <row r="124" spans="1:8" s="194" customFormat="1" ht="92">
      <c r="A124" s="309" t="s">
        <v>2294</v>
      </c>
      <c r="B124" s="455"/>
      <c r="C124" s="361" t="s">
        <v>371</v>
      </c>
      <c r="D124" s="362" t="s">
        <v>16</v>
      </c>
      <c r="E124" s="362">
        <v>2.6</v>
      </c>
      <c r="F124" s="364">
        <v>462524</v>
      </c>
      <c r="G124" s="404">
        <f>F124*E124</f>
        <v>1202562.4000000001</v>
      </c>
      <c r="H124" s="919" t="s">
        <v>2402</v>
      </c>
    </row>
    <row r="125" spans="1:8" s="330" customFormat="1" ht="33">
      <c r="A125" s="333" t="s">
        <v>23</v>
      </c>
      <c r="B125" s="334"/>
      <c r="C125" s="335" t="s">
        <v>2338</v>
      </c>
      <c r="D125" s="334"/>
      <c r="E125" s="334"/>
      <c r="F125" s="336"/>
      <c r="G125" s="341"/>
      <c r="H125" s="915"/>
    </row>
    <row r="126" spans="1:8" s="194" customFormat="1" ht="33">
      <c r="A126" s="309" t="s">
        <v>2371</v>
      </c>
      <c r="B126" s="310" t="s">
        <v>54</v>
      </c>
      <c r="C126" s="311" t="s">
        <v>2372</v>
      </c>
      <c r="D126" s="310" t="s">
        <v>313</v>
      </c>
      <c r="E126" s="310"/>
      <c r="F126" s="312"/>
      <c r="G126" s="312">
        <f>G145</f>
        <v>2555806.2277493896</v>
      </c>
      <c r="H126" s="916"/>
    </row>
    <row r="127" spans="1:8">
      <c r="A127" s="313"/>
      <c r="B127" s="314"/>
      <c r="C127" s="315" t="s">
        <v>56</v>
      </c>
      <c r="D127" s="314"/>
      <c r="E127" s="314"/>
      <c r="F127" s="307"/>
      <c r="G127" s="342">
        <f>SUM(G128:G130)</f>
        <v>164024</v>
      </c>
      <c r="H127" s="914"/>
    </row>
    <row r="128" spans="1:8">
      <c r="A128" s="313"/>
      <c r="B128" s="314"/>
      <c r="C128" s="316" t="s">
        <v>206</v>
      </c>
      <c r="D128" s="314" t="s">
        <v>207</v>
      </c>
      <c r="E128" s="314">
        <v>5</v>
      </c>
      <c r="F128" s="307">
        <f>32000</f>
        <v>32000</v>
      </c>
      <c r="G128" s="307">
        <f>F128*E128</f>
        <v>160000</v>
      </c>
      <c r="H128" s="914"/>
    </row>
    <row r="129" spans="1:8">
      <c r="A129" s="313"/>
      <c r="B129" s="314"/>
      <c r="C129" s="316" t="s">
        <v>57</v>
      </c>
      <c r="D129" s="314" t="s">
        <v>30</v>
      </c>
      <c r="E129" s="314">
        <v>0.04</v>
      </c>
      <c r="F129" s="307">
        <v>60000</v>
      </c>
      <c r="G129" s="307">
        <f>F129*E129</f>
        <v>2400</v>
      </c>
      <c r="H129" s="914"/>
    </row>
    <row r="130" spans="1:8">
      <c r="A130" s="313"/>
      <c r="B130" s="314"/>
      <c r="C130" s="316" t="s">
        <v>58</v>
      </c>
      <c r="D130" s="314" t="s">
        <v>59</v>
      </c>
      <c r="E130" s="314">
        <v>1</v>
      </c>
      <c r="F130" s="307"/>
      <c r="G130" s="307">
        <f>SUM(G128:G129)*0.01</f>
        <v>1624</v>
      </c>
      <c r="H130" s="914"/>
    </row>
    <row r="131" spans="1:8">
      <c r="A131" s="313"/>
      <c r="B131" s="314"/>
      <c r="C131" s="315" t="s">
        <v>60</v>
      </c>
      <c r="D131" s="314"/>
      <c r="E131" s="314"/>
      <c r="F131" s="307"/>
      <c r="G131" s="342">
        <f>SUM(G132:G134)</f>
        <v>1935595.9615384615</v>
      </c>
      <c r="H131" s="914"/>
    </row>
    <row r="132" spans="1:8">
      <c r="A132" s="313"/>
      <c r="B132" s="314" t="s">
        <v>102</v>
      </c>
      <c r="C132" s="316" t="s">
        <v>61</v>
      </c>
      <c r="D132" s="314" t="s">
        <v>62</v>
      </c>
      <c r="E132" s="314">
        <v>2.5</v>
      </c>
      <c r="F132" s="307">
        <f>'3NC'!N33</f>
        <v>336625.38461538462</v>
      </c>
      <c r="G132" s="307">
        <f>F132*E132</f>
        <v>841563.4615384615</v>
      </c>
      <c r="H132" s="917"/>
    </row>
    <row r="133" spans="1:8">
      <c r="A133" s="313"/>
      <c r="B133" s="314"/>
      <c r="C133" s="316" t="s">
        <v>2325</v>
      </c>
      <c r="D133" s="314" t="s">
        <v>62</v>
      </c>
      <c r="E133" s="314">
        <v>0.25</v>
      </c>
      <c r="F133" s="307">
        <v>336625.38461538462</v>
      </c>
      <c r="G133" s="307">
        <f>E133*F133</f>
        <v>84156.346153846156</v>
      </c>
      <c r="H133" s="917"/>
    </row>
    <row r="134" spans="1:8" ht="33">
      <c r="A134" s="313"/>
      <c r="B134" s="314"/>
      <c r="C134" s="316" t="s">
        <v>2327</v>
      </c>
      <c r="D134" s="314" t="s">
        <v>62</v>
      </c>
      <c r="E134" s="314">
        <v>3</v>
      </c>
      <c r="F134" s="322">
        <v>336625.38461538462</v>
      </c>
      <c r="G134" s="307">
        <f>E134*F134</f>
        <v>1009876.1538461539</v>
      </c>
      <c r="H134" s="917"/>
    </row>
    <row r="135" spans="1:8" s="330" customFormat="1">
      <c r="A135" s="337"/>
      <c r="B135" s="338"/>
      <c r="C135" s="339" t="s">
        <v>63</v>
      </c>
      <c r="D135" s="338"/>
      <c r="E135" s="338"/>
      <c r="F135" s="329"/>
      <c r="G135" s="342">
        <f>SUM(G136:G138)</f>
        <v>0</v>
      </c>
      <c r="H135" s="918"/>
    </row>
    <row r="136" spans="1:8">
      <c r="A136" s="313"/>
      <c r="B136" s="314"/>
      <c r="C136" s="316" t="s">
        <v>322</v>
      </c>
      <c r="D136" s="314" t="s">
        <v>64</v>
      </c>
      <c r="E136" s="314">
        <v>0.1</v>
      </c>
      <c r="F136" s="307"/>
      <c r="G136" s="307">
        <f>F136:F137*E136</f>
        <v>0</v>
      </c>
      <c r="H136" s="914" t="s">
        <v>314</v>
      </c>
    </row>
    <row r="137" spans="1:8">
      <c r="A137" s="313"/>
      <c r="B137" s="314"/>
      <c r="C137" s="316" t="s">
        <v>205</v>
      </c>
      <c r="D137" s="314" t="s">
        <v>64</v>
      </c>
      <c r="E137" s="314">
        <v>0.1</v>
      </c>
      <c r="F137" s="307"/>
      <c r="G137" s="307">
        <f>F137:F138*E137</f>
        <v>0</v>
      </c>
      <c r="H137" s="914" t="s">
        <v>314</v>
      </c>
    </row>
    <row r="138" spans="1:8">
      <c r="A138" s="313"/>
      <c r="B138" s="314"/>
      <c r="C138" s="316" t="s">
        <v>312</v>
      </c>
      <c r="D138" s="314" t="s">
        <v>64</v>
      </c>
      <c r="E138" s="314">
        <v>0.5</v>
      </c>
      <c r="F138" s="307">
        <f>'5CM'!E168*0</f>
        <v>0</v>
      </c>
      <c r="G138" s="307">
        <f>F138:F145*E138</f>
        <v>0</v>
      </c>
      <c r="H138" s="914"/>
    </row>
    <row r="139" spans="1:8">
      <c r="A139" s="313"/>
      <c r="B139" s="314" t="s">
        <v>2381</v>
      </c>
      <c r="C139" s="331" t="s">
        <v>2386</v>
      </c>
      <c r="D139" s="888" t="s">
        <v>2390</v>
      </c>
      <c r="E139" s="897"/>
      <c r="F139" s="325"/>
      <c r="G139" s="342">
        <f>G127+G131+G135</f>
        <v>2099619.9615384615</v>
      </c>
      <c r="H139" s="914"/>
    </row>
    <row r="140" spans="1:8">
      <c r="A140" s="313"/>
      <c r="B140" s="314" t="s">
        <v>369</v>
      </c>
      <c r="C140" s="890" t="s">
        <v>2387</v>
      </c>
      <c r="D140" s="888" t="s">
        <v>2391</v>
      </c>
      <c r="E140" s="897"/>
      <c r="F140" s="887">
        <f>6.5%*1.05</f>
        <v>6.8250000000000005E-2</v>
      </c>
      <c r="G140" s="325">
        <f>G139*F140</f>
        <v>143299.06237500001</v>
      </c>
      <c r="H140" s="914"/>
    </row>
    <row r="141" spans="1:8">
      <c r="A141" s="313"/>
      <c r="B141" s="314" t="s">
        <v>2383</v>
      </c>
      <c r="C141" s="890" t="s">
        <v>2388</v>
      </c>
      <c r="D141" s="888" t="s">
        <v>2392</v>
      </c>
      <c r="E141" s="897"/>
      <c r="F141" s="887">
        <v>0.06</v>
      </c>
      <c r="G141" s="325">
        <f>SUM(G139:G140)*F141</f>
        <v>134575.14143480771</v>
      </c>
      <c r="H141" s="914"/>
    </row>
    <row r="142" spans="1:8">
      <c r="A142" s="313"/>
      <c r="B142" s="314" t="s">
        <v>803</v>
      </c>
      <c r="C142" s="890" t="s">
        <v>2389</v>
      </c>
      <c r="D142" s="888" t="s">
        <v>2393</v>
      </c>
      <c r="E142" s="897"/>
      <c r="F142" s="325"/>
      <c r="G142" s="325">
        <f>SUM(G139:G141)</f>
        <v>2377494.1653482695</v>
      </c>
      <c r="H142" s="914"/>
    </row>
    <row r="143" spans="1:8">
      <c r="A143" s="313"/>
      <c r="B143" s="314" t="s">
        <v>808</v>
      </c>
      <c r="C143" s="890" t="s">
        <v>2384</v>
      </c>
      <c r="D143" s="888" t="s">
        <v>2394</v>
      </c>
      <c r="E143" s="897"/>
      <c r="F143" s="887">
        <v>6.5000000000000002E-2</v>
      </c>
      <c r="G143" s="325">
        <f>G142*F143</f>
        <v>154537.12074763753</v>
      </c>
      <c r="H143" s="914"/>
    </row>
    <row r="144" spans="1:8">
      <c r="A144" s="313"/>
      <c r="B144" s="314" t="s">
        <v>2398</v>
      </c>
      <c r="C144" s="890" t="s">
        <v>2395</v>
      </c>
      <c r="D144" s="888" t="s">
        <v>2396</v>
      </c>
      <c r="E144" s="897"/>
      <c r="F144" s="887">
        <v>0.01</v>
      </c>
      <c r="G144" s="325">
        <f>G142*F144</f>
        <v>23774.941653482696</v>
      </c>
      <c r="H144" s="914"/>
    </row>
    <row r="145" spans="1:8">
      <c r="A145" s="313"/>
      <c r="B145" s="314" t="s">
        <v>2399</v>
      </c>
      <c r="C145" s="331" t="s">
        <v>2385</v>
      </c>
      <c r="D145" s="888" t="s">
        <v>2397</v>
      </c>
      <c r="E145" s="897"/>
      <c r="F145" s="887"/>
      <c r="G145" s="891">
        <f>SUM(G142:G144)</f>
        <v>2555806.2277493896</v>
      </c>
      <c r="H145" s="914"/>
    </row>
    <row r="146" spans="1:8" s="194" customFormat="1" ht="40.5" customHeight="1">
      <c r="A146" s="309" t="s">
        <v>2296</v>
      </c>
      <c r="B146" s="310" t="s">
        <v>54</v>
      </c>
      <c r="C146" s="311" t="s">
        <v>2332</v>
      </c>
      <c r="D146" s="310" t="s">
        <v>313</v>
      </c>
      <c r="E146" s="310"/>
      <c r="F146" s="312"/>
      <c r="G146" s="312">
        <f>G171</f>
        <v>29668578.552593682</v>
      </c>
      <c r="H146" s="919"/>
    </row>
    <row r="147" spans="1:8">
      <c r="A147" s="313"/>
      <c r="B147" s="314"/>
      <c r="C147" s="315" t="s">
        <v>56</v>
      </c>
      <c r="D147" s="314"/>
      <c r="E147" s="314"/>
      <c r="F147" s="307"/>
      <c r="G147" s="342">
        <f>SUM(G148:G153)</f>
        <v>2155928.6</v>
      </c>
      <c r="H147" s="914"/>
    </row>
    <row r="148" spans="1:8" ht="23">
      <c r="A148" s="313"/>
      <c r="B148" s="314" t="s">
        <v>102</v>
      </c>
      <c r="C148" s="810" t="s">
        <v>2403</v>
      </c>
      <c r="D148" s="713" t="s">
        <v>30</v>
      </c>
      <c r="E148" s="713">
        <f>0.9*(0.2+0.14)*0.012*7850</f>
        <v>28.825200000000006</v>
      </c>
      <c r="F148" s="811">
        <v>35500</v>
      </c>
      <c r="G148" s="812">
        <f>E148*F148</f>
        <v>1023294.6000000002</v>
      </c>
      <c r="H148" s="914" t="s">
        <v>2314</v>
      </c>
    </row>
    <row r="149" spans="1:8">
      <c r="A149" s="313"/>
      <c r="B149" s="314"/>
      <c r="C149" s="810" t="s">
        <v>72</v>
      </c>
      <c r="D149" s="713" t="s">
        <v>2401</v>
      </c>
      <c r="E149" s="713">
        <v>1</v>
      </c>
      <c r="F149" s="811">
        <v>200000</v>
      </c>
      <c r="G149" s="812">
        <f>E149*F149</f>
        <v>200000</v>
      </c>
      <c r="H149" s="914"/>
    </row>
    <row r="150" spans="1:8">
      <c r="A150" s="313"/>
      <c r="B150" s="314"/>
      <c r="C150" s="316" t="s">
        <v>206</v>
      </c>
      <c r="D150" s="314" t="s">
        <v>207</v>
      </c>
      <c r="E150" s="314">
        <v>3</v>
      </c>
      <c r="F150" s="307">
        <f>32000</f>
        <v>32000</v>
      </c>
      <c r="G150" s="307">
        <f>F150*E150</f>
        <v>96000</v>
      </c>
      <c r="H150" s="914"/>
    </row>
    <row r="151" spans="1:8">
      <c r="A151" s="313"/>
      <c r="B151" s="314"/>
      <c r="C151" s="316" t="s">
        <v>2328</v>
      </c>
      <c r="D151" s="314" t="s">
        <v>30</v>
      </c>
      <c r="E151" s="314">
        <v>15</v>
      </c>
      <c r="F151" s="307">
        <v>55000</v>
      </c>
      <c r="G151" s="307">
        <f>E151*F151</f>
        <v>825000</v>
      </c>
      <c r="H151" s="914"/>
    </row>
    <row r="152" spans="1:8">
      <c r="A152" s="313"/>
      <c r="B152" s="314"/>
      <c r="C152" s="316" t="s">
        <v>57</v>
      </c>
      <c r="D152" s="314" t="s">
        <v>30</v>
      </c>
      <c r="E152" s="314">
        <v>0.04</v>
      </c>
      <c r="F152" s="307">
        <v>60000</v>
      </c>
      <c r="G152" s="307">
        <f>F152*E152</f>
        <v>2400</v>
      </c>
      <c r="H152" s="914"/>
    </row>
    <row r="153" spans="1:8">
      <c r="A153" s="313"/>
      <c r="B153" s="314"/>
      <c r="C153" s="316" t="s">
        <v>58</v>
      </c>
      <c r="D153" s="314" t="s">
        <v>59</v>
      </c>
      <c r="E153" s="314">
        <v>1</v>
      </c>
      <c r="F153" s="307"/>
      <c r="G153" s="307">
        <f>SUM(G150:G152)*0.01</f>
        <v>9234</v>
      </c>
      <c r="H153" s="914"/>
    </row>
    <row r="154" spans="1:8">
      <c r="A154" s="313"/>
      <c r="B154" s="314"/>
      <c r="C154" s="315" t="s">
        <v>60</v>
      </c>
      <c r="D154" s="314"/>
      <c r="E154" s="314"/>
      <c r="F154" s="307"/>
      <c r="G154" s="342">
        <f>SUM(G155:G160)</f>
        <v>22217100.576923076</v>
      </c>
      <c r="H154" s="914"/>
    </row>
    <row r="155" spans="1:8">
      <c r="A155" s="313"/>
      <c r="B155" s="314" t="s">
        <v>102</v>
      </c>
      <c r="C155" s="316" t="s">
        <v>2325</v>
      </c>
      <c r="D155" s="314" t="s">
        <v>62</v>
      </c>
      <c r="E155" s="314">
        <v>0.25</v>
      </c>
      <c r="F155" s="322">
        <v>336625.38461538462</v>
      </c>
      <c r="G155" s="307">
        <f>E155*F155</f>
        <v>84156.346153846156</v>
      </c>
      <c r="H155" s="917"/>
    </row>
    <row r="156" spans="1:8">
      <c r="A156" s="313"/>
      <c r="B156" s="314" t="s">
        <v>102</v>
      </c>
      <c r="C156" s="308" t="s">
        <v>2326</v>
      </c>
      <c r="D156" s="314" t="s">
        <v>62</v>
      </c>
      <c r="E156" s="321">
        <v>0.25</v>
      </c>
      <c r="F156" s="322">
        <v>336625.38461538462</v>
      </c>
      <c r="G156" s="320">
        <f>E156*F156</f>
        <v>84156.346153846156</v>
      </c>
      <c r="H156" s="914"/>
    </row>
    <row r="157" spans="1:8" ht="33">
      <c r="A157" s="313"/>
      <c r="B157" s="314" t="s">
        <v>102</v>
      </c>
      <c r="C157" s="316" t="s">
        <v>2327</v>
      </c>
      <c r="D157" s="314" t="s">
        <v>62</v>
      </c>
      <c r="E157" s="314">
        <v>0.25</v>
      </c>
      <c r="F157" s="322">
        <v>336625.38461538462</v>
      </c>
      <c r="G157" s="307">
        <f>E157*F157</f>
        <v>84156.346153846156</v>
      </c>
      <c r="H157" s="917"/>
    </row>
    <row r="158" spans="1:8">
      <c r="A158" s="313"/>
      <c r="B158" s="314" t="s">
        <v>102</v>
      </c>
      <c r="C158" s="316" t="s">
        <v>2334</v>
      </c>
      <c r="D158" s="314" t="s">
        <v>62</v>
      </c>
      <c r="E158" s="314">
        <v>12</v>
      </c>
      <c r="F158" s="307">
        <v>568040.76923076925</v>
      </c>
      <c r="G158" s="307">
        <f>F158:F171*E158</f>
        <v>6816489.230769231</v>
      </c>
      <c r="H158" s="914"/>
    </row>
    <row r="159" spans="1:8">
      <c r="A159" s="313"/>
      <c r="B159" s="314" t="s">
        <v>102</v>
      </c>
      <c r="C159" s="316" t="s">
        <v>2324</v>
      </c>
      <c r="D159" s="314" t="s">
        <v>62</v>
      </c>
      <c r="E159" s="314">
        <v>42</v>
      </c>
      <c r="F159" s="322">
        <v>336625.38461538462</v>
      </c>
      <c r="G159" s="307">
        <f>E159*F159</f>
        <v>14138266.153846154</v>
      </c>
      <c r="H159" s="917"/>
    </row>
    <row r="160" spans="1:8">
      <c r="A160" s="313"/>
      <c r="B160" s="314"/>
      <c r="C160" s="316" t="s">
        <v>2400</v>
      </c>
      <c r="D160" s="314" t="s">
        <v>64</v>
      </c>
      <c r="E160" s="314">
        <v>3</v>
      </c>
      <c r="F160" s="307">
        <f>'3NC'!N33</f>
        <v>336625.38461538462</v>
      </c>
      <c r="G160" s="307">
        <f>F160:F161*E160</f>
        <v>1009876.1538461539</v>
      </c>
      <c r="H160" s="914" t="s">
        <v>314</v>
      </c>
    </row>
    <row r="161" spans="1:8" s="330" customFormat="1">
      <c r="A161" s="337"/>
      <c r="B161" s="338"/>
      <c r="C161" s="339" t="s">
        <v>63</v>
      </c>
      <c r="D161" s="338"/>
      <c r="E161" s="338"/>
      <c r="F161" s="329"/>
      <c r="G161" s="342">
        <f>SUM(G162:G164)</f>
        <v>0</v>
      </c>
      <c r="H161" s="918"/>
    </row>
    <row r="162" spans="1:8">
      <c r="A162" s="313"/>
      <c r="B162" s="314"/>
      <c r="C162" s="316" t="s">
        <v>376</v>
      </c>
      <c r="D162" s="314" t="s">
        <v>64</v>
      </c>
      <c r="E162" s="314">
        <v>0.1</v>
      </c>
      <c r="F162" s="307"/>
      <c r="G162" s="307">
        <f>F162:F163*E162</f>
        <v>0</v>
      </c>
      <c r="H162" s="914" t="s">
        <v>314</v>
      </c>
    </row>
    <row r="163" spans="1:8">
      <c r="A163" s="313"/>
      <c r="B163" s="314"/>
      <c r="C163" s="316" t="s">
        <v>205</v>
      </c>
      <c r="D163" s="314" t="s">
        <v>64</v>
      </c>
      <c r="E163" s="314">
        <v>0.1</v>
      </c>
      <c r="F163" s="307"/>
      <c r="G163" s="307">
        <f>F163:F164*E163</f>
        <v>0</v>
      </c>
      <c r="H163" s="914" t="s">
        <v>314</v>
      </c>
    </row>
    <row r="164" spans="1:8">
      <c r="A164" s="313"/>
      <c r="B164" s="314"/>
      <c r="C164" s="316" t="s">
        <v>312</v>
      </c>
      <c r="D164" s="314" t="s">
        <v>64</v>
      </c>
      <c r="E164" s="314">
        <v>0.5</v>
      </c>
      <c r="F164" s="307">
        <f>'5CM'!E158*0</f>
        <v>0</v>
      </c>
      <c r="G164" s="307">
        <f>F164:F171*E164</f>
        <v>0</v>
      </c>
      <c r="H164" s="914"/>
    </row>
    <row r="165" spans="1:8">
      <c r="A165" s="313"/>
      <c r="B165" s="314" t="s">
        <v>2381</v>
      </c>
      <c r="C165" s="331" t="s">
        <v>2386</v>
      </c>
      <c r="D165" s="888" t="s">
        <v>2390</v>
      </c>
      <c r="E165" s="897"/>
      <c r="F165" s="325"/>
      <c r="G165" s="342">
        <f>G147+G154+G161</f>
        <v>24373029.176923078</v>
      </c>
      <c r="H165" s="914"/>
    </row>
    <row r="166" spans="1:8">
      <c r="A166" s="313"/>
      <c r="B166" s="314" t="s">
        <v>369</v>
      </c>
      <c r="C166" s="890" t="s">
        <v>2387</v>
      </c>
      <c r="D166" s="888" t="s">
        <v>2391</v>
      </c>
      <c r="E166" s="897"/>
      <c r="F166" s="887">
        <f>6.5%*1.05</f>
        <v>6.8250000000000005E-2</v>
      </c>
      <c r="G166" s="325">
        <f>G165*F166</f>
        <v>1663459.2413250001</v>
      </c>
      <c r="H166" s="914"/>
    </row>
    <row r="167" spans="1:8">
      <c r="A167" s="313"/>
      <c r="B167" s="314" t="s">
        <v>2383</v>
      </c>
      <c r="C167" s="890" t="s">
        <v>2388</v>
      </c>
      <c r="D167" s="888" t="s">
        <v>2392</v>
      </c>
      <c r="E167" s="897"/>
      <c r="F167" s="887">
        <v>0.06</v>
      </c>
      <c r="G167" s="325">
        <f>SUM(G165:G166)*F167</f>
        <v>1562189.3050948845</v>
      </c>
      <c r="H167" s="914"/>
    </row>
    <row r="168" spans="1:8">
      <c r="A168" s="313"/>
      <c r="B168" s="314" t="s">
        <v>803</v>
      </c>
      <c r="C168" s="890" t="s">
        <v>2389</v>
      </c>
      <c r="D168" s="888" t="s">
        <v>2393</v>
      </c>
      <c r="E168" s="897"/>
      <c r="F168" s="325"/>
      <c r="G168" s="325">
        <f>SUM(G165:G167)</f>
        <v>27598677.723342959</v>
      </c>
      <c r="H168" s="914"/>
    </row>
    <row r="169" spans="1:8">
      <c r="A169" s="313"/>
      <c r="B169" s="314" t="s">
        <v>808</v>
      </c>
      <c r="C169" s="890" t="s">
        <v>2384</v>
      </c>
      <c r="D169" s="888" t="s">
        <v>2394</v>
      </c>
      <c r="E169" s="897"/>
      <c r="F169" s="887">
        <v>6.5000000000000002E-2</v>
      </c>
      <c r="G169" s="325">
        <f>G168*F169</f>
        <v>1793914.0520172925</v>
      </c>
      <c r="H169" s="914"/>
    </row>
    <row r="170" spans="1:8">
      <c r="A170" s="313"/>
      <c r="B170" s="314" t="s">
        <v>2398</v>
      </c>
      <c r="C170" s="890" t="s">
        <v>2395</v>
      </c>
      <c r="D170" s="888" t="s">
        <v>2396</v>
      </c>
      <c r="E170" s="897"/>
      <c r="F170" s="887">
        <v>0.01</v>
      </c>
      <c r="G170" s="325">
        <f>G168*F170</f>
        <v>275986.7772334296</v>
      </c>
      <c r="H170" s="914"/>
    </row>
    <row r="171" spans="1:8">
      <c r="A171" s="313"/>
      <c r="B171" s="314" t="s">
        <v>2399</v>
      </c>
      <c r="C171" s="331" t="s">
        <v>2385</v>
      </c>
      <c r="D171" s="888" t="s">
        <v>2397</v>
      </c>
      <c r="E171" s="897"/>
      <c r="F171" s="887"/>
      <c r="G171" s="891">
        <f>SUM(G168:G170)</f>
        <v>29668578.552593682</v>
      </c>
      <c r="H171" s="914"/>
    </row>
    <row r="172" spans="1:8" ht="33" hidden="1">
      <c r="A172" s="309" t="s">
        <v>2297</v>
      </c>
      <c r="B172" s="310" t="s">
        <v>54</v>
      </c>
      <c r="C172" s="311" t="s">
        <v>2333</v>
      </c>
      <c r="D172" s="310" t="s">
        <v>313</v>
      </c>
      <c r="E172" s="310"/>
      <c r="F172" s="312"/>
      <c r="G172" s="312">
        <f>G191</f>
        <v>15013656.232497634</v>
      </c>
      <c r="H172" s="919"/>
    </row>
    <row r="173" spans="1:8" hidden="1">
      <c r="A173" s="313"/>
      <c r="B173" s="314"/>
      <c r="C173" s="315" t="s">
        <v>56</v>
      </c>
      <c r="D173" s="314"/>
      <c r="E173" s="314"/>
      <c r="F173" s="307"/>
      <c r="G173" s="342">
        <f>SUM(G174:G177)</f>
        <v>2193114</v>
      </c>
      <c r="H173" s="914"/>
    </row>
    <row r="174" spans="1:8" hidden="1">
      <c r="A174" s="313"/>
      <c r="B174" s="314"/>
      <c r="C174" s="316" t="s">
        <v>206</v>
      </c>
      <c r="D174" s="314" t="s">
        <v>207</v>
      </c>
      <c r="E174" s="314">
        <v>42</v>
      </c>
      <c r="F174" s="307">
        <f>32000</f>
        <v>32000</v>
      </c>
      <c r="G174" s="307">
        <f>F174*E174</f>
        <v>1344000</v>
      </c>
      <c r="H174" s="914"/>
    </row>
    <row r="175" spans="1:8" hidden="1">
      <c r="A175" s="313"/>
      <c r="B175" s="314"/>
      <c r="C175" s="316" t="s">
        <v>2328</v>
      </c>
      <c r="D175" s="314" t="s">
        <v>30</v>
      </c>
      <c r="E175" s="314">
        <v>15</v>
      </c>
      <c r="F175" s="852">
        <v>55000</v>
      </c>
      <c r="G175" s="307">
        <f>E175*F175</f>
        <v>825000</v>
      </c>
      <c r="H175" s="914"/>
    </row>
    <row r="176" spans="1:8" hidden="1">
      <c r="A176" s="313"/>
      <c r="B176" s="314"/>
      <c r="C176" s="316" t="s">
        <v>57</v>
      </c>
      <c r="D176" s="314" t="s">
        <v>30</v>
      </c>
      <c r="E176" s="314">
        <v>0.04</v>
      </c>
      <c r="F176" s="307">
        <v>60000</v>
      </c>
      <c r="G176" s="307">
        <f>F176*E176</f>
        <v>2400</v>
      </c>
      <c r="H176" s="914"/>
    </row>
    <row r="177" spans="1:8" hidden="1">
      <c r="A177" s="313"/>
      <c r="B177" s="314"/>
      <c r="C177" s="316" t="s">
        <v>58</v>
      </c>
      <c r="D177" s="314" t="s">
        <v>59</v>
      </c>
      <c r="E177" s="314">
        <v>1</v>
      </c>
      <c r="F177" s="307"/>
      <c r="G177" s="307">
        <f>SUM(G174:G176)*0.01</f>
        <v>21714</v>
      </c>
      <c r="H177" s="914"/>
    </row>
    <row r="178" spans="1:8" hidden="1">
      <c r="A178" s="313"/>
      <c r="B178" s="314"/>
      <c r="C178" s="315" t="s">
        <v>60</v>
      </c>
      <c r="D178" s="314"/>
      <c r="E178" s="314"/>
      <c r="F178" s="307"/>
      <c r="G178" s="342">
        <f>SUM(G179:G180)</f>
        <v>10140752.307692308</v>
      </c>
      <c r="H178" s="914"/>
    </row>
    <row r="179" spans="1:8" hidden="1">
      <c r="A179" s="313"/>
      <c r="B179" s="314" t="s">
        <v>102</v>
      </c>
      <c r="C179" s="316" t="s">
        <v>2334</v>
      </c>
      <c r="D179" s="314" t="s">
        <v>62</v>
      </c>
      <c r="E179" s="314">
        <v>6</v>
      </c>
      <c r="F179" s="307">
        <v>568040.76923076925</v>
      </c>
      <c r="G179" s="307">
        <f>F179:F191*E179</f>
        <v>3408244.6153846155</v>
      </c>
      <c r="H179" s="914"/>
    </row>
    <row r="180" spans="1:8" hidden="1">
      <c r="A180" s="313"/>
      <c r="B180" s="314" t="s">
        <v>102</v>
      </c>
      <c r="C180" s="316" t="s">
        <v>2324</v>
      </c>
      <c r="D180" s="314" t="s">
        <v>62</v>
      </c>
      <c r="E180" s="314">
        <v>20</v>
      </c>
      <c r="F180" s="322">
        <v>336625.38461538462</v>
      </c>
      <c r="G180" s="307">
        <f>E180*F180</f>
        <v>6732507.692307692</v>
      </c>
      <c r="H180" s="917"/>
    </row>
    <row r="181" spans="1:8" hidden="1">
      <c r="A181" s="337"/>
      <c r="B181" s="338"/>
      <c r="C181" s="339" t="s">
        <v>63</v>
      </c>
      <c r="D181" s="338"/>
      <c r="E181" s="338"/>
      <c r="F181" s="329"/>
      <c r="G181" s="342">
        <f>SUM(G182:G184)</f>
        <v>0</v>
      </c>
      <c r="H181" s="918"/>
    </row>
    <row r="182" spans="1:8" hidden="1">
      <c r="A182" s="313"/>
      <c r="B182" s="314"/>
      <c r="C182" s="316" t="s">
        <v>376</v>
      </c>
      <c r="D182" s="314" t="s">
        <v>64</v>
      </c>
      <c r="E182" s="314">
        <v>0.1</v>
      </c>
      <c r="F182" s="307"/>
      <c r="G182" s="307">
        <f>F182:F183*E182</f>
        <v>0</v>
      </c>
      <c r="H182" s="914" t="s">
        <v>314</v>
      </c>
    </row>
    <row r="183" spans="1:8" hidden="1">
      <c r="A183" s="313"/>
      <c r="B183" s="314"/>
      <c r="C183" s="316" t="s">
        <v>205</v>
      </c>
      <c r="D183" s="314" t="s">
        <v>64</v>
      </c>
      <c r="E183" s="314">
        <v>0.1</v>
      </c>
      <c r="F183" s="307"/>
      <c r="G183" s="307">
        <f>F183:F184*E183</f>
        <v>0</v>
      </c>
      <c r="H183" s="914" t="s">
        <v>314</v>
      </c>
    </row>
    <row r="184" spans="1:8" hidden="1">
      <c r="A184" s="313"/>
      <c r="B184" s="314"/>
      <c r="C184" s="316" t="s">
        <v>312</v>
      </c>
      <c r="D184" s="314" t="s">
        <v>64</v>
      </c>
      <c r="E184" s="314">
        <v>0.5</v>
      </c>
      <c r="F184" s="307">
        <f>'5CM'!E180*0</f>
        <v>0</v>
      </c>
      <c r="G184" s="307">
        <f>F184:F191*E184</f>
        <v>0</v>
      </c>
      <c r="H184" s="914"/>
    </row>
    <row r="185" spans="1:8" hidden="1">
      <c r="A185" s="313"/>
      <c r="B185" s="314" t="s">
        <v>2381</v>
      </c>
      <c r="C185" s="331" t="s">
        <v>2386</v>
      </c>
      <c r="D185" s="888" t="s">
        <v>2390</v>
      </c>
      <c r="E185" s="897"/>
      <c r="F185" s="325"/>
      <c r="G185" s="342">
        <f>G181+G178+G173</f>
        <v>12333866.307692308</v>
      </c>
      <c r="H185" s="914"/>
    </row>
    <row r="186" spans="1:8" hidden="1">
      <c r="A186" s="313"/>
      <c r="B186" s="314" t="s">
        <v>369</v>
      </c>
      <c r="C186" s="890" t="s">
        <v>2387</v>
      </c>
      <c r="D186" s="888" t="s">
        <v>2391</v>
      </c>
      <c r="E186" s="897"/>
      <c r="F186" s="887">
        <f>6.5%*1.05</f>
        <v>6.8250000000000005E-2</v>
      </c>
      <c r="G186" s="325">
        <f>G185*F186</f>
        <v>841786.37550000008</v>
      </c>
      <c r="H186" s="914"/>
    </row>
    <row r="187" spans="1:8" hidden="1">
      <c r="A187" s="313"/>
      <c r="B187" s="314" t="s">
        <v>2383</v>
      </c>
      <c r="C187" s="890" t="s">
        <v>2388</v>
      </c>
      <c r="D187" s="888" t="s">
        <v>2392</v>
      </c>
      <c r="E187" s="897"/>
      <c r="F187" s="887">
        <v>0.06</v>
      </c>
      <c r="G187" s="325">
        <f>SUM(G185:G186)*F187</f>
        <v>790539.16099153855</v>
      </c>
      <c r="H187" s="914"/>
    </row>
    <row r="188" spans="1:8" hidden="1">
      <c r="A188" s="313"/>
      <c r="B188" s="314" t="s">
        <v>803</v>
      </c>
      <c r="C188" s="890" t="s">
        <v>2389</v>
      </c>
      <c r="D188" s="888" t="s">
        <v>2393</v>
      </c>
      <c r="E188" s="897"/>
      <c r="F188" s="325"/>
      <c r="G188" s="325">
        <f>SUM(G185:G187)</f>
        <v>13966191.844183847</v>
      </c>
      <c r="H188" s="914"/>
    </row>
    <row r="189" spans="1:8" hidden="1">
      <c r="A189" s="313"/>
      <c r="B189" s="314" t="s">
        <v>808</v>
      </c>
      <c r="C189" s="890" t="s">
        <v>2384</v>
      </c>
      <c r="D189" s="888" t="s">
        <v>2394</v>
      </c>
      <c r="E189" s="897"/>
      <c r="F189" s="887">
        <v>6.5000000000000002E-2</v>
      </c>
      <c r="G189" s="325">
        <f>G188*F189</f>
        <v>907802.4698719501</v>
      </c>
      <c r="H189" s="914"/>
    </row>
    <row r="190" spans="1:8" hidden="1">
      <c r="A190" s="313"/>
      <c r="B190" s="314" t="s">
        <v>2398</v>
      </c>
      <c r="C190" s="890" t="s">
        <v>2395</v>
      </c>
      <c r="D190" s="888" t="s">
        <v>2396</v>
      </c>
      <c r="E190" s="897"/>
      <c r="F190" s="887">
        <v>0.01</v>
      </c>
      <c r="G190" s="325">
        <f>G188*F190</f>
        <v>139661.91844183847</v>
      </c>
      <c r="H190" s="914"/>
    </row>
    <row r="191" spans="1:8" hidden="1">
      <c r="A191" s="313"/>
      <c r="B191" s="314" t="s">
        <v>2399</v>
      </c>
      <c r="C191" s="331" t="s">
        <v>2385</v>
      </c>
      <c r="D191" s="888" t="s">
        <v>2397</v>
      </c>
      <c r="E191" s="897"/>
      <c r="F191" s="887"/>
      <c r="G191" s="891">
        <f>SUM(G188:G190)</f>
        <v>15013656.232497634</v>
      </c>
      <c r="H191" s="914"/>
    </row>
    <row r="192" spans="1:8" ht="33" hidden="1">
      <c r="A192" s="853" t="s">
        <v>27</v>
      </c>
      <c r="B192" s="854"/>
      <c r="C192" s="855" t="s">
        <v>2339</v>
      </c>
      <c r="D192" s="716"/>
      <c r="E192" s="716"/>
      <c r="F192" s="325"/>
      <c r="G192" s="343"/>
      <c r="H192" s="914"/>
    </row>
    <row r="193" spans="1:10" s="194" customFormat="1" ht="69">
      <c r="A193" s="309" t="s">
        <v>2303</v>
      </c>
      <c r="B193" s="317" t="s">
        <v>102</v>
      </c>
      <c r="C193" s="311" t="str">
        <f>'1TH'!C27</f>
        <v>Hàn vết nứt chu vi hoặc đường sinh bằng phương pháp hàn theo đường ống (hàn bù trực tiếp)</v>
      </c>
      <c r="D193" s="310"/>
      <c r="E193" s="310"/>
      <c r="F193" s="312"/>
      <c r="G193" s="312">
        <f>G213</f>
        <v>15827791.507660333</v>
      </c>
      <c r="H193" s="911" t="s">
        <v>2313</v>
      </c>
    </row>
    <row r="194" spans="1:10">
      <c r="A194" s="313"/>
      <c r="B194" s="314"/>
      <c r="C194" s="808" t="s">
        <v>70</v>
      </c>
      <c r="D194" s="712"/>
      <c r="E194" s="900"/>
      <c r="F194" s="809"/>
      <c r="G194" s="715">
        <f>SUM(G195:G197)</f>
        <v>825000</v>
      </c>
      <c r="H194" s="914"/>
    </row>
    <row r="195" spans="1:10" ht="23">
      <c r="A195" s="313"/>
      <c r="B195" s="314" t="s">
        <v>102</v>
      </c>
      <c r="C195" s="810" t="s">
        <v>2403</v>
      </c>
      <c r="D195" s="713" t="s">
        <v>30</v>
      </c>
      <c r="E195" s="713">
        <f>0.9*(0.2+0.14)*0.012*7850</f>
        <v>28.825200000000006</v>
      </c>
      <c r="F195" s="811">
        <v>0</v>
      </c>
      <c r="G195" s="812">
        <f>E195*F195</f>
        <v>0</v>
      </c>
      <c r="H195" s="914" t="s">
        <v>2314</v>
      </c>
    </row>
    <row r="196" spans="1:10" ht="33">
      <c r="A196" s="313"/>
      <c r="B196" s="314" t="s">
        <v>102</v>
      </c>
      <c r="C196" s="810" t="s">
        <v>2329</v>
      </c>
      <c r="D196" s="713" t="s">
        <v>22</v>
      </c>
      <c r="E196" s="713">
        <v>1</v>
      </c>
      <c r="F196" s="811">
        <v>0</v>
      </c>
      <c r="G196" s="812">
        <f>E196*F196</f>
        <v>0</v>
      </c>
      <c r="H196" s="914"/>
    </row>
    <row r="197" spans="1:10">
      <c r="A197" s="313"/>
      <c r="B197" s="314"/>
      <c r="C197" s="810" t="s">
        <v>98</v>
      </c>
      <c r="D197" s="713" t="s">
        <v>30</v>
      </c>
      <c r="E197" s="713">
        <v>15</v>
      </c>
      <c r="F197" s="811">
        <v>55000</v>
      </c>
      <c r="G197" s="812">
        <f>E197*F197</f>
        <v>825000</v>
      </c>
      <c r="H197" s="914"/>
    </row>
    <row r="198" spans="1:10">
      <c r="A198" s="313"/>
      <c r="B198" s="314"/>
      <c r="C198" s="319" t="s">
        <v>58</v>
      </c>
      <c r="D198" s="317" t="s">
        <v>59</v>
      </c>
      <c r="E198" s="317">
        <v>1</v>
      </c>
      <c r="F198" s="322"/>
      <c r="G198" s="322">
        <f>SUM(G195:G197)*0.01</f>
        <v>8250</v>
      </c>
      <c r="H198" s="914"/>
    </row>
    <row r="199" spans="1:10">
      <c r="A199" s="313"/>
      <c r="B199" s="314"/>
      <c r="C199" s="711" t="s">
        <v>74</v>
      </c>
      <c r="D199" s="712"/>
      <c r="E199" s="713"/>
      <c r="F199" s="714"/>
      <c r="G199" s="715">
        <f>SUM(G200:G202)</f>
        <v>9705364.846153846</v>
      </c>
      <c r="H199" s="914"/>
    </row>
    <row r="200" spans="1:10" ht="49.5">
      <c r="A200" s="313"/>
      <c r="B200" s="314" t="s">
        <v>102</v>
      </c>
      <c r="C200" s="378" t="s">
        <v>2310</v>
      </c>
      <c r="D200" s="801" t="s">
        <v>62</v>
      </c>
      <c r="E200" s="376">
        <v>2.5</v>
      </c>
      <c r="F200" s="805">
        <f>'3NC'!N35</f>
        <v>360924</v>
      </c>
      <c r="G200" s="803">
        <f>E200*F200</f>
        <v>902310</v>
      </c>
      <c r="H200" s="914"/>
    </row>
    <row r="201" spans="1:10" ht="34.5">
      <c r="A201" s="313"/>
      <c r="B201" s="314" t="s">
        <v>102</v>
      </c>
      <c r="C201" s="378" t="s">
        <v>2301</v>
      </c>
      <c r="D201" s="801" t="s">
        <v>62</v>
      </c>
      <c r="E201" s="376">
        <v>16</v>
      </c>
      <c r="F201" s="805">
        <f>'3NC'!N37</f>
        <v>390429.46153846156</v>
      </c>
      <c r="G201" s="803">
        <f>E201*F201</f>
        <v>6246871.384615385</v>
      </c>
      <c r="H201" s="914" t="s">
        <v>2298</v>
      </c>
      <c r="J201" s="192">
        <f>E200+E201+E202</f>
        <v>23</v>
      </c>
    </row>
    <row r="202" spans="1:10">
      <c r="A202" s="313"/>
      <c r="B202" s="314" t="s">
        <v>102</v>
      </c>
      <c r="C202" s="810" t="s">
        <v>2300</v>
      </c>
      <c r="D202" s="712" t="s">
        <v>2299</v>
      </c>
      <c r="E202" s="713">
        <v>4.5</v>
      </c>
      <c r="F202" s="714">
        <f>'3NC'!N42</f>
        <v>568040.76923076925</v>
      </c>
      <c r="G202" s="812">
        <f>E202*F202</f>
        <v>2556183.4615384615</v>
      </c>
      <c r="H202" s="914" t="s">
        <v>2330</v>
      </c>
    </row>
    <row r="203" spans="1:10">
      <c r="A203" s="313"/>
      <c r="B203" s="314"/>
      <c r="C203" s="711" t="s">
        <v>77</v>
      </c>
      <c r="D203" s="712"/>
      <c r="E203" s="901"/>
      <c r="F203" s="714"/>
      <c r="G203" s="715">
        <f>SUM(G204:G206)</f>
        <v>2472321.6</v>
      </c>
      <c r="H203" s="914"/>
    </row>
    <row r="204" spans="1:10">
      <c r="A204" s="313"/>
      <c r="B204" s="314"/>
      <c r="C204" s="810" t="s">
        <v>342</v>
      </c>
      <c r="D204" s="712" t="s">
        <v>64</v>
      </c>
      <c r="E204" s="713">
        <v>6</v>
      </c>
      <c r="F204" s="714"/>
      <c r="G204" s="812">
        <f>E204*F204</f>
        <v>0</v>
      </c>
      <c r="H204" s="914" t="s">
        <v>321</v>
      </c>
    </row>
    <row r="205" spans="1:10">
      <c r="A205" s="313"/>
      <c r="B205" s="314"/>
      <c r="C205" s="810" t="s">
        <v>79</v>
      </c>
      <c r="D205" s="712" t="s">
        <v>64</v>
      </c>
      <c r="E205" s="713">
        <v>6</v>
      </c>
      <c r="F205" s="813">
        <v>392432</v>
      </c>
      <c r="G205" s="812">
        <f>E205*F205</f>
        <v>2354592</v>
      </c>
      <c r="H205" s="914"/>
    </row>
    <row r="206" spans="1:10">
      <c r="A206" s="313"/>
      <c r="B206" s="314"/>
      <c r="C206" s="810" t="s">
        <v>81</v>
      </c>
      <c r="D206" s="712" t="s">
        <v>59</v>
      </c>
      <c r="E206" s="713">
        <v>5</v>
      </c>
      <c r="F206" s="714"/>
      <c r="G206" s="812">
        <f>5%*SUM(G204:G205)</f>
        <v>117729.60000000001</v>
      </c>
      <c r="H206" s="914"/>
    </row>
    <row r="207" spans="1:10">
      <c r="A207" s="313"/>
      <c r="B207" s="314" t="s">
        <v>2381</v>
      </c>
      <c r="C207" s="331" t="s">
        <v>2386</v>
      </c>
      <c r="D207" s="888" t="s">
        <v>2390</v>
      </c>
      <c r="E207" s="897"/>
      <c r="F207" s="325"/>
      <c r="G207" s="342">
        <f>G203+G199+G194</f>
        <v>13002686.446153846</v>
      </c>
      <c r="H207" s="914"/>
    </row>
    <row r="208" spans="1:10">
      <c r="A208" s="313"/>
      <c r="B208" s="314" t="s">
        <v>369</v>
      </c>
      <c r="C208" s="890" t="s">
        <v>2387</v>
      </c>
      <c r="D208" s="888" t="s">
        <v>2391</v>
      </c>
      <c r="E208" s="897"/>
      <c r="F208" s="887">
        <f>6.5%*1.05</f>
        <v>6.8250000000000005E-2</v>
      </c>
      <c r="G208" s="325">
        <f>G207*F208</f>
        <v>887433.34995000006</v>
      </c>
      <c r="H208" s="914"/>
    </row>
    <row r="209" spans="1:11">
      <c r="A209" s="313"/>
      <c r="B209" s="314" t="s">
        <v>2383</v>
      </c>
      <c r="C209" s="890" t="s">
        <v>2388</v>
      </c>
      <c r="D209" s="888" t="s">
        <v>2392</v>
      </c>
      <c r="E209" s="897"/>
      <c r="F209" s="887">
        <v>0.06</v>
      </c>
      <c r="G209" s="325">
        <f>SUM(G207:G208)*F209</f>
        <v>833407.18776623078</v>
      </c>
      <c r="H209" s="914"/>
    </row>
    <row r="210" spans="1:11">
      <c r="A210" s="313"/>
      <c r="B210" s="314" t="s">
        <v>803</v>
      </c>
      <c r="C210" s="890" t="s">
        <v>2389</v>
      </c>
      <c r="D210" s="888" t="s">
        <v>2393</v>
      </c>
      <c r="E210" s="897"/>
      <c r="F210" s="325"/>
      <c r="G210" s="325">
        <f>SUM(G207:G209)</f>
        <v>14723526.983870078</v>
      </c>
      <c r="H210" s="914"/>
    </row>
    <row r="211" spans="1:11">
      <c r="A211" s="313"/>
      <c r="B211" s="314" t="s">
        <v>808</v>
      </c>
      <c r="C211" s="890" t="s">
        <v>2384</v>
      </c>
      <c r="D211" s="888" t="s">
        <v>2394</v>
      </c>
      <c r="E211" s="897"/>
      <c r="F211" s="887">
        <v>6.5000000000000002E-2</v>
      </c>
      <c r="G211" s="325">
        <f>G210*F211</f>
        <v>957029.25395155512</v>
      </c>
      <c r="H211" s="914"/>
    </row>
    <row r="212" spans="1:11">
      <c r="A212" s="313"/>
      <c r="B212" s="314" t="s">
        <v>2398</v>
      </c>
      <c r="C212" s="890" t="s">
        <v>2395</v>
      </c>
      <c r="D212" s="888" t="s">
        <v>2396</v>
      </c>
      <c r="E212" s="897"/>
      <c r="F212" s="887">
        <v>0.01</v>
      </c>
      <c r="G212" s="325">
        <f>G210*F212</f>
        <v>147235.26983870077</v>
      </c>
      <c r="H212" s="914"/>
    </row>
    <row r="213" spans="1:11">
      <c r="A213" s="313"/>
      <c r="B213" s="314" t="s">
        <v>2399</v>
      </c>
      <c r="C213" s="331" t="s">
        <v>2385</v>
      </c>
      <c r="D213" s="888" t="s">
        <v>2397</v>
      </c>
      <c r="E213" s="897"/>
      <c r="F213" s="887"/>
      <c r="G213" s="891">
        <f>SUM(G210:G212)</f>
        <v>15827791.507660333</v>
      </c>
      <c r="H213" s="914"/>
    </row>
    <row r="214" spans="1:11" s="194" customFormat="1" ht="23">
      <c r="A214" s="309" t="s">
        <v>2307</v>
      </c>
      <c r="B214" s="317" t="s">
        <v>102</v>
      </c>
      <c r="C214" s="311" t="str">
        <f>'1TH'!C28</f>
        <v>Mài ba via sau khi hàn loại 3</v>
      </c>
      <c r="D214" s="310" t="s">
        <v>318</v>
      </c>
      <c r="E214" s="310">
        <v>1</v>
      </c>
      <c r="F214" s="312">
        <f>G65/0.314*(0.5+0.2)*2</f>
        <v>265023.03997916769</v>
      </c>
      <c r="G214" s="312">
        <f>F214*E214</f>
        <v>265023.03997916769</v>
      </c>
      <c r="H214" s="919" t="s">
        <v>2404</v>
      </c>
    </row>
    <row r="215" spans="1:11" s="194" customFormat="1" ht="33">
      <c r="A215" s="309" t="s">
        <v>2317</v>
      </c>
      <c r="B215" s="317" t="s">
        <v>102</v>
      </c>
      <c r="C215" s="311" t="s">
        <v>384</v>
      </c>
      <c r="D215" s="310" t="s">
        <v>382</v>
      </c>
      <c r="E215" s="310"/>
      <c r="F215" s="312"/>
      <c r="G215" s="312">
        <f>G226</f>
        <v>245858.56588678848</v>
      </c>
      <c r="H215" s="919"/>
    </row>
    <row r="216" spans="1:11">
      <c r="A216" s="313"/>
      <c r="B216" s="314"/>
      <c r="C216" s="315" t="s">
        <v>70</v>
      </c>
      <c r="D216" s="314"/>
      <c r="E216" s="314"/>
      <c r="F216" s="307"/>
      <c r="G216" s="342">
        <f>SUM(G217:G217)</f>
        <v>0</v>
      </c>
      <c r="H216" s="914"/>
    </row>
    <row r="217" spans="1:11">
      <c r="A217" s="313"/>
      <c r="B217" s="314"/>
      <c r="C217" s="308" t="s">
        <v>2308</v>
      </c>
      <c r="D217" s="321" t="s">
        <v>337</v>
      </c>
      <c r="E217" s="332"/>
      <c r="F217" s="322"/>
      <c r="G217" s="320">
        <f>E217*F217</f>
        <v>0</v>
      </c>
      <c r="H217" s="914" t="s">
        <v>2309</v>
      </c>
      <c r="J217" s="192">
        <v>90</v>
      </c>
      <c r="K217" s="192">
        <v>4</v>
      </c>
    </row>
    <row r="218" spans="1:11">
      <c r="A218" s="313"/>
      <c r="B218" s="314"/>
      <c r="C218" s="315" t="s">
        <v>74</v>
      </c>
      <c r="D218" s="314"/>
      <c r="E218" s="314"/>
      <c r="F218" s="307"/>
      <c r="G218" s="342">
        <f>SUM(G219:G219)</f>
        <v>201975.23076923078</v>
      </c>
      <c r="H218" s="914"/>
      <c r="J218" s="192">
        <v>1</v>
      </c>
      <c r="K218" s="192">
        <f>4/90</f>
        <v>4.4444444444444446E-2</v>
      </c>
    </row>
    <row r="219" spans="1:11">
      <c r="A219" s="313"/>
      <c r="B219" s="314"/>
      <c r="C219" s="308" t="s">
        <v>61</v>
      </c>
      <c r="D219" s="323" t="s">
        <v>62</v>
      </c>
      <c r="E219" s="321">
        <v>0.6</v>
      </c>
      <c r="F219" s="324">
        <f>'3NC'!N33</f>
        <v>336625.38461538462</v>
      </c>
      <c r="G219" s="320">
        <f>E219*F219</f>
        <v>201975.23076923078</v>
      </c>
      <c r="H219" s="914"/>
    </row>
    <row r="220" spans="1:11">
      <c r="A220" s="313"/>
      <c r="B220" s="314" t="s">
        <v>2381</v>
      </c>
      <c r="C220" s="331" t="s">
        <v>2386</v>
      </c>
      <c r="D220" s="888" t="s">
        <v>2390</v>
      </c>
      <c r="E220" s="897"/>
      <c r="F220" s="325"/>
      <c r="G220" s="342">
        <f>G216+G218</f>
        <v>201975.23076923078</v>
      </c>
      <c r="H220" s="914"/>
    </row>
    <row r="221" spans="1:11">
      <c r="A221" s="313"/>
      <c r="B221" s="314" t="s">
        <v>369</v>
      </c>
      <c r="C221" s="890" t="s">
        <v>2387</v>
      </c>
      <c r="D221" s="888" t="s">
        <v>2391</v>
      </c>
      <c r="E221" s="897"/>
      <c r="F221" s="887">
        <f>6.5%*1.05</f>
        <v>6.8250000000000005E-2</v>
      </c>
      <c r="G221" s="325">
        <f>G220*F221</f>
        <v>13784.809500000001</v>
      </c>
      <c r="H221" s="914"/>
    </row>
    <row r="222" spans="1:11">
      <c r="A222" s="313"/>
      <c r="B222" s="314" t="s">
        <v>2383</v>
      </c>
      <c r="C222" s="890" t="s">
        <v>2388</v>
      </c>
      <c r="D222" s="888" t="s">
        <v>2392</v>
      </c>
      <c r="E222" s="897"/>
      <c r="F222" s="887">
        <v>0.06</v>
      </c>
      <c r="G222" s="325">
        <f>SUM(G220:G221)*F222</f>
        <v>12945.602416153846</v>
      </c>
      <c r="H222" s="914"/>
    </row>
    <row r="223" spans="1:11">
      <c r="A223" s="313"/>
      <c r="B223" s="314" t="s">
        <v>803</v>
      </c>
      <c r="C223" s="890" t="s">
        <v>2389</v>
      </c>
      <c r="D223" s="888" t="s">
        <v>2393</v>
      </c>
      <c r="E223" s="897"/>
      <c r="F223" s="325"/>
      <c r="G223" s="325">
        <f>SUM(G220:G222)</f>
        <v>228705.64268538464</v>
      </c>
      <c r="H223" s="914"/>
    </row>
    <row r="224" spans="1:11">
      <c r="A224" s="313"/>
      <c r="B224" s="314" t="s">
        <v>808</v>
      </c>
      <c r="C224" s="890" t="s">
        <v>2384</v>
      </c>
      <c r="D224" s="888" t="s">
        <v>2394</v>
      </c>
      <c r="E224" s="897"/>
      <c r="F224" s="887">
        <v>6.5000000000000002E-2</v>
      </c>
      <c r="G224" s="325">
        <f>G223*F224</f>
        <v>14865.866774550002</v>
      </c>
      <c r="H224" s="914"/>
    </row>
    <row r="225" spans="1:8">
      <c r="A225" s="313"/>
      <c r="B225" s="314" t="s">
        <v>2398</v>
      </c>
      <c r="C225" s="890" t="s">
        <v>2395</v>
      </c>
      <c r="D225" s="888" t="s">
        <v>2396</v>
      </c>
      <c r="E225" s="897"/>
      <c r="F225" s="887">
        <v>0.01</v>
      </c>
      <c r="G225" s="325">
        <f>G223*F225</f>
        <v>2287.0564268538465</v>
      </c>
      <c r="H225" s="914"/>
    </row>
    <row r="226" spans="1:8">
      <c r="A226" s="313"/>
      <c r="B226" s="314" t="s">
        <v>2399</v>
      </c>
      <c r="C226" s="331" t="s">
        <v>2385</v>
      </c>
      <c r="D226" s="888" t="s">
        <v>2397</v>
      </c>
      <c r="E226" s="897"/>
      <c r="F226" s="887"/>
      <c r="G226" s="891">
        <f>SUM(G223:G225)</f>
        <v>245858.56588678848</v>
      </c>
      <c r="H226" s="914"/>
    </row>
    <row r="227" spans="1:8" s="194" customFormat="1" ht="33">
      <c r="A227" s="309" t="s">
        <v>2335</v>
      </c>
      <c r="B227" s="317" t="s">
        <v>102</v>
      </c>
      <c r="C227" s="859" t="s">
        <v>414</v>
      </c>
      <c r="D227" s="310" t="s">
        <v>2205</v>
      </c>
      <c r="E227" s="310"/>
      <c r="F227" s="312"/>
      <c r="G227" s="312">
        <f>G246</f>
        <v>9214421.4864172842</v>
      </c>
      <c r="H227" s="916"/>
    </row>
    <row r="228" spans="1:8" s="194" customFormat="1">
      <c r="A228" s="309"/>
      <c r="B228" s="892"/>
      <c r="C228" s="893" t="s">
        <v>70</v>
      </c>
      <c r="D228" s="310"/>
      <c r="E228" s="310"/>
      <c r="F228" s="312"/>
      <c r="G228" s="896">
        <f>SUM(G229:G231)</f>
        <v>62475</v>
      </c>
      <c r="H228" s="916"/>
    </row>
    <row r="229" spans="1:8" s="194" customFormat="1">
      <c r="A229" s="309"/>
      <c r="B229" s="317"/>
      <c r="C229" s="361" t="s">
        <v>96</v>
      </c>
      <c r="D229" s="327" t="s">
        <v>97</v>
      </c>
      <c r="E229" s="327">
        <v>1</v>
      </c>
      <c r="F229" s="307">
        <v>32000</v>
      </c>
      <c r="G229" s="325">
        <f>E229*F229</f>
        <v>32000</v>
      </c>
      <c r="H229" s="916"/>
    </row>
    <row r="230" spans="1:8" s="194" customFormat="1">
      <c r="A230" s="309"/>
      <c r="B230" s="317"/>
      <c r="C230" s="361" t="s">
        <v>2328</v>
      </c>
      <c r="D230" s="327" t="s">
        <v>30</v>
      </c>
      <c r="E230" s="327">
        <v>0.5</v>
      </c>
      <c r="F230" s="307">
        <v>55000</v>
      </c>
      <c r="G230" s="325">
        <f>E230*F230</f>
        <v>27500</v>
      </c>
      <c r="H230" s="916"/>
    </row>
    <row r="231" spans="1:8" s="194" customFormat="1">
      <c r="A231" s="309"/>
      <c r="B231" s="317"/>
      <c r="C231" s="361" t="s">
        <v>58</v>
      </c>
      <c r="D231" s="327" t="s">
        <v>59</v>
      </c>
      <c r="E231" s="327">
        <v>5</v>
      </c>
      <c r="F231" s="312"/>
      <c r="G231" s="325">
        <f>5%*SUM(G229:G230)</f>
        <v>2975</v>
      </c>
      <c r="H231" s="916"/>
    </row>
    <row r="232" spans="1:8" s="193" customFormat="1">
      <c r="A232" s="305"/>
      <c r="B232" s="306"/>
      <c r="C232" s="894" t="s">
        <v>2342</v>
      </c>
      <c r="D232" s="306"/>
      <c r="E232" s="306"/>
      <c r="F232" s="895"/>
      <c r="G232" s="895">
        <f>SUM(G233:G235)</f>
        <v>7095209.3076923061</v>
      </c>
      <c r="H232" s="920"/>
    </row>
    <row r="233" spans="1:8">
      <c r="A233" s="326"/>
      <c r="B233" s="327"/>
      <c r="C233" s="328" t="s">
        <v>61</v>
      </c>
      <c r="D233" s="327" t="s">
        <v>62</v>
      </c>
      <c r="E233" s="327">
        <v>20</v>
      </c>
      <c r="F233" s="307">
        <f>'3NC'!N34</f>
        <v>346344.83076923073</v>
      </c>
      <c r="G233" s="307">
        <f>F233*E233</f>
        <v>6926896.6153846141</v>
      </c>
      <c r="H233" s="914"/>
    </row>
    <row r="234" spans="1:8">
      <c r="A234" s="326"/>
      <c r="B234" s="314" t="s">
        <v>102</v>
      </c>
      <c r="C234" s="316" t="s">
        <v>2325</v>
      </c>
      <c r="D234" s="314" t="s">
        <v>62</v>
      </c>
      <c r="E234" s="314">
        <v>0.25</v>
      </c>
      <c r="F234" s="322">
        <v>336625.38461538462</v>
      </c>
      <c r="G234" s="307">
        <f>E234*F234</f>
        <v>84156.346153846156</v>
      </c>
      <c r="H234" s="917"/>
    </row>
    <row r="235" spans="1:8">
      <c r="A235" s="326"/>
      <c r="B235" s="314" t="s">
        <v>102</v>
      </c>
      <c r="C235" s="308" t="s">
        <v>2326</v>
      </c>
      <c r="D235" s="314" t="s">
        <v>62</v>
      </c>
      <c r="E235" s="321">
        <v>0.25</v>
      </c>
      <c r="F235" s="322">
        <v>336625.38461538462</v>
      </c>
      <c r="G235" s="320">
        <f>E235*F235</f>
        <v>84156.346153846156</v>
      </c>
      <c r="H235" s="914"/>
    </row>
    <row r="236" spans="1:8" s="193" customFormat="1">
      <c r="A236" s="305"/>
      <c r="B236" s="889"/>
      <c r="C236" s="902" t="s">
        <v>77</v>
      </c>
      <c r="D236" s="889"/>
      <c r="E236" s="903"/>
      <c r="F236" s="904"/>
      <c r="G236" s="905">
        <f>SUM(G237:G239)</f>
        <v>412053.6</v>
      </c>
      <c r="H236" s="920"/>
    </row>
    <row r="237" spans="1:8">
      <c r="A237" s="326"/>
      <c r="B237" s="314"/>
      <c r="C237" s="308" t="s">
        <v>342</v>
      </c>
      <c r="D237" s="314" t="s">
        <v>64</v>
      </c>
      <c r="E237" s="321">
        <v>6</v>
      </c>
      <c r="F237" s="322"/>
      <c r="G237" s="320">
        <v>0</v>
      </c>
      <c r="H237" s="914" t="s">
        <v>321</v>
      </c>
    </row>
    <row r="238" spans="1:8">
      <c r="A238" s="326"/>
      <c r="B238" s="314"/>
      <c r="C238" s="308" t="s">
        <v>79</v>
      </c>
      <c r="D238" s="314" t="s">
        <v>64</v>
      </c>
      <c r="E238" s="321">
        <v>1</v>
      </c>
      <c r="F238" s="322">
        <v>392432</v>
      </c>
      <c r="G238" s="320">
        <f>E238*F238</f>
        <v>392432</v>
      </c>
      <c r="H238" s="914"/>
    </row>
    <row r="239" spans="1:8">
      <c r="A239" s="326"/>
      <c r="B239" s="314"/>
      <c r="C239" s="308" t="s">
        <v>81</v>
      </c>
      <c r="D239" s="314" t="s">
        <v>59</v>
      </c>
      <c r="E239" s="321">
        <v>5</v>
      </c>
      <c r="F239" s="322"/>
      <c r="G239" s="320">
        <f>5%*G238</f>
        <v>19621.600000000002</v>
      </c>
      <c r="H239" s="914"/>
    </row>
    <row r="240" spans="1:8">
      <c r="A240" s="313"/>
      <c r="B240" s="314" t="s">
        <v>2381</v>
      </c>
      <c r="C240" s="331" t="s">
        <v>2386</v>
      </c>
      <c r="D240" s="888" t="s">
        <v>2390</v>
      </c>
      <c r="E240" s="897"/>
      <c r="F240" s="325"/>
      <c r="G240" s="342">
        <f>G228+G232+G236</f>
        <v>7569737.9076923057</v>
      </c>
      <c r="H240" s="914"/>
    </row>
    <row r="241" spans="1:16">
      <c r="A241" s="313"/>
      <c r="B241" s="314" t="s">
        <v>369</v>
      </c>
      <c r="C241" s="890" t="s">
        <v>2387</v>
      </c>
      <c r="D241" s="888" t="s">
        <v>2391</v>
      </c>
      <c r="E241" s="897"/>
      <c r="F241" s="887">
        <f>6.5%*1.05</f>
        <v>6.8250000000000005E-2</v>
      </c>
      <c r="G241" s="325">
        <f>G240*F241</f>
        <v>516634.61219999992</v>
      </c>
      <c r="H241" s="914"/>
    </row>
    <row r="242" spans="1:16">
      <c r="A242" s="313"/>
      <c r="B242" s="314" t="s">
        <v>2383</v>
      </c>
      <c r="C242" s="890" t="s">
        <v>2388</v>
      </c>
      <c r="D242" s="888" t="s">
        <v>2392</v>
      </c>
      <c r="E242" s="897"/>
      <c r="F242" s="887">
        <v>0.06</v>
      </c>
      <c r="G242" s="325">
        <f>SUM(G240:G241)*F242</f>
        <v>485182.35119353834</v>
      </c>
      <c r="H242" s="914"/>
    </row>
    <row r="243" spans="1:16">
      <c r="A243" s="313"/>
      <c r="B243" s="314" t="s">
        <v>803</v>
      </c>
      <c r="C243" s="890" t="s">
        <v>2389</v>
      </c>
      <c r="D243" s="888" t="s">
        <v>2393</v>
      </c>
      <c r="E243" s="897"/>
      <c r="F243" s="325"/>
      <c r="G243" s="325">
        <f>SUM(G240:G242)</f>
        <v>8571554.8710858449</v>
      </c>
      <c r="H243" s="914"/>
    </row>
    <row r="244" spans="1:16">
      <c r="A244" s="313"/>
      <c r="B244" s="314" t="s">
        <v>808</v>
      </c>
      <c r="C244" s="890" t="s">
        <v>2384</v>
      </c>
      <c r="D244" s="888" t="s">
        <v>2394</v>
      </c>
      <c r="E244" s="897"/>
      <c r="F244" s="887">
        <v>6.5000000000000002E-2</v>
      </c>
      <c r="G244" s="325">
        <f>G243*F244</f>
        <v>557151.06662057992</v>
      </c>
      <c r="H244" s="914"/>
    </row>
    <row r="245" spans="1:16">
      <c r="A245" s="313"/>
      <c r="B245" s="314" t="s">
        <v>2398</v>
      </c>
      <c r="C245" s="890" t="s">
        <v>2395</v>
      </c>
      <c r="D245" s="888" t="s">
        <v>2396</v>
      </c>
      <c r="E245" s="897"/>
      <c r="F245" s="887">
        <v>0.01</v>
      </c>
      <c r="G245" s="325">
        <f>G243*F245</f>
        <v>85715.548710858449</v>
      </c>
      <c r="H245" s="914"/>
    </row>
    <row r="246" spans="1:16">
      <c r="A246" s="313"/>
      <c r="B246" s="314" t="s">
        <v>2399</v>
      </c>
      <c r="C246" s="331" t="s">
        <v>2385</v>
      </c>
      <c r="D246" s="888" t="s">
        <v>2397</v>
      </c>
      <c r="E246" s="897"/>
      <c r="F246" s="887"/>
      <c r="G246" s="891">
        <f>SUM(G243:G245)</f>
        <v>9214421.4864172842</v>
      </c>
      <c r="H246" s="914"/>
    </row>
    <row r="247" spans="1:16" s="194" customFormat="1" ht="33">
      <c r="A247" s="309" t="s">
        <v>2319</v>
      </c>
      <c r="B247" s="317" t="s">
        <v>102</v>
      </c>
      <c r="C247" s="311" t="str">
        <f>'1TH'!C48</f>
        <v>Lắp đặt hệ thống điện phục vụ thi công trong hầm</v>
      </c>
      <c r="D247" s="310" t="s">
        <v>2205</v>
      </c>
      <c r="E247" s="310"/>
      <c r="F247" s="312"/>
      <c r="G247" s="312">
        <f>G288</f>
        <v>219566088.52651903</v>
      </c>
      <c r="H247" s="916"/>
    </row>
    <row r="248" spans="1:16">
      <c r="A248" s="313"/>
      <c r="B248" s="314"/>
      <c r="C248" s="808" t="s">
        <v>70</v>
      </c>
      <c r="D248" s="712"/>
      <c r="E248" s="900"/>
      <c r="F248" s="809"/>
      <c r="G248" s="715">
        <f>SUM(G249:G260)</f>
        <v>128619386.54545453</v>
      </c>
      <c r="H248" s="914"/>
    </row>
    <row r="249" spans="1:16" s="349" customFormat="1" ht="23">
      <c r="A249" s="377">
        <v>1</v>
      </c>
      <c r="B249" s="376"/>
      <c r="C249" s="378" t="s">
        <v>329</v>
      </c>
      <c r="D249" s="376" t="s">
        <v>18</v>
      </c>
      <c r="E249" s="376">
        <v>600</v>
      </c>
      <c r="F249" s="814">
        <f>M249</f>
        <v>31845.454545454544</v>
      </c>
      <c r="G249" s="723">
        <f>F249*E249</f>
        <v>19107272.727272727</v>
      </c>
      <c r="H249" s="921" t="s">
        <v>2316</v>
      </c>
      <c r="I249" s="458">
        <v>600</v>
      </c>
      <c r="J249" s="379">
        <f>28990+(28900*10%)</f>
        <v>31880</v>
      </c>
      <c r="K249" s="408">
        <f>J249*I249</f>
        <v>19128000</v>
      </c>
      <c r="L249" s="389" t="s">
        <v>102</v>
      </c>
      <c r="M249" s="710">
        <f>N249/1.1</f>
        <v>31845.454545454544</v>
      </c>
      <c r="N249" s="349">
        <v>35030</v>
      </c>
      <c r="O249" s="683" t="s">
        <v>2175</v>
      </c>
    </row>
    <row r="250" spans="1:16" s="349" customFormat="1" ht="23">
      <c r="A250" s="377">
        <v>2</v>
      </c>
      <c r="B250" s="376"/>
      <c r="C250" s="378" t="s">
        <v>330</v>
      </c>
      <c r="D250" s="376" t="s">
        <v>18</v>
      </c>
      <c r="E250" s="380">
        <v>1040</v>
      </c>
      <c r="F250" s="814">
        <f t="shared" ref="F250:F259" si="1">M250</f>
        <v>62199.999999999993</v>
      </c>
      <c r="G250" s="723">
        <f t="shared" ref="G250:G259" si="2">F250*E250</f>
        <v>64687999.999999993</v>
      </c>
      <c r="H250" s="921" t="s">
        <v>2316</v>
      </c>
      <c r="I250" s="799">
        <v>1040</v>
      </c>
      <c r="J250" s="379">
        <f>39520+(39520*10%)</f>
        <v>43472</v>
      </c>
      <c r="K250" s="408">
        <f t="shared" ref="K250:K259" si="3">J250*I250</f>
        <v>45210880</v>
      </c>
      <c r="L250" s="389" t="s">
        <v>102</v>
      </c>
      <c r="M250" s="710">
        <f t="shared" ref="M250:M259" si="4">N250/1.1</f>
        <v>62199.999999999993</v>
      </c>
      <c r="N250" s="689">
        <f>'GIA TT-Hue'!E1115</f>
        <v>68420</v>
      </c>
      <c r="P250" s="683" t="s">
        <v>2176</v>
      </c>
    </row>
    <row r="251" spans="1:16" s="349" customFormat="1" ht="23">
      <c r="A251" s="377">
        <v>3</v>
      </c>
      <c r="B251" s="376"/>
      <c r="C251" s="378" t="s">
        <v>331</v>
      </c>
      <c r="D251" s="376" t="s">
        <v>18</v>
      </c>
      <c r="E251" s="376">
        <v>400</v>
      </c>
      <c r="F251" s="814">
        <f t="shared" si="1"/>
        <v>12199.999999999998</v>
      </c>
      <c r="G251" s="723">
        <f t="shared" si="2"/>
        <v>4879999.9999999991</v>
      </c>
      <c r="H251" s="921" t="s">
        <v>2316</v>
      </c>
      <c r="I251" s="458">
        <v>400</v>
      </c>
      <c r="J251" s="379">
        <f>13600+(13600*10%)</f>
        <v>14960</v>
      </c>
      <c r="K251" s="408">
        <f t="shared" si="3"/>
        <v>5984000</v>
      </c>
      <c r="L251" s="389" t="s">
        <v>102</v>
      </c>
      <c r="M251" s="710">
        <f t="shared" si="4"/>
        <v>12199.999999999998</v>
      </c>
      <c r="N251" s="689">
        <f>'GIA TT-Hue'!E1101</f>
        <v>13420</v>
      </c>
      <c r="P251" s="683" t="s">
        <v>2176</v>
      </c>
    </row>
    <row r="252" spans="1:16" s="349" customFormat="1" ht="23">
      <c r="A252" s="377">
        <v>4</v>
      </c>
      <c r="B252" s="376"/>
      <c r="C252" s="378" t="s">
        <v>332</v>
      </c>
      <c r="D252" s="376" t="s">
        <v>18</v>
      </c>
      <c r="E252" s="376">
        <v>600</v>
      </c>
      <c r="F252" s="814">
        <f t="shared" si="1"/>
        <v>2200</v>
      </c>
      <c r="G252" s="723">
        <f t="shared" si="2"/>
        <v>1320000</v>
      </c>
      <c r="H252" s="921" t="s">
        <v>2316</v>
      </c>
      <c r="I252" s="458">
        <v>600</v>
      </c>
      <c r="J252" s="379">
        <f>9880+(9880*10%)</f>
        <v>10868</v>
      </c>
      <c r="K252" s="408">
        <f t="shared" si="3"/>
        <v>6520800</v>
      </c>
      <c r="L252" s="389" t="s">
        <v>102</v>
      </c>
      <c r="M252" s="710">
        <f t="shared" si="4"/>
        <v>2200</v>
      </c>
      <c r="N252" s="689">
        <f>'GIA TT-Hue'!E1097</f>
        <v>2420</v>
      </c>
      <c r="P252" s="683" t="s">
        <v>2176</v>
      </c>
    </row>
    <row r="253" spans="1:16" s="349" customFormat="1" ht="23">
      <c r="A253" s="377">
        <v>5</v>
      </c>
      <c r="B253" s="376"/>
      <c r="C253" s="378" t="s">
        <v>333</v>
      </c>
      <c r="D253" s="376" t="s">
        <v>18</v>
      </c>
      <c r="E253" s="376">
        <v>200</v>
      </c>
      <c r="F253" s="814">
        <f t="shared" si="1"/>
        <v>24454.545454545452</v>
      </c>
      <c r="G253" s="723">
        <f t="shared" si="2"/>
        <v>4890909.0909090908</v>
      </c>
      <c r="H253" s="921" t="s">
        <v>2316</v>
      </c>
      <c r="I253" s="458">
        <v>200</v>
      </c>
      <c r="J253" s="379">
        <f>16900+(16900*10%)</f>
        <v>18590</v>
      </c>
      <c r="K253" s="408">
        <f t="shared" si="3"/>
        <v>3718000</v>
      </c>
      <c r="L253" s="389" t="s">
        <v>102</v>
      </c>
      <c r="M253" s="710">
        <f t="shared" si="4"/>
        <v>24454.545454545452</v>
      </c>
      <c r="N253" s="689">
        <f>'GIA TT-Hue'!E1039</f>
        <v>26900</v>
      </c>
      <c r="P253" s="683" t="s">
        <v>2176</v>
      </c>
    </row>
    <row r="254" spans="1:16" s="349" customFormat="1" ht="23">
      <c r="A254" s="377">
        <v>6</v>
      </c>
      <c r="B254" s="376"/>
      <c r="C254" s="378" t="s">
        <v>334</v>
      </c>
      <c r="D254" s="376" t="s">
        <v>335</v>
      </c>
      <c r="E254" s="376">
        <v>5</v>
      </c>
      <c r="F254" s="814">
        <f t="shared" si="1"/>
        <v>250909.09090909088</v>
      </c>
      <c r="G254" s="723">
        <f t="shared" si="2"/>
        <v>1254545.4545454544</v>
      </c>
      <c r="H254" s="921" t="s">
        <v>2316</v>
      </c>
      <c r="I254" s="458">
        <v>5</v>
      </c>
      <c r="J254" s="379">
        <f>350000+(350000*10%)</f>
        <v>385000</v>
      </c>
      <c r="K254" s="408">
        <f t="shared" si="3"/>
        <v>1925000</v>
      </c>
      <c r="L254" s="389" t="s">
        <v>102</v>
      </c>
      <c r="M254" s="710">
        <f t="shared" si="4"/>
        <v>250909.09090909088</v>
      </c>
      <c r="N254" s="689">
        <v>276000</v>
      </c>
      <c r="O254" s="349" t="s">
        <v>2178</v>
      </c>
      <c r="P254" s="683" t="s">
        <v>2176</v>
      </c>
    </row>
    <row r="255" spans="1:16" s="349" customFormat="1" ht="23">
      <c r="A255" s="377">
        <v>7</v>
      </c>
      <c r="B255" s="376"/>
      <c r="C255" s="378" t="s">
        <v>336</v>
      </c>
      <c r="D255" s="376" t="s">
        <v>337</v>
      </c>
      <c r="E255" s="376">
        <v>18</v>
      </c>
      <c r="F255" s="814">
        <f t="shared" si="1"/>
        <v>300000</v>
      </c>
      <c r="G255" s="723">
        <f t="shared" si="2"/>
        <v>5400000</v>
      </c>
      <c r="H255" s="921" t="s">
        <v>2316</v>
      </c>
      <c r="I255" s="458">
        <v>18</v>
      </c>
      <c r="J255" s="379">
        <f>149500+(149500*10%)</f>
        <v>164450</v>
      </c>
      <c r="K255" s="408">
        <f t="shared" si="3"/>
        <v>2960100</v>
      </c>
      <c r="L255" s="389" t="s">
        <v>102</v>
      </c>
      <c r="M255" s="710">
        <f t="shared" si="4"/>
        <v>300000</v>
      </c>
      <c r="N255" s="689">
        <v>330000</v>
      </c>
      <c r="O255" s="349" t="s">
        <v>2177</v>
      </c>
    </row>
    <row r="256" spans="1:16" s="349" customFormat="1" ht="23">
      <c r="A256" s="377">
        <v>8</v>
      </c>
      <c r="B256" s="376"/>
      <c r="C256" s="378" t="s">
        <v>338</v>
      </c>
      <c r="D256" s="376" t="s">
        <v>335</v>
      </c>
      <c r="E256" s="376">
        <v>2</v>
      </c>
      <c r="F256" s="814">
        <f t="shared" si="1"/>
        <v>77100</v>
      </c>
      <c r="G256" s="723">
        <f t="shared" si="2"/>
        <v>154200</v>
      </c>
      <c r="H256" s="921" t="s">
        <v>2316</v>
      </c>
      <c r="I256" s="458">
        <v>2</v>
      </c>
      <c r="J256" s="379">
        <f>1330000+(1330000*10%)</f>
        <v>1463000</v>
      </c>
      <c r="K256" s="408">
        <f t="shared" si="3"/>
        <v>2926000</v>
      </c>
      <c r="L256" s="389" t="s">
        <v>102</v>
      </c>
      <c r="M256" s="710">
        <f t="shared" si="4"/>
        <v>77100</v>
      </c>
      <c r="N256" s="689">
        <f>'GIA TT-Hue'!E948</f>
        <v>84810</v>
      </c>
      <c r="P256" s="349" t="s">
        <v>2176</v>
      </c>
    </row>
    <row r="257" spans="1:15" s="349" customFormat="1" ht="23">
      <c r="A257" s="377">
        <v>9</v>
      </c>
      <c r="B257" s="376"/>
      <c r="C257" s="378" t="s">
        <v>2362</v>
      </c>
      <c r="D257" s="376" t="s">
        <v>335</v>
      </c>
      <c r="E257" s="376">
        <v>100</v>
      </c>
      <c r="F257" s="814">
        <f t="shared" si="1"/>
        <v>149500</v>
      </c>
      <c r="G257" s="723">
        <f t="shared" si="2"/>
        <v>14950000</v>
      </c>
      <c r="H257" s="921" t="s">
        <v>2316</v>
      </c>
      <c r="I257" s="458">
        <v>100</v>
      </c>
      <c r="J257" s="379">
        <f>10000+(10000*10%)</f>
        <v>11000</v>
      </c>
      <c r="K257" s="408">
        <f t="shared" si="3"/>
        <v>1100000</v>
      </c>
      <c r="L257" s="389" t="s">
        <v>102</v>
      </c>
      <c r="M257" s="710">
        <f t="shared" si="4"/>
        <v>149500</v>
      </c>
      <c r="N257" s="689">
        <f>J255</f>
        <v>164450</v>
      </c>
      <c r="O257" s="349" t="s">
        <v>2178</v>
      </c>
    </row>
    <row r="258" spans="1:15" s="349" customFormat="1" ht="23">
      <c r="A258" s="377">
        <v>10</v>
      </c>
      <c r="B258" s="376"/>
      <c r="C258" s="378" t="s">
        <v>340</v>
      </c>
      <c r="D258" s="376" t="s">
        <v>335</v>
      </c>
      <c r="E258" s="376">
        <v>7</v>
      </c>
      <c r="F258" s="814">
        <f t="shared" si="1"/>
        <v>1442999.9999999998</v>
      </c>
      <c r="G258" s="723">
        <f t="shared" si="2"/>
        <v>10100999.999999998</v>
      </c>
      <c r="H258" s="921" t="s">
        <v>2316</v>
      </c>
      <c r="I258" s="458">
        <v>7</v>
      </c>
      <c r="J258" s="379">
        <f>325000+(325000*10%)</f>
        <v>357500</v>
      </c>
      <c r="K258" s="408">
        <f t="shared" si="3"/>
        <v>2502500</v>
      </c>
      <c r="L258" s="389" t="s">
        <v>102</v>
      </c>
      <c r="M258" s="710">
        <f t="shared" si="4"/>
        <v>1442999.9999999998</v>
      </c>
      <c r="N258" s="689">
        <f>'GIA TT-Hue'!E959</f>
        <v>1587300</v>
      </c>
    </row>
    <row r="259" spans="1:15" s="349" customFormat="1">
      <c r="A259" s="377">
        <v>11</v>
      </c>
      <c r="B259" s="376"/>
      <c r="C259" s="378" t="s">
        <v>341</v>
      </c>
      <c r="D259" s="376" t="s">
        <v>335</v>
      </c>
      <c r="E259" s="376">
        <v>100</v>
      </c>
      <c r="F259" s="814">
        <f t="shared" si="1"/>
        <v>5999.9999999999991</v>
      </c>
      <c r="G259" s="723">
        <f t="shared" si="2"/>
        <v>599999.99999999988</v>
      </c>
      <c r="H259" s="922"/>
      <c r="I259" s="458">
        <v>100</v>
      </c>
      <c r="J259" s="379">
        <f>6000+(6000*10%)</f>
        <v>6600</v>
      </c>
      <c r="K259" s="408">
        <f t="shared" si="3"/>
        <v>660000</v>
      </c>
      <c r="L259" s="389" t="s">
        <v>102</v>
      </c>
      <c r="M259" s="710">
        <f t="shared" si="4"/>
        <v>5999.9999999999991</v>
      </c>
      <c r="N259" s="689">
        <f>J259</f>
        <v>6600</v>
      </c>
      <c r="O259" s="349" t="s">
        <v>2178</v>
      </c>
    </row>
    <row r="260" spans="1:15">
      <c r="A260" s="313"/>
      <c r="B260" s="314"/>
      <c r="C260" s="319" t="s">
        <v>58</v>
      </c>
      <c r="D260" s="317" t="s">
        <v>59</v>
      </c>
      <c r="E260" s="317">
        <v>1</v>
      </c>
      <c r="F260" s="322"/>
      <c r="G260" s="322">
        <f>+SUM(G249:G259)*0.01</f>
        <v>1273459.2727272727</v>
      </c>
      <c r="H260" s="914"/>
    </row>
    <row r="261" spans="1:15">
      <c r="A261" s="313"/>
      <c r="B261" s="314"/>
      <c r="C261" s="711" t="s">
        <v>74</v>
      </c>
      <c r="D261" s="712"/>
      <c r="E261" s="713">
        <f>E262+E264+E266+E268+E270+E272+E274+E276+E278+E280</f>
        <v>171.10000000000005</v>
      </c>
      <c r="F261" s="714">
        <f>'3NC'!N13</f>
        <v>302491.61538461538</v>
      </c>
      <c r="G261" s="715">
        <f>F261*E261</f>
        <v>51756315.392307706</v>
      </c>
      <c r="H261" s="914"/>
      <c r="N261" s="885">
        <f>F261*25</f>
        <v>7562290.384615384</v>
      </c>
    </row>
    <row r="262" spans="1:15" ht="33">
      <c r="A262" s="313">
        <v>1</v>
      </c>
      <c r="B262" s="314" t="s">
        <v>2183</v>
      </c>
      <c r="C262" s="316" t="s">
        <v>2184</v>
      </c>
      <c r="D262" s="717" t="s">
        <v>2193</v>
      </c>
      <c r="E262" s="314">
        <f>E263*2</f>
        <v>0.46</v>
      </c>
      <c r="F262" s="307"/>
      <c r="G262" s="307"/>
      <c r="H262" s="914"/>
    </row>
    <row r="263" spans="1:15" s="722" customFormat="1" ht="33">
      <c r="A263" s="718"/>
      <c r="B263" s="719"/>
      <c r="C263" s="720" t="s">
        <v>61</v>
      </c>
      <c r="D263" s="719" t="s">
        <v>2192</v>
      </c>
      <c r="E263" s="719">
        <v>0.23</v>
      </c>
      <c r="F263" s="721"/>
      <c r="G263" s="721"/>
      <c r="H263" s="923"/>
    </row>
    <row r="264" spans="1:15" ht="33">
      <c r="A264" s="313">
        <v>2</v>
      </c>
      <c r="B264" s="314" t="s">
        <v>2186</v>
      </c>
      <c r="C264" s="316" t="s">
        <v>2195</v>
      </c>
      <c r="D264" s="314" t="s">
        <v>2196</v>
      </c>
      <c r="E264" s="314">
        <f>E249*E265</f>
        <v>39.6</v>
      </c>
      <c r="F264" s="307"/>
      <c r="G264" s="307"/>
      <c r="H264" s="914"/>
    </row>
    <row r="265" spans="1:15" s="722" customFormat="1">
      <c r="A265" s="718"/>
      <c r="B265" s="719"/>
      <c r="C265" s="720" t="s">
        <v>61</v>
      </c>
      <c r="D265" s="719" t="s">
        <v>2194</v>
      </c>
      <c r="E265" s="719">
        <v>6.6000000000000003E-2</v>
      </c>
      <c r="F265" s="721"/>
      <c r="G265" s="721"/>
      <c r="H265" s="923"/>
    </row>
    <row r="266" spans="1:15" ht="33">
      <c r="A266" s="313">
        <v>2</v>
      </c>
      <c r="B266" s="314" t="s">
        <v>2186</v>
      </c>
      <c r="C266" s="316" t="s">
        <v>2198</v>
      </c>
      <c r="D266" s="314" t="s">
        <v>2199</v>
      </c>
      <c r="E266" s="314">
        <f>E267*E250</f>
        <v>68.64</v>
      </c>
      <c r="F266" s="307"/>
      <c r="G266" s="307"/>
      <c r="H266" s="914"/>
    </row>
    <row r="267" spans="1:15" s="722" customFormat="1">
      <c r="A267" s="718"/>
      <c r="B267" s="719"/>
      <c r="C267" s="720" t="s">
        <v>61</v>
      </c>
      <c r="D267" s="719" t="s">
        <v>2194</v>
      </c>
      <c r="E267" s="719">
        <v>6.6000000000000003E-2</v>
      </c>
      <c r="F267" s="721"/>
      <c r="G267" s="721"/>
      <c r="H267" s="923"/>
    </row>
    <row r="268" spans="1:15" ht="33">
      <c r="A268" s="313">
        <v>3</v>
      </c>
      <c r="B268" s="314" t="s">
        <v>2201</v>
      </c>
      <c r="C268" s="316" t="s">
        <v>2202</v>
      </c>
      <c r="D268" s="314" t="s">
        <v>2197</v>
      </c>
      <c r="E268" s="314">
        <f>E269*E252</f>
        <v>14.4</v>
      </c>
      <c r="F268" s="307"/>
      <c r="G268" s="307"/>
      <c r="H268" s="914"/>
    </row>
    <row r="269" spans="1:15" s="722" customFormat="1">
      <c r="A269" s="815"/>
      <c r="B269" s="816"/>
      <c r="C269" s="817" t="s">
        <v>61</v>
      </c>
      <c r="D269" s="719" t="s">
        <v>2194</v>
      </c>
      <c r="E269" s="816">
        <v>2.4E-2</v>
      </c>
      <c r="F269" s="721"/>
      <c r="G269" s="721"/>
      <c r="H269" s="923"/>
    </row>
    <row r="270" spans="1:15" ht="33">
      <c r="A270" s="326">
        <v>4</v>
      </c>
      <c r="B270" s="327" t="s">
        <v>2187</v>
      </c>
      <c r="C270" s="328" t="s">
        <v>2188</v>
      </c>
      <c r="D270" s="327" t="s">
        <v>2200</v>
      </c>
      <c r="E270" s="327">
        <f>E271*E251</f>
        <v>11.200000000000001</v>
      </c>
      <c r="F270" s="307"/>
      <c r="G270" s="307"/>
      <c r="H270" s="914"/>
    </row>
    <row r="271" spans="1:15" s="722" customFormat="1">
      <c r="A271" s="815"/>
      <c r="B271" s="816" t="s">
        <v>2185</v>
      </c>
      <c r="C271" s="817" t="s">
        <v>61</v>
      </c>
      <c r="D271" s="719" t="s">
        <v>2194</v>
      </c>
      <c r="E271" s="816">
        <v>2.8000000000000001E-2</v>
      </c>
      <c r="F271" s="721"/>
      <c r="G271" s="721"/>
      <c r="H271" s="923"/>
    </row>
    <row r="272" spans="1:15" ht="33">
      <c r="A272" s="326">
        <v>5</v>
      </c>
      <c r="B272" s="327" t="s">
        <v>2189</v>
      </c>
      <c r="C272" s="328" t="s">
        <v>2190</v>
      </c>
      <c r="D272" s="327" t="s">
        <v>2197</v>
      </c>
      <c r="E272" s="327">
        <f>E273*E253</f>
        <v>5.8000000000000007</v>
      </c>
      <c r="F272" s="307"/>
      <c r="G272" s="307"/>
      <c r="H272" s="914"/>
    </row>
    <row r="273" spans="1:8" s="722" customFormat="1">
      <c r="A273" s="815"/>
      <c r="B273" s="816" t="s">
        <v>2185</v>
      </c>
      <c r="C273" s="817" t="s">
        <v>61</v>
      </c>
      <c r="D273" s="719" t="s">
        <v>2194</v>
      </c>
      <c r="E273" s="816">
        <v>2.9000000000000001E-2</v>
      </c>
      <c r="F273" s="721"/>
      <c r="G273" s="721"/>
      <c r="H273" s="923"/>
    </row>
    <row r="274" spans="1:8">
      <c r="A274" s="326">
        <v>6</v>
      </c>
      <c r="B274" s="327" t="s">
        <v>2191</v>
      </c>
      <c r="C274" s="328" t="s">
        <v>2204</v>
      </c>
      <c r="D274" s="327" t="s">
        <v>2203</v>
      </c>
      <c r="E274" s="327">
        <f>E275*E254</f>
        <v>2.3000000000000003</v>
      </c>
      <c r="F274" s="307"/>
      <c r="G274" s="307"/>
      <c r="H274" s="914"/>
    </row>
    <row r="275" spans="1:8" s="722" customFormat="1">
      <c r="A275" s="815"/>
      <c r="B275" s="816" t="s">
        <v>2185</v>
      </c>
      <c r="C275" s="817" t="s">
        <v>61</v>
      </c>
      <c r="D275" s="816" t="s">
        <v>62</v>
      </c>
      <c r="E275" s="816">
        <v>0.46</v>
      </c>
      <c r="F275" s="721"/>
      <c r="G275" s="721"/>
      <c r="H275" s="923"/>
    </row>
    <row r="276" spans="1:8" ht="33">
      <c r="A276" s="326">
        <v>7</v>
      </c>
      <c r="B276" s="327" t="s">
        <v>2207</v>
      </c>
      <c r="C276" s="328" t="s">
        <v>2206</v>
      </c>
      <c r="D276" s="327" t="s">
        <v>2209</v>
      </c>
      <c r="E276" s="327">
        <f>E277*5</f>
        <v>2.3000000000000003</v>
      </c>
      <c r="F276" s="307"/>
      <c r="G276" s="307"/>
      <c r="H276" s="914"/>
    </row>
    <row r="277" spans="1:8" s="722" customFormat="1" ht="33">
      <c r="A277" s="815"/>
      <c r="B277" s="816"/>
      <c r="C277" s="817" t="s">
        <v>61</v>
      </c>
      <c r="D277" s="816" t="s">
        <v>2208</v>
      </c>
      <c r="E277" s="816">
        <v>0.46</v>
      </c>
      <c r="F277" s="721"/>
      <c r="G277" s="721"/>
      <c r="H277" s="923"/>
    </row>
    <row r="278" spans="1:8">
      <c r="A278" s="326">
        <v>7</v>
      </c>
      <c r="B278" s="327" t="s">
        <v>102</v>
      </c>
      <c r="C278" s="328" t="s">
        <v>2210</v>
      </c>
      <c r="D278" s="327" t="s">
        <v>2212</v>
      </c>
      <c r="E278" s="327">
        <f>E279*E258</f>
        <v>1.4000000000000001</v>
      </c>
      <c r="F278" s="307"/>
      <c r="G278" s="307"/>
      <c r="H278" s="914"/>
    </row>
    <row r="279" spans="1:8" s="722" customFormat="1" ht="33">
      <c r="A279" s="815"/>
      <c r="B279" s="816"/>
      <c r="C279" s="817" t="s">
        <v>61</v>
      </c>
      <c r="D279" s="816" t="s">
        <v>2211</v>
      </c>
      <c r="E279" s="816">
        <v>0.2</v>
      </c>
      <c r="F279" s="721"/>
      <c r="G279" s="721"/>
      <c r="H279" s="923"/>
    </row>
    <row r="280" spans="1:8">
      <c r="A280" s="326"/>
      <c r="B280" s="327"/>
      <c r="C280" s="328" t="s">
        <v>2374</v>
      </c>
      <c r="D280" s="327"/>
      <c r="E280" s="327">
        <v>25</v>
      </c>
      <c r="F280" s="307"/>
      <c r="G280" s="307"/>
      <c r="H280" s="914"/>
    </row>
    <row r="281" spans="1:8">
      <c r="A281" s="313"/>
      <c r="B281" s="314"/>
      <c r="C281" s="711" t="s">
        <v>77</v>
      </c>
      <c r="D281" s="712"/>
      <c r="E281" s="901"/>
      <c r="F281" s="714"/>
      <c r="G281" s="715">
        <v>0</v>
      </c>
      <c r="H281" s="914"/>
    </row>
    <row r="282" spans="1:8">
      <c r="A282" s="313"/>
      <c r="B282" s="314" t="s">
        <v>2381</v>
      </c>
      <c r="C282" s="331" t="s">
        <v>2386</v>
      </c>
      <c r="D282" s="888" t="s">
        <v>2390</v>
      </c>
      <c r="E282" s="897"/>
      <c r="F282" s="325"/>
      <c r="G282" s="342">
        <f>G281+G261+G248</f>
        <v>180375701.93776223</v>
      </c>
      <c r="H282" s="914"/>
    </row>
    <row r="283" spans="1:8">
      <c r="A283" s="313"/>
      <c r="B283" s="314" t="s">
        <v>369</v>
      </c>
      <c r="C283" s="890" t="s">
        <v>2387</v>
      </c>
      <c r="D283" s="888" t="s">
        <v>2391</v>
      </c>
      <c r="E283" s="897"/>
      <c r="F283" s="887">
        <f>6.5%*1.05</f>
        <v>6.8250000000000005E-2</v>
      </c>
      <c r="G283" s="325">
        <f>G282*F283</f>
        <v>12310641.657252273</v>
      </c>
      <c r="H283" s="914"/>
    </row>
    <row r="284" spans="1:8">
      <c r="A284" s="313"/>
      <c r="B284" s="314" t="s">
        <v>2383</v>
      </c>
      <c r="C284" s="890" t="s">
        <v>2388</v>
      </c>
      <c r="D284" s="888" t="s">
        <v>2392</v>
      </c>
      <c r="E284" s="897"/>
      <c r="F284" s="887">
        <v>0.06</v>
      </c>
      <c r="G284" s="325">
        <f>SUM(G282:G283)*F284</f>
        <v>11561180.615700871</v>
      </c>
      <c r="H284" s="914"/>
    </row>
    <row r="285" spans="1:8">
      <c r="A285" s="313"/>
      <c r="B285" s="314" t="s">
        <v>803</v>
      </c>
      <c r="C285" s="890" t="s">
        <v>2389</v>
      </c>
      <c r="D285" s="888" t="s">
        <v>2393</v>
      </c>
      <c r="E285" s="897"/>
      <c r="F285" s="325"/>
      <c r="G285" s="325">
        <f>SUM(G282:G284)</f>
        <v>204247524.21071538</v>
      </c>
      <c r="H285" s="914"/>
    </row>
    <row r="286" spans="1:8">
      <c r="A286" s="313"/>
      <c r="B286" s="314" t="s">
        <v>808</v>
      </c>
      <c r="C286" s="890" t="s">
        <v>2384</v>
      </c>
      <c r="D286" s="888" t="s">
        <v>2394</v>
      </c>
      <c r="E286" s="897"/>
      <c r="F286" s="887">
        <v>6.5000000000000002E-2</v>
      </c>
      <c r="G286" s="325">
        <f>G285*F286</f>
        <v>13276089.0736965</v>
      </c>
      <c r="H286" s="914"/>
    </row>
    <row r="287" spans="1:8">
      <c r="A287" s="313"/>
      <c r="B287" s="314" t="s">
        <v>2398</v>
      </c>
      <c r="C287" s="890" t="s">
        <v>2395</v>
      </c>
      <c r="D287" s="888" t="s">
        <v>2396</v>
      </c>
      <c r="E287" s="897"/>
      <c r="F287" s="887">
        <v>0.01</v>
      </c>
      <c r="G287" s="325">
        <f>G285*F287</f>
        <v>2042475.2421071539</v>
      </c>
      <c r="H287" s="914"/>
    </row>
    <row r="288" spans="1:8">
      <c r="A288" s="313"/>
      <c r="B288" s="314" t="s">
        <v>2399</v>
      </c>
      <c r="C288" s="331" t="s">
        <v>2385</v>
      </c>
      <c r="D288" s="888" t="s">
        <v>2397</v>
      </c>
      <c r="E288" s="897"/>
      <c r="F288" s="887"/>
      <c r="G288" s="891">
        <f>SUM(G285:G287)</f>
        <v>219566088.52651903</v>
      </c>
      <c r="H288" s="914"/>
    </row>
    <row r="289" spans="1:8" s="194" customFormat="1" ht="33">
      <c r="A289" s="309" t="s">
        <v>2318</v>
      </c>
      <c r="B289" s="317" t="s">
        <v>102</v>
      </c>
      <c r="C289" s="311" t="s">
        <v>2213</v>
      </c>
      <c r="D289" s="310" t="s">
        <v>364</v>
      </c>
      <c r="E289" s="310"/>
      <c r="F289" s="312"/>
      <c r="G289" s="312">
        <f>G297</f>
        <v>49077467.393767774</v>
      </c>
      <c r="H289" s="916"/>
    </row>
    <row r="290" spans="1:8">
      <c r="A290" s="326"/>
      <c r="B290" s="327"/>
      <c r="C290" s="328" t="s">
        <v>61</v>
      </c>
      <c r="D290" s="327" t="s">
        <v>62</v>
      </c>
      <c r="E290" s="327">
        <f>E261*0.7</f>
        <v>119.77000000000002</v>
      </c>
      <c r="F290" s="307">
        <f>'3NC'!N33</f>
        <v>336625.38461538462</v>
      </c>
      <c r="G290" s="307">
        <f>F290*E290</f>
        <v>40317622.315384626</v>
      </c>
      <c r="H290" s="914" t="s">
        <v>2337</v>
      </c>
    </row>
    <row r="291" spans="1:8">
      <c r="A291" s="313"/>
      <c r="B291" s="314" t="s">
        <v>2381</v>
      </c>
      <c r="C291" s="331" t="s">
        <v>2386</v>
      </c>
      <c r="D291" s="888" t="s">
        <v>2390</v>
      </c>
      <c r="E291" s="897"/>
      <c r="F291" s="325"/>
      <c r="G291" s="342">
        <f>G290</f>
        <v>40317622.315384626</v>
      </c>
      <c r="H291" s="914"/>
    </row>
    <row r="292" spans="1:8">
      <c r="A292" s="313"/>
      <c r="B292" s="314" t="s">
        <v>369</v>
      </c>
      <c r="C292" s="890" t="s">
        <v>2387</v>
      </c>
      <c r="D292" s="888" t="s">
        <v>2391</v>
      </c>
      <c r="E292" s="897"/>
      <c r="F292" s="887">
        <f>6.5%*1.05</f>
        <v>6.8250000000000005E-2</v>
      </c>
      <c r="G292" s="325">
        <f>G291*F292</f>
        <v>2751677.7230250011</v>
      </c>
      <c r="H292" s="914"/>
    </row>
    <row r="293" spans="1:8">
      <c r="A293" s="313"/>
      <c r="B293" s="314" t="s">
        <v>2383</v>
      </c>
      <c r="C293" s="890" t="s">
        <v>2388</v>
      </c>
      <c r="D293" s="888" t="s">
        <v>2392</v>
      </c>
      <c r="E293" s="897"/>
      <c r="F293" s="887">
        <v>0.06</v>
      </c>
      <c r="G293" s="325">
        <f>SUM(G291:G292)*F293</f>
        <v>2584158.0023045777</v>
      </c>
      <c r="H293" s="914"/>
    </row>
    <row r="294" spans="1:8">
      <c r="A294" s="313"/>
      <c r="B294" s="314" t="s">
        <v>803</v>
      </c>
      <c r="C294" s="890" t="s">
        <v>2389</v>
      </c>
      <c r="D294" s="888" t="s">
        <v>2393</v>
      </c>
      <c r="E294" s="897"/>
      <c r="F294" s="325"/>
      <c r="G294" s="325">
        <f>SUM(G291:G293)</f>
        <v>45653458.040714204</v>
      </c>
      <c r="H294" s="914"/>
    </row>
    <row r="295" spans="1:8">
      <c r="A295" s="313"/>
      <c r="B295" s="314" t="s">
        <v>808</v>
      </c>
      <c r="C295" s="890" t="s">
        <v>2384</v>
      </c>
      <c r="D295" s="888" t="s">
        <v>2394</v>
      </c>
      <c r="E295" s="897"/>
      <c r="F295" s="887">
        <v>6.5000000000000002E-2</v>
      </c>
      <c r="G295" s="325">
        <f>G294*F295</f>
        <v>2967474.7726464234</v>
      </c>
      <c r="H295" s="914"/>
    </row>
    <row r="296" spans="1:8">
      <c r="A296" s="313"/>
      <c r="B296" s="314" t="s">
        <v>2398</v>
      </c>
      <c r="C296" s="890" t="s">
        <v>2395</v>
      </c>
      <c r="D296" s="888" t="s">
        <v>2396</v>
      </c>
      <c r="E296" s="897"/>
      <c r="F296" s="887">
        <v>0.01</v>
      </c>
      <c r="G296" s="325">
        <f>G294*F296</f>
        <v>456534.58040714206</v>
      </c>
      <c r="H296" s="914"/>
    </row>
    <row r="297" spans="1:8">
      <c r="A297" s="313"/>
      <c r="B297" s="314" t="s">
        <v>2399</v>
      </c>
      <c r="C297" s="331" t="s">
        <v>2385</v>
      </c>
      <c r="D297" s="888" t="s">
        <v>2397</v>
      </c>
      <c r="E297" s="897"/>
      <c r="F297" s="887"/>
      <c r="G297" s="891">
        <f>SUM(G294:G296)</f>
        <v>49077467.393767774</v>
      </c>
      <c r="H297" s="914"/>
    </row>
    <row r="298" spans="1:8" s="194" customFormat="1" ht="49.5">
      <c r="A298" s="309" t="s">
        <v>2343</v>
      </c>
      <c r="B298" s="317" t="s">
        <v>102</v>
      </c>
      <c r="C298" s="311" t="s">
        <v>2450</v>
      </c>
      <c r="D298" s="310" t="s">
        <v>364</v>
      </c>
      <c r="E298" s="310"/>
      <c r="F298" s="312"/>
      <c r="G298" s="312">
        <f>G314</f>
        <v>11797914.994538985</v>
      </c>
      <c r="H298" s="916"/>
    </row>
    <row r="299" spans="1:8" s="970" customFormat="1">
      <c r="A299" s="965"/>
      <c r="B299" s="967"/>
      <c r="C299" s="966" t="s">
        <v>2452</v>
      </c>
      <c r="D299" s="967"/>
      <c r="E299" s="967"/>
      <c r="F299" s="968"/>
      <c r="G299" s="968"/>
      <c r="H299" s="969"/>
    </row>
    <row r="300" spans="1:8" s="977" customFormat="1" ht="23">
      <c r="A300" s="974"/>
      <c r="B300" s="972"/>
      <c r="C300" s="973" t="s">
        <v>2451</v>
      </c>
      <c r="D300" s="975" t="s">
        <v>30</v>
      </c>
      <c r="E300" s="976">
        <v>25</v>
      </c>
      <c r="F300" s="307">
        <f>32614957.1056868/1000</f>
        <v>32614.957105686797</v>
      </c>
      <c r="G300" s="721">
        <f>F300*E300</f>
        <v>815373.92764216987</v>
      </c>
      <c r="H300" s="923" t="s">
        <v>2453</v>
      </c>
    </row>
    <row r="301" spans="1:8">
      <c r="A301" s="971"/>
      <c r="B301" s="972"/>
      <c r="C301" s="973" t="s">
        <v>2454</v>
      </c>
      <c r="D301" s="972"/>
      <c r="E301" s="972"/>
      <c r="F301" s="307"/>
      <c r="G301" s="307"/>
      <c r="H301" s="914"/>
    </row>
    <row r="302" spans="1:8" s="970" customFormat="1">
      <c r="A302" s="978"/>
      <c r="B302" s="979"/>
      <c r="C302" s="980" t="s">
        <v>61</v>
      </c>
      <c r="D302" s="979" t="s">
        <v>62</v>
      </c>
      <c r="E302" s="979">
        <v>26</v>
      </c>
      <c r="F302" s="968">
        <f>'3NC'!N33</f>
        <v>336625.38461538462</v>
      </c>
      <c r="G302" s="968">
        <f>F302*E302</f>
        <v>8752260</v>
      </c>
      <c r="H302" s="969"/>
    </row>
    <row r="303" spans="1:8">
      <c r="A303" s="971"/>
      <c r="B303" s="972"/>
      <c r="C303" s="973" t="s">
        <v>2455</v>
      </c>
      <c r="D303" s="972"/>
      <c r="E303" s="972"/>
      <c r="F303" s="307"/>
      <c r="G303" s="307">
        <f>SUM(G304:G306)</f>
        <v>124469.31481730769</v>
      </c>
      <c r="H303" s="914"/>
    </row>
    <row r="304" spans="1:8" s="970" customFormat="1" ht="66">
      <c r="A304" s="978"/>
      <c r="B304" s="979"/>
      <c r="C304" s="980" t="s">
        <v>2469</v>
      </c>
      <c r="D304" s="979" t="s">
        <v>2461</v>
      </c>
      <c r="E304" s="979">
        <v>0.15</v>
      </c>
      <c r="F304" s="968">
        <f>Trang_tính4!G3</f>
        <v>234245.07692307694</v>
      </c>
      <c r="G304" s="968">
        <f>F304*E304</f>
        <v>35136.761538461542</v>
      </c>
      <c r="H304" s="969"/>
    </row>
    <row r="305" spans="1:8" s="970" customFormat="1" ht="66">
      <c r="A305" s="978"/>
      <c r="B305" s="979"/>
      <c r="C305" s="980" t="s">
        <v>2468</v>
      </c>
      <c r="D305" s="979" t="s">
        <v>2461</v>
      </c>
      <c r="E305" s="979">
        <v>0.125</v>
      </c>
      <c r="F305" s="968">
        <f>Trang_tính4!G6</f>
        <v>61528.373538461543</v>
      </c>
      <c r="G305" s="968">
        <f t="shared" ref="G305:G306" si="5">F305*E305</f>
        <v>7691.0466923076929</v>
      </c>
      <c r="H305" s="969"/>
    </row>
    <row r="306" spans="1:8" s="970" customFormat="1" ht="66">
      <c r="A306" s="978"/>
      <c r="B306" s="979"/>
      <c r="C306" s="980" t="s">
        <v>2467</v>
      </c>
      <c r="D306" s="979" t="s">
        <v>2461</v>
      </c>
      <c r="E306" s="979">
        <v>0.125</v>
      </c>
      <c r="F306" s="968">
        <f>Trang_tính4!G10</f>
        <v>653132.05269230762</v>
      </c>
      <c r="G306" s="968">
        <f t="shared" si="5"/>
        <v>81641.506586538453</v>
      </c>
      <c r="H306" s="969"/>
    </row>
    <row r="307" spans="1:8">
      <c r="A307" s="971"/>
      <c r="B307" s="972"/>
      <c r="C307" s="973"/>
      <c r="D307" s="972"/>
      <c r="E307" s="972"/>
      <c r="F307" s="307"/>
      <c r="G307" s="307"/>
      <c r="H307" s="914"/>
    </row>
    <row r="308" spans="1:8">
      <c r="A308" s="313"/>
      <c r="B308" s="314" t="s">
        <v>2381</v>
      </c>
      <c r="C308" s="331" t="s">
        <v>2386</v>
      </c>
      <c r="D308" s="888" t="s">
        <v>2390</v>
      </c>
      <c r="E308" s="897"/>
      <c r="F308" s="325"/>
      <c r="G308" s="342">
        <f>G302+G303+G300</f>
        <v>9692103.2424594779</v>
      </c>
      <c r="H308" s="914"/>
    </row>
    <row r="309" spans="1:8">
      <c r="A309" s="313"/>
      <c r="B309" s="314" t="s">
        <v>369</v>
      </c>
      <c r="C309" s="890" t="s">
        <v>2387</v>
      </c>
      <c r="D309" s="888" t="s">
        <v>2391</v>
      </c>
      <c r="E309" s="897"/>
      <c r="F309" s="887">
        <f>6.5%*1.05</f>
        <v>6.8250000000000005E-2</v>
      </c>
      <c r="G309" s="325">
        <f>G308*F309</f>
        <v>661486.0462978594</v>
      </c>
      <c r="H309" s="914"/>
    </row>
    <row r="310" spans="1:8">
      <c r="A310" s="313"/>
      <c r="B310" s="314" t="s">
        <v>2383</v>
      </c>
      <c r="C310" s="890" t="s">
        <v>2388</v>
      </c>
      <c r="D310" s="888" t="s">
        <v>2392</v>
      </c>
      <c r="E310" s="897"/>
      <c r="F310" s="887">
        <v>0.06</v>
      </c>
      <c r="G310" s="325">
        <f>SUM(G308:G309)*F310</f>
        <v>621215.35732544016</v>
      </c>
      <c r="H310" s="914"/>
    </row>
    <row r="311" spans="1:8">
      <c r="A311" s="313"/>
      <c r="B311" s="314" t="s">
        <v>803</v>
      </c>
      <c r="C311" s="890" t="s">
        <v>2389</v>
      </c>
      <c r="D311" s="888" t="s">
        <v>2393</v>
      </c>
      <c r="E311" s="897"/>
      <c r="F311" s="325"/>
      <c r="G311" s="325">
        <f>SUM(G308:G310)</f>
        <v>10974804.646082778</v>
      </c>
      <c r="H311" s="914"/>
    </row>
    <row r="312" spans="1:8">
      <c r="A312" s="313"/>
      <c r="B312" s="314" t="s">
        <v>808</v>
      </c>
      <c r="C312" s="890" t="s">
        <v>2384</v>
      </c>
      <c r="D312" s="888" t="s">
        <v>2394</v>
      </c>
      <c r="E312" s="897"/>
      <c r="F312" s="887">
        <v>6.5000000000000002E-2</v>
      </c>
      <c r="G312" s="325">
        <f>G311*F312</f>
        <v>713362.30199538055</v>
      </c>
      <c r="H312" s="914"/>
    </row>
    <row r="313" spans="1:8">
      <c r="A313" s="313"/>
      <c r="B313" s="314" t="s">
        <v>2398</v>
      </c>
      <c r="C313" s="890" t="s">
        <v>2395</v>
      </c>
      <c r="D313" s="888" t="s">
        <v>2396</v>
      </c>
      <c r="E313" s="897"/>
      <c r="F313" s="887">
        <v>0.01</v>
      </c>
      <c r="G313" s="325">
        <f>G311*F313</f>
        <v>109748.04646082778</v>
      </c>
      <c r="H313" s="914"/>
    </row>
    <row r="314" spans="1:8">
      <c r="A314" s="313"/>
      <c r="B314" s="314" t="s">
        <v>2399</v>
      </c>
      <c r="C314" s="331" t="s">
        <v>2385</v>
      </c>
      <c r="D314" s="888" t="s">
        <v>2397</v>
      </c>
      <c r="E314" s="897"/>
      <c r="F314" s="887"/>
      <c r="G314" s="891">
        <f>SUM(G311:G313)</f>
        <v>11797914.994538985</v>
      </c>
      <c r="H314" s="914"/>
    </row>
    <row r="315" spans="1:8" ht="17" thickBot="1">
      <c r="A315" s="818"/>
      <c r="B315" s="819"/>
      <c r="C315" s="820"/>
      <c r="D315" s="821"/>
      <c r="E315" s="821"/>
      <c r="F315" s="822"/>
      <c r="G315" s="823"/>
      <c r="H315" s="924"/>
    </row>
    <row r="316" spans="1:8" ht="17" thickTop="1"/>
  </sheetData>
  <mergeCells count="2">
    <mergeCell ref="A1:H1"/>
    <mergeCell ref="H51:H52"/>
  </mergeCells>
  <pageMargins left="0.70866141732283472" right="0.19685039370078741" top="0.51181102362204722" bottom="0.51181102362204722" header="0.31496062992125984" footer="0.31496062992125984"/>
  <pageSetup paperSize="9" scale="69" orientation="portrait" r:id="rId1"/>
  <colBreaks count="1" manualBreakCount="1">
    <brk id="8" max="29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view="pageBreakPreview" topLeftCell="B1" zoomScale="60" zoomScaleNormal="100" workbookViewId="0">
      <selection activeCell="J30" sqref="I30:J30"/>
    </sheetView>
  </sheetViews>
  <sheetFormatPr defaultColWidth="8.25" defaultRowHeight="12.5"/>
  <cols>
    <col min="1" max="1" width="0" style="35" hidden="1" customWidth="1"/>
    <col min="2" max="2" width="4.08203125" style="36" customWidth="1"/>
    <col min="3" max="3" width="10.25" style="36" customWidth="1"/>
    <col min="4" max="4" width="16.25" style="36" customWidth="1"/>
    <col min="5" max="5" width="6" style="36" customWidth="1"/>
    <col min="6" max="6" width="6.58203125" style="36" customWidth="1"/>
    <col min="7" max="7" width="10.33203125" style="36" customWidth="1"/>
    <col min="8" max="8" width="9.58203125" style="36" customWidth="1"/>
    <col min="9" max="9" width="9.83203125" style="36" customWidth="1"/>
    <col min="10" max="10" width="9.08203125" style="36" customWidth="1"/>
    <col min="11" max="11" width="10.25" style="36" customWidth="1"/>
    <col min="12" max="12" width="10.08203125" style="36" customWidth="1"/>
    <col min="13" max="13" width="12.58203125" style="36" customWidth="1"/>
    <col min="14" max="14" width="10.25" style="36" customWidth="1"/>
    <col min="15" max="16" width="0" style="36" hidden="1" customWidth="1"/>
    <col min="17" max="17" width="14" style="36" hidden="1" customWidth="1"/>
    <col min="18" max="257" width="8.25" style="36"/>
    <col min="258" max="258" width="4.08203125" style="36" customWidth="1"/>
    <col min="259" max="259" width="10.25" style="36" customWidth="1"/>
    <col min="260" max="260" width="16.25" style="36" customWidth="1"/>
    <col min="261" max="261" width="6" style="36" customWidth="1"/>
    <col min="262" max="262" width="6.58203125" style="36" customWidth="1"/>
    <col min="263" max="263" width="10.33203125" style="36" customWidth="1"/>
    <col min="264" max="264" width="9.58203125" style="36" customWidth="1"/>
    <col min="265" max="265" width="9.83203125" style="36" customWidth="1"/>
    <col min="266" max="266" width="9.08203125" style="36" customWidth="1"/>
    <col min="267" max="267" width="10.25" style="36" customWidth="1"/>
    <col min="268" max="268" width="10.08203125" style="36" customWidth="1"/>
    <col min="269" max="269" width="12.58203125" style="36" customWidth="1"/>
    <col min="270" max="270" width="10.25" style="36" customWidth="1"/>
    <col min="271" max="272" width="8.25" style="36"/>
    <col min="273" max="273" width="14" style="36" customWidth="1"/>
    <col min="274" max="513" width="8.25" style="36"/>
    <col min="514" max="514" width="4.08203125" style="36" customWidth="1"/>
    <col min="515" max="515" width="10.25" style="36" customWidth="1"/>
    <col min="516" max="516" width="16.25" style="36" customWidth="1"/>
    <col min="517" max="517" width="6" style="36" customWidth="1"/>
    <col min="518" max="518" width="6.58203125" style="36" customWidth="1"/>
    <col min="519" max="519" width="10.33203125" style="36" customWidth="1"/>
    <col min="520" max="520" width="9.58203125" style="36" customWidth="1"/>
    <col min="521" max="521" width="9.83203125" style="36" customWidth="1"/>
    <col min="522" max="522" width="9.08203125" style="36" customWidth="1"/>
    <col min="523" max="523" width="10.25" style="36" customWidth="1"/>
    <col min="524" max="524" width="10.08203125" style="36" customWidth="1"/>
    <col min="525" max="525" width="12.58203125" style="36" customWidth="1"/>
    <col min="526" max="526" width="10.25" style="36" customWidth="1"/>
    <col min="527" max="528" width="8.25" style="36"/>
    <col min="529" max="529" width="14" style="36" customWidth="1"/>
    <col min="530" max="769" width="8.25" style="36"/>
    <col min="770" max="770" width="4.08203125" style="36" customWidth="1"/>
    <col min="771" max="771" width="10.25" style="36" customWidth="1"/>
    <col min="772" max="772" width="16.25" style="36" customWidth="1"/>
    <col min="773" max="773" width="6" style="36" customWidth="1"/>
    <col min="774" max="774" width="6.58203125" style="36" customWidth="1"/>
    <col min="775" max="775" width="10.33203125" style="36" customWidth="1"/>
    <col min="776" max="776" width="9.58203125" style="36" customWidth="1"/>
    <col min="777" max="777" width="9.83203125" style="36" customWidth="1"/>
    <col min="778" max="778" width="9.08203125" style="36" customWidth="1"/>
    <col min="779" max="779" width="10.25" style="36" customWidth="1"/>
    <col min="780" max="780" width="10.08203125" style="36" customWidth="1"/>
    <col min="781" max="781" width="12.58203125" style="36" customWidth="1"/>
    <col min="782" max="782" width="10.25" style="36" customWidth="1"/>
    <col min="783" max="784" width="8.25" style="36"/>
    <col min="785" max="785" width="14" style="36" customWidth="1"/>
    <col min="786" max="1025" width="8.25" style="36"/>
    <col min="1026" max="1026" width="4.08203125" style="36" customWidth="1"/>
    <col min="1027" max="1027" width="10.25" style="36" customWidth="1"/>
    <col min="1028" max="1028" width="16.25" style="36" customWidth="1"/>
    <col min="1029" max="1029" width="6" style="36" customWidth="1"/>
    <col min="1030" max="1030" width="6.58203125" style="36" customWidth="1"/>
    <col min="1031" max="1031" width="10.33203125" style="36" customWidth="1"/>
    <col min="1032" max="1032" width="9.58203125" style="36" customWidth="1"/>
    <col min="1033" max="1033" width="9.83203125" style="36" customWidth="1"/>
    <col min="1034" max="1034" width="9.08203125" style="36" customWidth="1"/>
    <col min="1035" max="1035" width="10.25" style="36" customWidth="1"/>
    <col min="1036" max="1036" width="10.08203125" style="36" customWidth="1"/>
    <col min="1037" max="1037" width="12.58203125" style="36" customWidth="1"/>
    <col min="1038" max="1038" width="10.25" style="36" customWidth="1"/>
    <col min="1039" max="1040" width="8.25" style="36"/>
    <col min="1041" max="1041" width="14" style="36" customWidth="1"/>
    <col min="1042" max="1281" width="8.25" style="36"/>
    <col min="1282" max="1282" width="4.08203125" style="36" customWidth="1"/>
    <col min="1283" max="1283" width="10.25" style="36" customWidth="1"/>
    <col min="1284" max="1284" width="16.25" style="36" customWidth="1"/>
    <col min="1285" max="1285" width="6" style="36" customWidth="1"/>
    <col min="1286" max="1286" width="6.58203125" style="36" customWidth="1"/>
    <col min="1287" max="1287" width="10.33203125" style="36" customWidth="1"/>
    <col min="1288" max="1288" width="9.58203125" style="36" customWidth="1"/>
    <col min="1289" max="1289" width="9.83203125" style="36" customWidth="1"/>
    <col min="1290" max="1290" width="9.08203125" style="36" customWidth="1"/>
    <col min="1291" max="1291" width="10.25" style="36" customWidth="1"/>
    <col min="1292" max="1292" width="10.08203125" style="36" customWidth="1"/>
    <col min="1293" max="1293" width="12.58203125" style="36" customWidth="1"/>
    <col min="1294" max="1294" width="10.25" style="36" customWidth="1"/>
    <col min="1295" max="1296" width="8.25" style="36"/>
    <col min="1297" max="1297" width="14" style="36" customWidth="1"/>
    <col min="1298" max="1537" width="8.25" style="36"/>
    <col min="1538" max="1538" width="4.08203125" style="36" customWidth="1"/>
    <col min="1539" max="1539" width="10.25" style="36" customWidth="1"/>
    <col min="1540" max="1540" width="16.25" style="36" customWidth="1"/>
    <col min="1541" max="1541" width="6" style="36" customWidth="1"/>
    <col min="1542" max="1542" width="6.58203125" style="36" customWidth="1"/>
    <col min="1543" max="1543" width="10.33203125" style="36" customWidth="1"/>
    <col min="1544" max="1544" width="9.58203125" style="36" customWidth="1"/>
    <col min="1545" max="1545" width="9.83203125" style="36" customWidth="1"/>
    <col min="1546" max="1546" width="9.08203125" style="36" customWidth="1"/>
    <col min="1547" max="1547" width="10.25" style="36" customWidth="1"/>
    <col min="1548" max="1548" width="10.08203125" style="36" customWidth="1"/>
    <col min="1549" max="1549" width="12.58203125" style="36" customWidth="1"/>
    <col min="1550" max="1550" width="10.25" style="36" customWidth="1"/>
    <col min="1551" max="1552" width="8.25" style="36"/>
    <col min="1553" max="1553" width="14" style="36" customWidth="1"/>
    <col min="1554" max="1793" width="8.25" style="36"/>
    <col min="1794" max="1794" width="4.08203125" style="36" customWidth="1"/>
    <col min="1795" max="1795" width="10.25" style="36" customWidth="1"/>
    <col min="1796" max="1796" width="16.25" style="36" customWidth="1"/>
    <col min="1797" max="1797" width="6" style="36" customWidth="1"/>
    <col min="1798" max="1798" width="6.58203125" style="36" customWidth="1"/>
    <col min="1799" max="1799" width="10.33203125" style="36" customWidth="1"/>
    <col min="1800" max="1800" width="9.58203125" style="36" customWidth="1"/>
    <col min="1801" max="1801" width="9.83203125" style="36" customWidth="1"/>
    <col min="1802" max="1802" width="9.08203125" style="36" customWidth="1"/>
    <col min="1803" max="1803" width="10.25" style="36" customWidth="1"/>
    <col min="1804" max="1804" width="10.08203125" style="36" customWidth="1"/>
    <col min="1805" max="1805" width="12.58203125" style="36" customWidth="1"/>
    <col min="1806" max="1806" width="10.25" style="36" customWidth="1"/>
    <col min="1807" max="1808" width="8.25" style="36"/>
    <col min="1809" max="1809" width="14" style="36" customWidth="1"/>
    <col min="1810" max="2049" width="8.25" style="36"/>
    <col min="2050" max="2050" width="4.08203125" style="36" customWidth="1"/>
    <col min="2051" max="2051" width="10.25" style="36" customWidth="1"/>
    <col min="2052" max="2052" width="16.25" style="36" customWidth="1"/>
    <col min="2053" max="2053" width="6" style="36" customWidth="1"/>
    <col min="2054" max="2054" width="6.58203125" style="36" customWidth="1"/>
    <col min="2055" max="2055" width="10.33203125" style="36" customWidth="1"/>
    <col min="2056" max="2056" width="9.58203125" style="36" customWidth="1"/>
    <col min="2057" max="2057" width="9.83203125" style="36" customWidth="1"/>
    <col min="2058" max="2058" width="9.08203125" style="36" customWidth="1"/>
    <col min="2059" max="2059" width="10.25" style="36" customWidth="1"/>
    <col min="2060" max="2060" width="10.08203125" style="36" customWidth="1"/>
    <col min="2061" max="2061" width="12.58203125" style="36" customWidth="1"/>
    <col min="2062" max="2062" width="10.25" style="36" customWidth="1"/>
    <col min="2063" max="2064" width="8.25" style="36"/>
    <col min="2065" max="2065" width="14" style="36" customWidth="1"/>
    <col min="2066" max="2305" width="8.25" style="36"/>
    <col min="2306" max="2306" width="4.08203125" style="36" customWidth="1"/>
    <col min="2307" max="2307" width="10.25" style="36" customWidth="1"/>
    <col min="2308" max="2308" width="16.25" style="36" customWidth="1"/>
    <col min="2309" max="2309" width="6" style="36" customWidth="1"/>
    <col min="2310" max="2310" width="6.58203125" style="36" customWidth="1"/>
    <col min="2311" max="2311" width="10.33203125" style="36" customWidth="1"/>
    <col min="2312" max="2312" width="9.58203125" style="36" customWidth="1"/>
    <col min="2313" max="2313" width="9.83203125" style="36" customWidth="1"/>
    <col min="2314" max="2314" width="9.08203125" style="36" customWidth="1"/>
    <col min="2315" max="2315" width="10.25" style="36" customWidth="1"/>
    <col min="2316" max="2316" width="10.08203125" style="36" customWidth="1"/>
    <col min="2317" max="2317" width="12.58203125" style="36" customWidth="1"/>
    <col min="2318" max="2318" width="10.25" style="36" customWidth="1"/>
    <col min="2319" max="2320" width="8.25" style="36"/>
    <col min="2321" max="2321" width="14" style="36" customWidth="1"/>
    <col min="2322" max="2561" width="8.25" style="36"/>
    <col min="2562" max="2562" width="4.08203125" style="36" customWidth="1"/>
    <col min="2563" max="2563" width="10.25" style="36" customWidth="1"/>
    <col min="2564" max="2564" width="16.25" style="36" customWidth="1"/>
    <col min="2565" max="2565" width="6" style="36" customWidth="1"/>
    <col min="2566" max="2566" width="6.58203125" style="36" customWidth="1"/>
    <col min="2567" max="2567" width="10.33203125" style="36" customWidth="1"/>
    <col min="2568" max="2568" width="9.58203125" style="36" customWidth="1"/>
    <col min="2569" max="2569" width="9.83203125" style="36" customWidth="1"/>
    <col min="2570" max="2570" width="9.08203125" style="36" customWidth="1"/>
    <col min="2571" max="2571" width="10.25" style="36" customWidth="1"/>
    <col min="2572" max="2572" width="10.08203125" style="36" customWidth="1"/>
    <col min="2573" max="2573" width="12.58203125" style="36" customWidth="1"/>
    <col min="2574" max="2574" width="10.25" style="36" customWidth="1"/>
    <col min="2575" max="2576" width="8.25" style="36"/>
    <col min="2577" max="2577" width="14" style="36" customWidth="1"/>
    <col min="2578" max="2817" width="8.25" style="36"/>
    <col min="2818" max="2818" width="4.08203125" style="36" customWidth="1"/>
    <col min="2819" max="2819" width="10.25" style="36" customWidth="1"/>
    <col min="2820" max="2820" width="16.25" style="36" customWidth="1"/>
    <col min="2821" max="2821" width="6" style="36" customWidth="1"/>
    <col min="2822" max="2822" width="6.58203125" style="36" customWidth="1"/>
    <col min="2823" max="2823" width="10.33203125" style="36" customWidth="1"/>
    <col min="2824" max="2824" width="9.58203125" style="36" customWidth="1"/>
    <col min="2825" max="2825" width="9.83203125" style="36" customWidth="1"/>
    <col min="2826" max="2826" width="9.08203125" style="36" customWidth="1"/>
    <col min="2827" max="2827" width="10.25" style="36" customWidth="1"/>
    <col min="2828" max="2828" width="10.08203125" style="36" customWidth="1"/>
    <col min="2829" max="2829" width="12.58203125" style="36" customWidth="1"/>
    <col min="2830" max="2830" width="10.25" style="36" customWidth="1"/>
    <col min="2831" max="2832" width="8.25" style="36"/>
    <col min="2833" max="2833" width="14" style="36" customWidth="1"/>
    <col min="2834" max="3073" width="8.25" style="36"/>
    <col min="3074" max="3074" width="4.08203125" style="36" customWidth="1"/>
    <col min="3075" max="3075" width="10.25" style="36" customWidth="1"/>
    <col min="3076" max="3076" width="16.25" style="36" customWidth="1"/>
    <col min="3077" max="3077" width="6" style="36" customWidth="1"/>
    <col min="3078" max="3078" width="6.58203125" style="36" customWidth="1"/>
    <col min="3079" max="3079" width="10.33203125" style="36" customWidth="1"/>
    <col min="3080" max="3080" width="9.58203125" style="36" customWidth="1"/>
    <col min="3081" max="3081" width="9.83203125" style="36" customWidth="1"/>
    <col min="3082" max="3082" width="9.08203125" style="36" customWidth="1"/>
    <col min="3083" max="3083" width="10.25" style="36" customWidth="1"/>
    <col min="3084" max="3084" width="10.08203125" style="36" customWidth="1"/>
    <col min="3085" max="3085" width="12.58203125" style="36" customWidth="1"/>
    <col min="3086" max="3086" width="10.25" style="36" customWidth="1"/>
    <col min="3087" max="3088" width="8.25" style="36"/>
    <col min="3089" max="3089" width="14" style="36" customWidth="1"/>
    <col min="3090" max="3329" width="8.25" style="36"/>
    <col min="3330" max="3330" width="4.08203125" style="36" customWidth="1"/>
    <col min="3331" max="3331" width="10.25" style="36" customWidth="1"/>
    <col min="3332" max="3332" width="16.25" style="36" customWidth="1"/>
    <col min="3333" max="3333" width="6" style="36" customWidth="1"/>
    <col min="3334" max="3334" width="6.58203125" style="36" customWidth="1"/>
    <col min="3335" max="3335" width="10.33203125" style="36" customWidth="1"/>
    <col min="3336" max="3336" width="9.58203125" style="36" customWidth="1"/>
    <col min="3337" max="3337" width="9.83203125" style="36" customWidth="1"/>
    <col min="3338" max="3338" width="9.08203125" style="36" customWidth="1"/>
    <col min="3339" max="3339" width="10.25" style="36" customWidth="1"/>
    <col min="3340" max="3340" width="10.08203125" style="36" customWidth="1"/>
    <col min="3341" max="3341" width="12.58203125" style="36" customWidth="1"/>
    <col min="3342" max="3342" width="10.25" style="36" customWidth="1"/>
    <col min="3343" max="3344" width="8.25" style="36"/>
    <col min="3345" max="3345" width="14" style="36" customWidth="1"/>
    <col min="3346" max="3585" width="8.25" style="36"/>
    <col min="3586" max="3586" width="4.08203125" style="36" customWidth="1"/>
    <col min="3587" max="3587" width="10.25" style="36" customWidth="1"/>
    <col min="3588" max="3588" width="16.25" style="36" customWidth="1"/>
    <col min="3589" max="3589" width="6" style="36" customWidth="1"/>
    <col min="3590" max="3590" width="6.58203125" style="36" customWidth="1"/>
    <col min="3591" max="3591" width="10.33203125" style="36" customWidth="1"/>
    <col min="3592" max="3592" width="9.58203125" style="36" customWidth="1"/>
    <col min="3593" max="3593" width="9.83203125" style="36" customWidth="1"/>
    <col min="3594" max="3594" width="9.08203125" style="36" customWidth="1"/>
    <col min="3595" max="3595" width="10.25" style="36" customWidth="1"/>
    <col min="3596" max="3596" width="10.08203125" style="36" customWidth="1"/>
    <col min="3597" max="3597" width="12.58203125" style="36" customWidth="1"/>
    <col min="3598" max="3598" width="10.25" style="36" customWidth="1"/>
    <col min="3599" max="3600" width="8.25" style="36"/>
    <col min="3601" max="3601" width="14" style="36" customWidth="1"/>
    <col min="3602" max="3841" width="8.25" style="36"/>
    <col min="3842" max="3842" width="4.08203125" style="36" customWidth="1"/>
    <col min="3843" max="3843" width="10.25" style="36" customWidth="1"/>
    <col min="3844" max="3844" width="16.25" style="36" customWidth="1"/>
    <col min="3845" max="3845" width="6" style="36" customWidth="1"/>
    <col min="3846" max="3846" width="6.58203125" style="36" customWidth="1"/>
    <col min="3847" max="3847" width="10.33203125" style="36" customWidth="1"/>
    <col min="3848" max="3848" width="9.58203125" style="36" customWidth="1"/>
    <col min="3849" max="3849" width="9.83203125" style="36" customWidth="1"/>
    <col min="3850" max="3850" width="9.08203125" style="36" customWidth="1"/>
    <col min="3851" max="3851" width="10.25" style="36" customWidth="1"/>
    <col min="3852" max="3852" width="10.08203125" style="36" customWidth="1"/>
    <col min="3853" max="3853" width="12.58203125" style="36" customWidth="1"/>
    <col min="3854" max="3854" width="10.25" style="36" customWidth="1"/>
    <col min="3855" max="3856" width="8.25" style="36"/>
    <col min="3857" max="3857" width="14" style="36" customWidth="1"/>
    <col min="3858" max="4097" width="8.25" style="36"/>
    <col min="4098" max="4098" width="4.08203125" style="36" customWidth="1"/>
    <col min="4099" max="4099" width="10.25" style="36" customWidth="1"/>
    <col min="4100" max="4100" width="16.25" style="36" customWidth="1"/>
    <col min="4101" max="4101" width="6" style="36" customWidth="1"/>
    <col min="4102" max="4102" width="6.58203125" style="36" customWidth="1"/>
    <col min="4103" max="4103" width="10.33203125" style="36" customWidth="1"/>
    <col min="4104" max="4104" width="9.58203125" style="36" customWidth="1"/>
    <col min="4105" max="4105" width="9.83203125" style="36" customWidth="1"/>
    <col min="4106" max="4106" width="9.08203125" style="36" customWidth="1"/>
    <col min="4107" max="4107" width="10.25" style="36" customWidth="1"/>
    <col min="4108" max="4108" width="10.08203125" style="36" customWidth="1"/>
    <col min="4109" max="4109" width="12.58203125" style="36" customWidth="1"/>
    <col min="4110" max="4110" width="10.25" style="36" customWidth="1"/>
    <col min="4111" max="4112" width="8.25" style="36"/>
    <col min="4113" max="4113" width="14" style="36" customWidth="1"/>
    <col min="4114" max="4353" width="8.25" style="36"/>
    <col min="4354" max="4354" width="4.08203125" style="36" customWidth="1"/>
    <col min="4355" max="4355" width="10.25" style="36" customWidth="1"/>
    <col min="4356" max="4356" width="16.25" style="36" customWidth="1"/>
    <col min="4357" max="4357" width="6" style="36" customWidth="1"/>
    <col min="4358" max="4358" width="6.58203125" style="36" customWidth="1"/>
    <col min="4359" max="4359" width="10.33203125" style="36" customWidth="1"/>
    <col min="4360" max="4360" width="9.58203125" style="36" customWidth="1"/>
    <col min="4361" max="4361" width="9.83203125" style="36" customWidth="1"/>
    <col min="4362" max="4362" width="9.08203125" style="36" customWidth="1"/>
    <col min="4363" max="4363" width="10.25" style="36" customWidth="1"/>
    <col min="4364" max="4364" width="10.08203125" style="36" customWidth="1"/>
    <col min="4365" max="4365" width="12.58203125" style="36" customWidth="1"/>
    <col min="4366" max="4366" width="10.25" style="36" customWidth="1"/>
    <col min="4367" max="4368" width="8.25" style="36"/>
    <col min="4369" max="4369" width="14" style="36" customWidth="1"/>
    <col min="4370" max="4609" width="8.25" style="36"/>
    <col min="4610" max="4610" width="4.08203125" style="36" customWidth="1"/>
    <col min="4611" max="4611" width="10.25" style="36" customWidth="1"/>
    <col min="4612" max="4612" width="16.25" style="36" customWidth="1"/>
    <col min="4613" max="4613" width="6" style="36" customWidth="1"/>
    <col min="4614" max="4614" width="6.58203125" style="36" customWidth="1"/>
    <col min="4615" max="4615" width="10.33203125" style="36" customWidth="1"/>
    <col min="4616" max="4616" width="9.58203125" style="36" customWidth="1"/>
    <col min="4617" max="4617" width="9.83203125" style="36" customWidth="1"/>
    <col min="4618" max="4618" width="9.08203125" style="36" customWidth="1"/>
    <col min="4619" max="4619" width="10.25" style="36" customWidth="1"/>
    <col min="4620" max="4620" width="10.08203125" style="36" customWidth="1"/>
    <col min="4621" max="4621" width="12.58203125" style="36" customWidth="1"/>
    <col min="4622" max="4622" width="10.25" style="36" customWidth="1"/>
    <col min="4623" max="4624" width="8.25" style="36"/>
    <col min="4625" max="4625" width="14" style="36" customWidth="1"/>
    <col min="4626" max="4865" width="8.25" style="36"/>
    <col min="4866" max="4866" width="4.08203125" style="36" customWidth="1"/>
    <col min="4867" max="4867" width="10.25" style="36" customWidth="1"/>
    <col min="4868" max="4868" width="16.25" style="36" customWidth="1"/>
    <col min="4869" max="4869" width="6" style="36" customWidth="1"/>
    <col min="4870" max="4870" width="6.58203125" style="36" customWidth="1"/>
    <col min="4871" max="4871" width="10.33203125" style="36" customWidth="1"/>
    <col min="4872" max="4872" width="9.58203125" style="36" customWidth="1"/>
    <col min="4873" max="4873" width="9.83203125" style="36" customWidth="1"/>
    <col min="4874" max="4874" width="9.08203125" style="36" customWidth="1"/>
    <col min="4875" max="4875" width="10.25" style="36" customWidth="1"/>
    <col min="4876" max="4876" width="10.08203125" style="36" customWidth="1"/>
    <col min="4877" max="4877" width="12.58203125" style="36" customWidth="1"/>
    <col min="4878" max="4878" width="10.25" style="36" customWidth="1"/>
    <col min="4879" max="4880" width="8.25" style="36"/>
    <col min="4881" max="4881" width="14" style="36" customWidth="1"/>
    <col min="4882" max="5121" width="8.25" style="36"/>
    <col min="5122" max="5122" width="4.08203125" style="36" customWidth="1"/>
    <col min="5123" max="5123" width="10.25" style="36" customWidth="1"/>
    <col min="5124" max="5124" width="16.25" style="36" customWidth="1"/>
    <col min="5125" max="5125" width="6" style="36" customWidth="1"/>
    <col min="5126" max="5126" width="6.58203125" style="36" customWidth="1"/>
    <col min="5127" max="5127" width="10.33203125" style="36" customWidth="1"/>
    <col min="5128" max="5128" width="9.58203125" style="36" customWidth="1"/>
    <col min="5129" max="5129" width="9.83203125" style="36" customWidth="1"/>
    <col min="5130" max="5130" width="9.08203125" style="36" customWidth="1"/>
    <col min="5131" max="5131" width="10.25" style="36" customWidth="1"/>
    <col min="5132" max="5132" width="10.08203125" style="36" customWidth="1"/>
    <col min="5133" max="5133" width="12.58203125" style="36" customWidth="1"/>
    <col min="5134" max="5134" width="10.25" style="36" customWidth="1"/>
    <col min="5135" max="5136" width="8.25" style="36"/>
    <col min="5137" max="5137" width="14" style="36" customWidth="1"/>
    <col min="5138" max="5377" width="8.25" style="36"/>
    <col min="5378" max="5378" width="4.08203125" style="36" customWidth="1"/>
    <col min="5379" max="5379" width="10.25" style="36" customWidth="1"/>
    <col min="5380" max="5380" width="16.25" style="36" customWidth="1"/>
    <col min="5381" max="5381" width="6" style="36" customWidth="1"/>
    <col min="5382" max="5382" width="6.58203125" style="36" customWidth="1"/>
    <col min="5383" max="5383" width="10.33203125" style="36" customWidth="1"/>
    <col min="5384" max="5384" width="9.58203125" style="36" customWidth="1"/>
    <col min="5385" max="5385" width="9.83203125" style="36" customWidth="1"/>
    <col min="5386" max="5386" width="9.08203125" style="36" customWidth="1"/>
    <col min="5387" max="5387" width="10.25" style="36" customWidth="1"/>
    <col min="5388" max="5388" width="10.08203125" style="36" customWidth="1"/>
    <col min="5389" max="5389" width="12.58203125" style="36" customWidth="1"/>
    <col min="5390" max="5390" width="10.25" style="36" customWidth="1"/>
    <col min="5391" max="5392" width="8.25" style="36"/>
    <col min="5393" max="5393" width="14" style="36" customWidth="1"/>
    <col min="5394" max="5633" width="8.25" style="36"/>
    <col min="5634" max="5634" width="4.08203125" style="36" customWidth="1"/>
    <col min="5635" max="5635" width="10.25" style="36" customWidth="1"/>
    <col min="5636" max="5636" width="16.25" style="36" customWidth="1"/>
    <col min="5637" max="5637" width="6" style="36" customWidth="1"/>
    <col min="5638" max="5638" width="6.58203125" style="36" customWidth="1"/>
    <col min="5639" max="5639" width="10.33203125" style="36" customWidth="1"/>
    <col min="5640" max="5640" width="9.58203125" style="36" customWidth="1"/>
    <col min="5641" max="5641" width="9.83203125" style="36" customWidth="1"/>
    <col min="5642" max="5642" width="9.08203125" style="36" customWidth="1"/>
    <col min="5643" max="5643" width="10.25" style="36" customWidth="1"/>
    <col min="5644" max="5644" width="10.08203125" style="36" customWidth="1"/>
    <col min="5645" max="5645" width="12.58203125" style="36" customWidth="1"/>
    <col min="5646" max="5646" width="10.25" style="36" customWidth="1"/>
    <col min="5647" max="5648" width="8.25" style="36"/>
    <col min="5649" max="5649" width="14" style="36" customWidth="1"/>
    <col min="5650" max="5889" width="8.25" style="36"/>
    <col min="5890" max="5890" width="4.08203125" style="36" customWidth="1"/>
    <col min="5891" max="5891" width="10.25" style="36" customWidth="1"/>
    <col min="5892" max="5892" width="16.25" style="36" customWidth="1"/>
    <col min="5893" max="5893" width="6" style="36" customWidth="1"/>
    <col min="5894" max="5894" width="6.58203125" style="36" customWidth="1"/>
    <col min="5895" max="5895" width="10.33203125" style="36" customWidth="1"/>
    <col min="5896" max="5896" width="9.58203125" style="36" customWidth="1"/>
    <col min="5897" max="5897" width="9.83203125" style="36" customWidth="1"/>
    <col min="5898" max="5898" width="9.08203125" style="36" customWidth="1"/>
    <col min="5899" max="5899" width="10.25" style="36" customWidth="1"/>
    <col min="5900" max="5900" width="10.08203125" style="36" customWidth="1"/>
    <col min="5901" max="5901" width="12.58203125" style="36" customWidth="1"/>
    <col min="5902" max="5902" width="10.25" style="36" customWidth="1"/>
    <col min="5903" max="5904" width="8.25" style="36"/>
    <col min="5905" max="5905" width="14" style="36" customWidth="1"/>
    <col min="5906" max="6145" width="8.25" style="36"/>
    <col min="6146" max="6146" width="4.08203125" style="36" customWidth="1"/>
    <col min="6147" max="6147" width="10.25" style="36" customWidth="1"/>
    <col min="6148" max="6148" width="16.25" style="36" customWidth="1"/>
    <col min="6149" max="6149" width="6" style="36" customWidth="1"/>
    <col min="6150" max="6150" width="6.58203125" style="36" customWidth="1"/>
    <col min="6151" max="6151" width="10.33203125" style="36" customWidth="1"/>
    <col min="6152" max="6152" width="9.58203125" style="36" customWidth="1"/>
    <col min="6153" max="6153" width="9.83203125" style="36" customWidth="1"/>
    <col min="6154" max="6154" width="9.08203125" style="36" customWidth="1"/>
    <col min="6155" max="6155" width="10.25" style="36" customWidth="1"/>
    <col min="6156" max="6156" width="10.08203125" style="36" customWidth="1"/>
    <col min="6157" max="6157" width="12.58203125" style="36" customWidth="1"/>
    <col min="6158" max="6158" width="10.25" style="36" customWidth="1"/>
    <col min="6159" max="6160" width="8.25" style="36"/>
    <col min="6161" max="6161" width="14" style="36" customWidth="1"/>
    <col min="6162" max="6401" width="8.25" style="36"/>
    <col min="6402" max="6402" width="4.08203125" style="36" customWidth="1"/>
    <col min="6403" max="6403" width="10.25" style="36" customWidth="1"/>
    <col min="6404" max="6404" width="16.25" style="36" customWidth="1"/>
    <col min="6405" max="6405" width="6" style="36" customWidth="1"/>
    <col min="6406" max="6406" width="6.58203125" style="36" customWidth="1"/>
    <col min="6407" max="6407" width="10.33203125" style="36" customWidth="1"/>
    <col min="6408" max="6408" width="9.58203125" style="36" customWidth="1"/>
    <col min="6409" max="6409" width="9.83203125" style="36" customWidth="1"/>
    <col min="6410" max="6410" width="9.08203125" style="36" customWidth="1"/>
    <col min="6411" max="6411" width="10.25" style="36" customWidth="1"/>
    <col min="6412" max="6412" width="10.08203125" style="36" customWidth="1"/>
    <col min="6413" max="6413" width="12.58203125" style="36" customWidth="1"/>
    <col min="6414" max="6414" width="10.25" style="36" customWidth="1"/>
    <col min="6415" max="6416" width="8.25" style="36"/>
    <col min="6417" max="6417" width="14" style="36" customWidth="1"/>
    <col min="6418" max="6657" width="8.25" style="36"/>
    <col min="6658" max="6658" width="4.08203125" style="36" customWidth="1"/>
    <col min="6659" max="6659" width="10.25" style="36" customWidth="1"/>
    <col min="6660" max="6660" width="16.25" style="36" customWidth="1"/>
    <col min="6661" max="6661" width="6" style="36" customWidth="1"/>
    <col min="6662" max="6662" width="6.58203125" style="36" customWidth="1"/>
    <col min="6663" max="6663" width="10.33203125" style="36" customWidth="1"/>
    <col min="6664" max="6664" width="9.58203125" style="36" customWidth="1"/>
    <col min="6665" max="6665" width="9.83203125" style="36" customWidth="1"/>
    <col min="6666" max="6666" width="9.08203125" style="36" customWidth="1"/>
    <col min="6667" max="6667" width="10.25" style="36" customWidth="1"/>
    <col min="6668" max="6668" width="10.08203125" style="36" customWidth="1"/>
    <col min="6669" max="6669" width="12.58203125" style="36" customWidth="1"/>
    <col min="6670" max="6670" width="10.25" style="36" customWidth="1"/>
    <col min="6671" max="6672" width="8.25" style="36"/>
    <col min="6673" max="6673" width="14" style="36" customWidth="1"/>
    <col min="6674" max="6913" width="8.25" style="36"/>
    <col min="6914" max="6914" width="4.08203125" style="36" customWidth="1"/>
    <col min="6915" max="6915" width="10.25" style="36" customWidth="1"/>
    <col min="6916" max="6916" width="16.25" style="36" customWidth="1"/>
    <col min="6917" max="6917" width="6" style="36" customWidth="1"/>
    <col min="6918" max="6918" width="6.58203125" style="36" customWidth="1"/>
    <col min="6919" max="6919" width="10.33203125" style="36" customWidth="1"/>
    <col min="6920" max="6920" width="9.58203125" style="36" customWidth="1"/>
    <col min="6921" max="6921" width="9.83203125" style="36" customWidth="1"/>
    <col min="6922" max="6922" width="9.08203125" style="36" customWidth="1"/>
    <col min="6923" max="6923" width="10.25" style="36" customWidth="1"/>
    <col min="6924" max="6924" width="10.08203125" style="36" customWidth="1"/>
    <col min="6925" max="6925" width="12.58203125" style="36" customWidth="1"/>
    <col min="6926" max="6926" width="10.25" style="36" customWidth="1"/>
    <col min="6927" max="6928" width="8.25" style="36"/>
    <col min="6929" max="6929" width="14" style="36" customWidth="1"/>
    <col min="6930" max="7169" width="8.25" style="36"/>
    <col min="7170" max="7170" width="4.08203125" style="36" customWidth="1"/>
    <col min="7171" max="7171" width="10.25" style="36" customWidth="1"/>
    <col min="7172" max="7172" width="16.25" style="36" customWidth="1"/>
    <col min="7173" max="7173" width="6" style="36" customWidth="1"/>
    <col min="7174" max="7174" width="6.58203125" style="36" customWidth="1"/>
    <col min="7175" max="7175" width="10.33203125" style="36" customWidth="1"/>
    <col min="7176" max="7176" width="9.58203125" style="36" customWidth="1"/>
    <col min="7177" max="7177" width="9.83203125" style="36" customWidth="1"/>
    <col min="7178" max="7178" width="9.08203125" style="36" customWidth="1"/>
    <col min="7179" max="7179" width="10.25" style="36" customWidth="1"/>
    <col min="7180" max="7180" width="10.08203125" style="36" customWidth="1"/>
    <col min="7181" max="7181" width="12.58203125" style="36" customWidth="1"/>
    <col min="7182" max="7182" width="10.25" style="36" customWidth="1"/>
    <col min="7183" max="7184" width="8.25" style="36"/>
    <col min="7185" max="7185" width="14" style="36" customWidth="1"/>
    <col min="7186" max="7425" width="8.25" style="36"/>
    <col min="7426" max="7426" width="4.08203125" style="36" customWidth="1"/>
    <col min="7427" max="7427" width="10.25" style="36" customWidth="1"/>
    <col min="7428" max="7428" width="16.25" style="36" customWidth="1"/>
    <col min="7429" max="7429" width="6" style="36" customWidth="1"/>
    <col min="7430" max="7430" width="6.58203125" style="36" customWidth="1"/>
    <col min="7431" max="7431" width="10.33203125" style="36" customWidth="1"/>
    <col min="7432" max="7432" width="9.58203125" style="36" customWidth="1"/>
    <col min="7433" max="7433" width="9.83203125" style="36" customWidth="1"/>
    <col min="7434" max="7434" width="9.08203125" style="36" customWidth="1"/>
    <col min="7435" max="7435" width="10.25" style="36" customWidth="1"/>
    <col min="7436" max="7436" width="10.08203125" style="36" customWidth="1"/>
    <col min="7437" max="7437" width="12.58203125" style="36" customWidth="1"/>
    <col min="7438" max="7438" width="10.25" style="36" customWidth="1"/>
    <col min="7439" max="7440" width="8.25" style="36"/>
    <col min="7441" max="7441" width="14" style="36" customWidth="1"/>
    <col min="7442" max="7681" width="8.25" style="36"/>
    <col min="7682" max="7682" width="4.08203125" style="36" customWidth="1"/>
    <col min="7683" max="7683" width="10.25" style="36" customWidth="1"/>
    <col min="7684" max="7684" width="16.25" style="36" customWidth="1"/>
    <col min="7685" max="7685" width="6" style="36" customWidth="1"/>
    <col min="7686" max="7686" width="6.58203125" style="36" customWidth="1"/>
    <col min="7687" max="7687" width="10.33203125" style="36" customWidth="1"/>
    <col min="7688" max="7688" width="9.58203125" style="36" customWidth="1"/>
    <col min="7689" max="7689" width="9.83203125" style="36" customWidth="1"/>
    <col min="7690" max="7690" width="9.08203125" style="36" customWidth="1"/>
    <col min="7691" max="7691" width="10.25" style="36" customWidth="1"/>
    <col min="7692" max="7692" width="10.08203125" style="36" customWidth="1"/>
    <col min="7693" max="7693" width="12.58203125" style="36" customWidth="1"/>
    <col min="7694" max="7694" width="10.25" style="36" customWidth="1"/>
    <col min="7695" max="7696" width="8.25" style="36"/>
    <col min="7697" max="7697" width="14" style="36" customWidth="1"/>
    <col min="7698" max="7937" width="8.25" style="36"/>
    <col min="7938" max="7938" width="4.08203125" style="36" customWidth="1"/>
    <col min="7939" max="7939" width="10.25" style="36" customWidth="1"/>
    <col min="7940" max="7940" width="16.25" style="36" customWidth="1"/>
    <col min="7941" max="7941" width="6" style="36" customWidth="1"/>
    <col min="7942" max="7942" width="6.58203125" style="36" customWidth="1"/>
    <col min="7943" max="7943" width="10.33203125" style="36" customWidth="1"/>
    <col min="7944" max="7944" width="9.58203125" style="36" customWidth="1"/>
    <col min="7945" max="7945" width="9.83203125" style="36" customWidth="1"/>
    <col min="7946" max="7946" width="9.08203125" style="36" customWidth="1"/>
    <col min="7947" max="7947" width="10.25" style="36" customWidth="1"/>
    <col min="7948" max="7948" width="10.08203125" style="36" customWidth="1"/>
    <col min="7949" max="7949" width="12.58203125" style="36" customWidth="1"/>
    <col min="7950" max="7950" width="10.25" style="36" customWidth="1"/>
    <col min="7951" max="7952" width="8.25" style="36"/>
    <col min="7953" max="7953" width="14" style="36" customWidth="1"/>
    <col min="7954" max="8193" width="8.25" style="36"/>
    <col min="8194" max="8194" width="4.08203125" style="36" customWidth="1"/>
    <col min="8195" max="8195" width="10.25" style="36" customWidth="1"/>
    <col min="8196" max="8196" width="16.25" style="36" customWidth="1"/>
    <col min="8197" max="8197" width="6" style="36" customWidth="1"/>
    <col min="8198" max="8198" width="6.58203125" style="36" customWidth="1"/>
    <col min="8199" max="8199" width="10.33203125" style="36" customWidth="1"/>
    <col min="8200" max="8200" width="9.58203125" style="36" customWidth="1"/>
    <col min="8201" max="8201" width="9.83203125" style="36" customWidth="1"/>
    <col min="8202" max="8202" width="9.08203125" style="36" customWidth="1"/>
    <col min="8203" max="8203" width="10.25" style="36" customWidth="1"/>
    <col min="8204" max="8204" width="10.08203125" style="36" customWidth="1"/>
    <col min="8205" max="8205" width="12.58203125" style="36" customWidth="1"/>
    <col min="8206" max="8206" width="10.25" style="36" customWidth="1"/>
    <col min="8207" max="8208" width="8.25" style="36"/>
    <col min="8209" max="8209" width="14" style="36" customWidth="1"/>
    <col min="8210" max="8449" width="8.25" style="36"/>
    <col min="8450" max="8450" width="4.08203125" style="36" customWidth="1"/>
    <col min="8451" max="8451" width="10.25" style="36" customWidth="1"/>
    <col min="8452" max="8452" width="16.25" style="36" customWidth="1"/>
    <col min="8453" max="8453" width="6" style="36" customWidth="1"/>
    <col min="8454" max="8454" width="6.58203125" style="36" customWidth="1"/>
    <col min="8455" max="8455" width="10.33203125" style="36" customWidth="1"/>
    <col min="8456" max="8456" width="9.58203125" style="36" customWidth="1"/>
    <col min="8457" max="8457" width="9.83203125" style="36" customWidth="1"/>
    <col min="8458" max="8458" width="9.08203125" style="36" customWidth="1"/>
    <col min="8459" max="8459" width="10.25" style="36" customWidth="1"/>
    <col min="8460" max="8460" width="10.08203125" style="36" customWidth="1"/>
    <col min="8461" max="8461" width="12.58203125" style="36" customWidth="1"/>
    <col min="8462" max="8462" width="10.25" style="36" customWidth="1"/>
    <col min="8463" max="8464" width="8.25" style="36"/>
    <col min="8465" max="8465" width="14" style="36" customWidth="1"/>
    <col min="8466" max="8705" width="8.25" style="36"/>
    <col min="8706" max="8706" width="4.08203125" style="36" customWidth="1"/>
    <col min="8707" max="8707" width="10.25" style="36" customWidth="1"/>
    <col min="8708" max="8708" width="16.25" style="36" customWidth="1"/>
    <col min="8709" max="8709" width="6" style="36" customWidth="1"/>
    <col min="8710" max="8710" width="6.58203125" style="36" customWidth="1"/>
    <col min="8711" max="8711" width="10.33203125" style="36" customWidth="1"/>
    <col min="8712" max="8712" width="9.58203125" style="36" customWidth="1"/>
    <col min="8713" max="8713" width="9.83203125" style="36" customWidth="1"/>
    <col min="8714" max="8714" width="9.08203125" style="36" customWidth="1"/>
    <col min="8715" max="8715" width="10.25" style="36" customWidth="1"/>
    <col min="8716" max="8716" width="10.08203125" style="36" customWidth="1"/>
    <col min="8717" max="8717" width="12.58203125" style="36" customWidth="1"/>
    <col min="8718" max="8718" width="10.25" style="36" customWidth="1"/>
    <col min="8719" max="8720" width="8.25" style="36"/>
    <col min="8721" max="8721" width="14" style="36" customWidth="1"/>
    <col min="8722" max="8961" width="8.25" style="36"/>
    <col min="8962" max="8962" width="4.08203125" style="36" customWidth="1"/>
    <col min="8963" max="8963" width="10.25" style="36" customWidth="1"/>
    <col min="8964" max="8964" width="16.25" style="36" customWidth="1"/>
    <col min="8965" max="8965" width="6" style="36" customWidth="1"/>
    <col min="8966" max="8966" width="6.58203125" style="36" customWidth="1"/>
    <col min="8967" max="8967" width="10.33203125" style="36" customWidth="1"/>
    <col min="8968" max="8968" width="9.58203125" style="36" customWidth="1"/>
    <col min="8969" max="8969" width="9.83203125" style="36" customWidth="1"/>
    <col min="8970" max="8970" width="9.08203125" style="36" customWidth="1"/>
    <col min="8971" max="8971" width="10.25" style="36" customWidth="1"/>
    <col min="8972" max="8972" width="10.08203125" style="36" customWidth="1"/>
    <col min="8973" max="8973" width="12.58203125" style="36" customWidth="1"/>
    <col min="8974" max="8974" width="10.25" style="36" customWidth="1"/>
    <col min="8975" max="8976" width="8.25" style="36"/>
    <col min="8977" max="8977" width="14" style="36" customWidth="1"/>
    <col min="8978" max="9217" width="8.25" style="36"/>
    <col min="9218" max="9218" width="4.08203125" style="36" customWidth="1"/>
    <col min="9219" max="9219" width="10.25" style="36" customWidth="1"/>
    <col min="9220" max="9220" width="16.25" style="36" customWidth="1"/>
    <col min="9221" max="9221" width="6" style="36" customWidth="1"/>
    <col min="9222" max="9222" width="6.58203125" style="36" customWidth="1"/>
    <col min="9223" max="9223" width="10.33203125" style="36" customWidth="1"/>
    <col min="9224" max="9224" width="9.58203125" style="36" customWidth="1"/>
    <col min="9225" max="9225" width="9.83203125" style="36" customWidth="1"/>
    <col min="9226" max="9226" width="9.08203125" style="36" customWidth="1"/>
    <col min="9227" max="9227" width="10.25" style="36" customWidth="1"/>
    <col min="9228" max="9228" width="10.08203125" style="36" customWidth="1"/>
    <col min="9229" max="9229" width="12.58203125" style="36" customWidth="1"/>
    <col min="9230" max="9230" width="10.25" style="36" customWidth="1"/>
    <col min="9231" max="9232" width="8.25" style="36"/>
    <col min="9233" max="9233" width="14" style="36" customWidth="1"/>
    <col min="9234" max="9473" width="8.25" style="36"/>
    <col min="9474" max="9474" width="4.08203125" style="36" customWidth="1"/>
    <col min="9475" max="9475" width="10.25" style="36" customWidth="1"/>
    <col min="9476" max="9476" width="16.25" style="36" customWidth="1"/>
    <col min="9477" max="9477" width="6" style="36" customWidth="1"/>
    <col min="9478" max="9478" width="6.58203125" style="36" customWidth="1"/>
    <col min="9479" max="9479" width="10.33203125" style="36" customWidth="1"/>
    <col min="9480" max="9480" width="9.58203125" style="36" customWidth="1"/>
    <col min="9481" max="9481" width="9.83203125" style="36" customWidth="1"/>
    <col min="9482" max="9482" width="9.08203125" style="36" customWidth="1"/>
    <col min="9483" max="9483" width="10.25" style="36" customWidth="1"/>
    <col min="9484" max="9484" width="10.08203125" style="36" customWidth="1"/>
    <col min="9485" max="9485" width="12.58203125" style="36" customWidth="1"/>
    <col min="9486" max="9486" width="10.25" style="36" customWidth="1"/>
    <col min="9487" max="9488" width="8.25" style="36"/>
    <col min="9489" max="9489" width="14" style="36" customWidth="1"/>
    <col min="9490" max="9729" width="8.25" style="36"/>
    <col min="9730" max="9730" width="4.08203125" style="36" customWidth="1"/>
    <col min="9731" max="9731" width="10.25" style="36" customWidth="1"/>
    <col min="9732" max="9732" width="16.25" style="36" customWidth="1"/>
    <col min="9733" max="9733" width="6" style="36" customWidth="1"/>
    <col min="9734" max="9734" width="6.58203125" style="36" customWidth="1"/>
    <col min="9735" max="9735" width="10.33203125" style="36" customWidth="1"/>
    <col min="9736" max="9736" width="9.58203125" style="36" customWidth="1"/>
    <col min="9737" max="9737" width="9.83203125" style="36" customWidth="1"/>
    <col min="9738" max="9738" width="9.08203125" style="36" customWidth="1"/>
    <col min="9739" max="9739" width="10.25" style="36" customWidth="1"/>
    <col min="9740" max="9740" width="10.08203125" style="36" customWidth="1"/>
    <col min="9741" max="9741" width="12.58203125" style="36" customWidth="1"/>
    <col min="9742" max="9742" width="10.25" style="36" customWidth="1"/>
    <col min="9743" max="9744" width="8.25" style="36"/>
    <col min="9745" max="9745" width="14" style="36" customWidth="1"/>
    <col min="9746" max="9985" width="8.25" style="36"/>
    <col min="9986" max="9986" width="4.08203125" style="36" customWidth="1"/>
    <col min="9987" max="9987" width="10.25" style="36" customWidth="1"/>
    <col min="9988" max="9988" width="16.25" style="36" customWidth="1"/>
    <col min="9989" max="9989" width="6" style="36" customWidth="1"/>
    <col min="9990" max="9990" width="6.58203125" style="36" customWidth="1"/>
    <col min="9991" max="9991" width="10.33203125" style="36" customWidth="1"/>
    <col min="9992" max="9992" width="9.58203125" style="36" customWidth="1"/>
    <col min="9993" max="9993" width="9.83203125" style="36" customWidth="1"/>
    <col min="9994" max="9994" width="9.08203125" style="36" customWidth="1"/>
    <col min="9995" max="9995" width="10.25" style="36" customWidth="1"/>
    <col min="9996" max="9996" width="10.08203125" style="36" customWidth="1"/>
    <col min="9997" max="9997" width="12.58203125" style="36" customWidth="1"/>
    <col min="9998" max="9998" width="10.25" style="36" customWidth="1"/>
    <col min="9999" max="10000" width="8.25" style="36"/>
    <col min="10001" max="10001" width="14" style="36" customWidth="1"/>
    <col min="10002" max="10241" width="8.25" style="36"/>
    <col min="10242" max="10242" width="4.08203125" style="36" customWidth="1"/>
    <col min="10243" max="10243" width="10.25" style="36" customWidth="1"/>
    <col min="10244" max="10244" width="16.25" style="36" customWidth="1"/>
    <col min="10245" max="10245" width="6" style="36" customWidth="1"/>
    <col min="10246" max="10246" width="6.58203125" style="36" customWidth="1"/>
    <col min="10247" max="10247" width="10.33203125" style="36" customWidth="1"/>
    <col min="10248" max="10248" width="9.58203125" style="36" customWidth="1"/>
    <col min="10249" max="10249" width="9.83203125" style="36" customWidth="1"/>
    <col min="10250" max="10250" width="9.08203125" style="36" customWidth="1"/>
    <col min="10251" max="10251" width="10.25" style="36" customWidth="1"/>
    <col min="10252" max="10252" width="10.08203125" style="36" customWidth="1"/>
    <col min="10253" max="10253" width="12.58203125" style="36" customWidth="1"/>
    <col min="10254" max="10254" width="10.25" style="36" customWidth="1"/>
    <col min="10255" max="10256" width="8.25" style="36"/>
    <col min="10257" max="10257" width="14" style="36" customWidth="1"/>
    <col min="10258" max="10497" width="8.25" style="36"/>
    <col min="10498" max="10498" width="4.08203125" style="36" customWidth="1"/>
    <col min="10499" max="10499" width="10.25" style="36" customWidth="1"/>
    <col min="10500" max="10500" width="16.25" style="36" customWidth="1"/>
    <col min="10501" max="10501" width="6" style="36" customWidth="1"/>
    <col min="10502" max="10502" width="6.58203125" style="36" customWidth="1"/>
    <col min="10503" max="10503" width="10.33203125" style="36" customWidth="1"/>
    <col min="10504" max="10504" width="9.58203125" style="36" customWidth="1"/>
    <col min="10505" max="10505" width="9.83203125" style="36" customWidth="1"/>
    <col min="10506" max="10506" width="9.08203125" style="36" customWidth="1"/>
    <col min="10507" max="10507" width="10.25" style="36" customWidth="1"/>
    <col min="10508" max="10508" width="10.08203125" style="36" customWidth="1"/>
    <col min="10509" max="10509" width="12.58203125" style="36" customWidth="1"/>
    <col min="10510" max="10510" width="10.25" style="36" customWidth="1"/>
    <col min="10511" max="10512" width="8.25" style="36"/>
    <col min="10513" max="10513" width="14" style="36" customWidth="1"/>
    <col min="10514" max="10753" width="8.25" style="36"/>
    <col min="10754" max="10754" width="4.08203125" style="36" customWidth="1"/>
    <col min="10755" max="10755" width="10.25" style="36" customWidth="1"/>
    <col min="10756" max="10756" width="16.25" style="36" customWidth="1"/>
    <col min="10757" max="10757" width="6" style="36" customWidth="1"/>
    <col min="10758" max="10758" width="6.58203125" style="36" customWidth="1"/>
    <col min="10759" max="10759" width="10.33203125" style="36" customWidth="1"/>
    <col min="10760" max="10760" width="9.58203125" style="36" customWidth="1"/>
    <col min="10761" max="10761" width="9.83203125" style="36" customWidth="1"/>
    <col min="10762" max="10762" width="9.08203125" style="36" customWidth="1"/>
    <col min="10763" max="10763" width="10.25" style="36" customWidth="1"/>
    <col min="10764" max="10764" width="10.08203125" style="36" customWidth="1"/>
    <col min="10765" max="10765" width="12.58203125" style="36" customWidth="1"/>
    <col min="10766" max="10766" width="10.25" style="36" customWidth="1"/>
    <col min="10767" max="10768" width="8.25" style="36"/>
    <col min="10769" max="10769" width="14" style="36" customWidth="1"/>
    <col min="10770" max="11009" width="8.25" style="36"/>
    <col min="11010" max="11010" width="4.08203125" style="36" customWidth="1"/>
    <col min="11011" max="11011" width="10.25" style="36" customWidth="1"/>
    <col min="11012" max="11012" width="16.25" style="36" customWidth="1"/>
    <col min="11013" max="11013" width="6" style="36" customWidth="1"/>
    <col min="11014" max="11014" width="6.58203125" style="36" customWidth="1"/>
    <col min="11015" max="11015" width="10.33203125" style="36" customWidth="1"/>
    <col min="11016" max="11016" width="9.58203125" style="36" customWidth="1"/>
    <col min="11017" max="11017" width="9.83203125" style="36" customWidth="1"/>
    <col min="11018" max="11018" width="9.08203125" style="36" customWidth="1"/>
    <col min="11019" max="11019" width="10.25" style="36" customWidth="1"/>
    <col min="11020" max="11020" width="10.08203125" style="36" customWidth="1"/>
    <col min="11021" max="11021" width="12.58203125" style="36" customWidth="1"/>
    <col min="11022" max="11022" width="10.25" style="36" customWidth="1"/>
    <col min="11023" max="11024" width="8.25" style="36"/>
    <col min="11025" max="11025" width="14" style="36" customWidth="1"/>
    <col min="11026" max="11265" width="8.25" style="36"/>
    <col min="11266" max="11266" width="4.08203125" style="36" customWidth="1"/>
    <col min="11267" max="11267" width="10.25" style="36" customWidth="1"/>
    <col min="11268" max="11268" width="16.25" style="36" customWidth="1"/>
    <col min="11269" max="11269" width="6" style="36" customWidth="1"/>
    <col min="11270" max="11270" width="6.58203125" style="36" customWidth="1"/>
    <col min="11271" max="11271" width="10.33203125" style="36" customWidth="1"/>
    <col min="11272" max="11272" width="9.58203125" style="36" customWidth="1"/>
    <col min="11273" max="11273" width="9.83203125" style="36" customWidth="1"/>
    <col min="11274" max="11274" width="9.08203125" style="36" customWidth="1"/>
    <col min="11275" max="11275" width="10.25" style="36" customWidth="1"/>
    <col min="11276" max="11276" width="10.08203125" style="36" customWidth="1"/>
    <col min="11277" max="11277" width="12.58203125" style="36" customWidth="1"/>
    <col min="11278" max="11278" width="10.25" style="36" customWidth="1"/>
    <col min="11279" max="11280" width="8.25" style="36"/>
    <col min="11281" max="11281" width="14" style="36" customWidth="1"/>
    <col min="11282" max="11521" width="8.25" style="36"/>
    <col min="11522" max="11522" width="4.08203125" style="36" customWidth="1"/>
    <col min="11523" max="11523" width="10.25" style="36" customWidth="1"/>
    <col min="11524" max="11524" width="16.25" style="36" customWidth="1"/>
    <col min="11525" max="11525" width="6" style="36" customWidth="1"/>
    <col min="11526" max="11526" width="6.58203125" style="36" customWidth="1"/>
    <col min="11527" max="11527" width="10.33203125" style="36" customWidth="1"/>
    <col min="11528" max="11528" width="9.58203125" style="36" customWidth="1"/>
    <col min="11529" max="11529" width="9.83203125" style="36" customWidth="1"/>
    <col min="11530" max="11530" width="9.08203125" style="36" customWidth="1"/>
    <col min="11531" max="11531" width="10.25" style="36" customWidth="1"/>
    <col min="11532" max="11532" width="10.08203125" style="36" customWidth="1"/>
    <col min="11533" max="11533" width="12.58203125" style="36" customWidth="1"/>
    <col min="11534" max="11534" width="10.25" style="36" customWidth="1"/>
    <col min="11535" max="11536" width="8.25" style="36"/>
    <col min="11537" max="11537" width="14" style="36" customWidth="1"/>
    <col min="11538" max="11777" width="8.25" style="36"/>
    <col min="11778" max="11778" width="4.08203125" style="36" customWidth="1"/>
    <col min="11779" max="11779" width="10.25" style="36" customWidth="1"/>
    <col min="11780" max="11780" width="16.25" style="36" customWidth="1"/>
    <col min="11781" max="11781" width="6" style="36" customWidth="1"/>
    <col min="11782" max="11782" width="6.58203125" style="36" customWidth="1"/>
    <col min="11783" max="11783" width="10.33203125" style="36" customWidth="1"/>
    <col min="11784" max="11784" width="9.58203125" style="36" customWidth="1"/>
    <col min="11785" max="11785" width="9.83203125" style="36" customWidth="1"/>
    <col min="11786" max="11786" width="9.08203125" style="36" customWidth="1"/>
    <col min="11787" max="11787" width="10.25" style="36" customWidth="1"/>
    <col min="11788" max="11788" width="10.08203125" style="36" customWidth="1"/>
    <col min="11789" max="11789" width="12.58203125" style="36" customWidth="1"/>
    <col min="11790" max="11790" width="10.25" style="36" customWidth="1"/>
    <col min="11791" max="11792" width="8.25" style="36"/>
    <col min="11793" max="11793" width="14" style="36" customWidth="1"/>
    <col min="11794" max="12033" width="8.25" style="36"/>
    <col min="12034" max="12034" width="4.08203125" style="36" customWidth="1"/>
    <col min="12035" max="12035" width="10.25" style="36" customWidth="1"/>
    <col min="12036" max="12036" width="16.25" style="36" customWidth="1"/>
    <col min="12037" max="12037" width="6" style="36" customWidth="1"/>
    <col min="12038" max="12038" width="6.58203125" style="36" customWidth="1"/>
    <col min="12039" max="12039" width="10.33203125" style="36" customWidth="1"/>
    <col min="12040" max="12040" width="9.58203125" style="36" customWidth="1"/>
    <col min="12041" max="12041" width="9.83203125" style="36" customWidth="1"/>
    <col min="12042" max="12042" width="9.08203125" style="36" customWidth="1"/>
    <col min="12043" max="12043" width="10.25" style="36" customWidth="1"/>
    <col min="12044" max="12044" width="10.08203125" style="36" customWidth="1"/>
    <col min="12045" max="12045" width="12.58203125" style="36" customWidth="1"/>
    <col min="12046" max="12046" width="10.25" style="36" customWidth="1"/>
    <col min="12047" max="12048" width="8.25" style="36"/>
    <col min="12049" max="12049" width="14" style="36" customWidth="1"/>
    <col min="12050" max="12289" width="8.25" style="36"/>
    <col min="12290" max="12290" width="4.08203125" style="36" customWidth="1"/>
    <col min="12291" max="12291" width="10.25" style="36" customWidth="1"/>
    <col min="12292" max="12292" width="16.25" style="36" customWidth="1"/>
    <col min="12293" max="12293" width="6" style="36" customWidth="1"/>
    <col min="12294" max="12294" width="6.58203125" style="36" customWidth="1"/>
    <col min="12295" max="12295" width="10.33203125" style="36" customWidth="1"/>
    <col min="12296" max="12296" width="9.58203125" style="36" customWidth="1"/>
    <col min="12297" max="12297" width="9.83203125" style="36" customWidth="1"/>
    <col min="12298" max="12298" width="9.08203125" style="36" customWidth="1"/>
    <col min="12299" max="12299" width="10.25" style="36" customWidth="1"/>
    <col min="12300" max="12300" width="10.08203125" style="36" customWidth="1"/>
    <col min="12301" max="12301" width="12.58203125" style="36" customWidth="1"/>
    <col min="12302" max="12302" width="10.25" style="36" customWidth="1"/>
    <col min="12303" max="12304" width="8.25" style="36"/>
    <col min="12305" max="12305" width="14" style="36" customWidth="1"/>
    <col min="12306" max="12545" width="8.25" style="36"/>
    <col min="12546" max="12546" width="4.08203125" style="36" customWidth="1"/>
    <col min="12547" max="12547" width="10.25" style="36" customWidth="1"/>
    <col min="12548" max="12548" width="16.25" style="36" customWidth="1"/>
    <col min="12549" max="12549" width="6" style="36" customWidth="1"/>
    <col min="12550" max="12550" width="6.58203125" style="36" customWidth="1"/>
    <col min="12551" max="12551" width="10.33203125" style="36" customWidth="1"/>
    <col min="12552" max="12552" width="9.58203125" style="36" customWidth="1"/>
    <col min="12553" max="12553" width="9.83203125" style="36" customWidth="1"/>
    <col min="12554" max="12554" width="9.08203125" style="36" customWidth="1"/>
    <col min="12555" max="12555" width="10.25" style="36" customWidth="1"/>
    <col min="12556" max="12556" width="10.08203125" style="36" customWidth="1"/>
    <col min="12557" max="12557" width="12.58203125" style="36" customWidth="1"/>
    <col min="12558" max="12558" width="10.25" style="36" customWidth="1"/>
    <col min="12559" max="12560" width="8.25" style="36"/>
    <col min="12561" max="12561" width="14" style="36" customWidth="1"/>
    <col min="12562" max="12801" width="8.25" style="36"/>
    <col min="12802" max="12802" width="4.08203125" style="36" customWidth="1"/>
    <col min="12803" max="12803" width="10.25" style="36" customWidth="1"/>
    <col min="12804" max="12804" width="16.25" style="36" customWidth="1"/>
    <col min="12805" max="12805" width="6" style="36" customWidth="1"/>
    <col min="12806" max="12806" width="6.58203125" style="36" customWidth="1"/>
    <col min="12807" max="12807" width="10.33203125" style="36" customWidth="1"/>
    <col min="12808" max="12808" width="9.58203125" style="36" customWidth="1"/>
    <col min="12809" max="12809" width="9.83203125" style="36" customWidth="1"/>
    <col min="12810" max="12810" width="9.08203125" style="36" customWidth="1"/>
    <col min="12811" max="12811" width="10.25" style="36" customWidth="1"/>
    <col min="12812" max="12812" width="10.08203125" style="36" customWidth="1"/>
    <col min="12813" max="12813" width="12.58203125" style="36" customWidth="1"/>
    <col min="12814" max="12814" width="10.25" style="36" customWidth="1"/>
    <col min="12815" max="12816" width="8.25" style="36"/>
    <col min="12817" max="12817" width="14" style="36" customWidth="1"/>
    <col min="12818" max="13057" width="8.25" style="36"/>
    <col min="13058" max="13058" width="4.08203125" style="36" customWidth="1"/>
    <col min="13059" max="13059" width="10.25" style="36" customWidth="1"/>
    <col min="13060" max="13060" width="16.25" style="36" customWidth="1"/>
    <col min="13061" max="13061" width="6" style="36" customWidth="1"/>
    <col min="13062" max="13062" width="6.58203125" style="36" customWidth="1"/>
    <col min="13063" max="13063" width="10.33203125" style="36" customWidth="1"/>
    <col min="13064" max="13064" width="9.58203125" style="36" customWidth="1"/>
    <col min="13065" max="13065" width="9.83203125" style="36" customWidth="1"/>
    <col min="13066" max="13066" width="9.08203125" style="36" customWidth="1"/>
    <col min="13067" max="13067" width="10.25" style="36" customWidth="1"/>
    <col min="13068" max="13068" width="10.08203125" style="36" customWidth="1"/>
    <col min="13069" max="13069" width="12.58203125" style="36" customWidth="1"/>
    <col min="13070" max="13070" width="10.25" style="36" customWidth="1"/>
    <col min="13071" max="13072" width="8.25" style="36"/>
    <col min="13073" max="13073" width="14" style="36" customWidth="1"/>
    <col min="13074" max="13313" width="8.25" style="36"/>
    <col min="13314" max="13314" width="4.08203125" style="36" customWidth="1"/>
    <col min="13315" max="13315" width="10.25" style="36" customWidth="1"/>
    <col min="13316" max="13316" width="16.25" style="36" customWidth="1"/>
    <col min="13317" max="13317" width="6" style="36" customWidth="1"/>
    <col min="13318" max="13318" width="6.58203125" style="36" customWidth="1"/>
    <col min="13319" max="13319" width="10.33203125" style="36" customWidth="1"/>
    <col min="13320" max="13320" width="9.58203125" style="36" customWidth="1"/>
    <col min="13321" max="13321" width="9.83203125" style="36" customWidth="1"/>
    <col min="13322" max="13322" width="9.08203125" style="36" customWidth="1"/>
    <col min="13323" max="13323" width="10.25" style="36" customWidth="1"/>
    <col min="13324" max="13324" width="10.08203125" style="36" customWidth="1"/>
    <col min="13325" max="13325" width="12.58203125" style="36" customWidth="1"/>
    <col min="13326" max="13326" width="10.25" style="36" customWidth="1"/>
    <col min="13327" max="13328" width="8.25" style="36"/>
    <col min="13329" max="13329" width="14" style="36" customWidth="1"/>
    <col min="13330" max="13569" width="8.25" style="36"/>
    <col min="13570" max="13570" width="4.08203125" style="36" customWidth="1"/>
    <col min="13571" max="13571" width="10.25" style="36" customWidth="1"/>
    <col min="13572" max="13572" width="16.25" style="36" customWidth="1"/>
    <col min="13573" max="13573" width="6" style="36" customWidth="1"/>
    <col min="13574" max="13574" width="6.58203125" style="36" customWidth="1"/>
    <col min="13575" max="13575" width="10.33203125" style="36" customWidth="1"/>
    <col min="13576" max="13576" width="9.58203125" style="36" customWidth="1"/>
    <col min="13577" max="13577" width="9.83203125" style="36" customWidth="1"/>
    <col min="13578" max="13578" width="9.08203125" style="36" customWidth="1"/>
    <col min="13579" max="13579" width="10.25" style="36" customWidth="1"/>
    <col min="13580" max="13580" width="10.08203125" style="36" customWidth="1"/>
    <col min="13581" max="13581" width="12.58203125" style="36" customWidth="1"/>
    <col min="13582" max="13582" width="10.25" style="36" customWidth="1"/>
    <col min="13583" max="13584" width="8.25" style="36"/>
    <col min="13585" max="13585" width="14" style="36" customWidth="1"/>
    <col min="13586" max="13825" width="8.25" style="36"/>
    <col min="13826" max="13826" width="4.08203125" style="36" customWidth="1"/>
    <col min="13827" max="13827" width="10.25" style="36" customWidth="1"/>
    <col min="13828" max="13828" width="16.25" style="36" customWidth="1"/>
    <col min="13829" max="13829" width="6" style="36" customWidth="1"/>
    <col min="13830" max="13830" width="6.58203125" style="36" customWidth="1"/>
    <col min="13831" max="13831" width="10.33203125" style="36" customWidth="1"/>
    <col min="13832" max="13832" width="9.58203125" style="36" customWidth="1"/>
    <col min="13833" max="13833" width="9.83203125" style="36" customWidth="1"/>
    <col min="13834" max="13834" width="9.08203125" style="36" customWidth="1"/>
    <col min="13835" max="13835" width="10.25" style="36" customWidth="1"/>
    <col min="13836" max="13836" width="10.08203125" style="36" customWidth="1"/>
    <col min="13837" max="13837" width="12.58203125" style="36" customWidth="1"/>
    <col min="13838" max="13838" width="10.25" style="36" customWidth="1"/>
    <col min="13839" max="13840" width="8.25" style="36"/>
    <col min="13841" max="13841" width="14" style="36" customWidth="1"/>
    <col min="13842" max="14081" width="8.25" style="36"/>
    <col min="14082" max="14082" width="4.08203125" style="36" customWidth="1"/>
    <col min="14083" max="14083" width="10.25" style="36" customWidth="1"/>
    <col min="14084" max="14084" width="16.25" style="36" customWidth="1"/>
    <col min="14085" max="14085" width="6" style="36" customWidth="1"/>
    <col min="14086" max="14086" width="6.58203125" style="36" customWidth="1"/>
    <col min="14087" max="14087" width="10.33203125" style="36" customWidth="1"/>
    <col min="14088" max="14088" width="9.58203125" style="36" customWidth="1"/>
    <col min="14089" max="14089" width="9.83203125" style="36" customWidth="1"/>
    <col min="14090" max="14090" width="9.08203125" style="36" customWidth="1"/>
    <col min="14091" max="14091" width="10.25" style="36" customWidth="1"/>
    <col min="14092" max="14092" width="10.08203125" style="36" customWidth="1"/>
    <col min="14093" max="14093" width="12.58203125" style="36" customWidth="1"/>
    <col min="14094" max="14094" width="10.25" style="36" customWidth="1"/>
    <col min="14095" max="14096" width="8.25" style="36"/>
    <col min="14097" max="14097" width="14" style="36" customWidth="1"/>
    <col min="14098" max="14337" width="8.25" style="36"/>
    <col min="14338" max="14338" width="4.08203125" style="36" customWidth="1"/>
    <col min="14339" max="14339" width="10.25" style="36" customWidth="1"/>
    <col min="14340" max="14340" width="16.25" style="36" customWidth="1"/>
    <col min="14341" max="14341" width="6" style="36" customWidth="1"/>
    <col min="14342" max="14342" width="6.58203125" style="36" customWidth="1"/>
    <col min="14343" max="14343" width="10.33203125" style="36" customWidth="1"/>
    <col min="14344" max="14344" width="9.58203125" style="36" customWidth="1"/>
    <col min="14345" max="14345" width="9.83203125" style="36" customWidth="1"/>
    <col min="14346" max="14346" width="9.08203125" style="36" customWidth="1"/>
    <col min="14347" max="14347" width="10.25" style="36" customWidth="1"/>
    <col min="14348" max="14348" width="10.08203125" style="36" customWidth="1"/>
    <col min="14349" max="14349" width="12.58203125" style="36" customWidth="1"/>
    <col min="14350" max="14350" width="10.25" style="36" customWidth="1"/>
    <col min="14351" max="14352" width="8.25" style="36"/>
    <col min="14353" max="14353" width="14" style="36" customWidth="1"/>
    <col min="14354" max="14593" width="8.25" style="36"/>
    <col min="14594" max="14594" width="4.08203125" style="36" customWidth="1"/>
    <col min="14595" max="14595" width="10.25" style="36" customWidth="1"/>
    <col min="14596" max="14596" width="16.25" style="36" customWidth="1"/>
    <col min="14597" max="14597" width="6" style="36" customWidth="1"/>
    <col min="14598" max="14598" width="6.58203125" style="36" customWidth="1"/>
    <col min="14599" max="14599" width="10.33203125" style="36" customWidth="1"/>
    <col min="14600" max="14600" width="9.58203125" style="36" customWidth="1"/>
    <col min="14601" max="14601" width="9.83203125" style="36" customWidth="1"/>
    <col min="14602" max="14602" width="9.08203125" style="36" customWidth="1"/>
    <col min="14603" max="14603" width="10.25" style="36" customWidth="1"/>
    <col min="14604" max="14604" width="10.08203125" style="36" customWidth="1"/>
    <col min="14605" max="14605" width="12.58203125" style="36" customWidth="1"/>
    <col min="14606" max="14606" width="10.25" style="36" customWidth="1"/>
    <col min="14607" max="14608" width="8.25" style="36"/>
    <col min="14609" max="14609" width="14" style="36" customWidth="1"/>
    <col min="14610" max="14849" width="8.25" style="36"/>
    <col min="14850" max="14850" width="4.08203125" style="36" customWidth="1"/>
    <col min="14851" max="14851" width="10.25" style="36" customWidth="1"/>
    <col min="14852" max="14852" width="16.25" style="36" customWidth="1"/>
    <col min="14853" max="14853" width="6" style="36" customWidth="1"/>
    <col min="14854" max="14854" width="6.58203125" style="36" customWidth="1"/>
    <col min="14855" max="14855" width="10.33203125" style="36" customWidth="1"/>
    <col min="14856" max="14856" width="9.58203125" style="36" customWidth="1"/>
    <col min="14857" max="14857" width="9.83203125" style="36" customWidth="1"/>
    <col min="14858" max="14858" width="9.08203125" style="36" customWidth="1"/>
    <col min="14859" max="14859" width="10.25" style="36" customWidth="1"/>
    <col min="14860" max="14860" width="10.08203125" style="36" customWidth="1"/>
    <col min="14861" max="14861" width="12.58203125" style="36" customWidth="1"/>
    <col min="14862" max="14862" width="10.25" style="36" customWidth="1"/>
    <col min="14863" max="14864" width="8.25" style="36"/>
    <col min="14865" max="14865" width="14" style="36" customWidth="1"/>
    <col min="14866" max="15105" width="8.25" style="36"/>
    <col min="15106" max="15106" width="4.08203125" style="36" customWidth="1"/>
    <col min="15107" max="15107" width="10.25" style="36" customWidth="1"/>
    <col min="15108" max="15108" width="16.25" style="36" customWidth="1"/>
    <col min="15109" max="15109" width="6" style="36" customWidth="1"/>
    <col min="15110" max="15110" width="6.58203125" style="36" customWidth="1"/>
    <col min="15111" max="15111" width="10.33203125" style="36" customWidth="1"/>
    <col min="15112" max="15112" width="9.58203125" style="36" customWidth="1"/>
    <col min="15113" max="15113" width="9.83203125" style="36" customWidth="1"/>
    <col min="15114" max="15114" width="9.08203125" style="36" customWidth="1"/>
    <col min="15115" max="15115" width="10.25" style="36" customWidth="1"/>
    <col min="15116" max="15116" width="10.08203125" style="36" customWidth="1"/>
    <col min="15117" max="15117" width="12.58203125" style="36" customWidth="1"/>
    <col min="15118" max="15118" width="10.25" style="36" customWidth="1"/>
    <col min="15119" max="15120" width="8.25" style="36"/>
    <col min="15121" max="15121" width="14" style="36" customWidth="1"/>
    <col min="15122" max="15361" width="8.25" style="36"/>
    <col min="15362" max="15362" width="4.08203125" style="36" customWidth="1"/>
    <col min="15363" max="15363" width="10.25" style="36" customWidth="1"/>
    <col min="15364" max="15364" width="16.25" style="36" customWidth="1"/>
    <col min="15365" max="15365" width="6" style="36" customWidth="1"/>
    <col min="15366" max="15366" width="6.58203125" style="36" customWidth="1"/>
    <col min="15367" max="15367" width="10.33203125" style="36" customWidth="1"/>
    <col min="15368" max="15368" width="9.58203125" style="36" customWidth="1"/>
    <col min="15369" max="15369" width="9.83203125" style="36" customWidth="1"/>
    <col min="15370" max="15370" width="9.08203125" style="36" customWidth="1"/>
    <col min="15371" max="15371" width="10.25" style="36" customWidth="1"/>
    <col min="15372" max="15372" width="10.08203125" style="36" customWidth="1"/>
    <col min="15373" max="15373" width="12.58203125" style="36" customWidth="1"/>
    <col min="15374" max="15374" width="10.25" style="36" customWidth="1"/>
    <col min="15375" max="15376" width="8.25" style="36"/>
    <col min="15377" max="15377" width="14" style="36" customWidth="1"/>
    <col min="15378" max="15617" width="8.25" style="36"/>
    <col min="15618" max="15618" width="4.08203125" style="36" customWidth="1"/>
    <col min="15619" max="15619" width="10.25" style="36" customWidth="1"/>
    <col min="15620" max="15620" width="16.25" style="36" customWidth="1"/>
    <col min="15621" max="15621" width="6" style="36" customWidth="1"/>
    <col min="15622" max="15622" width="6.58203125" style="36" customWidth="1"/>
    <col min="15623" max="15623" width="10.33203125" style="36" customWidth="1"/>
    <col min="15624" max="15624" width="9.58203125" style="36" customWidth="1"/>
    <col min="15625" max="15625" width="9.83203125" style="36" customWidth="1"/>
    <col min="15626" max="15626" width="9.08203125" style="36" customWidth="1"/>
    <col min="15627" max="15627" width="10.25" style="36" customWidth="1"/>
    <col min="15628" max="15628" width="10.08203125" style="36" customWidth="1"/>
    <col min="15629" max="15629" width="12.58203125" style="36" customWidth="1"/>
    <col min="15630" max="15630" width="10.25" style="36" customWidth="1"/>
    <col min="15631" max="15632" width="8.25" style="36"/>
    <col min="15633" max="15633" width="14" style="36" customWidth="1"/>
    <col min="15634" max="15873" width="8.25" style="36"/>
    <col min="15874" max="15874" width="4.08203125" style="36" customWidth="1"/>
    <col min="15875" max="15875" width="10.25" style="36" customWidth="1"/>
    <col min="15876" max="15876" width="16.25" style="36" customWidth="1"/>
    <col min="15877" max="15877" width="6" style="36" customWidth="1"/>
    <col min="15878" max="15878" width="6.58203125" style="36" customWidth="1"/>
    <col min="15879" max="15879" width="10.33203125" style="36" customWidth="1"/>
    <col min="15880" max="15880" width="9.58203125" style="36" customWidth="1"/>
    <col min="15881" max="15881" width="9.83203125" style="36" customWidth="1"/>
    <col min="15882" max="15882" width="9.08203125" style="36" customWidth="1"/>
    <col min="15883" max="15883" width="10.25" style="36" customWidth="1"/>
    <col min="15884" max="15884" width="10.08203125" style="36" customWidth="1"/>
    <col min="15885" max="15885" width="12.58203125" style="36" customWidth="1"/>
    <col min="15886" max="15886" width="10.25" style="36" customWidth="1"/>
    <col min="15887" max="15888" width="8.25" style="36"/>
    <col min="15889" max="15889" width="14" style="36" customWidth="1"/>
    <col min="15890" max="16129" width="8.25" style="36"/>
    <col min="16130" max="16130" width="4.08203125" style="36" customWidth="1"/>
    <col min="16131" max="16131" width="10.25" style="36" customWidth="1"/>
    <col min="16132" max="16132" width="16.25" style="36" customWidth="1"/>
    <col min="16133" max="16133" width="6" style="36" customWidth="1"/>
    <col min="16134" max="16134" width="6.58203125" style="36" customWidth="1"/>
    <col min="16135" max="16135" width="10.33203125" style="36" customWidth="1"/>
    <col min="16136" max="16136" width="9.58203125" style="36" customWidth="1"/>
    <col min="16137" max="16137" width="9.83203125" style="36" customWidth="1"/>
    <col min="16138" max="16138" width="9.08203125" style="36" customWidth="1"/>
    <col min="16139" max="16139" width="10.25" style="36" customWidth="1"/>
    <col min="16140" max="16140" width="10.08203125" style="36" customWidth="1"/>
    <col min="16141" max="16141" width="12.58203125" style="36" customWidth="1"/>
    <col min="16142" max="16142" width="10.25" style="36" customWidth="1"/>
    <col min="16143" max="16144" width="8.25" style="36"/>
    <col min="16145" max="16145" width="14" style="36" customWidth="1"/>
    <col min="16146" max="16384" width="8.25" style="36"/>
  </cols>
  <sheetData>
    <row r="1" spans="1:17" ht="30" customHeight="1">
      <c r="B1" s="1035" t="s">
        <v>2351</v>
      </c>
      <c r="C1" s="1036"/>
      <c r="D1" s="1036"/>
      <c r="E1" s="1036"/>
      <c r="F1" s="1036"/>
      <c r="G1" s="1036"/>
      <c r="H1" s="1036"/>
      <c r="I1" s="1036"/>
      <c r="J1" s="1036"/>
      <c r="K1" s="1036"/>
      <c r="L1" s="1036"/>
      <c r="M1" s="1036"/>
      <c r="N1" s="1036"/>
    </row>
    <row r="2" spans="1:17" ht="20">
      <c r="B2" s="1037" t="s">
        <v>103</v>
      </c>
      <c r="C2" s="1037"/>
      <c r="D2" s="1037"/>
      <c r="E2" s="1037"/>
      <c r="F2" s="1037"/>
      <c r="G2" s="1037"/>
      <c r="H2" s="1037"/>
      <c r="I2" s="1037"/>
      <c r="J2" s="1037"/>
      <c r="K2" s="1037"/>
      <c r="L2" s="1037"/>
      <c r="M2" s="1037"/>
      <c r="N2" s="1037"/>
    </row>
    <row r="3" spans="1:17" s="41" customFormat="1" ht="14">
      <c r="A3" s="37"/>
      <c r="B3" s="38" t="s">
        <v>104</v>
      </c>
      <c r="C3" s="39"/>
      <c r="D3" s="38"/>
      <c r="E3" s="38"/>
      <c r="F3" s="38"/>
      <c r="G3" s="40">
        <v>2760000</v>
      </c>
      <c r="H3" s="38" t="s">
        <v>105</v>
      </c>
      <c r="I3" s="38"/>
      <c r="J3" s="38"/>
      <c r="K3" s="38"/>
      <c r="L3" s="38"/>
      <c r="M3" s="38"/>
      <c r="N3" s="38"/>
    </row>
    <row r="4" spans="1:17" s="41" customFormat="1" ht="14.5" thickBot="1">
      <c r="A4" s="37"/>
      <c r="B4" s="38" t="s">
        <v>106</v>
      </c>
      <c r="C4" s="39"/>
      <c r="D4" s="38"/>
      <c r="E4" s="38"/>
      <c r="F4" s="38"/>
      <c r="G4" s="42" t="s">
        <v>107</v>
      </c>
      <c r="H4" s="38"/>
      <c r="I4" s="38"/>
      <c r="J4" s="38"/>
      <c r="K4" s="38"/>
      <c r="L4" s="38"/>
      <c r="M4" s="1038" t="s">
        <v>108</v>
      </c>
      <c r="N4" s="1038"/>
    </row>
    <row r="5" spans="1:17" s="49" customFormat="1" ht="27.75" customHeight="1" thickTop="1">
      <c r="A5" s="43"/>
      <c r="B5" s="44" t="s">
        <v>102</v>
      </c>
      <c r="C5" s="45" t="s">
        <v>109</v>
      </c>
      <c r="D5" s="45" t="s">
        <v>110</v>
      </c>
      <c r="E5" s="45" t="s">
        <v>3</v>
      </c>
      <c r="F5" s="45" t="s">
        <v>111</v>
      </c>
      <c r="G5" s="45" t="s">
        <v>112</v>
      </c>
      <c r="H5" s="46" t="s">
        <v>113</v>
      </c>
      <c r="I5" s="46"/>
      <c r="J5" s="46"/>
      <c r="K5" s="47" t="s">
        <v>114</v>
      </c>
      <c r="L5" s="46" t="s">
        <v>115</v>
      </c>
      <c r="M5" s="45" t="s">
        <v>116</v>
      </c>
      <c r="N5" s="48" t="s">
        <v>51</v>
      </c>
    </row>
    <row r="6" spans="1:17" s="49" customFormat="1" ht="15" customHeight="1">
      <c r="A6" s="43"/>
      <c r="B6" s="50"/>
      <c r="C6" s="51"/>
      <c r="D6" s="51" t="s">
        <v>117</v>
      </c>
      <c r="E6" s="51"/>
      <c r="F6" s="51" t="s">
        <v>118</v>
      </c>
      <c r="G6" s="51"/>
      <c r="H6" s="52" t="s">
        <v>119</v>
      </c>
      <c r="I6" s="52" t="s">
        <v>120</v>
      </c>
      <c r="J6" s="52" t="s">
        <v>121</v>
      </c>
      <c r="K6" s="52" t="s">
        <v>122</v>
      </c>
      <c r="L6" s="52" t="s">
        <v>123</v>
      </c>
      <c r="M6" s="53" t="s">
        <v>124</v>
      </c>
      <c r="N6" s="54" t="s">
        <v>125</v>
      </c>
    </row>
    <row r="7" spans="1:17" s="49" customFormat="1" ht="14">
      <c r="A7" s="43"/>
      <c r="B7" s="55"/>
      <c r="C7" s="53"/>
      <c r="D7" s="53"/>
      <c r="E7" s="53"/>
      <c r="F7" s="53"/>
      <c r="G7" s="53"/>
      <c r="H7" s="56">
        <v>0</v>
      </c>
      <c r="I7" s="56">
        <v>0</v>
      </c>
      <c r="J7" s="56">
        <v>0</v>
      </c>
      <c r="K7" s="57">
        <v>0.09</v>
      </c>
      <c r="L7" s="58">
        <f>30000</f>
        <v>30000</v>
      </c>
      <c r="M7" s="59" t="s">
        <v>126</v>
      </c>
      <c r="N7" s="60"/>
    </row>
    <row r="8" spans="1:17" s="49" customFormat="1" ht="14">
      <c r="A8" s="43"/>
      <c r="B8" s="61" t="s">
        <v>127</v>
      </c>
      <c r="C8" s="62" t="s">
        <v>128</v>
      </c>
      <c r="D8" s="62" t="s">
        <v>129</v>
      </c>
      <c r="E8" s="62" t="s">
        <v>130</v>
      </c>
      <c r="F8" s="62" t="s">
        <v>131</v>
      </c>
      <c r="G8" s="62" t="s">
        <v>132</v>
      </c>
      <c r="H8" s="62" t="s">
        <v>133</v>
      </c>
      <c r="I8" s="62" t="s">
        <v>134</v>
      </c>
      <c r="J8" s="62" t="s">
        <v>135</v>
      </c>
      <c r="K8" s="62" t="s">
        <v>136</v>
      </c>
      <c r="L8" s="62" t="s">
        <v>137</v>
      </c>
      <c r="M8" s="62" t="s">
        <v>138</v>
      </c>
      <c r="N8" s="63" t="s">
        <v>139</v>
      </c>
    </row>
    <row r="9" spans="1:17" s="49" customFormat="1" ht="14">
      <c r="A9" s="43"/>
      <c r="B9" s="64">
        <v>1</v>
      </c>
      <c r="C9" s="65" t="s">
        <v>140</v>
      </c>
      <c r="D9" s="65" t="s">
        <v>141</v>
      </c>
      <c r="E9" s="66" t="s">
        <v>62</v>
      </c>
      <c r="F9" s="67">
        <v>1.83</v>
      </c>
      <c r="G9" s="68">
        <f>F9*$G$3</f>
        <v>5050800</v>
      </c>
      <c r="H9" s="68">
        <f>G9*$H$7</f>
        <v>0</v>
      </c>
      <c r="I9" s="68">
        <f>G9*$I$7</f>
        <v>0</v>
      </c>
      <c r="J9" s="68">
        <f>G9*$J$7</f>
        <v>0</v>
      </c>
      <c r="K9" s="68">
        <f>G9*$K$7/26</f>
        <v>17483.538461538461</v>
      </c>
      <c r="L9" s="68">
        <f>L7</f>
        <v>30000</v>
      </c>
      <c r="M9" s="68">
        <f>SUM(G9:J9)+K9*26+L9*26</f>
        <v>6285372</v>
      </c>
      <c r="N9" s="69">
        <f>M9/26</f>
        <v>241745.07692307694</v>
      </c>
      <c r="O9" s="49">
        <v>2</v>
      </c>
      <c r="P9" s="67">
        <f>F9</f>
        <v>1.83</v>
      </c>
      <c r="Q9" s="70">
        <f>G9/26*1.09+L9</f>
        <v>241745.07692307694</v>
      </c>
    </row>
    <row r="10" spans="1:17" s="49" customFormat="1" ht="14">
      <c r="A10" s="43">
        <v>2.5</v>
      </c>
      <c r="B10" s="71">
        <f>B9+1</f>
        <v>2</v>
      </c>
      <c r="C10" s="72" t="s">
        <v>142</v>
      </c>
      <c r="D10" s="72" t="s">
        <v>143</v>
      </c>
      <c r="E10" s="73" t="s">
        <v>62</v>
      </c>
      <c r="F10" s="74">
        <v>1.9950000000000001</v>
      </c>
      <c r="G10" s="75">
        <f t="shared" ref="G10:G21" si="0">F10*$G$3</f>
        <v>5506200</v>
      </c>
      <c r="H10" s="75">
        <f>G10*$H$7</f>
        <v>0</v>
      </c>
      <c r="I10" s="75">
        <f>G10*$I$7</f>
        <v>0</v>
      </c>
      <c r="J10" s="75">
        <f>G10*$J$7</f>
        <v>0</v>
      </c>
      <c r="K10" s="68">
        <f t="shared" ref="K10:K21" si="1">G10*$K$7/26</f>
        <v>19059.923076923078</v>
      </c>
      <c r="L10" s="68">
        <f>L9</f>
        <v>30000</v>
      </c>
      <c r="M10" s="68">
        <f t="shared" ref="M10:M21" si="2">SUM(G10:J10)+K10*26+L10*26</f>
        <v>6781758</v>
      </c>
      <c r="N10" s="69">
        <f t="shared" ref="N10:N20" si="3">M10/26</f>
        <v>260836.84615384616</v>
      </c>
      <c r="O10" s="49">
        <v>2.5</v>
      </c>
      <c r="P10" s="74">
        <f>P9+(P12-P9)/(O12-O9)*(O10-O9)</f>
        <v>1.9950000000000001</v>
      </c>
    </row>
    <row r="11" spans="1:17" s="49" customFormat="1" ht="14">
      <c r="A11" s="43">
        <v>2.7</v>
      </c>
      <c r="B11" s="71">
        <f t="shared" ref="B11:B20" si="4">B10+1</f>
        <v>3</v>
      </c>
      <c r="C11" s="72" t="s">
        <v>144</v>
      </c>
      <c r="D11" s="72" t="s">
        <v>145</v>
      </c>
      <c r="E11" s="73" t="s">
        <v>62</v>
      </c>
      <c r="F11" s="74">
        <f>P11</f>
        <v>2.0610000000000004</v>
      </c>
      <c r="G11" s="75">
        <f>F11*$G$3</f>
        <v>5688360.0000000009</v>
      </c>
      <c r="H11" s="75">
        <f>G11*$H$7</f>
        <v>0</v>
      </c>
      <c r="I11" s="75">
        <f>G11*$I$7</f>
        <v>0</v>
      </c>
      <c r="J11" s="75">
        <f>G11*$J$7</f>
        <v>0</v>
      </c>
      <c r="K11" s="68">
        <f t="shared" si="1"/>
        <v>19690.476923076927</v>
      </c>
      <c r="L11" s="68">
        <f t="shared" ref="L11:L21" si="5">L9</f>
        <v>30000</v>
      </c>
      <c r="M11" s="68">
        <f t="shared" si="2"/>
        <v>6980312.4000000013</v>
      </c>
      <c r="N11" s="69">
        <f t="shared" si="3"/>
        <v>268473.5538461539</v>
      </c>
      <c r="O11" s="49">
        <v>2.7</v>
      </c>
      <c r="P11" s="74">
        <f>P10+(P12-P10)/(O12-O10)*(O11-O10)</f>
        <v>2.0610000000000004</v>
      </c>
    </row>
    <row r="12" spans="1:17" s="49" customFormat="1" ht="14">
      <c r="A12" s="43">
        <v>3</v>
      </c>
      <c r="B12" s="71">
        <f t="shared" si="4"/>
        <v>4</v>
      </c>
      <c r="C12" s="72" t="s">
        <v>146</v>
      </c>
      <c r="D12" s="72" t="s">
        <v>147</v>
      </c>
      <c r="E12" s="73" t="s">
        <v>62</v>
      </c>
      <c r="F12" s="74">
        <v>2.16</v>
      </c>
      <c r="G12" s="75">
        <f t="shared" si="0"/>
        <v>5961600</v>
      </c>
      <c r="H12" s="75">
        <f t="shared" ref="H12:H21" si="6">G12*$H$7</f>
        <v>0</v>
      </c>
      <c r="I12" s="75">
        <f t="shared" ref="I12:I21" si="7">G12*$I$7</f>
        <v>0</v>
      </c>
      <c r="J12" s="75">
        <f t="shared" ref="J12:J21" si="8">G12*$J$7</f>
        <v>0</v>
      </c>
      <c r="K12" s="68">
        <f t="shared" si="1"/>
        <v>20636.307692307691</v>
      </c>
      <c r="L12" s="68">
        <f t="shared" si="5"/>
        <v>30000</v>
      </c>
      <c r="M12" s="68">
        <f t="shared" si="2"/>
        <v>7278144</v>
      </c>
      <c r="N12" s="69">
        <f t="shared" si="3"/>
        <v>279928.61538461538</v>
      </c>
      <c r="O12" s="49">
        <v>3</v>
      </c>
      <c r="P12" s="67">
        <f>F12</f>
        <v>2.16</v>
      </c>
    </row>
    <row r="13" spans="1:17" s="49" customFormat="1" ht="14">
      <c r="A13" s="43">
        <v>3.5</v>
      </c>
      <c r="B13" s="71">
        <f t="shared" si="4"/>
        <v>5</v>
      </c>
      <c r="C13" s="72" t="s">
        <v>148</v>
      </c>
      <c r="D13" s="72" t="s">
        <v>149</v>
      </c>
      <c r="E13" s="73" t="s">
        <v>62</v>
      </c>
      <c r="F13" s="74">
        <v>2.355</v>
      </c>
      <c r="G13" s="75">
        <f t="shared" si="0"/>
        <v>6499800</v>
      </c>
      <c r="H13" s="75">
        <f t="shared" si="6"/>
        <v>0</v>
      </c>
      <c r="I13" s="75">
        <f t="shared" si="7"/>
        <v>0</v>
      </c>
      <c r="J13" s="75">
        <f t="shared" si="8"/>
        <v>0</v>
      </c>
      <c r="K13" s="68">
        <f t="shared" si="1"/>
        <v>22499.307692307691</v>
      </c>
      <c r="L13" s="68">
        <f t="shared" si="5"/>
        <v>30000</v>
      </c>
      <c r="M13" s="68">
        <f t="shared" si="2"/>
        <v>7864782</v>
      </c>
      <c r="N13" s="69">
        <f t="shared" si="3"/>
        <v>302491.61538461538</v>
      </c>
      <c r="O13" s="49">
        <v>3.5</v>
      </c>
      <c r="P13" s="74">
        <f>P12+(P15-P12)/(O15-O12)*(O13-O12)</f>
        <v>2.355</v>
      </c>
    </row>
    <row r="14" spans="1:17" s="49" customFormat="1" ht="14">
      <c r="A14" s="43">
        <v>3.7</v>
      </c>
      <c r="B14" s="71">
        <f t="shared" si="4"/>
        <v>6</v>
      </c>
      <c r="C14" s="72" t="s">
        <v>148</v>
      </c>
      <c r="D14" s="72" t="s">
        <v>150</v>
      </c>
      <c r="E14" s="73" t="s">
        <v>62</v>
      </c>
      <c r="F14" s="74">
        <f>P14</f>
        <v>2.4329999999999998</v>
      </c>
      <c r="G14" s="75">
        <f>F14*$G$3</f>
        <v>6715079.9999999991</v>
      </c>
      <c r="H14" s="75">
        <f>G14*$H$7</f>
        <v>0</v>
      </c>
      <c r="I14" s="75">
        <f>G14*$I$7</f>
        <v>0</v>
      </c>
      <c r="J14" s="75">
        <f>G14*$J$7</f>
        <v>0</v>
      </c>
      <c r="K14" s="68">
        <f t="shared" si="1"/>
        <v>23244.507692307685</v>
      </c>
      <c r="L14" s="68">
        <f t="shared" si="5"/>
        <v>30000</v>
      </c>
      <c r="M14" s="68">
        <f t="shared" si="2"/>
        <v>8099437.1999999993</v>
      </c>
      <c r="N14" s="69">
        <f t="shared" si="3"/>
        <v>311516.81538461533</v>
      </c>
      <c r="O14" s="49">
        <v>3.7</v>
      </c>
      <c r="P14" s="74">
        <f>P13+(P15-P13)/(O15-O13)*(O14-O13)</f>
        <v>2.4329999999999998</v>
      </c>
    </row>
    <row r="15" spans="1:17" s="49" customFormat="1" ht="14">
      <c r="A15" s="43">
        <v>4</v>
      </c>
      <c r="B15" s="71">
        <f t="shared" si="4"/>
        <v>7</v>
      </c>
      <c r="C15" s="72" t="s">
        <v>151</v>
      </c>
      <c r="D15" s="72" t="s">
        <v>152</v>
      </c>
      <c r="E15" s="73" t="s">
        <v>62</v>
      </c>
      <c r="F15" s="74">
        <v>2.5499999999999998</v>
      </c>
      <c r="G15" s="75">
        <f t="shared" si="0"/>
        <v>7037999.9999999991</v>
      </c>
      <c r="H15" s="75">
        <f t="shared" si="6"/>
        <v>0</v>
      </c>
      <c r="I15" s="75">
        <f t="shared" si="7"/>
        <v>0</v>
      </c>
      <c r="J15" s="75">
        <f t="shared" si="8"/>
        <v>0</v>
      </c>
      <c r="K15" s="68">
        <f t="shared" si="1"/>
        <v>24362.307692307688</v>
      </c>
      <c r="L15" s="68">
        <f t="shared" si="5"/>
        <v>30000</v>
      </c>
      <c r="M15" s="68">
        <f t="shared" si="2"/>
        <v>8451420</v>
      </c>
      <c r="N15" s="76">
        <f t="shared" si="3"/>
        <v>325054.61538461538</v>
      </c>
      <c r="O15" s="49">
        <v>4</v>
      </c>
      <c r="P15" s="67">
        <f>F15</f>
        <v>2.5499999999999998</v>
      </c>
    </row>
    <row r="16" spans="1:17" s="49" customFormat="1" ht="14">
      <c r="A16" s="43">
        <v>4.5</v>
      </c>
      <c r="B16" s="71">
        <f t="shared" si="4"/>
        <v>8</v>
      </c>
      <c r="C16" s="72" t="s">
        <v>153</v>
      </c>
      <c r="D16" s="72" t="s">
        <v>154</v>
      </c>
      <c r="E16" s="73" t="s">
        <v>62</v>
      </c>
      <c r="F16" s="74">
        <v>2.78</v>
      </c>
      <c r="G16" s="75">
        <f t="shared" si="0"/>
        <v>7672799.9999999991</v>
      </c>
      <c r="H16" s="75">
        <f t="shared" si="6"/>
        <v>0</v>
      </c>
      <c r="I16" s="75">
        <f t="shared" si="7"/>
        <v>0</v>
      </c>
      <c r="J16" s="75">
        <f t="shared" si="8"/>
        <v>0</v>
      </c>
      <c r="K16" s="68">
        <f t="shared" si="1"/>
        <v>26559.692307692305</v>
      </c>
      <c r="L16" s="68">
        <f t="shared" si="5"/>
        <v>30000</v>
      </c>
      <c r="M16" s="68">
        <f t="shared" si="2"/>
        <v>9143352</v>
      </c>
      <c r="N16" s="76">
        <f t="shared" si="3"/>
        <v>351667.38461538462</v>
      </c>
      <c r="O16" s="49">
        <v>4.5</v>
      </c>
      <c r="P16" s="74">
        <f>P15+(P17-P15)/(O17-O15)*(O16-O15)</f>
        <v>2.78</v>
      </c>
    </row>
    <row r="17" spans="1:16" s="49" customFormat="1" ht="14">
      <c r="A17" s="43"/>
      <c r="B17" s="71">
        <f>B16+1</f>
        <v>9</v>
      </c>
      <c r="C17" s="72" t="s">
        <v>155</v>
      </c>
      <c r="D17" s="72" t="s">
        <v>156</v>
      </c>
      <c r="E17" s="73" t="s">
        <v>62</v>
      </c>
      <c r="F17" s="74">
        <v>3.01</v>
      </c>
      <c r="G17" s="75">
        <f t="shared" si="0"/>
        <v>8307599.9999999991</v>
      </c>
      <c r="H17" s="75">
        <f t="shared" si="6"/>
        <v>0</v>
      </c>
      <c r="I17" s="75">
        <f t="shared" si="7"/>
        <v>0</v>
      </c>
      <c r="J17" s="75">
        <f t="shared" si="8"/>
        <v>0</v>
      </c>
      <c r="K17" s="68">
        <f t="shared" si="1"/>
        <v>28757.076923076918</v>
      </c>
      <c r="L17" s="68">
        <f t="shared" si="5"/>
        <v>30000</v>
      </c>
      <c r="M17" s="68">
        <f t="shared" si="2"/>
        <v>9835283.9999999981</v>
      </c>
      <c r="N17" s="76">
        <f t="shared" si="3"/>
        <v>378280.15384615376</v>
      </c>
      <c r="O17" s="49">
        <v>5</v>
      </c>
      <c r="P17" s="67">
        <f>F17</f>
        <v>3.01</v>
      </c>
    </row>
    <row r="18" spans="1:16" s="49" customFormat="1" ht="14">
      <c r="A18" s="43"/>
      <c r="B18" s="71">
        <f t="shared" si="4"/>
        <v>10</v>
      </c>
      <c r="C18" s="72" t="s">
        <v>157</v>
      </c>
      <c r="D18" s="72" t="s">
        <v>158</v>
      </c>
      <c r="E18" s="73" t="s">
        <v>62</v>
      </c>
      <c r="F18" s="74">
        <v>3.2850000000000001</v>
      </c>
      <c r="G18" s="75">
        <f t="shared" si="0"/>
        <v>9066600</v>
      </c>
      <c r="H18" s="75">
        <f t="shared" si="6"/>
        <v>0</v>
      </c>
      <c r="I18" s="75">
        <f t="shared" si="7"/>
        <v>0</v>
      </c>
      <c r="J18" s="75">
        <f t="shared" si="8"/>
        <v>0</v>
      </c>
      <c r="K18" s="68">
        <f t="shared" si="1"/>
        <v>31384.384615384617</v>
      </c>
      <c r="L18" s="68">
        <f t="shared" si="5"/>
        <v>30000</v>
      </c>
      <c r="M18" s="68">
        <f t="shared" si="2"/>
        <v>10662594</v>
      </c>
      <c r="N18" s="69">
        <f t="shared" si="3"/>
        <v>410099.76923076925</v>
      </c>
      <c r="O18" s="49">
        <v>5.5</v>
      </c>
      <c r="P18" s="74">
        <f>P17+(P19-P17)/(O19-O17)*(O18-O17)</f>
        <v>3.2850000000000001</v>
      </c>
    </row>
    <row r="19" spans="1:16" s="49" customFormat="1" ht="14">
      <c r="A19" s="43"/>
      <c r="B19" s="71">
        <f t="shared" si="4"/>
        <v>11</v>
      </c>
      <c r="C19" s="72" t="s">
        <v>159</v>
      </c>
      <c r="D19" s="72" t="s">
        <v>160</v>
      </c>
      <c r="E19" s="73" t="s">
        <v>62</v>
      </c>
      <c r="F19" s="74">
        <v>3.56</v>
      </c>
      <c r="G19" s="75">
        <f t="shared" si="0"/>
        <v>9825600</v>
      </c>
      <c r="H19" s="75">
        <f t="shared" si="6"/>
        <v>0</v>
      </c>
      <c r="I19" s="75">
        <f t="shared" si="7"/>
        <v>0</v>
      </c>
      <c r="J19" s="75">
        <f t="shared" si="8"/>
        <v>0</v>
      </c>
      <c r="K19" s="68">
        <f t="shared" si="1"/>
        <v>34011.692307692305</v>
      </c>
      <c r="L19" s="68">
        <f t="shared" si="5"/>
        <v>30000</v>
      </c>
      <c r="M19" s="68">
        <f t="shared" si="2"/>
        <v>11489904</v>
      </c>
      <c r="N19" s="69">
        <f t="shared" si="3"/>
        <v>441919.38461538462</v>
      </c>
      <c r="O19" s="49">
        <v>6</v>
      </c>
      <c r="P19" s="67">
        <f>F19</f>
        <v>3.56</v>
      </c>
    </row>
    <row r="20" spans="1:16" s="49" customFormat="1" ht="14">
      <c r="A20" s="43"/>
      <c r="B20" s="71">
        <f t="shared" si="4"/>
        <v>12</v>
      </c>
      <c r="C20" s="72" t="s">
        <v>161</v>
      </c>
      <c r="D20" s="72" t="s">
        <v>162</v>
      </c>
      <c r="E20" s="73" t="s">
        <v>62</v>
      </c>
      <c r="F20" s="74">
        <v>3.88</v>
      </c>
      <c r="G20" s="75">
        <f t="shared" si="0"/>
        <v>10708800</v>
      </c>
      <c r="H20" s="75">
        <f t="shared" si="6"/>
        <v>0</v>
      </c>
      <c r="I20" s="75">
        <f t="shared" si="7"/>
        <v>0</v>
      </c>
      <c r="J20" s="75">
        <f t="shared" si="8"/>
        <v>0</v>
      </c>
      <c r="K20" s="68">
        <f t="shared" si="1"/>
        <v>37068.923076923078</v>
      </c>
      <c r="L20" s="68">
        <f t="shared" si="5"/>
        <v>30000</v>
      </c>
      <c r="M20" s="68">
        <f t="shared" si="2"/>
        <v>12452592</v>
      </c>
      <c r="N20" s="69">
        <f t="shared" si="3"/>
        <v>478945.84615384613</v>
      </c>
      <c r="O20" s="49">
        <v>6.5</v>
      </c>
      <c r="P20" s="74">
        <f>P19+(P21-P19)/(O21-O19)*(O20-O19)</f>
        <v>3.88</v>
      </c>
    </row>
    <row r="21" spans="1:16" s="49" customFormat="1" ht="14.5" thickBot="1">
      <c r="A21" s="43"/>
      <c r="B21" s="77">
        <f>B20+1</f>
        <v>13</v>
      </c>
      <c r="C21" s="78" t="s">
        <v>163</v>
      </c>
      <c r="D21" s="78" t="s">
        <v>164</v>
      </c>
      <c r="E21" s="79" t="s">
        <v>62</v>
      </c>
      <c r="F21" s="80">
        <v>4.2</v>
      </c>
      <c r="G21" s="81">
        <f t="shared" si="0"/>
        <v>11592000</v>
      </c>
      <c r="H21" s="81">
        <f t="shared" si="6"/>
        <v>0</v>
      </c>
      <c r="I21" s="81">
        <f t="shared" si="7"/>
        <v>0</v>
      </c>
      <c r="J21" s="81">
        <f t="shared" si="8"/>
        <v>0</v>
      </c>
      <c r="K21" s="82">
        <f t="shared" si="1"/>
        <v>40126.153846153844</v>
      </c>
      <c r="L21" s="83">
        <f t="shared" si="5"/>
        <v>30000</v>
      </c>
      <c r="M21" s="84">
        <f t="shared" si="2"/>
        <v>13415280</v>
      </c>
      <c r="N21" s="85">
        <f>M21/26</f>
        <v>515972.30769230769</v>
      </c>
      <c r="O21" s="49">
        <v>7</v>
      </c>
      <c r="P21" s="67">
        <f>F21</f>
        <v>4.2</v>
      </c>
    </row>
    <row r="22" spans="1:16" s="49" customFormat="1" ht="9.75" customHeight="1" thickTop="1">
      <c r="A22" s="43"/>
      <c r="B22" s="86"/>
      <c r="C22" s="86"/>
      <c r="D22" s="86"/>
      <c r="E22" s="86"/>
      <c r="F22" s="86"/>
      <c r="G22" s="86"/>
      <c r="H22" s="86"/>
      <c r="I22" s="86"/>
      <c r="J22" s="86"/>
      <c r="K22" s="86"/>
      <c r="L22" s="86"/>
      <c r="M22" s="86"/>
      <c r="N22" s="87"/>
    </row>
    <row r="23" spans="1:16" s="41" customFormat="1" ht="14">
      <c r="A23" s="37"/>
      <c r="B23" s="38" t="s">
        <v>104</v>
      </c>
      <c r="C23" s="39"/>
      <c r="D23" s="38"/>
      <c r="E23" s="38"/>
      <c r="F23" s="38"/>
      <c r="G23" s="88">
        <f>G3</f>
        <v>2760000</v>
      </c>
      <c r="H23" s="38" t="s">
        <v>105</v>
      </c>
      <c r="I23" s="38"/>
      <c r="J23" s="38"/>
      <c r="K23" s="38"/>
      <c r="L23" s="38"/>
      <c r="M23" s="38"/>
      <c r="N23" s="38"/>
    </row>
    <row r="24" spans="1:16" s="41" customFormat="1" ht="14.5" thickBot="1">
      <c r="A24" s="37"/>
      <c r="B24" s="38" t="s">
        <v>106</v>
      </c>
      <c r="C24" s="39"/>
      <c r="D24" s="38"/>
      <c r="E24" s="38"/>
      <c r="F24" s="38"/>
      <c r="G24" s="89" t="s">
        <v>165</v>
      </c>
      <c r="H24" s="38"/>
      <c r="I24" s="38"/>
      <c r="J24" s="38"/>
      <c r="K24" s="38"/>
      <c r="L24" s="38"/>
      <c r="M24" s="1038" t="s">
        <v>108</v>
      </c>
      <c r="N24" s="1038"/>
    </row>
    <row r="25" spans="1:16" s="96" customFormat="1" ht="25.5" customHeight="1" thickTop="1">
      <c r="A25" s="90"/>
      <c r="B25" s="91" t="s">
        <v>1</v>
      </c>
      <c r="C25" s="92" t="s">
        <v>109</v>
      </c>
      <c r="D25" s="92" t="s">
        <v>110</v>
      </c>
      <c r="E25" s="92" t="s">
        <v>3</v>
      </c>
      <c r="F25" s="92" t="s">
        <v>111</v>
      </c>
      <c r="G25" s="92" t="s">
        <v>112</v>
      </c>
      <c r="H25" s="93" t="s">
        <v>113</v>
      </c>
      <c r="I25" s="93"/>
      <c r="J25" s="93"/>
      <c r="K25" s="94" t="s">
        <v>114</v>
      </c>
      <c r="L25" s="93" t="s">
        <v>115</v>
      </c>
      <c r="M25" s="92" t="s">
        <v>116</v>
      </c>
      <c r="N25" s="95" t="s">
        <v>51</v>
      </c>
    </row>
    <row r="26" spans="1:16" s="96" customFormat="1" ht="15" customHeight="1">
      <c r="A26" s="90"/>
      <c r="B26" s="97"/>
      <c r="C26" s="98"/>
      <c r="D26" s="98" t="s">
        <v>117</v>
      </c>
      <c r="E26" s="98"/>
      <c r="F26" s="98" t="s">
        <v>118</v>
      </c>
      <c r="G26" s="98"/>
      <c r="H26" s="99" t="s">
        <v>119</v>
      </c>
      <c r="I26" s="99" t="s">
        <v>120</v>
      </c>
      <c r="J26" s="99" t="s">
        <v>121</v>
      </c>
      <c r="K26" s="99" t="s">
        <v>122</v>
      </c>
      <c r="L26" s="99" t="s">
        <v>123</v>
      </c>
      <c r="M26" s="100" t="s">
        <v>166</v>
      </c>
      <c r="N26" s="101" t="s">
        <v>125</v>
      </c>
    </row>
    <row r="27" spans="1:16" s="96" customFormat="1" ht="14">
      <c r="A27" s="90"/>
      <c r="B27" s="102"/>
      <c r="C27" s="100"/>
      <c r="D27" s="100"/>
      <c r="E27" s="100"/>
      <c r="F27" s="100"/>
      <c r="G27" s="100"/>
      <c r="H27" s="103">
        <f>H7</f>
        <v>0</v>
      </c>
      <c r="I27" s="103">
        <f>I7</f>
        <v>0</v>
      </c>
      <c r="J27" s="103">
        <f>J7</f>
        <v>0</v>
      </c>
      <c r="K27" s="104">
        <f>K7</f>
        <v>0.09</v>
      </c>
      <c r="L27" s="105">
        <f>L7</f>
        <v>30000</v>
      </c>
      <c r="M27" s="106" t="s">
        <v>126</v>
      </c>
      <c r="N27" s="107"/>
    </row>
    <row r="28" spans="1:16" s="96" customFormat="1" ht="14">
      <c r="A28" s="90"/>
      <c r="B28" s="61" t="s">
        <v>127</v>
      </c>
      <c r="C28" s="62" t="s">
        <v>128</v>
      </c>
      <c r="D28" s="62" t="s">
        <v>129</v>
      </c>
      <c r="E28" s="62" t="s">
        <v>130</v>
      </c>
      <c r="F28" s="62" t="s">
        <v>131</v>
      </c>
      <c r="G28" s="62" t="s">
        <v>132</v>
      </c>
      <c r="H28" s="62" t="s">
        <v>133</v>
      </c>
      <c r="I28" s="62" t="s">
        <v>134</v>
      </c>
      <c r="J28" s="62" t="s">
        <v>135</v>
      </c>
      <c r="K28" s="62" t="s">
        <v>136</v>
      </c>
      <c r="L28" s="62" t="s">
        <v>137</v>
      </c>
      <c r="M28" s="62" t="s">
        <v>138</v>
      </c>
      <c r="N28" s="63" t="s">
        <v>139</v>
      </c>
    </row>
    <row r="29" spans="1:16" s="96" customFormat="1" ht="14">
      <c r="A29" s="90">
        <v>2</v>
      </c>
      <c r="B29" s="108">
        <v>1</v>
      </c>
      <c r="C29" s="109" t="s">
        <v>167</v>
      </c>
      <c r="D29" s="109" t="s">
        <v>168</v>
      </c>
      <c r="E29" s="110" t="s">
        <v>62</v>
      </c>
      <c r="F29" s="111">
        <v>2.0699999999999998</v>
      </c>
      <c r="G29" s="112">
        <f>F29*$G$23</f>
        <v>5713200</v>
      </c>
      <c r="H29" s="112">
        <f>G29*$H$27</f>
        <v>0</v>
      </c>
      <c r="I29" s="112">
        <f>G29*$I$27</f>
        <v>0</v>
      </c>
      <c r="J29" s="112">
        <f>G29*$J$27</f>
        <v>0</v>
      </c>
      <c r="K29" s="112">
        <f>G29*$K$7/26</f>
        <v>19776.461538461539</v>
      </c>
      <c r="L29" s="112">
        <f>L27</f>
        <v>30000</v>
      </c>
      <c r="M29" s="112">
        <f>SUM(G29:J29)+K29*26+L29*26</f>
        <v>7007388</v>
      </c>
      <c r="N29" s="113">
        <f>M29/26</f>
        <v>269514.92307692306</v>
      </c>
      <c r="O29" s="96">
        <v>2</v>
      </c>
      <c r="P29" s="111">
        <f>F29</f>
        <v>2.0699999999999998</v>
      </c>
    </row>
    <row r="30" spans="1:16" s="96" customFormat="1" ht="14">
      <c r="A30" s="90">
        <v>2.5</v>
      </c>
      <c r="B30" s="114">
        <f>B29+1</f>
        <v>2</v>
      </c>
      <c r="C30" s="115" t="s">
        <v>169</v>
      </c>
      <c r="D30" s="115" t="s">
        <v>170</v>
      </c>
      <c r="E30" s="116" t="s">
        <v>62</v>
      </c>
      <c r="F30" s="117">
        <f>P30</f>
        <v>2.2549999999999999</v>
      </c>
      <c r="G30" s="118">
        <f t="shared" ref="G30:G42" si="9">F30*$G$23</f>
        <v>6223800</v>
      </c>
      <c r="H30" s="118">
        <f t="shared" ref="H30:H42" si="10">G30*$H$27</f>
        <v>0</v>
      </c>
      <c r="I30" s="118">
        <f t="shared" ref="I30:I42" si="11">G30*$I$27</f>
        <v>0</v>
      </c>
      <c r="J30" s="118">
        <f t="shared" ref="J30:J42" si="12">G30*$J$27</f>
        <v>0</v>
      </c>
      <c r="K30" s="112">
        <f t="shared" ref="K30:K41" si="13">G30*$K$7/26</f>
        <v>21543.923076923078</v>
      </c>
      <c r="L30" s="118">
        <f>L29</f>
        <v>30000</v>
      </c>
      <c r="M30" s="112">
        <f t="shared" ref="M30:M42" si="14">SUM(G30:J30)+K30*26+L30*26</f>
        <v>7563942</v>
      </c>
      <c r="N30" s="119">
        <f t="shared" ref="N30:N42" si="15">M30/26</f>
        <v>290920.84615384613</v>
      </c>
      <c r="O30" s="96">
        <v>2.5</v>
      </c>
      <c r="P30" s="117">
        <f>P29+(P32-P29)/(O32-O29)*(O30-O29)</f>
        <v>2.2549999999999999</v>
      </c>
    </row>
    <row r="31" spans="1:16" s="96" customFormat="1" ht="14">
      <c r="A31" s="90">
        <v>2.7</v>
      </c>
      <c r="B31" s="114">
        <f t="shared" ref="B31:B41" si="16">B30+1</f>
        <v>3</v>
      </c>
      <c r="C31" s="115" t="s">
        <v>171</v>
      </c>
      <c r="D31" s="115" t="s">
        <v>172</v>
      </c>
      <c r="E31" s="116" t="s">
        <v>62</v>
      </c>
      <c r="F31" s="117">
        <f>P31</f>
        <v>2.3290000000000002</v>
      </c>
      <c r="G31" s="118">
        <f>F31*$G$23</f>
        <v>6428040.0000000009</v>
      </c>
      <c r="H31" s="118">
        <f>G31*$H$27</f>
        <v>0</v>
      </c>
      <c r="I31" s="118">
        <f>G31*$I$27</f>
        <v>0</v>
      </c>
      <c r="J31" s="118">
        <f>G31*$J$27</f>
        <v>0</v>
      </c>
      <c r="K31" s="112">
        <f>G31*$K$7/26</f>
        <v>22250.907692307697</v>
      </c>
      <c r="L31" s="118">
        <f>L30</f>
        <v>30000</v>
      </c>
      <c r="M31" s="112">
        <f>SUM(G31:J31)+K31*26+L31*26</f>
        <v>7786563.6000000015</v>
      </c>
      <c r="N31" s="120">
        <f>M31/26</f>
        <v>299483.21538461547</v>
      </c>
      <c r="O31" s="49">
        <v>2.7</v>
      </c>
      <c r="P31" s="74">
        <f>P30+(P32-P30)/(O32-O30)*(O31-O30)</f>
        <v>2.3290000000000002</v>
      </c>
    </row>
    <row r="32" spans="1:16" s="832" customFormat="1" ht="14">
      <c r="A32" s="824">
        <v>3</v>
      </c>
      <c r="B32" s="825">
        <f t="shared" si="16"/>
        <v>4</v>
      </c>
      <c r="C32" s="826" t="s">
        <v>173</v>
      </c>
      <c r="D32" s="826" t="s">
        <v>174</v>
      </c>
      <c r="E32" s="827" t="s">
        <v>62</v>
      </c>
      <c r="F32" s="828">
        <v>2.44</v>
      </c>
      <c r="G32" s="829">
        <f t="shared" si="9"/>
        <v>6734400</v>
      </c>
      <c r="H32" s="829">
        <f t="shared" si="10"/>
        <v>0</v>
      </c>
      <c r="I32" s="829">
        <f t="shared" si="11"/>
        <v>0</v>
      </c>
      <c r="J32" s="829">
        <f t="shared" si="12"/>
        <v>0</v>
      </c>
      <c r="K32" s="830">
        <f t="shared" si="13"/>
        <v>23311.384615384617</v>
      </c>
      <c r="L32" s="829">
        <f>L30</f>
        <v>30000</v>
      </c>
      <c r="M32" s="830">
        <f t="shared" si="14"/>
        <v>8120496</v>
      </c>
      <c r="N32" s="831">
        <f t="shared" si="15"/>
        <v>312326.76923076925</v>
      </c>
      <c r="O32" s="832">
        <v>3</v>
      </c>
      <c r="P32" s="833">
        <f t="shared" ref="P32:P42" si="17">F32</f>
        <v>2.44</v>
      </c>
    </row>
    <row r="33" spans="1:16" s="832" customFormat="1" ht="14">
      <c r="A33" s="824">
        <v>3.5</v>
      </c>
      <c r="B33" s="825">
        <f t="shared" si="16"/>
        <v>5</v>
      </c>
      <c r="C33" s="826" t="s">
        <v>175</v>
      </c>
      <c r="D33" s="826" t="s">
        <v>176</v>
      </c>
      <c r="E33" s="827" t="s">
        <v>62</v>
      </c>
      <c r="F33" s="828">
        <f>P33</f>
        <v>2.65</v>
      </c>
      <c r="G33" s="829">
        <f t="shared" si="9"/>
        <v>7314000</v>
      </c>
      <c r="H33" s="829">
        <f t="shared" si="10"/>
        <v>0</v>
      </c>
      <c r="I33" s="829">
        <f t="shared" si="11"/>
        <v>0</v>
      </c>
      <c r="J33" s="829">
        <f t="shared" si="12"/>
        <v>0</v>
      </c>
      <c r="K33" s="830">
        <f t="shared" si="13"/>
        <v>25317.692307692309</v>
      </c>
      <c r="L33" s="829">
        <f t="shared" ref="L33:L41" si="18">L32</f>
        <v>30000</v>
      </c>
      <c r="M33" s="830">
        <f t="shared" si="14"/>
        <v>8752260</v>
      </c>
      <c r="N33" s="831">
        <f t="shared" si="15"/>
        <v>336625.38461538462</v>
      </c>
      <c r="O33" s="832">
        <v>3.5</v>
      </c>
      <c r="P33" s="828">
        <f>P32+(P35-P32)/(O35-O32)*(O33-O32)</f>
        <v>2.65</v>
      </c>
    </row>
    <row r="34" spans="1:16" s="832" customFormat="1" ht="14">
      <c r="A34" s="824">
        <v>3.7</v>
      </c>
      <c r="B34" s="825">
        <f t="shared" si="16"/>
        <v>6</v>
      </c>
      <c r="C34" s="826" t="s">
        <v>177</v>
      </c>
      <c r="D34" s="826" t="s">
        <v>178</v>
      </c>
      <c r="E34" s="827" t="s">
        <v>62</v>
      </c>
      <c r="F34" s="828">
        <f>P34</f>
        <v>2.734</v>
      </c>
      <c r="G34" s="829">
        <f>F34*$G$23</f>
        <v>7545840</v>
      </c>
      <c r="H34" s="829">
        <f>G34*$H$27</f>
        <v>0</v>
      </c>
      <c r="I34" s="829">
        <f>G34*$I$27</f>
        <v>0</v>
      </c>
      <c r="J34" s="829">
        <f>G34*$J$27</f>
        <v>0</v>
      </c>
      <c r="K34" s="830">
        <f>G34*$K$7/26</f>
        <v>26120.215384615385</v>
      </c>
      <c r="L34" s="829">
        <f t="shared" si="18"/>
        <v>30000</v>
      </c>
      <c r="M34" s="830">
        <f>SUM(G34:J34)+K34*26+L34*26</f>
        <v>9004965.5999999996</v>
      </c>
      <c r="N34" s="831">
        <f>M34/26</f>
        <v>346344.83076923073</v>
      </c>
      <c r="O34" s="832">
        <v>3.7</v>
      </c>
      <c r="P34" s="834">
        <f>P33+(P35-P33)/(O35-O33)*(O34-O33)</f>
        <v>2.734</v>
      </c>
    </row>
    <row r="35" spans="1:16" s="832" customFormat="1" ht="14">
      <c r="A35" s="824">
        <v>4</v>
      </c>
      <c r="B35" s="825">
        <f>B33+1</f>
        <v>6</v>
      </c>
      <c r="C35" s="826" t="s">
        <v>179</v>
      </c>
      <c r="D35" s="826" t="s">
        <v>180</v>
      </c>
      <c r="E35" s="827" t="s">
        <v>62</v>
      </c>
      <c r="F35" s="828">
        <v>2.86</v>
      </c>
      <c r="G35" s="829">
        <f t="shared" si="9"/>
        <v>7893600</v>
      </c>
      <c r="H35" s="829">
        <f t="shared" si="10"/>
        <v>0</v>
      </c>
      <c r="I35" s="829">
        <f t="shared" si="11"/>
        <v>0</v>
      </c>
      <c r="J35" s="829">
        <f t="shared" si="12"/>
        <v>0</v>
      </c>
      <c r="K35" s="830">
        <f t="shared" si="13"/>
        <v>27324</v>
      </c>
      <c r="L35" s="829">
        <f>L33</f>
        <v>30000</v>
      </c>
      <c r="M35" s="830">
        <f t="shared" si="14"/>
        <v>9384024</v>
      </c>
      <c r="N35" s="831">
        <f t="shared" si="15"/>
        <v>360924</v>
      </c>
      <c r="O35" s="832">
        <v>4</v>
      </c>
      <c r="P35" s="833">
        <f t="shared" si="17"/>
        <v>2.86</v>
      </c>
    </row>
    <row r="36" spans="1:16" s="832" customFormat="1" ht="14">
      <c r="A36" s="824">
        <v>4.3</v>
      </c>
      <c r="B36" s="825">
        <f>B33+1</f>
        <v>6</v>
      </c>
      <c r="C36" s="826" t="s">
        <v>181</v>
      </c>
      <c r="D36" s="826" t="s">
        <v>182</v>
      </c>
      <c r="E36" s="827" t="s">
        <v>62</v>
      </c>
      <c r="F36" s="828">
        <f>P36</f>
        <v>3.0129999999999999</v>
      </c>
      <c r="G36" s="829">
        <f>F36*$G$23</f>
        <v>8315880</v>
      </c>
      <c r="H36" s="829">
        <f>G36*$H$27</f>
        <v>0</v>
      </c>
      <c r="I36" s="829">
        <f>G36*$I$27</f>
        <v>0</v>
      </c>
      <c r="J36" s="829">
        <f>G36*$J$27</f>
        <v>0</v>
      </c>
      <c r="K36" s="830">
        <f>G36*$K$7/26</f>
        <v>28785.738461538458</v>
      </c>
      <c r="L36" s="829">
        <f>L33</f>
        <v>30000</v>
      </c>
      <c r="M36" s="830">
        <f>SUM(G36:J36)+K36*26+L36*26</f>
        <v>9844309.1999999993</v>
      </c>
      <c r="N36" s="831">
        <f>M36/26</f>
        <v>378627.27692307689</v>
      </c>
      <c r="O36" s="832">
        <v>4.3</v>
      </c>
      <c r="P36" s="835">
        <f>P35+(P37-P35)/(O37-O35)*(O36-O35)</f>
        <v>3.0129999999999999</v>
      </c>
    </row>
    <row r="37" spans="1:16" s="832" customFormat="1" ht="14">
      <c r="A37" s="824">
        <v>4.5</v>
      </c>
      <c r="B37" s="825">
        <f>B35+1</f>
        <v>7</v>
      </c>
      <c r="C37" s="826" t="s">
        <v>183</v>
      </c>
      <c r="D37" s="826" t="s">
        <v>184</v>
      </c>
      <c r="E37" s="827" t="s">
        <v>62</v>
      </c>
      <c r="F37" s="828">
        <f>P37</f>
        <v>3.1150000000000002</v>
      </c>
      <c r="G37" s="829">
        <f t="shared" si="9"/>
        <v>8597400</v>
      </c>
      <c r="H37" s="829">
        <f t="shared" si="10"/>
        <v>0</v>
      </c>
      <c r="I37" s="829">
        <f t="shared" si="11"/>
        <v>0</v>
      </c>
      <c r="J37" s="829">
        <f t="shared" si="12"/>
        <v>0</v>
      </c>
      <c r="K37" s="830">
        <f t="shared" si="13"/>
        <v>29760.23076923077</v>
      </c>
      <c r="L37" s="829">
        <f>L35</f>
        <v>30000</v>
      </c>
      <c r="M37" s="830">
        <f t="shared" si="14"/>
        <v>10151166</v>
      </c>
      <c r="N37" s="831">
        <f t="shared" si="15"/>
        <v>390429.46153846156</v>
      </c>
      <c r="O37" s="832">
        <v>4.5</v>
      </c>
      <c r="P37" s="828">
        <f>P35+(P38-P35)/(O38-O35)*(O37-O35)</f>
        <v>3.1150000000000002</v>
      </c>
    </row>
    <row r="38" spans="1:16" s="96" customFormat="1" ht="14">
      <c r="A38" s="90">
        <v>5</v>
      </c>
      <c r="B38" s="114">
        <f t="shared" si="16"/>
        <v>8</v>
      </c>
      <c r="C38" s="115" t="s">
        <v>185</v>
      </c>
      <c r="D38" s="115" t="s">
        <v>186</v>
      </c>
      <c r="E38" s="116" t="s">
        <v>62</v>
      </c>
      <c r="F38" s="117">
        <v>3.37</v>
      </c>
      <c r="G38" s="118">
        <f t="shared" si="9"/>
        <v>9301200</v>
      </c>
      <c r="H38" s="118">
        <f t="shared" si="10"/>
        <v>0</v>
      </c>
      <c r="I38" s="118">
        <f t="shared" si="11"/>
        <v>0</v>
      </c>
      <c r="J38" s="118">
        <f t="shared" si="12"/>
        <v>0</v>
      </c>
      <c r="K38" s="112">
        <f t="shared" si="13"/>
        <v>32196.461538461539</v>
      </c>
      <c r="L38" s="118">
        <f t="shared" si="18"/>
        <v>30000</v>
      </c>
      <c r="M38" s="112">
        <f t="shared" si="14"/>
        <v>10918308</v>
      </c>
      <c r="N38" s="119">
        <f t="shared" si="15"/>
        <v>419934.92307692306</v>
      </c>
      <c r="O38" s="96">
        <v>5</v>
      </c>
      <c r="P38" s="111">
        <f t="shared" si="17"/>
        <v>3.37</v>
      </c>
    </row>
    <row r="39" spans="1:16" s="96" customFormat="1" ht="14">
      <c r="A39" s="90">
        <v>5.5</v>
      </c>
      <c r="B39" s="114">
        <f t="shared" si="16"/>
        <v>9</v>
      </c>
      <c r="C39" s="121" t="s">
        <v>187</v>
      </c>
      <c r="D39" s="121" t="s">
        <v>188</v>
      </c>
      <c r="E39" s="122" t="s">
        <v>62</v>
      </c>
      <c r="F39" s="123">
        <f>P39</f>
        <v>3.665</v>
      </c>
      <c r="G39" s="124">
        <f t="shared" si="9"/>
        <v>10115400</v>
      </c>
      <c r="H39" s="124">
        <f t="shared" si="10"/>
        <v>0</v>
      </c>
      <c r="I39" s="124">
        <f t="shared" si="11"/>
        <v>0</v>
      </c>
      <c r="J39" s="124">
        <f t="shared" si="12"/>
        <v>0</v>
      </c>
      <c r="K39" s="112">
        <f t="shared" si="13"/>
        <v>35014.846153846156</v>
      </c>
      <c r="L39" s="118">
        <f t="shared" si="18"/>
        <v>30000</v>
      </c>
      <c r="M39" s="112">
        <f t="shared" si="14"/>
        <v>11805786</v>
      </c>
      <c r="N39" s="125">
        <f t="shared" si="15"/>
        <v>454068.69230769231</v>
      </c>
      <c r="O39" s="96">
        <v>5.5</v>
      </c>
      <c r="P39" s="117">
        <f>P38+(P40-P38)/(O40-O38)*(O39-O38)</f>
        <v>3.665</v>
      </c>
    </row>
    <row r="40" spans="1:16" s="96" customFormat="1" ht="14">
      <c r="A40" s="90"/>
      <c r="B40" s="114">
        <f t="shared" si="16"/>
        <v>10</v>
      </c>
      <c r="C40" s="121" t="s">
        <v>189</v>
      </c>
      <c r="D40" s="121" t="s">
        <v>190</v>
      </c>
      <c r="E40" s="122" t="s">
        <v>62</v>
      </c>
      <c r="F40" s="123">
        <v>3.96</v>
      </c>
      <c r="G40" s="124">
        <f t="shared" si="9"/>
        <v>10929600</v>
      </c>
      <c r="H40" s="124">
        <f t="shared" si="10"/>
        <v>0</v>
      </c>
      <c r="I40" s="124">
        <f t="shared" si="11"/>
        <v>0</v>
      </c>
      <c r="J40" s="124">
        <f t="shared" si="12"/>
        <v>0</v>
      </c>
      <c r="K40" s="112">
        <f t="shared" si="13"/>
        <v>37833.230769230766</v>
      </c>
      <c r="L40" s="118">
        <f t="shared" si="18"/>
        <v>30000</v>
      </c>
      <c r="M40" s="112">
        <f t="shared" si="14"/>
        <v>12693264</v>
      </c>
      <c r="N40" s="125">
        <f t="shared" si="15"/>
        <v>488202.46153846156</v>
      </c>
      <c r="O40" s="96">
        <v>6</v>
      </c>
      <c r="P40" s="111">
        <f t="shared" si="17"/>
        <v>3.96</v>
      </c>
    </row>
    <row r="41" spans="1:16" s="96" customFormat="1" ht="14">
      <c r="A41" s="90"/>
      <c r="B41" s="114">
        <f t="shared" si="16"/>
        <v>11</v>
      </c>
      <c r="C41" s="121" t="s">
        <v>191</v>
      </c>
      <c r="D41" s="121" t="s">
        <v>192</v>
      </c>
      <c r="E41" s="122" t="s">
        <v>62</v>
      </c>
      <c r="F41" s="123">
        <f>P41</f>
        <v>4.3049999999999997</v>
      </c>
      <c r="G41" s="124">
        <f t="shared" si="9"/>
        <v>11881800</v>
      </c>
      <c r="H41" s="124">
        <f t="shared" si="10"/>
        <v>0</v>
      </c>
      <c r="I41" s="124">
        <f t="shared" si="11"/>
        <v>0</v>
      </c>
      <c r="J41" s="124">
        <f t="shared" si="12"/>
        <v>0</v>
      </c>
      <c r="K41" s="112">
        <f t="shared" si="13"/>
        <v>41129.307692307695</v>
      </c>
      <c r="L41" s="118">
        <f t="shared" si="18"/>
        <v>30000</v>
      </c>
      <c r="M41" s="112">
        <f t="shared" si="14"/>
        <v>13731162</v>
      </c>
      <c r="N41" s="125">
        <f t="shared" si="15"/>
        <v>528121.61538461538</v>
      </c>
      <c r="O41" s="96">
        <v>6.5</v>
      </c>
      <c r="P41" s="117">
        <f>P40+(P42-P40)/(O42-O40)*(O41-O40)</f>
        <v>4.3049999999999997</v>
      </c>
    </row>
    <row r="42" spans="1:16" s="96" customFormat="1" ht="14.5" thickBot="1">
      <c r="A42" s="90"/>
      <c r="B42" s="126">
        <f>B41+1</f>
        <v>12</v>
      </c>
      <c r="C42" s="127" t="s">
        <v>193</v>
      </c>
      <c r="D42" s="127" t="s">
        <v>194</v>
      </c>
      <c r="E42" s="128" t="s">
        <v>62</v>
      </c>
      <c r="F42" s="129">
        <v>4.6500000000000004</v>
      </c>
      <c r="G42" s="130">
        <f t="shared" si="9"/>
        <v>12834000.000000002</v>
      </c>
      <c r="H42" s="130">
        <f t="shared" si="10"/>
        <v>0</v>
      </c>
      <c r="I42" s="130">
        <f t="shared" si="11"/>
        <v>0</v>
      </c>
      <c r="J42" s="130">
        <f t="shared" si="12"/>
        <v>0</v>
      </c>
      <c r="K42" s="131">
        <f>G42*$K$7/26</f>
        <v>44425.384615384624</v>
      </c>
      <c r="L42" s="130">
        <f>L41</f>
        <v>30000</v>
      </c>
      <c r="M42" s="131">
        <f t="shared" si="14"/>
        <v>14769060.000000002</v>
      </c>
      <c r="N42" s="132">
        <f t="shared" si="15"/>
        <v>568040.76923076925</v>
      </c>
      <c r="O42" s="96">
        <v>7</v>
      </c>
      <c r="P42" s="111">
        <f t="shared" si="17"/>
        <v>4.6500000000000004</v>
      </c>
    </row>
    <row r="43" spans="1:16" s="96" customFormat="1" ht="12.75" customHeight="1" thickTop="1">
      <c r="A43" s="90"/>
      <c r="B43" s="133"/>
      <c r="C43" s="134"/>
      <c r="D43" s="134"/>
      <c r="E43" s="133"/>
      <c r="F43" s="135"/>
      <c r="G43" s="136"/>
      <c r="H43" s="136"/>
      <c r="I43" s="136"/>
      <c r="J43" s="136"/>
      <c r="K43" s="136"/>
      <c r="L43" s="136"/>
      <c r="M43" s="137"/>
      <c r="N43" s="136"/>
    </row>
    <row r="44" spans="1:16" s="140" customFormat="1" ht="25.5" customHeight="1">
      <c r="A44" s="138"/>
      <c r="B44" s="139" t="s">
        <v>195</v>
      </c>
      <c r="F44" s="141"/>
      <c r="G44" s="141"/>
      <c r="H44" s="141"/>
      <c r="J44" s="142"/>
      <c r="M44" s="143"/>
      <c r="P44" s="142"/>
    </row>
    <row r="45" spans="1:16" s="41" customFormat="1" ht="21.75" customHeight="1">
      <c r="A45" s="37"/>
      <c r="B45" s="144" t="s">
        <v>104</v>
      </c>
      <c r="C45" s="145"/>
      <c r="D45" s="144"/>
      <c r="E45" s="144"/>
      <c r="F45" s="144"/>
      <c r="G45" s="146">
        <f>G23</f>
        <v>2760000</v>
      </c>
      <c r="H45" s="144" t="s">
        <v>196</v>
      </c>
      <c r="I45" s="144"/>
      <c r="J45" s="144"/>
      <c r="K45" s="144"/>
      <c r="L45" s="144"/>
      <c r="M45" s="1039" t="s">
        <v>108</v>
      </c>
      <c r="N45" s="1039"/>
    </row>
    <row r="46" spans="1:16" s="41" customFormat="1" ht="12" customHeight="1" thickBot="1">
      <c r="A46" s="37"/>
      <c r="B46" s="144"/>
      <c r="C46" s="145"/>
      <c r="D46" s="144"/>
      <c r="E46" s="144"/>
      <c r="F46" s="144"/>
      <c r="G46" s="146"/>
      <c r="H46" s="144"/>
      <c r="I46" s="144"/>
      <c r="J46" s="144"/>
      <c r="K46" s="144"/>
      <c r="L46" s="144"/>
      <c r="M46" s="147"/>
      <c r="N46" s="147"/>
    </row>
    <row r="47" spans="1:16" s="96" customFormat="1" ht="28.5" thickTop="1">
      <c r="A47" s="90"/>
      <c r="B47" s="148" t="s">
        <v>1</v>
      </c>
      <c r="C47" s="149" t="s">
        <v>109</v>
      </c>
      <c r="D47" s="149" t="s">
        <v>110</v>
      </c>
      <c r="E47" s="149" t="s">
        <v>3</v>
      </c>
      <c r="F47" s="149" t="s">
        <v>111</v>
      </c>
      <c r="G47" s="149" t="s">
        <v>112</v>
      </c>
      <c r="H47" s="150" t="s">
        <v>113</v>
      </c>
      <c r="I47" s="150"/>
      <c r="J47" s="150"/>
      <c r="K47" s="94" t="s">
        <v>114</v>
      </c>
      <c r="L47" s="93" t="s">
        <v>115</v>
      </c>
      <c r="M47" s="149" t="s">
        <v>116</v>
      </c>
      <c r="N47" s="151" t="s">
        <v>51</v>
      </c>
    </row>
    <row r="48" spans="1:16" s="96" customFormat="1" ht="14">
      <c r="A48" s="90"/>
      <c r="B48" s="152"/>
      <c r="C48" s="153"/>
      <c r="D48" s="153" t="s">
        <v>117</v>
      </c>
      <c r="E48" s="153"/>
      <c r="F48" s="153" t="s">
        <v>118</v>
      </c>
      <c r="G48" s="153"/>
      <c r="H48" s="154" t="s">
        <v>119</v>
      </c>
      <c r="I48" s="154" t="s">
        <v>120</v>
      </c>
      <c r="J48" s="154" t="s">
        <v>121</v>
      </c>
      <c r="K48" s="99" t="s">
        <v>122</v>
      </c>
      <c r="L48" s="99" t="s">
        <v>123</v>
      </c>
      <c r="M48" s="155" t="s">
        <v>166</v>
      </c>
      <c r="N48" s="156" t="s">
        <v>125</v>
      </c>
    </row>
    <row r="49" spans="1:14" s="96" customFormat="1" ht="14">
      <c r="A49" s="90"/>
      <c r="B49" s="157"/>
      <c r="C49" s="155"/>
      <c r="D49" s="155"/>
      <c r="E49" s="155"/>
      <c r="F49" s="155"/>
      <c r="G49" s="155"/>
      <c r="H49" s="158">
        <f>H27</f>
        <v>0</v>
      </c>
      <c r="I49" s="158">
        <f>I27</f>
        <v>0</v>
      </c>
      <c r="J49" s="158">
        <f>J27</f>
        <v>0</v>
      </c>
      <c r="K49" s="104">
        <f>K27</f>
        <v>0.09</v>
      </c>
      <c r="L49" s="105">
        <f>L27</f>
        <v>30000</v>
      </c>
      <c r="M49" s="159" t="s">
        <v>126</v>
      </c>
      <c r="N49" s="160"/>
    </row>
    <row r="50" spans="1:14" s="96" customFormat="1" ht="14">
      <c r="A50" s="90"/>
      <c r="B50" s="161" t="s">
        <v>127</v>
      </c>
      <c r="C50" s="162" t="s">
        <v>128</v>
      </c>
      <c r="D50" s="162" t="s">
        <v>129</v>
      </c>
      <c r="E50" s="162" t="s">
        <v>130</v>
      </c>
      <c r="F50" s="162" t="s">
        <v>131</v>
      </c>
      <c r="G50" s="162" t="s">
        <v>132</v>
      </c>
      <c r="H50" s="162" t="s">
        <v>133</v>
      </c>
      <c r="I50" s="162" t="s">
        <v>134</v>
      </c>
      <c r="J50" s="162" t="s">
        <v>135</v>
      </c>
      <c r="K50" s="162" t="s">
        <v>136</v>
      </c>
      <c r="L50" s="162" t="s">
        <v>137</v>
      </c>
      <c r="M50" s="162" t="s">
        <v>139</v>
      </c>
      <c r="N50" s="163" t="s">
        <v>197</v>
      </c>
    </row>
    <row r="51" spans="1:14" s="170" customFormat="1" ht="18">
      <c r="A51" s="164"/>
      <c r="B51" s="165" t="s">
        <v>198</v>
      </c>
      <c r="C51" s="166"/>
      <c r="D51" s="167"/>
      <c r="E51" s="168"/>
      <c r="F51" s="166"/>
      <c r="G51" s="167"/>
      <c r="H51" s="167"/>
      <c r="I51" s="167"/>
      <c r="J51" s="167"/>
      <c r="K51" s="167"/>
      <c r="L51" s="167"/>
      <c r="M51" s="167"/>
      <c r="N51" s="169"/>
    </row>
    <row r="52" spans="1:14" s="170" customFormat="1" ht="14">
      <c r="A52" s="164"/>
      <c r="B52" s="171"/>
      <c r="C52" s="167"/>
      <c r="D52" s="172" t="s">
        <v>12</v>
      </c>
      <c r="E52" s="173" t="s">
        <v>62</v>
      </c>
      <c r="F52" s="174">
        <v>2.1800000000000002</v>
      </c>
      <c r="G52" s="175">
        <f>F52*$G$45</f>
        <v>6016800</v>
      </c>
      <c r="H52" s="175">
        <f>G52*$H$49</f>
        <v>0</v>
      </c>
      <c r="I52" s="175">
        <f>G52*$I$49</f>
        <v>0</v>
      </c>
      <c r="J52" s="175">
        <f>G52*$J$49</f>
        <v>0</v>
      </c>
      <c r="K52" s="175">
        <f>G52*$K$49/26</f>
        <v>20827.384615384617</v>
      </c>
      <c r="L52" s="175">
        <f>L49</f>
        <v>30000</v>
      </c>
      <c r="M52" s="175">
        <f>SUM(G52:J52)+(K52+L52)*26</f>
        <v>7338312</v>
      </c>
      <c r="N52" s="176">
        <f>M52/26</f>
        <v>282242.76923076925</v>
      </c>
    </row>
    <row r="53" spans="1:14" s="170" customFormat="1" ht="14">
      <c r="A53" s="164"/>
      <c r="B53" s="171"/>
      <c r="C53" s="167"/>
      <c r="D53" s="172" t="s">
        <v>20</v>
      </c>
      <c r="E53" s="173" t="s">
        <v>62</v>
      </c>
      <c r="F53" s="174">
        <v>2.57</v>
      </c>
      <c r="G53" s="175">
        <f t="shared" ref="G53:G80" si="19">F53*$G$45</f>
        <v>7093200</v>
      </c>
      <c r="H53" s="175">
        <f t="shared" ref="H53:H80" si="20">G53*$H$49</f>
        <v>0</v>
      </c>
      <c r="I53" s="175">
        <f t="shared" ref="I53:I80" si="21">G53*$I$49</f>
        <v>0</v>
      </c>
      <c r="J53" s="175">
        <f t="shared" ref="J53:J80" si="22">G53*$J$49</f>
        <v>0</v>
      </c>
      <c r="K53" s="175">
        <f>G53*$K$49/26</f>
        <v>24553.384615384617</v>
      </c>
      <c r="L53" s="175">
        <f>L52</f>
        <v>30000</v>
      </c>
      <c r="M53" s="175">
        <f>SUM(G53:J53)+(K53+L53)*26</f>
        <v>8511588</v>
      </c>
      <c r="N53" s="176">
        <f t="shared" ref="N53:N80" si="23">M53/26</f>
        <v>327368.76923076925</v>
      </c>
    </row>
    <row r="54" spans="1:14" s="170" customFormat="1" ht="14">
      <c r="A54" s="164"/>
      <c r="B54" s="171"/>
      <c r="C54" s="167"/>
      <c r="D54" s="172" t="s">
        <v>23</v>
      </c>
      <c r="E54" s="173" t="s">
        <v>62</v>
      </c>
      <c r="F54" s="174">
        <v>3.05</v>
      </c>
      <c r="G54" s="175">
        <f t="shared" si="19"/>
        <v>8418000</v>
      </c>
      <c r="H54" s="175">
        <f t="shared" si="20"/>
        <v>0</v>
      </c>
      <c r="I54" s="175">
        <f t="shared" si="21"/>
        <v>0</v>
      </c>
      <c r="J54" s="175">
        <f t="shared" si="22"/>
        <v>0</v>
      </c>
      <c r="K54" s="175">
        <f>G54*$K$49/26</f>
        <v>29139.23076923077</v>
      </c>
      <c r="L54" s="175">
        <f>L53</f>
        <v>30000</v>
      </c>
      <c r="M54" s="175">
        <f>SUM(G54:J54)+(K54+L54)*26</f>
        <v>9955620</v>
      </c>
      <c r="N54" s="176">
        <f t="shared" si="23"/>
        <v>382908.46153846156</v>
      </c>
    </row>
    <row r="55" spans="1:14" s="170" customFormat="1" ht="14">
      <c r="A55" s="164"/>
      <c r="B55" s="171"/>
      <c r="C55" s="167"/>
      <c r="D55" s="172" t="s">
        <v>27</v>
      </c>
      <c r="E55" s="173" t="s">
        <v>62</v>
      </c>
      <c r="F55" s="174">
        <v>3.6</v>
      </c>
      <c r="G55" s="175">
        <f t="shared" si="19"/>
        <v>9936000</v>
      </c>
      <c r="H55" s="175">
        <f t="shared" si="20"/>
        <v>0</v>
      </c>
      <c r="I55" s="175">
        <f t="shared" si="21"/>
        <v>0</v>
      </c>
      <c r="J55" s="175">
        <f t="shared" si="22"/>
        <v>0</v>
      </c>
      <c r="K55" s="175">
        <f>G55*$K$49/26</f>
        <v>34393.846153846156</v>
      </c>
      <c r="L55" s="175">
        <f>L54</f>
        <v>30000</v>
      </c>
      <c r="M55" s="175">
        <f>SUM(G55:J55)+(K55+L55)*26</f>
        <v>11610240</v>
      </c>
      <c r="N55" s="176">
        <f t="shared" si="23"/>
        <v>446547.69230769231</v>
      </c>
    </row>
    <row r="56" spans="1:14" s="170" customFormat="1" ht="18">
      <c r="A56" s="164"/>
      <c r="B56" s="165" t="s">
        <v>199</v>
      </c>
      <c r="C56" s="167"/>
      <c r="D56" s="166"/>
      <c r="E56" s="168"/>
      <c r="F56" s="166"/>
      <c r="G56" s="175">
        <f t="shared" si="19"/>
        <v>0</v>
      </c>
      <c r="H56" s="175">
        <f t="shared" si="20"/>
        <v>0</v>
      </c>
      <c r="I56" s="175">
        <f t="shared" si="21"/>
        <v>0</v>
      </c>
      <c r="J56" s="175">
        <f t="shared" si="22"/>
        <v>0</v>
      </c>
      <c r="K56" s="175"/>
      <c r="L56" s="175"/>
      <c r="M56" s="175"/>
      <c r="N56" s="176"/>
    </row>
    <row r="57" spans="1:14" s="170" customFormat="1" ht="14">
      <c r="A57" s="164"/>
      <c r="B57" s="171"/>
      <c r="C57" s="167"/>
      <c r="D57" s="172" t="s">
        <v>12</v>
      </c>
      <c r="E57" s="173" t="s">
        <v>62</v>
      </c>
      <c r="F57" s="174">
        <v>2.1800000000000002</v>
      </c>
      <c r="G57" s="175">
        <f t="shared" si="19"/>
        <v>6016800</v>
      </c>
      <c r="H57" s="175">
        <f t="shared" si="20"/>
        <v>0</v>
      </c>
      <c r="I57" s="175">
        <f t="shared" si="21"/>
        <v>0</v>
      </c>
      <c r="J57" s="175">
        <f t="shared" si="22"/>
        <v>0</v>
      </c>
      <c r="K57" s="175">
        <f>G57*$K$49/26</f>
        <v>20827.384615384617</v>
      </c>
      <c r="L57" s="175">
        <f>L55</f>
        <v>30000</v>
      </c>
      <c r="M57" s="175">
        <f>SUM(G57:J57)+(K57+L57)*26</f>
        <v>7338312</v>
      </c>
      <c r="N57" s="176">
        <f t="shared" si="23"/>
        <v>282242.76923076925</v>
      </c>
    </row>
    <row r="58" spans="1:14" s="170" customFormat="1" ht="14">
      <c r="A58" s="164"/>
      <c r="B58" s="171"/>
      <c r="C58" s="167"/>
      <c r="D58" s="172" t="s">
        <v>20</v>
      </c>
      <c r="E58" s="173" t="s">
        <v>62</v>
      </c>
      <c r="F58" s="174">
        <v>2.57</v>
      </c>
      <c r="G58" s="175">
        <f t="shared" si="19"/>
        <v>7093200</v>
      </c>
      <c r="H58" s="175">
        <f t="shared" si="20"/>
        <v>0</v>
      </c>
      <c r="I58" s="175">
        <f t="shared" si="21"/>
        <v>0</v>
      </c>
      <c r="J58" s="175">
        <f t="shared" si="22"/>
        <v>0</v>
      </c>
      <c r="K58" s="175">
        <f>G58*$K$49/26</f>
        <v>24553.384615384617</v>
      </c>
      <c r="L58" s="175">
        <f>L57</f>
        <v>30000</v>
      </c>
      <c r="M58" s="175">
        <f>SUM(G58:J58)+(K58+L58)*26</f>
        <v>8511588</v>
      </c>
      <c r="N58" s="176">
        <f t="shared" si="23"/>
        <v>327368.76923076925</v>
      </c>
    </row>
    <row r="59" spans="1:14" s="170" customFormat="1" ht="14">
      <c r="A59" s="164"/>
      <c r="B59" s="171"/>
      <c r="C59" s="167"/>
      <c r="D59" s="172" t="s">
        <v>23</v>
      </c>
      <c r="E59" s="173" t="s">
        <v>62</v>
      </c>
      <c r="F59" s="174">
        <v>3.05</v>
      </c>
      <c r="G59" s="175">
        <f t="shared" si="19"/>
        <v>8418000</v>
      </c>
      <c r="H59" s="175">
        <f t="shared" si="20"/>
        <v>0</v>
      </c>
      <c r="I59" s="175">
        <f t="shared" si="21"/>
        <v>0</v>
      </c>
      <c r="J59" s="175">
        <f t="shared" si="22"/>
        <v>0</v>
      </c>
      <c r="K59" s="175">
        <f>G59*$K$49/26</f>
        <v>29139.23076923077</v>
      </c>
      <c r="L59" s="175">
        <f>L58</f>
        <v>30000</v>
      </c>
      <c r="M59" s="175">
        <f>SUM(G59:J59)+(K59+L59)*26</f>
        <v>9955620</v>
      </c>
      <c r="N59" s="176">
        <f t="shared" si="23"/>
        <v>382908.46153846156</v>
      </c>
    </row>
    <row r="60" spans="1:14" s="170" customFormat="1" ht="14">
      <c r="A60" s="164"/>
      <c r="B60" s="171"/>
      <c r="C60" s="167"/>
      <c r="D60" s="172" t="s">
        <v>27</v>
      </c>
      <c r="E60" s="173" t="s">
        <v>62</v>
      </c>
      <c r="F60" s="174">
        <v>3.6</v>
      </c>
      <c r="G60" s="175">
        <f t="shared" si="19"/>
        <v>9936000</v>
      </c>
      <c r="H60" s="175">
        <f t="shared" si="20"/>
        <v>0</v>
      </c>
      <c r="I60" s="175">
        <f t="shared" si="21"/>
        <v>0</v>
      </c>
      <c r="J60" s="175">
        <f t="shared" si="22"/>
        <v>0</v>
      </c>
      <c r="K60" s="175">
        <f>G60*$K$49/26</f>
        <v>34393.846153846156</v>
      </c>
      <c r="L60" s="175">
        <f>L59</f>
        <v>30000</v>
      </c>
      <c r="M60" s="175">
        <f>SUM(G60:J60)+(K60+L60)*26</f>
        <v>11610240</v>
      </c>
      <c r="N60" s="176">
        <f t="shared" si="23"/>
        <v>446547.69230769231</v>
      </c>
    </row>
    <row r="61" spans="1:14" s="170" customFormat="1" ht="18">
      <c r="A61" s="164"/>
      <c r="B61" s="165" t="s">
        <v>200</v>
      </c>
      <c r="C61" s="167"/>
      <c r="D61" s="177"/>
      <c r="E61" s="178"/>
      <c r="F61" s="179"/>
      <c r="G61" s="175">
        <f t="shared" si="19"/>
        <v>0</v>
      </c>
      <c r="H61" s="175">
        <f t="shared" si="20"/>
        <v>0</v>
      </c>
      <c r="I61" s="175">
        <f t="shared" si="21"/>
        <v>0</v>
      </c>
      <c r="J61" s="175">
        <f t="shared" si="22"/>
        <v>0</v>
      </c>
      <c r="K61" s="175"/>
      <c r="L61" s="175"/>
      <c r="M61" s="175"/>
      <c r="N61" s="176"/>
    </row>
    <row r="62" spans="1:14" s="170" customFormat="1" ht="14">
      <c r="A62" s="164"/>
      <c r="B62" s="171"/>
      <c r="C62" s="167"/>
      <c r="D62" s="172" t="s">
        <v>12</v>
      </c>
      <c r="E62" s="173" t="s">
        <v>62</v>
      </c>
      <c r="F62" s="174">
        <v>2.5099999999999998</v>
      </c>
      <c r="G62" s="175">
        <f t="shared" si="19"/>
        <v>6927599.9999999991</v>
      </c>
      <c r="H62" s="175">
        <f t="shared" si="20"/>
        <v>0</v>
      </c>
      <c r="I62" s="175">
        <f t="shared" si="21"/>
        <v>0</v>
      </c>
      <c r="J62" s="175">
        <f t="shared" si="22"/>
        <v>0</v>
      </c>
      <c r="K62" s="175">
        <f>G62*$K$49/26</f>
        <v>23980.15384615384</v>
      </c>
      <c r="L62" s="175">
        <f>L60</f>
        <v>30000</v>
      </c>
      <c r="M62" s="175">
        <f>SUM(G62:J62)+(K62+L62)*26</f>
        <v>8331083.9999999991</v>
      </c>
      <c r="N62" s="176">
        <f t="shared" si="23"/>
        <v>320426.30769230763</v>
      </c>
    </row>
    <row r="63" spans="1:14" s="170" customFormat="1" ht="14">
      <c r="A63" s="164"/>
      <c r="B63" s="171"/>
      <c r="C63" s="167"/>
      <c r="D63" s="172" t="s">
        <v>20</v>
      </c>
      <c r="E63" s="173" t="s">
        <v>62</v>
      </c>
      <c r="F63" s="174">
        <v>2.94</v>
      </c>
      <c r="G63" s="175">
        <f t="shared" si="19"/>
        <v>8114400</v>
      </c>
      <c r="H63" s="175">
        <f t="shared" si="20"/>
        <v>0</v>
      </c>
      <c r="I63" s="175">
        <f t="shared" si="21"/>
        <v>0</v>
      </c>
      <c r="J63" s="175">
        <f t="shared" si="22"/>
        <v>0</v>
      </c>
      <c r="K63" s="175">
        <f>G63*$K$49/26</f>
        <v>28088.307692307691</v>
      </c>
      <c r="L63" s="175">
        <f>L62</f>
        <v>30000</v>
      </c>
      <c r="M63" s="175">
        <f>SUM(G63:J63)+(K63+L63)*26</f>
        <v>9624696</v>
      </c>
      <c r="N63" s="176">
        <f t="shared" si="23"/>
        <v>370180.61538461538</v>
      </c>
    </row>
    <row r="64" spans="1:14" s="170" customFormat="1" ht="14">
      <c r="A64" s="164"/>
      <c r="B64" s="171"/>
      <c r="C64" s="167"/>
      <c r="D64" s="172" t="s">
        <v>23</v>
      </c>
      <c r="E64" s="173" t="s">
        <v>62</v>
      </c>
      <c r="F64" s="174">
        <v>3.44</v>
      </c>
      <c r="G64" s="175">
        <f t="shared" si="19"/>
        <v>9494400</v>
      </c>
      <c r="H64" s="175">
        <f t="shared" si="20"/>
        <v>0</v>
      </c>
      <c r="I64" s="175">
        <f t="shared" si="21"/>
        <v>0</v>
      </c>
      <c r="J64" s="175">
        <f t="shared" si="22"/>
        <v>0</v>
      </c>
      <c r="K64" s="175">
        <f>G64*$K$49/26</f>
        <v>32865.230769230766</v>
      </c>
      <c r="L64" s="175">
        <f>L63</f>
        <v>30000</v>
      </c>
      <c r="M64" s="175">
        <f>SUM(G64:J64)+(K64+L64)*26</f>
        <v>11128896</v>
      </c>
      <c r="N64" s="176">
        <f t="shared" si="23"/>
        <v>428034.46153846156</v>
      </c>
    </row>
    <row r="65" spans="1:14" s="170" customFormat="1" ht="14">
      <c r="A65" s="164"/>
      <c r="B65" s="171"/>
      <c r="C65" s="167"/>
      <c r="D65" s="172" t="s">
        <v>27</v>
      </c>
      <c r="E65" s="173" t="s">
        <v>62</v>
      </c>
      <c r="F65" s="174">
        <v>4.05</v>
      </c>
      <c r="G65" s="175">
        <f t="shared" si="19"/>
        <v>11178000</v>
      </c>
      <c r="H65" s="175">
        <f t="shared" si="20"/>
        <v>0</v>
      </c>
      <c r="I65" s="175">
        <f t="shared" si="21"/>
        <v>0</v>
      </c>
      <c r="J65" s="175">
        <f t="shared" si="22"/>
        <v>0</v>
      </c>
      <c r="K65" s="175">
        <f>G65*$K$49/26</f>
        <v>38693.076923076922</v>
      </c>
      <c r="L65" s="175">
        <f>L64</f>
        <v>30000</v>
      </c>
      <c r="M65" s="175">
        <f>SUM(G65:J65)+(K65+L65)*26</f>
        <v>12964020</v>
      </c>
      <c r="N65" s="176">
        <f t="shared" si="23"/>
        <v>498616.15384615387</v>
      </c>
    </row>
    <row r="66" spans="1:14" s="170" customFormat="1" ht="18">
      <c r="A66" s="164"/>
      <c r="B66" s="165" t="s">
        <v>201</v>
      </c>
      <c r="C66" s="167"/>
      <c r="D66" s="177"/>
      <c r="E66" s="178"/>
      <c r="F66" s="179"/>
      <c r="G66" s="175">
        <f t="shared" si="19"/>
        <v>0</v>
      </c>
      <c r="H66" s="175">
        <f t="shared" si="20"/>
        <v>0</v>
      </c>
      <c r="I66" s="175">
        <f t="shared" si="21"/>
        <v>0</v>
      </c>
      <c r="J66" s="175">
        <f t="shared" si="22"/>
        <v>0</v>
      </c>
      <c r="K66" s="175"/>
      <c r="L66" s="175"/>
      <c r="M66" s="175"/>
      <c r="N66" s="176"/>
    </row>
    <row r="67" spans="1:14" s="170" customFormat="1" ht="14">
      <c r="A67" s="164"/>
      <c r="B67" s="171"/>
      <c r="C67" s="167"/>
      <c r="D67" s="172" t="s">
        <v>12</v>
      </c>
      <c r="E67" s="173" t="s">
        <v>62</v>
      </c>
      <c r="F67" s="174">
        <v>2.5099999999999998</v>
      </c>
      <c r="G67" s="175">
        <f t="shared" si="19"/>
        <v>6927599.9999999991</v>
      </c>
      <c r="H67" s="175">
        <f t="shared" si="20"/>
        <v>0</v>
      </c>
      <c r="I67" s="175">
        <f t="shared" si="21"/>
        <v>0</v>
      </c>
      <c r="J67" s="175">
        <f t="shared" si="22"/>
        <v>0</v>
      </c>
      <c r="K67" s="175">
        <f>G67*$K$49/26</f>
        <v>23980.15384615384</v>
      </c>
      <c r="L67" s="175">
        <f>L65</f>
        <v>30000</v>
      </c>
      <c r="M67" s="175">
        <f>SUM(G67:J67)+(K67+L67)*26</f>
        <v>8331083.9999999991</v>
      </c>
      <c r="N67" s="176">
        <f t="shared" si="23"/>
        <v>320426.30769230763</v>
      </c>
    </row>
    <row r="68" spans="1:14" s="170" customFormat="1" ht="14">
      <c r="A68" s="164"/>
      <c r="B68" s="171"/>
      <c r="C68" s="167"/>
      <c r="D68" s="172" t="s">
        <v>20</v>
      </c>
      <c r="E68" s="173" t="s">
        <v>62</v>
      </c>
      <c r="F68" s="174">
        <v>2.94</v>
      </c>
      <c r="G68" s="175">
        <f t="shared" si="19"/>
        <v>8114400</v>
      </c>
      <c r="H68" s="175">
        <f t="shared" si="20"/>
        <v>0</v>
      </c>
      <c r="I68" s="175">
        <f t="shared" si="21"/>
        <v>0</v>
      </c>
      <c r="J68" s="175">
        <f t="shared" si="22"/>
        <v>0</v>
      </c>
      <c r="K68" s="175">
        <f>G68*$K$49/26</f>
        <v>28088.307692307691</v>
      </c>
      <c r="L68" s="175">
        <f>L67</f>
        <v>30000</v>
      </c>
      <c r="M68" s="175">
        <f>SUM(G68:J68)+(K68+L68)*26</f>
        <v>9624696</v>
      </c>
      <c r="N68" s="176">
        <f t="shared" si="23"/>
        <v>370180.61538461538</v>
      </c>
    </row>
    <row r="69" spans="1:14" s="170" customFormat="1" ht="14">
      <c r="A69" s="164"/>
      <c r="B69" s="171"/>
      <c r="C69" s="167"/>
      <c r="D69" s="172" t="s">
        <v>23</v>
      </c>
      <c r="E69" s="173" t="s">
        <v>62</v>
      </c>
      <c r="F69" s="174">
        <v>3.44</v>
      </c>
      <c r="G69" s="175">
        <f t="shared" si="19"/>
        <v>9494400</v>
      </c>
      <c r="H69" s="175">
        <f t="shared" si="20"/>
        <v>0</v>
      </c>
      <c r="I69" s="175">
        <f t="shared" si="21"/>
        <v>0</v>
      </c>
      <c r="J69" s="175">
        <f t="shared" si="22"/>
        <v>0</v>
      </c>
      <c r="K69" s="175">
        <f>G69*$K$49/26</f>
        <v>32865.230769230766</v>
      </c>
      <c r="L69" s="175">
        <f>L68</f>
        <v>30000</v>
      </c>
      <c r="M69" s="175">
        <f>SUM(G69:J69)+(K69+L69)*26</f>
        <v>11128896</v>
      </c>
      <c r="N69" s="176">
        <f t="shared" si="23"/>
        <v>428034.46153846156</v>
      </c>
    </row>
    <row r="70" spans="1:14" s="170" customFormat="1" ht="14">
      <c r="A70" s="164"/>
      <c r="B70" s="171"/>
      <c r="C70" s="167"/>
      <c r="D70" s="172" t="s">
        <v>27</v>
      </c>
      <c r="E70" s="173" t="s">
        <v>62</v>
      </c>
      <c r="F70" s="174">
        <v>4.05</v>
      </c>
      <c r="G70" s="175">
        <f t="shared" si="19"/>
        <v>11178000</v>
      </c>
      <c r="H70" s="175">
        <f t="shared" si="20"/>
        <v>0</v>
      </c>
      <c r="I70" s="175">
        <f t="shared" si="21"/>
        <v>0</v>
      </c>
      <c r="J70" s="175">
        <f t="shared" si="22"/>
        <v>0</v>
      </c>
      <c r="K70" s="175">
        <f>G70*$K$49/26</f>
        <v>38693.076923076922</v>
      </c>
      <c r="L70" s="175">
        <f>L69</f>
        <v>30000</v>
      </c>
      <c r="M70" s="175">
        <f>SUM(G70:J70)+(K70+L70)*26</f>
        <v>12964020</v>
      </c>
      <c r="N70" s="176">
        <f t="shared" si="23"/>
        <v>498616.15384615387</v>
      </c>
    </row>
    <row r="71" spans="1:14" s="170" customFormat="1" ht="18">
      <c r="A71" s="164"/>
      <c r="B71" s="165" t="s">
        <v>202</v>
      </c>
      <c r="C71" s="167"/>
      <c r="D71" s="177"/>
      <c r="E71" s="178"/>
      <c r="F71" s="179"/>
      <c r="G71" s="175">
        <f t="shared" si="19"/>
        <v>0</v>
      </c>
      <c r="H71" s="175">
        <f t="shared" si="20"/>
        <v>0</v>
      </c>
      <c r="I71" s="175">
        <f t="shared" si="21"/>
        <v>0</v>
      </c>
      <c r="J71" s="175">
        <f t="shared" si="22"/>
        <v>0</v>
      </c>
      <c r="K71" s="175"/>
      <c r="L71" s="175"/>
      <c r="M71" s="175"/>
      <c r="N71" s="176"/>
    </row>
    <row r="72" spans="1:14" s="170" customFormat="1" ht="14">
      <c r="A72" s="164"/>
      <c r="B72" s="171"/>
      <c r="C72" s="167"/>
      <c r="D72" s="172" t="s">
        <v>12</v>
      </c>
      <c r="E72" s="173" t="s">
        <v>62</v>
      </c>
      <c r="F72" s="174">
        <v>2.99</v>
      </c>
      <c r="G72" s="175">
        <f t="shared" si="19"/>
        <v>8252400.0000000009</v>
      </c>
      <c r="H72" s="175">
        <f t="shared" si="20"/>
        <v>0</v>
      </c>
      <c r="I72" s="175">
        <f t="shared" si="21"/>
        <v>0</v>
      </c>
      <c r="J72" s="175">
        <f t="shared" si="22"/>
        <v>0</v>
      </c>
      <c r="K72" s="175">
        <f>G72*$K$49/26</f>
        <v>28566</v>
      </c>
      <c r="L72" s="175">
        <f>L70</f>
        <v>30000</v>
      </c>
      <c r="M72" s="175">
        <f>SUM(G72:J72)+(K72+L72)*26</f>
        <v>9775116</v>
      </c>
      <c r="N72" s="176">
        <f t="shared" si="23"/>
        <v>375966</v>
      </c>
    </row>
    <row r="73" spans="1:14" s="170" customFormat="1" ht="14">
      <c r="A73" s="164"/>
      <c r="B73" s="171"/>
      <c r="C73" s="167"/>
      <c r="D73" s="172" t="s">
        <v>20</v>
      </c>
      <c r="E73" s="173" t="s">
        <v>62</v>
      </c>
      <c r="F73" s="174">
        <v>3.5</v>
      </c>
      <c r="G73" s="175">
        <f t="shared" si="19"/>
        <v>9660000</v>
      </c>
      <c r="H73" s="175">
        <f t="shared" si="20"/>
        <v>0</v>
      </c>
      <c r="I73" s="175">
        <f t="shared" si="21"/>
        <v>0</v>
      </c>
      <c r="J73" s="175">
        <f t="shared" si="22"/>
        <v>0</v>
      </c>
      <c r="K73" s="175">
        <f>G73*$K$49/26</f>
        <v>33438.461538461539</v>
      </c>
      <c r="L73" s="175">
        <f>L72</f>
        <v>30000</v>
      </c>
      <c r="M73" s="175">
        <f>SUM(G73:J73)+(K73+L73)*26</f>
        <v>11309400</v>
      </c>
      <c r="N73" s="176">
        <f t="shared" si="23"/>
        <v>434976.92307692306</v>
      </c>
    </row>
    <row r="74" spans="1:14" s="170" customFormat="1" ht="14">
      <c r="A74" s="164"/>
      <c r="B74" s="171"/>
      <c r="C74" s="167"/>
      <c r="D74" s="172" t="s">
        <v>23</v>
      </c>
      <c r="E74" s="173" t="s">
        <v>62</v>
      </c>
      <c r="F74" s="174">
        <v>4.1100000000000003</v>
      </c>
      <c r="G74" s="175">
        <f t="shared" si="19"/>
        <v>11343600</v>
      </c>
      <c r="H74" s="175">
        <f t="shared" si="20"/>
        <v>0</v>
      </c>
      <c r="I74" s="175">
        <f t="shared" si="21"/>
        <v>0</v>
      </c>
      <c r="J74" s="175">
        <f t="shared" si="22"/>
        <v>0</v>
      </c>
      <c r="K74" s="175">
        <f>G74*$K$49/26</f>
        <v>39266.307692307695</v>
      </c>
      <c r="L74" s="175">
        <f>L73</f>
        <v>30000</v>
      </c>
      <c r="M74" s="175">
        <f>SUM(G74:J74)+(K74+L74)*26</f>
        <v>13144524</v>
      </c>
      <c r="N74" s="176">
        <f t="shared" si="23"/>
        <v>505558.61538461538</v>
      </c>
    </row>
    <row r="75" spans="1:14" s="170" customFormat="1" ht="14">
      <c r="A75" s="164"/>
      <c r="B75" s="171"/>
      <c r="C75" s="167"/>
      <c r="D75" s="172" t="s">
        <v>27</v>
      </c>
      <c r="E75" s="173" t="s">
        <v>62</v>
      </c>
      <c r="F75" s="174">
        <v>4.82</v>
      </c>
      <c r="G75" s="175">
        <f t="shared" si="19"/>
        <v>13303200</v>
      </c>
      <c r="H75" s="175">
        <f t="shared" si="20"/>
        <v>0</v>
      </c>
      <c r="I75" s="175">
        <f t="shared" si="21"/>
        <v>0</v>
      </c>
      <c r="J75" s="175">
        <f t="shared" si="22"/>
        <v>0</v>
      </c>
      <c r="K75" s="175">
        <f>G75*$K$49/26</f>
        <v>46049.538461538461</v>
      </c>
      <c r="L75" s="175">
        <f>L74</f>
        <v>30000</v>
      </c>
      <c r="M75" s="175">
        <f>SUM(G75:J75)+(K75+L75)*26</f>
        <v>15280488</v>
      </c>
      <c r="N75" s="176">
        <f t="shared" si="23"/>
        <v>587711.07692307688</v>
      </c>
    </row>
    <row r="76" spans="1:14" s="170" customFormat="1" ht="18">
      <c r="A76" s="164"/>
      <c r="B76" s="165" t="s">
        <v>203</v>
      </c>
      <c r="C76" s="167"/>
      <c r="D76" s="177"/>
      <c r="E76" s="178"/>
      <c r="F76" s="179"/>
      <c r="G76" s="175">
        <f t="shared" si="19"/>
        <v>0</v>
      </c>
      <c r="H76" s="175">
        <f t="shared" si="20"/>
        <v>0</v>
      </c>
      <c r="I76" s="175">
        <f t="shared" si="21"/>
        <v>0</v>
      </c>
      <c r="J76" s="175">
        <f t="shared" si="22"/>
        <v>0</v>
      </c>
      <c r="K76" s="175"/>
      <c r="L76" s="175"/>
      <c r="M76" s="175"/>
      <c r="N76" s="176"/>
    </row>
    <row r="77" spans="1:14" s="170" customFormat="1" ht="14">
      <c r="A77" s="164"/>
      <c r="B77" s="171"/>
      <c r="C77" s="167"/>
      <c r="D77" s="172" t="s">
        <v>12</v>
      </c>
      <c r="E77" s="173" t="s">
        <v>62</v>
      </c>
      <c r="F77" s="174">
        <v>2.99</v>
      </c>
      <c r="G77" s="175">
        <f t="shared" si="19"/>
        <v>8252400.0000000009</v>
      </c>
      <c r="H77" s="175">
        <f t="shared" si="20"/>
        <v>0</v>
      </c>
      <c r="I77" s="175">
        <f t="shared" si="21"/>
        <v>0</v>
      </c>
      <c r="J77" s="175">
        <f t="shared" si="22"/>
        <v>0</v>
      </c>
      <c r="K77" s="175">
        <f>G77*$K$49/26</f>
        <v>28566</v>
      </c>
      <c r="L77" s="175">
        <f>L75</f>
        <v>30000</v>
      </c>
      <c r="M77" s="175">
        <f>SUM(G77:J77)+(K77+L77)*26</f>
        <v>9775116</v>
      </c>
      <c r="N77" s="176">
        <f t="shared" si="23"/>
        <v>375966</v>
      </c>
    </row>
    <row r="78" spans="1:14" s="170" customFormat="1" ht="14">
      <c r="A78" s="164"/>
      <c r="B78" s="171"/>
      <c r="C78" s="167"/>
      <c r="D78" s="172" t="s">
        <v>20</v>
      </c>
      <c r="E78" s="173" t="s">
        <v>62</v>
      </c>
      <c r="F78" s="174">
        <v>3.5</v>
      </c>
      <c r="G78" s="175">
        <f t="shared" si="19"/>
        <v>9660000</v>
      </c>
      <c r="H78" s="175">
        <f t="shared" si="20"/>
        <v>0</v>
      </c>
      <c r="I78" s="175">
        <f t="shared" si="21"/>
        <v>0</v>
      </c>
      <c r="J78" s="175">
        <f t="shared" si="22"/>
        <v>0</v>
      </c>
      <c r="K78" s="175">
        <f>G78*$K$49/26</f>
        <v>33438.461538461539</v>
      </c>
      <c r="L78" s="175">
        <f>L77</f>
        <v>30000</v>
      </c>
      <c r="M78" s="175">
        <f>SUM(G78:J78)+(K78+L78)*26</f>
        <v>11309400</v>
      </c>
      <c r="N78" s="176">
        <f t="shared" si="23"/>
        <v>434976.92307692306</v>
      </c>
    </row>
    <row r="79" spans="1:14" s="170" customFormat="1" ht="14">
      <c r="A79" s="164"/>
      <c r="B79" s="171"/>
      <c r="C79" s="167"/>
      <c r="D79" s="172" t="s">
        <v>23</v>
      </c>
      <c r="E79" s="173" t="s">
        <v>62</v>
      </c>
      <c r="F79" s="174">
        <v>4.1100000000000003</v>
      </c>
      <c r="G79" s="175">
        <f t="shared" si="19"/>
        <v>11343600</v>
      </c>
      <c r="H79" s="175">
        <f t="shared" si="20"/>
        <v>0</v>
      </c>
      <c r="I79" s="175">
        <f t="shared" si="21"/>
        <v>0</v>
      </c>
      <c r="J79" s="175">
        <f t="shared" si="22"/>
        <v>0</v>
      </c>
      <c r="K79" s="175">
        <f>G79*$K$49/26</f>
        <v>39266.307692307695</v>
      </c>
      <c r="L79" s="175">
        <f>L78</f>
        <v>30000</v>
      </c>
      <c r="M79" s="175">
        <f>SUM(G79:J79)+(K79+L79)*26</f>
        <v>13144524</v>
      </c>
      <c r="N79" s="176">
        <f t="shared" si="23"/>
        <v>505558.61538461538</v>
      </c>
    </row>
    <row r="80" spans="1:14" s="170" customFormat="1" ht="14.5" thickBot="1">
      <c r="A80" s="164"/>
      <c r="B80" s="180"/>
      <c r="C80" s="181"/>
      <c r="D80" s="182" t="s">
        <v>27</v>
      </c>
      <c r="E80" s="183" t="s">
        <v>62</v>
      </c>
      <c r="F80" s="184">
        <v>4.82</v>
      </c>
      <c r="G80" s="185">
        <f t="shared" si="19"/>
        <v>13303200</v>
      </c>
      <c r="H80" s="185">
        <f t="shared" si="20"/>
        <v>0</v>
      </c>
      <c r="I80" s="185">
        <f t="shared" si="21"/>
        <v>0</v>
      </c>
      <c r="J80" s="185">
        <f t="shared" si="22"/>
        <v>0</v>
      </c>
      <c r="K80" s="185">
        <f>G80*$K$49/26</f>
        <v>46049.538461538461</v>
      </c>
      <c r="L80" s="185">
        <f>L79</f>
        <v>30000</v>
      </c>
      <c r="M80" s="185">
        <f>SUM(G80:J80)+(K80+L80)*26</f>
        <v>15280488</v>
      </c>
      <c r="N80" s="186">
        <f t="shared" si="23"/>
        <v>587711.07692307688</v>
      </c>
    </row>
    <row r="81" spans="1:14" s="170" customFormat="1" ht="13" thickTop="1">
      <c r="A81" s="164"/>
    </row>
    <row r="82" spans="1:14" s="188" customFormat="1" ht="15.5">
      <c r="A82" s="187"/>
      <c r="B82" s="1040" t="s">
        <v>204</v>
      </c>
      <c r="C82" s="1040"/>
      <c r="D82" s="1040"/>
    </row>
    <row r="83" spans="1:14" s="190" customFormat="1" ht="37.5" customHeight="1">
      <c r="A83" s="189"/>
      <c r="B83" s="1034" t="s">
        <v>2407</v>
      </c>
      <c r="C83" s="1034"/>
      <c r="D83" s="1034"/>
      <c r="E83" s="1034"/>
      <c r="F83" s="1034"/>
      <c r="G83" s="1034"/>
      <c r="H83" s="1034"/>
      <c r="I83" s="1034"/>
      <c r="J83" s="1034"/>
      <c r="K83" s="1034"/>
      <c r="L83" s="1034"/>
      <c r="M83" s="1034"/>
      <c r="N83" s="1034"/>
    </row>
    <row r="94" spans="1:14" ht="15.5">
      <c r="B94" s="191"/>
    </row>
  </sheetData>
  <mergeCells count="7">
    <mergeCell ref="B83:N83"/>
    <mergeCell ref="B1:N1"/>
    <mergeCell ref="B2:N2"/>
    <mergeCell ref="M4:N4"/>
    <mergeCell ref="M24:N24"/>
    <mergeCell ref="M45:N45"/>
    <mergeCell ref="B82:D82"/>
  </mergeCells>
  <pageMargins left="0.7" right="0.43" top="0.37" bottom="0.75" header="0.3" footer="0.3"/>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view="pageBreakPreview" zoomScale="60" zoomScaleNormal="85" workbookViewId="0">
      <selection activeCell="D12" sqref="D12"/>
    </sheetView>
  </sheetViews>
  <sheetFormatPr defaultColWidth="8.58203125" defaultRowHeight="16.5"/>
  <cols>
    <col min="1" max="1" width="8.58203125" style="856"/>
    <col min="2" max="2" width="22.08203125" style="856" customWidth="1"/>
    <col min="3" max="3" width="6.58203125" style="857" bestFit="1" customWidth="1"/>
    <col min="4" max="4" width="13.83203125" style="858" customWidth="1"/>
    <col min="5" max="5" width="17.33203125" style="856" customWidth="1"/>
    <col min="6" max="6" width="12.83203125" style="856" customWidth="1"/>
    <col min="7" max="7" width="19.08203125" style="856" customWidth="1"/>
    <col min="8" max="12" width="8.58203125" style="856"/>
    <col min="13" max="13" width="11.83203125" style="856" bestFit="1" customWidth="1"/>
    <col min="14" max="14" width="10.33203125" style="856" bestFit="1" customWidth="1"/>
    <col min="15" max="16384" width="8.58203125" style="856"/>
  </cols>
  <sheetData>
    <row r="1" spans="1:17" ht="19">
      <c r="A1" s="1041" t="s">
        <v>2375</v>
      </c>
      <c r="B1" s="1041"/>
      <c r="C1" s="1041"/>
      <c r="D1" s="1041"/>
      <c r="E1" s="1041"/>
      <c r="F1" s="1041"/>
      <c r="G1" s="1041"/>
    </row>
    <row r="2" spans="1:17" ht="17" thickBot="1"/>
    <row r="3" spans="1:17" ht="33.5" thickTop="1">
      <c r="A3" s="862" t="s">
        <v>102</v>
      </c>
      <c r="B3" s="863" t="s">
        <v>2352</v>
      </c>
      <c r="C3" s="863" t="s">
        <v>2353</v>
      </c>
      <c r="D3" s="864" t="s">
        <v>2354</v>
      </c>
      <c r="E3" s="865" t="s">
        <v>2355</v>
      </c>
      <c r="F3" s="865" t="s">
        <v>2356</v>
      </c>
      <c r="G3" s="866" t="s">
        <v>6</v>
      </c>
    </row>
    <row r="4" spans="1:17">
      <c r="A4" s="867">
        <v>1</v>
      </c>
      <c r="B4" s="316" t="s">
        <v>206</v>
      </c>
      <c r="C4" s="314" t="s">
        <v>207</v>
      </c>
      <c r="D4" s="322">
        <v>32000</v>
      </c>
      <c r="E4" s="868"/>
      <c r="F4" s="868"/>
      <c r="G4" s="869" t="s">
        <v>2366</v>
      </c>
    </row>
    <row r="5" spans="1:17">
      <c r="A5" s="867">
        <v>2</v>
      </c>
      <c r="B5" s="316" t="s">
        <v>57</v>
      </c>
      <c r="C5" s="314" t="s">
        <v>30</v>
      </c>
      <c r="D5" s="322">
        <v>60000</v>
      </c>
      <c r="E5" s="868"/>
      <c r="F5" s="868"/>
      <c r="G5" s="869" t="s">
        <v>2366</v>
      </c>
    </row>
    <row r="6" spans="1:17" ht="33">
      <c r="A6" s="867">
        <v>3</v>
      </c>
      <c r="B6" s="308" t="s">
        <v>208</v>
      </c>
      <c r="C6" s="321" t="s">
        <v>2357</v>
      </c>
      <c r="D6" s="322">
        <v>10570000</v>
      </c>
      <c r="E6" s="868"/>
      <c r="F6" s="868"/>
      <c r="G6" s="869" t="s">
        <v>2366</v>
      </c>
    </row>
    <row r="7" spans="1:17">
      <c r="A7" s="867">
        <v>4</v>
      </c>
      <c r="B7" s="319" t="s">
        <v>320</v>
      </c>
      <c r="C7" s="321"/>
      <c r="D7" s="322">
        <v>150000</v>
      </c>
      <c r="E7" s="868"/>
      <c r="F7" s="868"/>
      <c r="G7" s="869" t="s">
        <v>2366</v>
      </c>
    </row>
    <row r="8" spans="1:17" ht="33">
      <c r="A8" s="867">
        <v>5</v>
      </c>
      <c r="B8" s="378" t="s">
        <v>2358</v>
      </c>
      <c r="C8" s="376" t="s">
        <v>30</v>
      </c>
      <c r="D8" s="322">
        <v>85000</v>
      </c>
      <c r="E8" s="868"/>
      <c r="F8" s="868"/>
      <c r="G8" s="869" t="s">
        <v>2366</v>
      </c>
    </row>
    <row r="9" spans="1:17" ht="33">
      <c r="A9" s="867">
        <v>6</v>
      </c>
      <c r="B9" s="378" t="s">
        <v>2364</v>
      </c>
      <c r="C9" s="376" t="s">
        <v>45</v>
      </c>
      <c r="D9" s="322">
        <v>110000</v>
      </c>
      <c r="E9" s="868"/>
      <c r="F9" s="868"/>
      <c r="G9" s="869" t="s">
        <v>2366</v>
      </c>
    </row>
    <row r="10" spans="1:17" ht="49.5">
      <c r="A10" s="867"/>
      <c r="B10" s="378" t="s">
        <v>2365</v>
      </c>
      <c r="C10" s="376" t="s">
        <v>45</v>
      </c>
      <c r="D10" s="322">
        <v>200000</v>
      </c>
      <c r="E10" s="868"/>
      <c r="F10" s="868"/>
      <c r="G10" s="869" t="s">
        <v>2366</v>
      </c>
    </row>
    <row r="11" spans="1:17">
      <c r="A11" s="867">
        <v>7</v>
      </c>
      <c r="B11" s="378" t="s">
        <v>73</v>
      </c>
      <c r="C11" s="376" t="s">
        <v>30</v>
      </c>
      <c r="D11" s="322">
        <v>290000</v>
      </c>
      <c r="E11" s="868"/>
      <c r="F11" s="868"/>
      <c r="G11" s="869" t="s">
        <v>2366</v>
      </c>
    </row>
    <row r="12" spans="1:17">
      <c r="A12" s="867">
        <v>8</v>
      </c>
      <c r="B12" s="316" t="s">
        <v>2328</v>
      </c>
      <c r="C12" s="376" t="s">
        <v>30</v>
      </c>
      <c r="D12" s="322">
        <v>55000</v>
      </c>
      <c r="E12" s="868"/>
      <c r="F12" s="868"/>
      <c r="G12" s="869" t="s">
        <v>2366</v>
      </c>
    </row>
    <row r="13" spans="1:17">
      <c r="A13" s="867">
        <v>9</v>
      </c>
      <c r="B13" s="868" t="s">
        <v>2361</v>
      </c>
      <c r="C13" s="376" t="s">
        <v>30</v>
      </c>
      <c r="D13" s="322">
        <f>16000/1.1</f>
        <v>14545.454545454544</v>
      </c>
      <c r="E13" s="868"/>
      <c r="F13" s="868"/>
      <c r="G13" s="869" t="s">
        <v>2368</v>
      </c>
    </row>
    <row r="14" spans="1:17" ht="33">
      <c r="A14" s="867">
        <v>10</v>
      </c>
      <c r="B14" s="378" t="s">
        <v>329</v>
      </c>
      <c r="C14" s="376" t="s">
        <v>18</v>
      </c>
      <c r="D14" s="814">
        <f t="shared" ref="D14:D23" si="0">M14</f>
        <v>31845.454545454544</v>
      </c>
      <c r="E14" s="868"/>
      <c r="F14" s="868"/>
      <c r="G14" s="382" t="s">
        <v>2367</v>
      </c>
      <c r="M14" s="860">
        <f>N14/1.1</f>
        <v>31845.454545454544</v>
      </c>
      <c r="N14" s="682">
        <v>35030</v>
      </c>
      <c r="O14" s="683" t="s">
        <v>2175</v>
      </c>
      <c r="P14" s="682"/>
      <c r="Q14" s="682"/>
    </row>
    <row r="15" spans="1:17" ht="33">
      <c r="A15" s="867">
        <v>11</v>
      </c>
      <c r="B15" s="378" t="s">
        <v>330</v>
      </c>
      <c r="C15" s="376" t="s">
        <v>18</v>
      </c>
      <c r="D15" s="814">
        <f t="shared" si="0"/>
        <v>83635.454545454544</v>
      </c>
      <c r="E15" s="868"/>
      <c r="F15" s="868"/>
      <c r="G15" s="382" t="s">
        <v>2367</v>
      </c>
      <c r="M15" s="860">
        <f t="shared" ref="M15:M24" si="1">N15/1.1</f>
        <v>83635.454545454544</v>
      </c>
      <c r="N15" s="861">
        <f>'GIA TT-Hue'!E900</f>
        <v>91999</v>
      </c>
      <c r="O15" s="682"/>
      <c r="P15" s="683" t="s">
        <v>2176</v>
      </c>
      <c r="Q15" s="682"/>
    </row>
    <row r="16" spans="1:17" ht="33">
      <c r="A16" s="867">
        <v>12</v>
      </c>
      <c r="B16" s="378" t="s">
        <v>331</v>
      </c>
      <c r="C16" s="376" t="s">
        <v>18</v>
      </c>
      <c r="D16" s="814">
        <f t="shared" si="0"/>
        <v>26127.272727272724</v>
      </c>
      <c r="E16" s="868"/>
      <c r="F16" s="868"/>
      <c r="G16" s="382" t="s">
        <v>2367</v>
      </c>
      <c r="M16" s="860">
        <f t="shared" si="1"/>
        <v>26127.272727272724</v>
      </c>
      <c r="N16" s="861">
        <f>'GIA TT-Hue'!E886</f>
        <v>28740</v>
      </c>
      <c r="O16" s="682"/>
      <c r="P16" s="683" t="s">
        <v>2176</v>
      </c>
      <c r="Q16" s="682"/>
    </row>
    <row r="17" spans="1:17" ht="33">
      <c r="A17" s="867">
        <v>13</v>
      </c>
      <c r="B17" s="378" t="s">
        <v>332</v>
      </c>
      <c r="C17" s="376" t="s">
        <v>18</v>
      </c>
      <c r="D17" s="814">
        <f t="shared" si="0"/>
        <v>64090.909090909088</v>
      </c>
      <c r="E17" s="868"/>
      <c r="F17" s="868"/>
      <c r="G17" s="382" t="s">
        <v>2367</v>
      </c>
      <c r="M17" s="860">
        <f t="shared" si="1"/>
        <v>64090.909090909088</v>
      </c>
      <c r="N17" s="861">
        <f>'GIA TT-Hue'!E882</f>
        <v>70500</v>
      </c>
      <c r="O17" s="682"/>
      <c r="P17" s="683" t="s">
        <v>2176</v>
      </c>
      <c r="Q17" s="682"/>
    </row>
    <row r="18" spans="1:17" ht="33">
      <c r="A18" s="867">
        <v>14</v>
      </c>
      <c r="B18" s="378" t="s">
        <v>333</v>
      </c>
      <c r="C18" s="376" t="s">
        <v>18</v>
      </c>
      <c r="D18" s="814">
        <f t="shared" si="0"/>
        <v>776363.63636363635</v>
      </c>
      <c r="E18" s="868"/>
      <c r="F18" s="868"/>
      <c r="G18" s="382" t="s">
        <v>2367</v>
      </c>
      <c r="M18" s="860">
        <f t="shared" si="1"/>
        <v>776363.63636363635</v>
      </c>
      <c r="N18" s="861">
        <f>'GIA TT-Hue'!E824</f>
        <v>854000</v>
      </c>
      <c r="O18" s="682"/>
      <c r="P18" s="683" t="s">
        <v>2176</v>
      </c>
      <c r="Q18" s="682"/>
    </row>
    <row r="19" spans="1:17">
      <c r="A19" s="867">
        <v>15</v>
      </c>
      <c r="B19" s="378" t="s">
        <v>334</v>
      </c>
      <c r="C19" s="376" t="s">
        <v>335</v>
      </c>
      <c r="D19" s="814">
        <f t="shared" si="0"/>
        <v>250909.09090909088</v>
      </c>
      <c r="E19" s="868"/>
      <c r="F19" s="868"/>
      <c r="G19" s="869" t="s">
        <v>102</v>
      </c>
      <c r="M19" s="860">
        <f t="shared" si="1"/>
        <v>250909.09090909088</v>
      </c>
      <c r="N19" s="861">
        <v>276000</v>
      </c>
      <c r="O19" s="682" t="s">
        <v>2178</v>
      </c>
      <c r="P19" s="683" t="s">
        <v>2176</v>
      </c>
      <c r="Q19" s="682"/>
    </row>
    <row r="20" spans="1:17">
      <c r="A20" s="867">
        <v>16</v>
      </c>
      <c r="B20" s="378" t="s">
        <v>336</v>
      </c>
      <c r="C20" s="376" t="s">
        <v>337</v>
      </c>
      <c r="D20" s="814">
        <f t="shared" si="0"/>
        <v>300000</v>
      </c>
      <c r="E20" s="868"/>
      <c r="F20" s="868"/>
      <c r="G20" s="869" t="s">
        <v>102</v>
      </c>
      <c r="M20" s="860">
        <f t="shared" si="1"/>
        <v>300000</v>
      </c>
      <c r="N20" s="861">
        <v>330000</v>
      </c>
      <c r="O20" s="682" t="s">
        <v>2177</v>
      </c>
      <c r="P20" s="682"/>
      <c r="Q20" s="682"/>
    </row>
    <row r="21" spans="1:17" ht="33">
      <c r="A21" s="867">
        <v>17</v>
      </c>
      <c r="B21" s="378" t="s">
        <v>338</v>
      </c>
      <c r="C21" s="376" t="s">
        <v>335</v>
      </c>
      <c r="D21" s="814">
        <f t="shared" si="0"/>
        <v>262500</v>
      </c>
      <c r="E21" s="868"/>
      <c r="F21" s="868"/>
      <c r="G21" s="382" t="s">
        <v>2367</v>
      </c>
      <c r="M21" s="860">
        <f t="shared" si="1"/>
        <v>262500</v>
      </c>
      <c r="N21" s="861">
        <f>'GIA TT-Hue'!E733</f>
        <v>288750</v>
      </c>
      <c r="O21" s="682"/>
      <c r="P21" s="682" t="s">
        <v>2176</v>
      </c>
      <c r="Q21" s="682"/>
    </row>
    <row r="22" spans="1:17">
      <c r="A22" s="867">
        <v>18</v>
      </c>
      <c r="B22" s="378" t="s">
        <v>339</v>
      </c>
      <c r="C22" s="376" t="s">
        <v>335</v>
      </c>
      <c r="D22" s="814">
        <f t="shared" si="0"/>
        <v>0</v>
      </c>
      <c r="E22" s="868"/>
      <c r="F22" s="868"/>
      <c r="G22" s="869" t="s">
        <v>102</v>
      </c>
      <c r="M22" s="860">
        <f t="shared" si="1"/>
        <v>0</v>
      </c>
      <c r="N22" s="861">
        <f>J20</f>
        <v>0</v>
      </c>
      <c r="O22" s="682" t="s">
        <v>2178</v>
      </c>
      <c r="P22" s="682"/>
      <c r="Q22" s="682"/>
    </row>
    <row r="23" spans="1:17" ht="33">
      <c r="A23" s="867">
        <v>19</v>
      </c>
      <c r="B23" s="378" t="s">
        <v>340</v>
      </c>
      <c r="C23" s="376" t="s">
        <v>335</v>
      </c>
      <c r="D23" s="814">
        <f t="shared" si="0"/>
        <v>2625000</v>
      </c>
      <c r="E23" s="868"/>
      <c r="F23" s="868"/>
      <c r="G23" s="869" t="s">
        <v>102</v>
      </c>
      <c r="M23" s="860">
        <f t="shared" si="1"/>
        <v>2625000</v>
      </c>
      <c r="N23" s="861">
        <f>'GIA TT-Hue'!E744</f>
        <v>2887500.0000000005</v>
      </c>
      <c r="O23" s="682"/>
      <c r="P23" s="682"/>
      <c r="Q23" s="682"/>
    </row>
    <row r="24" spans="1:17">
      <c r="A24" s="867">
        <v>20</v>
      </c>
      <c r="B24" s="378" t="s">
        <v>341</v>
      </c>
      <c r="C24" s="376" t="s">
        <v>335</v>
      </c>
      <c r="D24" s="814">
        <v>6000</v>
      </c>
      <c r="E24" s="868"/>
      <c r="F24" s="868"/>
      <c r="G24" s="869"/>
      <c r="M24" s="860">
        <f t="shared" si="1"/>
        <v>0</v>
      </c>
      <c r="N24" s="861">
        <f>J24</f>
        <v>0</v>
      </c>
      <c r="O24" s="682" t="s">
        <v>2178</v>
      </c>
      <c r="P24" s="682"/>
      <c r="Q24" s="682"/>
    </row>
    <row r="25" spans="1:17" ht="17" thickBot="1">
      <c r="A25" s="870"/>
      <c r="B25" s="871"/>
      <c r="C25" s="872"/>
      <c r="D25" s="873"/>
      <c r="E25" s="871"/>
      <c r="F25" s="871"/>
      <c r="G25" s="874"/>
    </row>
    <row r="26" spans="1:17" ht="17" thickTop="1"/>
    <row r="174" spans="6:6">
      <c r="F174" s="856" t="b">
        <f>'4GVL'!D13=16000/1.1</f>
        <v>1</v>
      </c>
    </row>
  </sheetData>
  <mergeCells count="1">
    <mergeCell ref="A1:G1"/>
  </mergeCells>
  <pageMargins left="0.7" right="0.41" top="0.43" bottom="0.75" header="0.3" footer="0.3"/>
  <pageSetup paperSize="9" scale="8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view="pageBreakPreview" zoomScale="85" zoomScaleNormal="100" zoomScaleSheetLayoutView="85" workbookViewId="0">
      <selection activeCell="E59" sqref="E59"/>
    </sheetView>
  </sheetViews>
  <sheetFormatPr defaultColWidth="8.25" defaultRowHeight="15.5"/>
  <cols>
    <col min="1" max="1" width="5.58203125" style="291" customWidth="1"/>
    <col min="2" max="2" width="10.83203125" style="202" customWidth="1"/>
    <col min="3" max="3" width="28.25" style="222" customWidth="1"/>
    <col min="4" max="4" width="8.25" style="222"/>
    <col min="5" max="5" width="16" style="292" customWidth="1"/>
    <col min="6" max="6" width="16.75" style="293" customWidth="1"/>
    <col min="7" max="7" width="17.83203125" style="294" hidden="1" customWidth="1"/>
    <col min="8" max="8" width="17.83203125" style="293" hidden="1" customWidth="1"/>
    <col min="9" max="10" width="11" style="293" hidden="1" customWidth="1"/>
    <col min="11" max="11" width="0" style="222" hidden="1" customWidth="1"/>
    <col min="12" max="256" width="8.25" style="222"/>
    <col min="257" max="257" width="5.58203125" style="222" customWidth="1"/>
    <col min="258" max="258" width="10.83203125" style="222" customWidth="1"/>
    <col min="259" max="259" width="28.25" style="222" customWidth="1"/>
    <col min="260" max="260" width="8.25" style="222"/>
    <col min="261" max="261" width="16" style="222" customWidth="1"/>
    <col min="262" max="262" width="16.75" style="222" customWidth="1"/>
    <col min="263" max="264" width="17.83203125" style="222" customWidth="1"/>
    <col min="265" max="266" width="11" style="222" customWidth="1"/>
    <col min="267" max="512" width="8.25" style="222"/>
    <col min="513" max="513" width="5.58203125" style="222" customWidth="1"/>
    <col min="514" max="514" width="10.83203125" style="222" customWidth="1"/>
    <col min="515" max="515" width="28.25" style="222" customWidth="1"/>
    <col min="516" max="516" width="8.25" style="222"/>
    <col min="517" max="517" width="16" style="222" customWidth="1"/>
    <col min="518" max="518" width="16.75" style="222" customWidth="1"/>
    <col min="519" max="520" width="17.83203125" style="222" customWidth="1"/>
    <col min="521" max="522" width="11" style="222" customWidth="1"/>
    <col min="523" max="768" width="8.25" style="222"/>
    <col min="769" max="769" width="5.58203125" style="222" customWidth="1"/>
    <col min="770" max="770" width="10.83203125" style="222" customWidth="1"/>
    <col min="771" max="771" width="28.25" style="222" customWidth="1"/>
    <col min="772" max="772" width="8.25" style="222"/>
    <col min="773" max="773" width="16" style="222" customWidth="1"/>
    <col min="774" max="774" width="16.75" style="222" customWidth="1"/>
    <col min="775" max="776" width="17.83203125" style="222" customWidth="1"/>
    <col min="777" max="778" width="11" style="222" customWidth="1"/>
    <col min="779" max="1024" width="8.25" style="222"/>
    <col min="1025" max="1025" width="5.58203125" style="222" customWidth="1"/>
    <col min="1026" max="1026" width="10.83203125" style="222" customWidth="1"/>
    <col min="1027" max="1027" width="28.25" style="222" customWidth="1"/>
    <col min="1028" max="1028" width="8.25" style="222"/>
    <col min="1029" max="1029" width="16" style="222" customWidth="1"/>
    <col min="1030" max="1030" width="16.75" style="222" customWidth="1"/>
    <col min="1031" max="1032" width="17.83203125" style="222" customWidth="1"/>
    <col min="1033" max="1034" width="11" style="222" customWidth="1"/>
    <col min="1035" max="1280" width="8.25" style="222"/>
    <col min="1281" max="1281" width="5.58203125" style="222" customWidth="1"/>
    <col min="1282" max="1282" width="10.83203125" style="222" customWidth="1"/>
    <col min="1283" max="1283" width="28.25" style="222" customWidth="1"/>
    <col min="1284" max="1284" width="8.25" style="222"/>
    <col min="1285" max="1285" width="16" style="222" customWidth="1"/>
    <col min="1286" max="1286" width="16.75" style="222" customWidth="1"/>
    <col min="1287" max="1288" width="17.83203125" style="222" customWidth="1"/>
    <col min="1289" max="1290" width="11" style="222" customWidth="1"/>
    <col min="1291" max="1536" width="8.25" style="222"/>
    <col min="1537" max="1537" width="5.58203125" style="222" customWidth="1"/>
    <col min="1538" max="1538" width="10.83203125" style="222" customWidth="1"/>
    <col min="1539" max="1539" width="28.25" style="222" customWidth="1"/>
    <col min="1540" max="1540" width="8.25" style="222"/>
    <col min="1541" max="1541" width="16" style="222" customWidth="1"/>
    <col min="1542" max="1542" width="16.75" style="222" customWidth="1"/>
    <col min="1543" max="1544" width="17.83203125" style="222" customWidth="1"/>
    <col min="1545" max="1546" width="11" style="222" customWidth="1"/>
    <col min="1547" max="1792" width="8.25" style="222"/>
    <col min="1793" max="1793" width="5.58203125" style="222" customWidth="1"/>
    <col min="1794" max="1794" width="10.83203125" style="222" customWidth="1"/>
    <col min="1795" max="1795" width="28.25" style="222" customWidth="1"/>
    <col min="1796" max="1796" width="8.25" style="222"/>
    <col min="1797" max="1797" width="16" style="222" customWidth="1"/>
    <col min="1798" max="1798" width="16.75" style="222" customWidth="1"/>
    <col min="1799" max="1800" width="17.83203125" style="222" customWidth="1"/>
    <col min="1801" max="1802" width="11" style="222" customWidth="1"/>
    <col min="1803" max="2048" width="8.25" style="222"/>
    <col min="2049" max="2049" width="5.58203125" style="222" customWidth="1"/>
    <col min="2050" max="2050" width="10.83203125" style="222" customWidth="1"/>
    <col min="2051" max="2051" width="28.25" style="222" customWidth="1"/>
    <col min="2052" max="2052" width="8.25" style="222"/>
    <col min="2053" max="2053" width="16" style="222" customWidth="1"/>
    <col min="2054" max="2054" width="16.75" style="222" customWidth="1"/>
    <col min="2055" max="2056" width="17.83203125" style="222" customWidth="1"/>
    <col min="2057" max="2058" width="11" style="222" customWidth="1"/>
    <col min="2059" max="2304" width="8.25" style="222"/>
    <col min="2305" max="2305" width="5.58203125" style="222" customWidth="1"/>
    <col min="2306" max="2306" width="10.83203125" style="222" customWidth="1"/>
    <col min="2307" max="2307" width="28.25" style="222" customWidth="1"/>
    <col min="2308" max="2308" width="8.25" style="222"/>
    <col min="2309" max="2309" width="16" style="222" customWidth="1"/>
    <col min="2310" max="2310" width="16.75" style="222" customWidth="1"/>
    <col min="2311" max="2312" width="17.83203125" style="222" customWidth="1"/>
    <col min="2313" max="2314" width="11" style="222" customWidth="1"/>
    <col min="2315" max="2560" width="8.25" style="222"/>
    <col min="2561" max="2561" width="5.58203125" style="222" customWidth="1"/>
    <col min="2562" max="2562" width="10.83203125" style="222" customWidth="1"/>
    <col min="2563" max="2563" width="28.25" style="222" customWidth="1"/>
    <col min="2564" max="2564" width="8.25" style="222"/>
    <col min="2565" max="2565" width="16" style="222" customWidth="1"/>
    <col min="2566" max="2566" width="16.75" style="222" customWidth="1"/>
    <col min="2567" max="2568" width="17.83203125" style="222" customWidth="1"/>
    <col min="2569" max="2570" width="11" style="222" customWidth="1"/>
    <col min="2571" max="2816" width="8.25" style="222"/>
    <col min="2817" max="2817" width="5.58203125" style="222" customWidth="1"/>
    <col min="2818" max="2818" width="10.83203125" style="222" customWidth="1"/>
    <col min="2819" max="2819" width="28.25" style="222" customWidth="1"/>
    <col min="2820" max="2820" width="8.25" style="222"/>
    <col min="2821" max="2821" width="16" style="222" customWidth="1"/>
    <col min="2822" max="2822" width="16.75" style="222" customWidth="1"/>
    <col min="2823" max="2824" width="17.83203125" style="222" customWidth="1"/>
    <col min="2825" max="2826" width="11" style="222" customWidth="1"/>
    <col min="2827" max="3072" width="8.25" style="222"/>
    <col min="3073" max="3073" width="5.58203125" style="222" customWidth="1"/>
    <col min="3074" max="3074" width="10.83203125" style="222" customWidth="1"/>
    <col min="3075" max="3075" width="28.25" style="222" customWidth="1"/>
    <col min="3076" max="3076" width="8.25" style="222"/>
    <col min="3077" max="3077" width="16" style="222" customWidth="1"/>
    <col min="3078" max="3078" width="16.75" style="222" customWidth="1"/>
    <col min="3079" max="3080" width="17.83203125" style="222" customWidth="1"/>
    <col min="3081" max="3082" width="11" style="222" customWidth="1"/>
    <col min="3083" max="3328" width="8.25" style="222"/>
    <col min="3329" max="3329" width="5.58203125" style="222" customWidth="1"/>
    <col min="3330" max="3330" width="10.83203125" style="222" customWidth="1"/>
    <col min="3331" max="3331" width="28.25" style="222" customWidth="1"/>
    <col min="3332" max="3332" width="8.25" style="222"/>
    <col min="3333" max="3333" width="16" style="222" customWidth="1"/>
    <col min="3334" max="3334" width="16.75" style="222" customWidth="1"/>
    <col min="3335" max="3336" width="17.83203125" style="222" customWidth="1"/>
    <col min="3337" max="3338" width="11" style="222" customWidth="1"/>
    <col min="3339" max="3584" width="8.25" style="222"/>
    <col min="3585" max="3585" width="5.58203125" style="222" customWidth="1"/>
    <col min="3586" max="3586" width="10.83203125" style="222" customWidth="1"/>
    <col min="3587" max="3587" width="28.25" style="222" customWidth="1"/>
    <col min="3588" max="3588" width="8.25" style="222"/>
    <col min="3589" max="3589" width="16" style="222" customWidth="1"/>
    <col min="3590" max="3590" width="16.75" style="222" customWidth="1"/>
    <col min="3591" max="3592" width="17.83203125" style="222" customWidth="1"/>
    <col min="3593" max="3594" width="11" style="222" customWidth="1"/>
    <col min="3595" max="3840" width="8.25" style="222"/>
    <col min="3841" max="3841" width="5.58203125" style="222" customWidth="1"/>
    <col min="3842" max="3842" width="10.83203125" style="222" customWidth="1"/>
    <col min="3843" max="3843" width="28.25" style="222" customWidth="1"/>
    <col min="3844" max="3844" width="8.25" style="222"/>
    <col min="3845" max="3845" width="16" style="222" customWidth="1"/>
    <col min="3846" max="3846" width="16.75" style="222" customWidth="1"/>
    <col min="3847" max="3848" width="17.83203125" style="222" customWidth="1"/>
    <col min="3849" max="3850" width="11" style="222" customWidth="1"/>
    <col min="3851" max="4096" width="8.25" style="222"/>
    <col min="4097" max="4097" width="5.58203125" style="222" customWidth="1"/>
    <col min="4098" max="4098" width="10.83203125" style="222" customWidth="1"/>
    <col min="4099" max="4099" width="28.25" style="222" customWidth="1"/>
    <col min="4100" max="4100" width="8.25" style="222"/>
    <col min="4101" max="4101" width="16" style="222" customWidth="1"/>
    <col min="4102" max="4102" width="16.75" style="222" customWidth="1"/>
    <col min="4103" max="4104" width="17.83203125" style="222" customWidth="1"/>
    <col min="4105" max="4106" width="11" style="222" customWidth="1"/>
    <col min="4107" max="4352" width="8.25" style="222"/>
    <col min="4353" max="4353" width="5.58203125" style="222" customWidth="1"/>
    <col min="4354" max="4354" width="10.83203125" style="222" customWidth="1"/>
    <col min="4355" max="4355" width="28.25" style="222" customWidth="1"/>
    <col min="4356" max="4356" width="8.25" style="222"/>
    <col min="4357" max="4357" width="16" style="222" customWidth="1"/>
    <col min="4358" max="4358" width="16.75" style="222" customWidth="1"/>
    <col min="4359" max="4360" width="17.83203125" style="222" customWidth="1"/>
    <col min="4361" max="4362" width="11" style="222" customWidth="1"/>
    <col min="4363" max="4608" width="8.25" style="222"/>
    <col min="4609" max="4609" width="5.58203125" style="222" customWidth="1"/>
    <col min="4610" max="4610" width="10.83203125" style="222" customWidth="1"/>
    <col min="4611" max="4611" width="28.25" style="222" customWidth="1"/>
    <col min="4612" max="4612" width="8.25" style="222"/>
    <col min="4613" max="4613" width="16" style="222" customWidth="1"/>
    <col min="4614" max="4614" width="16.75" style="222" customWidth="1"/>
    <col min="4615" max="4616" width="17.83203125" style="222" customWidth="1"/>
    <col min="4617" max="4618" width="11" style="222" customWidth="1"/>
    <col min="4619" max="4864" width="8.25" style="222"/>
    <col min="4865" max="4865" width="5.58203125" style="222" customWidth="1"/>
    <col min="4866" max="4866" width="10.83203125" style="222" customWidth="1"/>
    <col min="4867" max="4867" width="28.25" style="222" customWidth="1"/>
    <col min="4868" max="4868" width="8.25" style="222"/>
    <col min="4869" max="4869" width="16" style="222" customWidth="1"/>
    <col min="4870" max="4870" width="16.75" style="222" customWidth="1"/>
    <col min="4871" max="4872" width="17.83203125" style="222" customWidth="1"/>
    <col min="4873" max="4874" width="11" style="222" customWidth="1"/>
    <col min="4875" max="5120" width="8.25" style="222"/>
    <col min="5121" max="5121" width="5.58203125" style="222" customWidth="1"/>
    <col min="5122" max="5122" width="10.83203125" style="222" customWidth="1"/>
    <col min="5123" max="5123" width="28.25" style="222" customWidth="1"/>
    <col min="5124" max="5124" width="8.25" style="222"/>
    <col min="5125" max="5125" width="16" style="222" customWidth="1"/>
    <col min="5126" max="5126" width="16.75" style="222" customWidth="1"/>
    <col min="5127" max="5128" width="17.83203125" style="222" customWidth="1"/>
    <col min="5129" max="5130" width="11" style="222" customWidth="1"/>
    <col min="5131" max="5376" width="8.25" style="222"/>
    <col min="5377" max="5377" width="5.58203125" style="222" customWidth="1"/>
    <col min="5378" max="5378" width="10.83203125" style="222" customWidth="1"/>
    <col min="5379" max="5379" width="28.25" style="222" customWidth="1"/>
    <col min="5380" max="5380" width="8.25" style="222"/>
    <col min="5381" max="5381" width="16" style="222" customWidth="1"/>
    <col min="5382" max="5382" width="16.75" style="222" customWidth="1"/>
    <col min="5383" max="5384" width="17.83203125" style="222" customWidth="1"/>
    <col min="5385" max="5386" width="11" style="222" customWidth="1"/>
    <col min="5387" max="5632" width="8.25" style="222"/>
    <col min="5633" max="5633" width="5.58203125" style="222" customWidth="1"/>
    <col min="5634" max="5634" width="10.83203125" style="222" customWidth="1"/>
    <col min="5635" max="5635" width="28.25" style="222" customWidth="1"/>
    <col min="5636" max="5636" width="8.25" style="222"/>
    <col min="5637" max="5637" width="16" style="222" customWidth="1"/>
    <col min="5638" max="5638" width="16.75" style="222" customWidth="1"/>
    <col min="5639" max="5640" width="17.83203125" style="222" customWidth="1"/>
    <col min="5641" max="5642" width="11" style="222" customWidth="1"/>
    <col min="5643" max="5888" width="8.25" style="222"/>
    <col min="5889" max="5889" width="5.58203125" style="222" customWidth="1"/>
    <col min="5890" max="5890" width="10.83203125" style="222" customWidth="1"/>
    <col min="5891" max="5891" width="28.25" style="222" customWidth="1"/>
    <col min="5892" max="5892" width="8.25" style="222"/>
    <col min="5893" max="5893" width="16" style="222" customWidth="1"/>
    <col min="5894" max="5894" width="16.75" style="222" customWidth="1"/>
    <col min="5895" max="5896" width="17.83203125" style="222" customWidth="1"/>
    <col min="5897" max="5898" width="11" style="222" customWidth="1"/>
    <col min="5899" max="6144" width="8.25" style="222"/>
    <col min="6145" max="6145" width="5.58203125" style="222" customWidth="1"/>
    <col min="6146" max="6146" width="10.83203125" style="222" customWidth="1"/>
    <col min="6147" max="6147" width="28.25" style="222" customWidth="1"/>
    <col min="6148" max="6148" width="8.25" style="222"/>
    <col min="6149" max="6149" width="16" style="222" customWidth="1"/>
    <col min="6150" max="6150" width="16.75" style="222" customWidth="1"/>
    <col min="6151" max="6152" width="17.83203125" style="222" customWidth="1"/>
    <col min="6153" max="6154" width="11" style="222" customWidth="1"/>
    <col min="6155" max="6400" width="8.25" style="222"/>
    <col min="6401" max="6401" width="5.58203125" style="222" customWidth="1"/>
    <col min="6402" max="6402" width="10.83203125" style="222" customWidth="1"/>
    <col min="6403" max="6403" width="28.25" style="222" customWidth="1"/>
    <col min="6404" max="6404" width="8.25" style="222"/>
    <col min="6405" max="6405" width="16" style="222" customWidth="1"/>
    <col min="6406" max="6406" width="16.75" style="222" customWidth="1"/>
    <col min="6407" max="6408" width="17.83203125" style="222" customWidth="1"/>
    <col min="6409" max="6410" width="11" style="222" customWidth="1"/>
    <col min="6411" max="6656" width="8.25" style="222"/>
    <col min="6657" max="6657" width="5.58203125" style="222" customWidth="1"/>
    <col min="6658" max="6658" width="10.83203125" style="222" customWidth="1"/>
    <col min="6659" max="6659" width="28.25" style="222" customWidth="1"/>
    <col min="6660" max="6660" width="8.25" style="222"/>
    <col min="6661" max="6661" width="16" style="222" customWidth="1"/>
    <col min="6662" max="6662" width="16.75" style="222" customWidth="1"/>
    <col min="6663" max="6664" width="17.83203125" style="222" customWidth="1"/>
    <col min="6665" max="6666" width="11" style="222" customWidth="1"/>
    <col min="6667" max="6912" width="8.25" style="222"/>
    <col min="6913" max="6913" width="5.58203125" style="222" customWidth="1"/>
    <col min="6914" max="6914" width="10.83203125" style="222" customWidth="1"/>
    <col min="6915" max="6915" width="28.25" style="222" customWidth="1"/>
    <col min="6916" max="6916" width="8.25" style="222"/>
    <col min="6917" max="6917" width="16" style="222" customWidth="1"/>
    <col min="6918" max="6918" width="16.75" style="222" customWidth="1"/>
    <col min="6919" max="6920" width="17.83203125" style="222" customWidth="1"/>
    <col min="6921" max="6922" width="11" style="222" customWidth="1"/>
    <col min="6923" max="7168" width="8.25" style="222"/>
    <col min="7169" max="7169" width="5.58203125" style="222" customWidth="1"/>
    <col min="7170" max="7170" width="10.83203125" style="222" customWidth="1"/>
    <col min="7171" max="7171" width="28.25" style="222" customWidth="1"/>
    <col min="7172" max="7172" width="8.25" style="222"/>
    <col min="7173" max="7173" width="16" style="222" customWidth="1"/>
    <col min="7174" max="7174" width="16.75" style="222" customWidth="1"/>
    <col min="7175" max="7176" width="17.83203125" style="222" customWidth="1"/>
    <col min="7177" max="7178" width="11" style="222" customWidth="1"/>
    <col min="7179" max="7424" width="8.25" style="222"/>
    <col min="7425" max="7425" width="5.58203125" style="222" customWidth="1"/>
    <col min="7426" max="7426" width="10.83203125" style="222" customWidth="1"/>
    <col min="7427" max="7427" width="28.25" style="222" customWidth="1"/>
    <col min="7428" max="7428" width="8.25" style="222"/>
    <col min="7429" max="7429" width="16" style="222" customWidth="1"/>
    <col min="7430" max="7430" width="16.75" style="222" customWidth="1"/>
    <col min="7431" max="7432" width="17.83203125" style="222" customWidth="1"/>
    <col min="7433" max="7434" width="11" style="222" customWidth="1"/>
    <col min="7435" max="7680" width="8.25" style="222"/>
    <col min="7681" max="7681" width="5.58203125" style="222" customWidth="1"/>
    <col min="7682" max="7682" width="10.83203125" style="222" customWidth="1"/>
    <col min="7683" max="7683" width="28.25" style="222" customWidth="1"/>
    <col min="7684" max="7684" width="8.25" style="222"/>
    <col min="7685" max="7685" width="16" style="222" customWidth="1"/>
    <col min="7686" max="7686" width="16.75" style="222" customWidth="1"/>
    <col min="7687" max="7688" width="17.83203125" style="222" customWidth="1"/>
    <col min="7689" max="7690" width="11" style="222" customWidth="1"/>
    <col min="7691" max="7936" width="8.25" style="222"/>
    <col min="7937" max="7937" width="5.58203125" style="222" customWidth="1"/>
    <col min="7938" max="7938" width="10.83203125" style="222" customWidth="1"/>
    <col min="7939" max="7939" width="28.25" style="222" customWidth="1"/>
    <col min="7940" max="7940" width="8.25" style="222"/>
    <col min="7941" max="7941" width="16" style="222" customWidth="1"/>
    <col min="7942" max="7942" width="16.75" style="222" customWidth="1"/>
    <col min="7943" max="7944" width="17.83203125" style="222" customWidth="1"/>
    <col min="7945" max="7946" width="11" style="222" customWidth="1"/>
    <col min="7947" max="8192" width="8.25" style="222"/>
    <col min="8193" max="8193" width="5.58203125" style="222" customWidth="1"/>
    <col min="8194" max="8194" width="10.83203125" style="222" customWidth="1"/>
    <col min="8195" max="8195" width="28.25" style="222" customWidth="1"/>
    <col min="8196" max="8196" width="8.25" style="222"/>
    <col min="8197" max="8197" width="16" style="222" customWidth="1"/>
    <col min="8198" max="8198" width="16.75" style="222" customWidth="1"/>
    <col min="8199" max="8200" width="17.83203125" style="222" customWidth="1"/>
    <col min="8201" max="8202" width="11" style="222" customWidth="1"/>
    <col min="8203" max="8448" width="8.25" style="222"/>
    <col min="8449" max="8449" width="5.58203125" style="222" customWidth="1"/>
    <col min="8450" max="8450" width="10.83203125" style="222" customWidth="1"/>
    <col min="8451" max="8451" width="28.25" style="222" customWidth="1"/>
    <col min="8452" max="8452" width="8.25" style="222"/>
    <col min="8453" max="8453" width="16" style="222" customWidth="1"/>
    <col min="8454" max="8454" width="16.75" style="222" customWidth="1"/>
    <col min="8455" max="8456" width="17.83203125" style="222" customWidth="1"/>
    <col min="8457" max="8458" width="11" style="222" customWidth="1"/>
    <col min="8459" max="8704" width="8.25" style="222"/>
    <col min="8705" max="8705" width="5.58203125" style="222" customWidth="1"/>
    <col min="8706" max="8706" width="10.83203125" style="222" customWidth="1"/>
    <col min="8707" max="8707" width="28.25" style="222" customWidth="1"/>
    <col min="8708" max="8708" width="8.25" style="222"/>
    <col min="8709" max="8709" width="16" style="222" customWidth="1"/>
    <col min="8710" max="8710" width="16.75" style="222" customWidth="1"/>
    <col min="8711" max="8712" width="17.83203125" style="222" customWidth="1"/>
    <col min="8713" max="8714" width="11" style="222" customWidth="1"/>
    <col min="8715" max="8960" width="8.25" style="222"/>
    <col min="8961" max="8961" width="5.58203125" style="222" customWidth="1"/>
    <col min="8962" max="8962" width="10.83203125" style="222" customWidth="1"/>
    <col min="8963" max="8963" width="28.25" style="222" customWidth="1"/>
    <col min="8964" max="8964" width="8.25" style="222"/>
    <col min="8965" max="8965" width="16" style="222" customWidth="1"/>
    <col min="8966" max="8966" width="16.75" style="222" customWidth="1"/>
    <col min="8967" max="8968" width="17.83203125" style="222" customWidth="1"/>
    <col min="8969" max="8970" width="11" style="222" customWidth="1"/>
    <col min="8971" max="9216" width="8.25" style="222"/>
    <col min="9217" max="9217" width="5.58203125" style="222" customWidth="1"/>
    <col min="9218" max="9218" width="10.83203125" style="222" customWidth="1"/>
    <col min="9219" max="9219" width="28.25" style="222" customWidth="1"/>
    <col min="9220" max="9220" width="8.25" style="222"/>
    <col min="9221" max="9221" width="16" style="222" customWidth="1"/>
    <col min="9222" max="9222" width="16.75" style="222" customWidth="1"/>
    <col min="9223" max="9224" width="17.83203125" style="222" customWidth="1"/>
    <col min="9225" max="9226" width="11" style="222" customWidth="1"/>
    <col min="9227" max="9472" width="8.25" style="222"/>
    <col min="9473" max="9473" width="5.58203125" style="222" customWidth="1"/>
    <col min="9474" max="9474" width="10.83203125" style="222" customWidth="1"/>
    <col min="9475" max="9475" width="28.25" style="222" customWidth="1"/>
    <col min="9476" max="9476" width="8.25" style="222"/>
    <col min="9477" max="9477" width="16" style="222" customWidth="1"/>
    <col min="9478" max="9478" width="16.75" style="222" customWidth="1"/>
    <col min="9479" max="9480" width="17.83203125" style="222" customWidth="1"/>
    <col min="9481" max="9482" width="11" style="222" customWidth="1"/>
    <col min="9483" max="9728" width="8.25" style="222"/>
    <col min="9729" max="9729" width="5.58203125" style="222" customWidth="1"/>
    <col min="9730" max="9730" width="10.83203125" style="222" customWidth="1"/>
    <col min="9731" max="9731" width="28.25" style="222" customWidth="1"/>
    <col min="9732" max="9732" width="8.25" style="222"/>
    <col min="9733" max="9733" width="16" style="222" customWidth="1"/>
    <col min="9734" max="9734" width="16.75" style="222" customWidth="1"/>
    <col min="9735" max="9736" width="17.83203125" style="222" customWidth="1"/>
    <col min="9737" max="9738" width="11" style="222" customWidth="1"/>
    <col min="9739" max="9984" width="8.25" style="222"/>
    <col min="9985" max="9985" width="5.58203125" style="222" customWidth="1"/>
    <col min="9986" max="9986" width="10.83203125" style="222" customWidth="1"/>
    <col min="9987" max="9987" width="28.25" style="222" customWidth="1"/>
    <col min="9988" max="9988" width="8.25" style="222"/>
    <col min="9989" max="9989" width="16" style="222" customWidth="1"/>
    <col min="9990" max="9990" width="16.75" style="222" customWidth="1"/>
    <col min="9991" max="9992" width="17.83203125" style="222" customWidth="1"/>
    <col min="9993" max="9994" width="11" style="222" customWidth="1"/>
    <col min="9995" max="10240" width="8.25" style="222"/>
    <col min="10241" max="10241" width="5.58203125" style="222" customWidth="1"/>
    <col min="10242" max="10242" width="10.83203125" style="222" customWidth="1"/>
    <col min="10243" max="10243" width="28.25" style="222" customWidth="1"/>
    <col min="10244" max="10244" width="8.25" style="222"/>
    <col min="10245" max="10245" width="16" style="222" customWidth="1"/>
    <col min="10246" max="10246" width="16.75" style="222" customWidth="1"/>
    <col min="10247" max="10248" width="17.83203125" style="222" customWidth="1"/>
    <col min="10249" max="10250" width="11" style="222" customWidth="1"/>
    <col min="10251" max="10496" width="8.25" style="222"/>
    <col min="10497" max="10497" width="5.58203125" style="222" customWidth="1"/>
    <col min="10498" max="10498" width="10.83203125" style="222" customWidth="1"/>
    <col min="10499" max="10499" width="28.25" style="222" customWidth="1"/>
    <col min="10500" max="10500" width="8.25" style="222"/>
    <col min="10501" max="10501" width="16" style="222" customWidth="1"/>
    <col min="10502" max="10502" width="16.75" style="222" customWidth="1"/>
    <col min="10503" max="10504" width="17.83203125" style="222" customWidth="1"/>
    <col min="10505" max="10506" width="11" style="222" customWidth="1"/>
    <col min="10507" max="10752" width="8.25" style="222"/>
    <col min="10753" max="10753" width="5.58203125" style="222" customWidth="1"/>
    <col min="10754" max="10754" width="10.83203125" style="222" customWidth="1"/>
    <col min="10755" max="10755" width="28.25" style="222" customWidth="1"/>
    <col min="10756" max="10756" width="8.25" style="222"/>
    <col min="10757" max="10757" width="16" style="222" customWidth="1"/>
    <col min="10758" max="10758" width="16.75" style="222" customWidth="1"/>
    <col min="10759" max="10760" width="17.83203125" style="222" customWidth="1"/>
    <col min="10761" max="10762" width="11" style="222" customWidth="1"/>
    <col min="10763" max="11008" width="8.25" style="222"/>
    <col min="11009" max="11009" width="5.58203125" style="222" customWidth="1"/>
    <col min="11010" max="11010" width="10.83203125" style="222" customWidth="1"/>
    <col min="11011" max="11011" width="28.25" style="222" customWidth="1"/>
    <col min="11012" max="11012" width="8.25" style="222"/>
    <col min="11013" max="11013" width="16" style="222" customWidth="1"/>
    <col min="11014" max="11014" width="16.75" style="222" customWidth="1"/>
    <col min="11015" max="11016" width="17.83203125" style="222" customWidth="1"/>
    <col min="11017" max="11018" width="11" style="222" customWidth="1"/>
    <col min="11019" max="11264" width="8.25" style="222"/>
    <col min="11265" max="11265" width="5.58203125" style="222" customWidth="1"/>
    <col min="11266" max="11266" width="10.83203125" style="222" customWidth="1"/>
    <col min="11267" max="11267" width="28.25" style="222" customWidth="1"/>
    <col min="11268" max="11268" width="8.25" style="222"/>
    <col min="11269" max="11269" width="16" style="222" customWidth="1"/>
    <col min="11270" max="11270" width="16.75" style="222" customWidth="1"/>
    <col min="11271" max="11272" width="17.83203125" style="222" customWidth="1"/>
    <col min="11273" max="11274" width="11" style="222" customWidth="1"/>
    <col min="11275" max="11520" width="8.25" style="222"/>
    <col min="11521" max="11521" width="5.58203125" style="222" customWidth="1"/>
    <col min="11522" max="11522" width="10.83203125" style="222" customWidth="1"/>
    <col min="11523" max="11523" width="28.25" style="222" customWidth="1"/>
    <col min="11524" max="11524" width="8.25" style="222"/>
    <col min="11525" max="11525" width="16" style="222" customWidth="1"/>
    <col min="11526" max="11526" width="16.75" style="222" customWidth="1"/>
    <col min="11527" max="11528" width="17.83203125" style="222" customWidth="1"/>
    <col min="11529" max="11530" width="11" style="222" customWidth="1"/>
    <col min="11531" max="11776" width="8.25" style="222"/>
    <col min="11777" max="11777" width="5.58203125" style="222" customWidth="1"/>
    <col min="11778" max="11778" width="10.83203125" style="222" customWidth="1"/>
    <col min="11779" max="11779" width="28.25" style="222" customWidth="1"/>
    <col min="11780" max="11780" width="8.25" style="222"/>
    <col min="11781" max="11781" width="16" style="222" customWidth="1"/>
    <col min="11782" max="11782" width="16.75" style="222" customWidth="1"/>
    <col min="11783" max="11784" width="17.83203125" style="222" customWidth="1"/>
    <col min="11785" max="11786" width="11" style="222" customWidth="1"/>
    <col min="11787" max="12032" width="8.25" style="222"/>
    <col min="12033" max="12033" width="5.58203125" style="222" customWidth="1"/>
    <col min="12034" max="12034" width="10.83203125" style="222" customWidth="1"/>
    <col min="12035" max="12035" width="28.25" style="222" customWidth="1"/>
    <col min="12036" max="12036" width="8.25" style="222"/>
    <col min="12037" max="12037" width="16" style="222" customWidth="1"/>
    <col min="12038" max="12038" width="16.75" style="222" customWidth="1"/>
    <col min="12039" max="12040" width="17.83203125" style="222" customWidth="1"/>
    <col min="12041" max="12042" width="11" style="222" customWidth="1"/>
    <col min="12043" max="12288" width="8.25" style="222"/>
    <col min="12289" max="12289" width="5.58203125" style="222" customWidth="1"/>
    <col min="12290" max="12290" width="10.83203125" style="222" customWidth="1"/>
    <col min="12291" max="12291" width="28.25" style="222" customWidth="1"/>
    <col min="12292" max="12292" width="8.25" style="222"/>
    <col min="12293" max="12293" width="16" style="222" customWidth="1"/>
    <col min="12294" max="12294" width="16.75" style="222" customWidth="1"/>
    <col min="12295" max="12296" width="17.83203125" style="222" customWidth="1"/>
    <col min="12297" max="12298" width="11" style="222" customWidth="1"/>
    <col min="12299" max="12544" width="8.25" style="222"/>
    <col min="12545" max="12545" width="5.58203125" style="222" customWidth="1"/>
    <col min="12546" max="12546" width="10.83203125" style="222" customWidth="1"/>
    <col min="12547" max="12547" width="28.25" style="222" customWidth="1"/>
    <col min="12548" max="12548" width="8.25" style="222"/>
    <col min="12549" max="12549" width="16" style="222" customWidth="1"/>
    <col min="12550" max="12550" width="16.75" style="222" customWidth="1"/>
    <col min="12551" max="12552" width="17.83203125" style="222" customWidth="1"/>
    <col min="12553" max="12554" width="11" style="222" customWidth="1"/>
    <col min="12555" max="12800" width="8.25" style="222"/>
    <col min="12801" max="12801" width="5.58203125" style="222" customWidth="1"/>
    <col min="12802" max="12802" width="10.83203125" style="222" customWidth="1"/>
    <col min="12803" max="12803" width="28.25" style="222" customWidth="1"/>
    <col min="12804" max="12804" width="8.25" style="222"/>
    <col min="12805" max="12805" width="16" style="222" customWidth="1"/>
    <col min="12806" max="12806" width="16.75" style="222" customWidth="1"/>
    <col min="12807" max="12808" width="17.83203125" style="222" customWidth="1"/>
    <col min="12809" max="12810" width="11" style="222" customWidth="1"/>
    <col min="12811" max="13056" width="8.25" style="222"/>
    <col min="13057" max="13057" width="5.58203125" style="222" customWidth="1"/>
    <col min="13058" max="13058" width="10.83203125" style="222" customWidth="1"/>
    <col min="13059" max="13059" width="28.25" style="222" customWidth="1"/>
    <col min="13060" max="13060" width="8.25" style="222"/>
    <col min="13061" max="13061" width="16" style="222" customWidth="1"/>
    <col min="13062" max="13062" width="16.75" style="222" customWidth="1"/>
    <col min="13063" max="13064" width="17.83203125" style="222" customWidth="1"/>
    <col min="13065" max="13066" width="11" style="222" customWidth="1"/>
    <col min="13067" max="13312" width="8.25" style="222"/>
    <col min="13313" max="13313" width="5.58203125" style="222" customWidth="1"/>
    <col min="13314" max="13314" width="10.83203125" style="222" customWidth="1"/>
    <col min="13315" max="13315" width="28.25" style="222" customWidth="1"/>
    <col min="13316" max="13316" width="8.25" style="222"/>
    <col min="13317" max="13317" width="16" style="222" customWidth="1"/>
    <col min="13318" max="13318" width="16.75" style="222" customWidth="1"/>
    <col min="13319" max="13320" width="17.83203125" style="222" customWidth="1"/>
    <col min="13321" max="13322" width="11" style="222" customWidth="1"/>
    <col min="13323" max="13568" width="8.25" style="222"/>
    <col min="13569" max="13569" width="5.58203125" style="222" customWidth="1"/>
    <col min="13570" max="13570" width="10.83203125" style="222" customWidth="1"/>
    <col min="13571" max="13571" width="28.25" style="222" customWidth="1"/>
    <col min="13572" max="13572" width="8.25" style="222"/>
    <col min="13573" max="13573" width="16" style="222" customWidth="1"/>
    <col min="13574" max="13574" width="16.75" style="222" customWidth="1"/>
    <col min="13575" max="13576" width="17.83203125" style="222" customWidth="1"/>
    <col min="13577" max="13578" width="11" style="222" customWidth="1"/>
    <col min="13579" max="13824" width="8.25" style="222"/>
    <col min="13825" max="13825" width="5.58203125" style="222" customWidth="1"/>
    <col min="13826" max="13826" width="10.83203125" style="222" customWidth="1"/>
    <col min="13827" max="13827" width="28.25" style="222" customWidth="1"/>
    <col min="13828" max="13828" width="8.25" style="222"/>
    <col min="13829" max="13829" width="16" style="222" customWidth="1"/>
    <col min="13830" max="13830" width="16.75" style="222" customWidth="1"/>
    <col min="13831" max="13832" width="17.83203125" style="222" customWidth="1"/>
    <col min="13833" max="13834" width="11" style="222" customWidth="1"/>
    <col min="13835" max="14080" width="8.25" style="222"/>
    <col min="14081" max="14081" width="5.58203125" style="222" customWidth="1"/>
    <col min="14082" max="14082" width="10.83203125" style="222" customWidth="1"/>
    <col min="14083" max="14083" width="28.25" style="222" customWidth="1"/>
    <col min="14084" max="14084" width="8.25" style="222"/>
    <col min="14085" max="14085" width="16" style="222" customWidth="1"/>
    <col min="14086" max="14086" width="16.75" style="222" customWidth="1"/>
    <col min="14087" max="14088" width="17.83203125" style="222" customWidth="1"/>
    <col min="14089" max="14090" width="11" style="222" customWidth="1"/>
    <col min="14091" max="14336" width="8.25" style="222"/>
    <col min="14337" max="14337" width="5.58203125" style="222" customWidth="1"/>
    <col min="14338" max="14338" width="10.83203125" style="222" customWidth="1"/>
    <col min="14339" max="14339" width="28.25" style="222" customWidth="1"/>
    <col min="14340" max="14340" width="8.25" style="222"/>
    <col min="14341" max="14341" width="16" style="222" customWidth="1"/>
    <col min="14342" max="14342" width="16.75" style="222" customWidth="1"/>
    <col min="14343" max="14344" width="17.83203125" style="222" customWidth="1"/>
    <col min="14345" max="14346" width="11" style="222" customWidth="1"/>
    <col min="14347" max="14592" width="8.25" style="222"/>
    <col min="14593" max="14593" width="5.58203125" style="222" customWidth="1"/>
    <col min="14594" max="14594" width="10.83203125" style="222" customWidth="1"/>
    <col min="14595" max="14595" width="28.25" style="222" customWidth="1"/>
    <col min="14596" max="14596" width="8.25" style="222"/>
    <col min="14597" max="14597" width="16" style="222" customWidth="1"/>
    <col min="14598" max="14598" width="16.75" style="222" customWidth="1"/>
    <col min="14599" max="14600" width="17.83203125" style="222" customWidth="1"/>
    <col min="14601" max="14602" width="11" style="222" customWidth="1"/>
    <col min="14603" max="14848" width="8.25" style="222"/>
    <col min="14849" max="14849" width="5.58203125" style="222" customWidth="1"/>
    <col min="14850" max="14850" width="10.83203125" style="222" customWidth="1"/>
    <col min="14851" max="14851" width="28.25" style="222" customWidth="1"/>
    <col min="14852" max="14852" width="8.25" style="222"/>
    <col min="14853" max="14853" width="16" style="222" customWidth="1"/>
    <col min="14854" max="14854" width="16.75" style="222" customWidth="1"/>
    <col min="14855" max="14856" width="17.83203125" style="222" customWidth="1"/>
    <col min="14857" max="14858" width="11" style="222" customWidth="1"/>
    <col min="14859" max="15104" width="8.25" style="222"/>
    <col min="15105" max="15105" width="5.58203125" style="222" customWidth="1"/>
    <col min="15106" max="15106" width="10.83203125" style="222" customWidth="1"/>
    <col min="15107" max="15107" width="28.25" style="222" customWidth="1"/>
    <col min="15108" max="15108" width="8.25" style="222"/>
    <col min="15109" max="15109" width="16" style="222" customWidth="1"/>
    <col min="15110" max="15110" width="16.75" style="222" customWidth="1"/>
    <col min="15111" max="15112" width="17.83203125" style="222" customWidth="1"/>
    <col min="15113" max="15114" width="11" style="222" customWidth="1"/>
    <col min="15115" max="15360" width="8.25" style="222"/>
    <col min="15361" max="15361" width="5.58203125" style="222" customWidth="1"/>
    <col min="15362" max="15362" width="10.83203125" style="222" customWidth="1"/>
    <col min="15363" max="15363" width="28.25" style="222" customWidth="1"/>
    <col min="15364" max="15364" width="8.25" style="222"/>
    <col min="15365" max="15365" width="16" style="222" customWidth="1"/>
    <col min="15366" max="15366" width="16.75" style="222" customWidth="1"/>
    <col min="15367" max="15368" width="17.83203125" style="222" customWidth="1"/>
    <col min="15369" max="15370" width="11" style="222" customWidth="1"/>
    <col min="15371" max="15616" width="8.25" style="222"/>
    <col min="15617" max="15617" width="5.58203125" style="222" customWidth="1"/>
    <col min="15618" max="15618" width="10.83203125" style="222" customWidth="1"/>
    <col min="15619" max="15619" width="28.25" style="222" customWidth="1"/>
    <col min="15620" max="15620" width="8.25" style="222"/>
    <col min="15621" max="15621" width="16" style="222" customWidth="1"/>
    <col min="15622" max="15622" width="16.75" style="222" customWidth="1"/>
    <col min="15623" max="15624" width="17.83203125" style="222" customWidth="1"/>
    <col min="15625" max="15626" width="11" style="222" customWidth="1"/>
    <col min="15627" max="15872" width="8.25" style="222"/>
    <col min="15873" max="15873" width="5.58203125" style="222" customWidth="1"/>
    <col min="15874" max="15874" width="10.83203125" style="222" customWidth="1"/>
    <col min="15875" max="15875" width="28.25" style="222" customWidth="1"/>
    <col min="15876" max="15876" width="8.25" style="222"/>
    <col min="15877" max="15877" width="16" style="222" customWidth="1"/>
    <col min="15878" max="15878" width="16.75" style="222" customWidth="1"/>
    <col min="15879" max="15880" width="17.83203125" style="222" customWidth="1"/>
    <col min="15881" max="15882" width="11" style="222" customWidth="1"/>
    <col min="15883" max="16128" width="8.25" style="222"/>
    <col min="16129" max="16129" width="5.58203125" style="222" customWidth="1"/>
    <col min="16130" max="16130" width="10.83203125" style="222" customWidth="1"/>
    <col min="16131" max="16131" width="28.25" style="222" customWidth="1"/>
    <col min="16132" max="16132" width="8.25" style="222"/>
    <col min="16133" max="16133" width="16" style="222" customWidth="1"/>
    <col min="16134" max="16134" width="16.75" style="222" customWidth="1"/>
    <col min="16135" max="16136" width="17.83203125" style="222" customWidth="1"/>
    <col min="16137" max="16138" width="11" style="222" customWidth="1"/>
    <col min="16139" max="16384" width="8.25" style="222"/>
  </cols>
  <sheetData>
    <row r="1" spans="1:10" s="200" customFormat="1" ht="20.5">
      <c r="A1" s="1043" t="s">
        <v>2376</v>
      </c>
      <c r="B1" s="1043"/>
      <c r="C1" s="1043"/>
      <c r="D1" s="1043"/>
      <c r="E1" s="1043"/>
      <c r="F1" s="1043"/>
      <c r="G1" s="198"/>
      <c r="H1" s="199"/>
      <c r="I1" s="199"/>
      <c r="J1" s="199"/>
    </row>
    <row r="2" spans="1:10" s="200" customFormat="1" ht="20.5">
      <c r="A2" s="1044" t="s">
        <v>209</v>
      </c>
      <c r="B2" s="1044"/>
      <c r="C2" s="1044"/>
      <c r="D2" s="1044"/>
      <c r="E2" s="1044"/>
      <c r="F2" s="1044"/>
      <c r="G2" s="198"/>
      <c r="H2" s="199"/>
      <c r="I2" s="199"/>
      <c r="J2" s="199"/>
    </row>
    <row r="3" spans="1:10" s="203" customFormat="1" ht="16" thickBot="1">
      <c r="A3" s="201"/>
      <c r="B3" s="202"/>
      <c r="E3" s="1045" t="s">
        <v>210</v>
      </c>
      <c r="F3" s="1045"/>
      <c r="G3" s="204"/>
      <c r="H3" s="205"/>
      <c r="I3" s="205"/>
      <c r="J3" s="205"/>
    </row>
    <row r="4" spans="1:10" s="213" customFormat="1" ht="35.25" customHeight="1" thickTop="1">
      <c r="A4" s="206" t="s">
        <v>102</v>
      </c>
      <c r="B4" s="207" t="s">
        <v>211</v>
      </c>
      <c r="C4" s="208" t="s">
        <v>212</v>
      </c>
      <c r="D4" s="208" t="s">
        <v>3</v>
      </c>
      <c r="E4" s="209" t="s">
        <v>213</v>
      </c>
      <c r="F4" s="210" t="s">
        <v>6</v>
      </c>
      <c r="G4" s="211" t="s">
        <v>214</v>
      </c>
      <c r="H4" s="212" t="s">
        <v>215</v>
      </c>
      <c r="I4" s="212"/>
      <c r="J4" s="212"/>
    </row>
    <row r="5" spans="1:10" hidden="1">
      <c r="A5" s="214">
        <v>1</v>
      </c>
      <c r="B5" s="215" t="s">
        <v>216</v>
      </c>
      <c r="C5" s="216" t="s">
        <v>217</v>
      </c>
      <c r="D5" s="217" t="s">
        <v>64</v>
      </c>
      <c r="E5" s="218">
        <f>H5</f>
        <v>289885.55982905981</v>
      </c>
      <c r="F5" s="219"/>
      <c r="G5" s="220">
        <v>287172.15244755248</v>
      </c>
      <c r="H5" s="221">
        <v>289885.55982905981</v>
      </c>
      <c r="I5" s="221">
        <v>287172.15244755248</v>
      </c>
      <c r="J5" s="221">
        <f>H5-I5</f>
        <v>2713.4073815073352</v>
      </c>
    </row>
    <row r="6" spans="1:10" hidden="1">
      <c r="A6" s="214">
        <f>A5+1</f>
        <v>2</v>
      </c>
      <c r="B6" s="223" t="s">
        <v>218</v>
      </c>
      <c r="C6" s="216" t="s">
        <v>219</v>
      </c>
      <c r="D6" s="217" t="s">
        <v>64</v>
      </c>
      <c r="E6" s="218">
        <f>H6</f>
        <v>1123567.4562937063</v>
      </c>
      <c r="F6" s="219"/>
      <c r="G6" s="220">
        <v>1628781.4360839161</v>
      </c>
      <c r="H6" s="221">
        <v>1123567.4562937063</v>
      </c>
      <c r="I6" s="221">
        <v>1628781.4360839161</v>
      </c>
      <c r="J6" s="221">
        <f>H6-I6</f>
        <v>-505213.97979020979</v>
      </c>
    </row>
    <row r="7" spans="1:10" hidden="1">
      <c r="A7" s="214">
        <f t="shared" ref="A7:A48" si="0">A6+1</f>
        <v>3</v>
      </c>
      <c r="B7" s="223" t="s">
        <v>220</v>
      </c>
      <c r="C7" s="216" t="s">
        <v>221</v>
      </c>
      <c r="D7" s="217" t="s">
        <v>64</v>
      </c>
      <c r="E7" s="218">
        <f t="shared" ref="E7:E50" si="1">H7</f>
        <v>1381796.3759906762</v>
      </c>
      <c r="F7" s="219"/>
      <c r="G7" s="220">
        <v>1628781.4360839161</v>
      </c>
      <c r="H7" s="221">
        <v>1381796.3759906762</v>
      </c>
      <c r="I7" s="221">
        <v>1628781.4360839161</v>
      </c>
      <c r="J7" s="221">
        <f t="shared" ref="J7:J46" si="2">H7-I7</f>
        <v>-246985.06009323988</v>
      </c>
    </row>
    <row r="8" spans="1:10" hidden="1">
      <c r="A8" s="214">
        <f>A7+1</f>
        <v>4</v>
      </c>
      <c r="B8" s="223" t="s">
        <v>222</v>
      </c>
      <c r="C8" s="216" t="s">
        <v>223</v>
      </c>
      <c r="D8" s="217" t="s">
        <v>64</v>
      </c>
      <c r="E8" s="218">
        <f>H8</f>
        <v>2526736.2744755247</v>
      </c>
      <c r="F8" s="219"/>
      <c r="G8" s="220">
        <v>1628781.4360839161</v>
      </c>
      <c r="H8" s="221">
        <v>2526736.2744755247</v>
      </c>
      <c r="I8" s="221">
        <v>1628781.4360839161</v>
      </c>
      <c r="J8" s="221">
        <f>H8-I8</f>
        <v>897954.83839160856</v>
      </c>
    </row>
    <row r="9" spans="1:10" hidden="1">
      <c r="A9" s="214">
        <f>A7+1</f>
        <v>4</v>
      </c>
      <c r="B9" s="223" t="s">
        <v>224</v>
      </c>
      <c r="C9" s="224" t="s">
        <v>225</v>
      </c>
      <c r="D9" s="225" t="s">
        <v>64</v>
      </c>
      <c r="E9" s="218">
        <f t="shared" si="1"/>
        <v>2339928.1502307691</v>
      </c>
      <c r="F9" s="219"/>
      <c r="G9" s="220">
        <v>2134005.6276923078</v>
      </c>
      <c r="H9" s="221">
        <v>2339928.1502307691</v>
      </c>
      <c r="I9" s="221">
        <v>2134005.6276923078</v>
      </c>
      <c r="J9" s="221">
        <f t="shared" si="2"/>
        <v>205922.52253846126</v>
      </c>
    </row>
    <row r="10" spans="1:10" hidden="1">
      <c r="A10" s="214">
        <f t="shared" si="0"/>
        <v>5</v>
      </c>
      <c r="B10" s="226" t="s">
        <v>226</v>
      </c>
      <c r="C10" s="227" t="s">
        <v>227</v>
      </c>
      <c r="D10" s="228" t="s">
        <v>64</v>
      </c>
      <c r="E10" s="218">
        <f t="shared" si="1"/>
        <v>308377.72924825177</v>
      </c>
      <c r="F10" s="219"/>
      <c r="G10" s="220"/>
      <c r="H10" s="221">
        <v>308377.72924825177</v>
      </c>
      <c r="I10" s="221">
        <v>260019.08027972031</v>
      </c>
      <c r="J10" s="221">
        <f t="shared" si="2"/>
        <v>48358.648968531459</v>
      </c>
    </row>
    <row r="11" spans="1:10" hidden="1">
      <c r="A11" s="214">
        <f t="shared" si="0"/>
        <v>6</v>
      </c>
      <c r="B11" s="229" t="s">
        <v>228</v>
      </c>
      <c r="C11" s="224" t="s">
        <v>229</v>
      </c>
      <c r="D11" s="225" t="s">
        <v>64</v>
      </c>
      <c r="E11" s="218">
        <f t="shared" si="1"/>
        <v>312049.01115734264</v>
      </c>
      <c r="F11" s="219"/>
      <c r="G11" s="220">
        <v>263143.68755244755</v>
      </c>
      <c r="H11" s="221">
        <v>312049.01115734264</v>
      </c>
      <c r="I11" s="221">
        <v>263143.68755244755</v>
      </c>
      <c r="J11" s="221">
        <f t="shared" si="2"/>
        <v>48905.323604895093</v>
      </c>
    </row>
    <row r="12" spans="1:10" hidden="1">
      <c r="A12" s="214">
        <f t="shared" si="0"/>
        <v>7</v>
      </c>
      <c r="B12" s="223" t="s">
        <v>230</v>
      </c>
      <c r="C12" s="230" t="s">
        <v>231</v>
      </c>
      <c r="D12" s="225" t="s">
        <v>64</v>
      </c>
      <c r="E12" s="218">
        <v>225875</v>
      </c>
      <c r="F12" s="219"/>
      <c r="G12" s="220">
        <v>1813313.6990384618</v>
      </c>
      <c r="H12" s="221">
        <v>1634526.7441724944</v>
      </c>
      <c r="I12" s="221">
        <v>1813313.6990384618</v>
      </c>
      <c r="J12" s="221">
        <f t="shared" si="2"/>
        <v>-178786.95486596739</v>
      </c>
    </row>
    <row r="13" spans="1:10" hidden="1">
      <c r="A13" s="214">
        <f t="shared" si="0"/>
        <v>8</v>
      </c>
      <c r="B13" s="229" t="s">
        <v>232</v>
      </c>
      <c r="C13" s="224" t="s">
        <v>233</v>
      </c>
      <c r="D13" s="225" t="s">
        <v>64</v>
      </c>
      <c r="E13" s="218">
        <f t="shared" si="1"/>
        <v>2825805.7010489507</v>
      </c>
      <c r="F13" s="219"/>
      <c r="G13" s="220">
        <v>3022875.2731468529</v>
      </c>
      <c r="H13" s="221">
        <v>2825805.7010489507</v>
      </c>
      <c r="I13" s="221">
        <v>3022875.2731468529</v>
      </c>
      <c r="J13" s="221">
        <f t="shared" si="2"/>
        <v>-197069.57209790219</v>
      </c>
    </row>
    <row r="14" spans="1:10">
      <c r="A14" s="214">
        <v>1</v>
      </c>
      <c r="B14" s="231" t="s">
        <v>234</v>
      </c>
      <c r="C14" s="224" t="s">
        <v>235</v>
      </c>
      <c r="D14" s="225" t="s">
        <v>64</v>
      </c>
      <c r="E14" s="218">
        <f t="shared" si="1"/>
        <v>442404.97716239316</v>
      </c>
      <c r="F14" s="219"/>
      <c r="G14" s="220">
        <v>360508.41887179494</v>
      </c>
      <c r="H14" s="221">
        <v>442404.97716239316</v>
      </c>
      <c r="I14" s="221">
        <v>360508.41887179494</v>
      </c>
      <c r="J14" s="221">
        <f t="shared" si="2"/>
        <v>81896.558290598216</v>
      </c>
    </row>
    <row r="15" spans="1:10" s="236" customFormat="1">
      <c r="A15" s="214">
        <v>2</v>
      </c>
      <c r="B15" s="223" t="s">
        <v>236</v>
      </c>
      <c r="C15" s="232" t="s">
        <v>237</v>
      </c>
      <c r="D15" s="233" t="s">
        <v>64</v>
      </c>
      <c r="E15" s="218">
        <f t="shared" si="1"/>
        <v>465705.93216239312</v>
      </c>
      <c r="F15" s="234"/>
      <c r="G15" s="235"/>
      <c r="H15" s="221">
        <v>465705.93216239312</v>
      </c>
      <c r="I15" s="221">
        <v>509244.41778846155</v>
      </c>
      <c r="J15" s="221">
        <f t="shared" si="2"/>
        <v>-43538.485626068432</v>
      </c>
    </row>
    <row r="16" spans="1:10" hidden="1">
      <c r="A16" s="214">
        <f t="shared" si="0"/>
        <v>3</v>
      </c>
      <c r="B16" s="223" t="s">
        <v>238</v>
      </c>
      <c r="C16" s="224" t="s">
        <v>239</v>
      </c>
      <c r="D16" s="225" t="s">
        <v>64</v>
      </c>
      <c r="E16" s="218">
        <f t="shared" si="1"/>
        <v>366968.99324825173</v>
      </c>
      <c r="F16" s="219"/>
      <c r="G16" s="220">
        <v>264766.74937062938</v>
      </c>
      <c r="H16" s="221">
        <v>366968.99324825173</v>
      </c>
      <c r="I16" s="221">
        <v>264766.74937062938</v>
      </c>
      <c r="J16" s="221">
        <f t="shared" si="2"/>
        <v>102202.24387762236</v>
      </c>
    </row>
    <row r="17" spans="1:10" hidden="1">
      <c r="A17" s="214">
        <f t="shared" si="0"/>
        <v>4</v>
      </c>
      <c r="B17" s="223" t="s">
        <v>240</v>
      </c>
      <c r="C17" s="224" t="s">
        <v>241</v>
      </c>
      <c r="D17" s="225" t="s">
        <v>64</v>
      </c>
      <c r="E17" s="218">
        <f t="shared" si="1"/>
        <v>3460125.9433247866</v>
      </c>
      <c r="F17" s="219"/>
      <c r="G17" s="220">
        <v>3184322.8413675218</v>
      </c>
      <c r="H17" s="221">
        <v>3460125.9433247866</v>
      </c>
      <c r="I17" s="221">
        <v>3184322.8413675218</v>
      </c>
      <c r="J17" s="221">
        <f t="shared" si="2"/>
        <v>275803.10195726482</v>
      </c>
    </row>
    <row r="18" spans="1:10" hidden="1">
      <c r="A18" s="214">
        <f t="shared" si="0"/>
        <v>5</v>
      </c>
      <c r="B18" s="223" t="s">
        <v>242</v>
      </c>
      <c r="C18" s="237" t="s">
        <v>243</v>
      </c>
      <c r="D18" s="238" t="s">
        <v>64</v>
      </c>
      <c r="E18" s="218">
        <f t="shared" si="1"/>
        <v>1336147.2251748252</v>
      </c>
      <c r="F18" s="219"/>
      <c r="G18" s="220">
        <v>1493680.4260489512</v>
      </c>
      <c r="H18" s="221">
        <v>1336147.2251748252</v>
      </c>
      <c r="I18" s="221">
        <v>1493680.4260489512</v>
      </c>
      <c r="J18" s="221">
        <f t="shared" si="2"/>
        <v>-157533.20087412605</v>
      </c>
    </row>
    <row r="19" spans="1:10" hidden="1">
      <c r="A19" s="214">
        <f t="shared" si="0"/>
        <v>6</v>
      </c>
      <c r="B19" s="223" t="s">
        <v>244</v>
      </c>
      <c r="C19" s="216" t="s">
        <v>245</v>
      </c>
      <c r="D19" s="225" t="s">
        <v>64</v>
      </c>
      <c r="E19" s="218">
        <f t="shared" si="1"/>
        <v>2500502.5646853149</v>
      </c>
      <c r="F19" s="219"/>
      <c r="G19" s="220">
        <v>2846278.7486013984</v>
      </c>
      <c r="H19" s="221">
        <v>2500502.5646853149</v>
      </c>
      <c r="I19" s="221">
        <v>2846278.7486013984</v>
      </c>
      <c r="J19" s="221">
        <f t="shared" si="2"/>
        <v>-345776.18391608354</v>
      </c>
    </row>
    <row r="20" spans="1:10" hidden="1">
      <c r="A20" s="214">
        <f t="shared" si="0"/>
        <v>7</v>
      </c>
      <c r="B20" s="223" t="s">
        <v>246</v>
      </c>
      <c r="C20" s="216" t="s">
        <v>247</v>
      </c>
      <c r="D20" s="225" t="s">
        <v>64</v>
      </c>
      <c r="E20" s="218">
        <f t="shared" si="1"/>
        <v>357702.4748846154</v>
      </c>
      <c r="F20" s="219"/>
      <c r="G20" s="220">
        <v>308854.33446153847</v>
      </c>
      <c r="H20" s="221">
        <v>357702.4748846154</v>
      </c>
      <c r="I20" s="221">
        <v>308854.33446153847</v>
      </c>
      <c r="J20" s="221">
        <f t="shared" si="2"/>
        <v>48848.140423076926</v>
      </c>
    </row>
    <row r="21" spans="1:10" hidden="1">
      <c r="A21" s="214">
        <f t="shared" si="0"/>
        <v>8</v>
      </c>
      <c r="B21" s="223" t="s">
        <v>248</v>
      </c>
      <c r="C21" s="239" t="s">
        <v>249</v>
      </c>
      <c r="D21" s="240" t="s">
        <v>64</v>
      </c>
      <c r="E21" s="218">
        <f t="shared" si="1"/>
        <v>2970916.9363636365</v>
      </c>
      <c r="F21" s="219"/>
      <c r="G21" s="220">
        <v>2589107.9727272731</v>
      </c>
      <c r="H21" s="221">
        <v>2970916.9363636365</v>
      </c>
      <c r="I21" s="221">
        <v>2589107.9727272731</v>
      </c>
      <c r="J21" s="221">
        <f t="shared" si="2"/>
        <v>381808.96363636339</v>
      </c>
    </row>
    <row r="22" spans="1:10" ht="18" hidden="1" customHeight="1">
      <c r="A22" s="214">
        <f t="shared" si="0"/>
        <v>9</v>
      </c>
      <c r="B22" s="223" t="s">
        <v>250</v>
      </c>
      <c r="C22" s="216" t="s">
        <v>251</v>
      </c>
      <c r="D22" s="240" t="s">
        <v>64</v>
      </c>
      <c r="E22" s="218">
        <f t="shared" si="1"/>
        <v>361337.64803678927</v>
      </c>
      <c r="F22" s="219"/>
      <c r="G22" s="220">
        <v>308969.63585284282</v>
      </c>
      <c r="H22" s="221">
        <v>361337.64803678927</v>
      </c>
      <c r="I22" s="221">
        <v>308969.63585284282</v>
      </c>
      <c r="J22" s="221">
        <f t="shared" si="2"/>
        <v>52368.012183946441</v>
      </c>
    </row>
    <row r="23" spans="1:10" ht="18" hidden="1" customHeight="1">
      <c r="A23" s="214">
        <f t="shared" si="0"/>
        <v>10</v>
      </c>
      <c r="B23" s="223" t="s">
        <v>252</v>
      </c>
      <c r="C23" s="241" t="s">
        <v>253</v>
      </c>
      <c r="D23" s="242" t="s">
        <v>64</v>
      </c>
      <c r="E23" s="218">
        <f t="shared" si="1"/>
        <v>341717.62240635452</v>
      </c>
      <c r="F23" s="219"/>
      <c r="G23" s="220">
        <v>291111.33637458197</v>
      </c>
      <c r="H23" s="221">
        <v>341717.62240635452</v>
      </c>
      <c r="I23" s="221">
        <v>291111.33637458197</v>
      </c>
      <c r="J23" s="221">
        <f t="shared" si="2"/>
        <v>50606.286031772557</v>
      </c>
    </row>
    <row r="24" spans="1:10" hidden="1">
      <c r="A24" s="214">
        <f t="shared" si="0"/>
        <v>11</v>
      </c>
      <c r="B24" s="223" t="s">
        <v>254</v>
      </c>
      <c r="C24" s="216" t="s">
        <v>255</v>
      </c>
      <c r="D24" s="225" t="s">
        <v>64</v>
      </c>
      <c r="E24" s="218">
        <f t="shared" si="1"/>
        <v>330472.39316239313</v>
      </c>
      <c r="F24" s="219"/>
      <c r="G24" s="220">
        <v>651860.12663247879</v>
      </c>
      <c r="H24" s="221">
        <v>330472.39316239313</v>
      </c>
      <c r="I24" s="221">
        <v>651860.12663247879</v>
      </c>
      <c r="J24" s="221">
        <f t="shared" si="2"/>
        <v>-321387.73347008566</v>
      </c>
    </row>
    <row r="25" spans="1:10" hidden="1">
      <c r="A25" s="214">
        <f t="shared" si="0"/>
        <v>12</v>
      </c>
      <c r="B25" s="223" t="s">
        <v>256</v>
      </c>
      <c r="C25" s="224" t="s">
        <v>257</v>
      </c>
      <c r="D25" s="225" t="s">
        <v>64</v>
      </c>
      <c r="E25" s="218">
        <f t="shared" si="1"/>
        <v>308623.01447157189</v>
      </c>
      <c r="F25" s="219"/>
      <c r="G25" s="220">
        <v>259948.49651371239</v>
      </c>
      <c r="H25" s="221">
        <v>308623.01447157189</v>
      </c>
      <c r="I25" s="221">
        <v>259948.49651371239</v>
      </c>
      <c r="J25" s="221">
        <f t="shared" si="2"/>
        <v>48674.517957859498</v>
      </c>
    </row>
    <row r="26" spans="1:10" hidden="1">
      <c r="A26" s="214">
        <f t="shared" si="0"/>
        <v>13</v>
      </c>
      <c r="B26" s="223" t="s">
        <v>258</v>
      </c>
      <c r="C26" s="224" t="s">
        <v>259</v>
      </c>
      <c r="D26" s="225" t="s">
        <v>64</v>
      </c>
      <c r="E26" s="218">
        <f t="shared" si="1"/>
        <v>329696.82015734265</v>
      </c>
      <c r="F26" s="219"/>
      <c r="G26" s="220">
        <v>282079.16784335667</v>
      </c>
      <c r="H26" s="221">
        <v>329696.82015734265</v>
      </c>
      <c r="I26" s="221">
        <v>282079.16784335667</v>
      </c>
      <c r="J26" s="221">
        <f t="shared" si="2"/>
        <v>47617.652313985978</v>
      </c>
    </row>
    <row r="27" spans="1:10" hidden="1">
      <c r="A27" s="214">
        <f t="shared" si="0"/>
        <v>14</v>
      </c>
      <c r="B27" s="223" t="s">
        <v>260</v>
      </c>
      <c r="C27" s="224" t="s">
        <v>261</v>
      </c>
      <c r="D27" s="225" t="s">
        <v>64</v>
      </c>
      <c r="E27" s="218">
        <f t="shared" si="1"/>
        <v>2007267.2192307692</v>
      </c>
      <c r="F27" s="219"/>
      <c r="G27" s="220">
        <v>2227377.9576923079</v>
      </c>
      <c r="H27" s="221">
        <v>2007267.2192307692</v>
      </c>
      <c r="I27" s="221">
        <v>2227377.9576923079</v>
      </c>
      <c r="J27" s="221">
        <f t="shared" si="2"/>
        <v>-220110.73846153868</v>
      </c>
    </row>
    <row r="28" spans="1:10" hidden="1">
      <c r="A28" s="214">
        <f t="shared" si="0"/>
        <v>15</v>
      </c>
      <c r="B28" s="223" t="s">
        <v>262</v>
      </c>
      <c r="C28" s="224" t="s">
        <v>263</v>
      </c>
      <c r="D28" s="225" t="s">
        <v>64</v>
      </c>
      <c r="E28" s="218">
        <f t="shared" si="1"/>
        <v>317077.72924825177</v>
      </c>
      <c r="F28" s="219"/>
      <c r="G28" s="220">
        <v>264766.74937062938</v>
      </c>
      <c r="H28" s="221">
        <v>317077.72924825177</v>
      </c>
      <c r="I28" s="221">
        <v>264766.74937062938</v>
      </c>
      <c r="J28" s="221">
        <f t="shared" si="2"/>
        <v>52310.979877622391</v>
      </c>
    </row>
    <row r="29" spans="1:10" hidden="1">
      <c r="A29" s="214">
        <f t="shared" si="0"/>
        <v>16</v>
      </c>
      <c r="B29" s="223" t="s">
        <v>264</v>
      </c>
      <c r="C29" s="243" t="s">
        <v>265</v>
      </c>
      <c r="D29" s="244" t="s">
        <v>64</v>
      </c>
      <c r="E29" s="218">
        <f t="shared" si="1"/>
        <v>321636.94871794869</v>
      </c>
      <c r="F29" s="219"/>
      <c r="G29" s="220">
        <v>276230.47179487179</v>
      </c>
      <c r="H29" s="221">
        <v>321636.94871794869</v>
      </c>
      <c r="I29" s="221">
        <v>276230.47179487179</v>
      </c>
      <c r="J29" s="221">
        <f t="shared" si="2"/>
        <v>45406.476923076902</v>
      </c>
    </row>
    <row r="30" spans="1:10" ht="31" hidden="1">
      <c r="A30" s="214"/>
      <c r="B30" s="223" t="s">
        <v>266</v>
      </c>
      <c r="C30" s="245" t="s">
        <v>267</v>
      </c>
      <c r="D30" s="246" t="s">
        <v>64</v>
      </c>
      <c r="E30" s="218">
        <f t="shared" si="1"/>
        <v>1701896.564102564</v>
      </c>
      <c r="F30" s="219"/>
      <c r="G30" s="220"/>
      <c r="H30" s="221">
        <v>1701896.564102564</v>
      </c>
      <c r="I30" s="221"/>
      <c r="J30" s="221"/>
    </row>
    <row r="31" spans="1:10" hidden="1">
      <c r="A31" s="214">
        <f>A29+1</f>
        <v>17</v>
      </c>
      <c r="B31" s="223" t="s">
        <v>268</v>
      </c>
      <c r="C31" s="247" t="s">
        <v>269</v>
      </c>
      <c r="D31" s="248" t="s">
        <v>64</v>
      </c>
      <c r="E31" s="218">
        <f t="shared" si="1"/>
        <v>351385.66588461539</v>
      </c>
      <c r="F31" s="219"/>
      <c r="G31" s="220">
        <v>322652.5260979021</v>
      </c>
      <c r="H31" s="221">
        <v>351385.66588461539</v>
      </c>
      <c r="I31" s="221">
        <v>322652.5260979021</v>
      </c>
      <c r="J31" s="221">
        <f t="shared" si="2"/>
        <v>28733.139786713291</v>
      </c>
    </row>
    <row r="32" spans="1:10" hidden="1">
      <c r="A32" s="214">
        <f t="shared" si="0"/>
        <v>18</v>
      </c>
      <c r="B32" s="223" t="s">
        <v>270</v>
      </c>
      <c r="C32" s="249" t="s">
        <v>271</v>
      </c>
      <c r="D32" s="248" t="s">
        <v>64</v>
      </c>
      <c r="E32" s="218">
        <f t="shared" si="1"/>
        <v>2095924.8055944056</v>
      </c>
      <c r="F32" s="219"/>
      <c r="G32" s="220">
        <v>2515226.6416083919</v>
      </c>
      <c r="H32" s="221">
        <v>2095924.8055944056</v>
      </c>
      <c r="I32" s="221">
        <v>2515226.6416083919</v>
      </c>
      <c r="J32" s="221">
        <f t="shared" si="2"/>
        <v>-419301.83601398626</v>
      </c>
    </row>
    <row r="33" spans="1:10" ht="20.25" hidden="1" customHeight="1">
      <c r="A33" s="214">
        <f t="shared" si="0"/>
        <v>19</v>
      </c>
      <c r="B33" s="223" t="s">
        <v>272</v>
      </c>
      <c r="C33" s="249" t="s">
        <v>273</v>
      </c>
      <c r="D33" s="248" t="s">
        <v>64</v>
      </c>
      <c r="E33" s="218">
        <f t="shared" si="1"/>
        <v>287477.47305128205</v>
      </c>
      <c r="F33" s="219"/>
      <c r="G33" s="220">
        <v>1168977.5948717948</v>
      </c>
      <c r="H33" s="221">
        <v>287477.47305128205</v>
      </c>
      <c r="I33" s="221">
        <v>1168977.5948717948</v>
      </c>
      <c r="J33" s="221">
        <f t="shared" si="2"/>
        <v>-881500.12182051269</v>
      </c>
    </row>
    <row r="34" spans="1:10" hidden="1">
      <c r="A34" s="214">
        <f t="shared" si="0"/>
        <v>20</v>
      </c>
      <c r="B34" s="250" t="s">
        <v>274</v>
      </c>
      <c r="C34" s="243" t="s">
        <v>275</v>
      </c>
      <c r="D34" s="248" t="s">
        <v>64</v>
      </c>
      <c r="E34" s="218">
        <f t="shared" si="1"/>
        <v>2794408.3237762237</v>
      </c>
      <c r="F34" s="219"/>
      <c r="G34" s="220">
        <f>[1]Trang_tính1!$Q$251</f>
        <v>0</v>
      </c>
      <c r="H34" s="221">
        <v>2794408.3237762237</v>
      </c>
      <c r="I34" s="221">
        <v>3231554.5174825182</v>
      </c>
      <c r="J34" s="221">
        <f t="shared" si="2"/>
        <v>-437146.19370629452</v>
      </c>
    </row>
    <row r="35" spans="1:10" s="203" customFormat="1" hidden="1">
      <c r="A35" s="214">
        <f t="shared" si="0"/>
        <v>21</v>
      </c>
      <c r="B35" s="223" t="s">
        <v>276</v>
      </c>
      <c r="C35" s="251" t="s">
        <v>277</v>
      </c>
      <c r="D35" s="248" t="s">
        <v>64</v>
      </c>
      <c r="E35" s="218">
        <f t="shared" si="1"/>
        <v>803443.56741258746</v>
      </c>
      <c r="F35" s="252"/>
      <c r="G35" s="253">
        <f>[1]Trang_tính1!$Q$146</f>
        <v>0</v>
      </c>
      <c r="H35" s="221">
        <v>803443.56741258746</v>
      </c>
      <c r="I35" s="221">
        <v>901549.16923076916</v>
      </c>
      <c r="J35" s="221">
        <f t="shared" si="2"/>
        <v>-98105.601818181691</v>
      </c>
    </row>
    <row r="36" spans="1:10" s="203" customFormat="1" hidden="1">
      <c r="A36" s="214">
        <f>A35+1</f>
        <v>22</v>
      </c>
      <c r="B36" s="254" t="s">
        <v>278</v>
      </c>
      <c r="C36" s="249" t="s">
        <v>279</v>
      </c>
      <c r="D36" s="248" t="s">
        <v>64</v>
      </c>
      <c r="E36" s="218">
        <f t="shared" si="1"/>
        <v>317880.75955128204</v>
      </c>
      <c r="F36" s="252"/>
      <c r="G36" s="255"/>
      <c r="H36" s="221">
        <v>317880.75955128204</v>
      </c>
      <c r="I36" s="221">
        <v>270635.88352820516</v>
      </c>
      <c r="J36" s="221">
        <f t="shared" si="2"/>
        <v>47244.876023076882</v>
      </c>
    </row>
    <row r="37" spans="1:10" s="203" customFormat="1" hidden="1">
      <c r="A37" s="214">
        <f t="shared" si="0"/>
        <v>23</v>
      </c>
      <c r="B37" s="223" t="s">
        <v>280</v>
      </c>
      <c r="C37" s="249" t="s">
        <v>281</v>
      </c>
      <c r="D37" s="248" t="s">
        <v>64</v>
      </c>
      <c r="E37" s="218">
        <f t="shared" si="1"/>
        <v>673103.76426923077</v>
      </c>
      <c r="F37" s="252"/>
      <c r="G37" s="255"/>
      <c r="H37" s="221">
        <v>673103.76426923077</v>
      </c>
      <c r="I37" s="221">
        <v>860686.60800000001</v>
      </c>
      <c r="J37" s="221">
        <f t="shared" si="2"/>
        <v>-187582.84373076924</v>
      </c>
    </row>
    <row r="38" spans="1:10" s="203" customFormat="1" hidden="1">
      <c r="A38" s="214">
        <f t="shared" si="0"/>
        <v>24</v>
      </c>
      <c r="B38" s="223" t="s">
        <v>282</v>
      </c>
      <c r="C38" s="243" t="s">
        <v>283</v>
      </c>
      <c r="D38" s="248" t="s">
        <v>64</v>
      </c>
      <c r="E38" s="218">
        <f t="shared" si="1"/>
        <v>328291.4283131868</v>
      </c>
      <c r="F38" s="252"/>
      <c r="G38" s="255"/>
      <c r="H38" s="221">
        <v>328291.4283131868</v>
      </c>
      <c r="I38" s="221">
        <v>519927.00439560442</v>
      </c>
      <c r="J38" s="221">
        <f t="shared" si="2"/>
        <v>-191635.57608241763</v>
      </c>
    </row>
    <row r="39" spans="1:10" s="203" customFormat="1" hidden="1">
      <c r="A39" s="214">
        <f t="shared" si="0"/>
        <v>25</v>
      </c>
      <c r="B39" s="223" t="s">
        <v>284</v>
      </c>
      <c r="C39" s="251" t="s">
        <v>285</v>
      </c>
      <c r="D39" s="248" t="s">
        <v>64</v>
      </c>
      <c r="E39" s="218">
        <f t="shared" si="1"/>
        <v>298185.60133461538</v>
      </c>
      <c r="F39" s="252"/>
      <c r="G39" s="255"/>
      <c r="H39" s="221">
        <v>298185.60133461538</v>
      </c>
      <c r="I39" s="221">
        <v>252419.74886153848</v>
      </c>
      <c r="J39" s="221">
        <f t="shared" si="2"/>
        <v>45765.852473076899</v>
      </c>
    </row>
    <row r="40" spans="1:10" s="203" customFormat="1" ht="16.5" hidden="1">
      <c r="A40" s="214">
        <f t="shared" si="0"/>
        <v>26</v>
      </c>
      <c r="B40" s="223" t="s">
        <v>286</v>
      </c>
      <c r="C40" s="256" t="s">
        <v>287</v>
      </c>
      <c r="D40" s="257" t="s">
        <v>64</v>
      </c>
      <c r="E40" s="218">
        <f t="shared" si="1"/>
        <v>3291679.0772727272</v>
      </c>
      <c r="F40" s="252"/>
      <c r="G40" s="255"/>
      <c r="H40" s="221">
        <v>3291679.0772727272</v>
      </c>
      <c r="I40" s="221">
        <v>3988599.5</v>
      </c>
      <c r="J40" s="221">
        <f t="shared" si="2"/>
        <v>-696920.42272727285</v>
      </c>
    </row>
    <row r="41" spans="1:10" s="203" customFormat="1" ht="16.5" hidden="1">
      <c r="A41" s="214">
        <f t="shared" si="0"/>
        <v>27</v>
      </c>
      <c r="B41" s="223" t="s">
        <v>288</v>
      </c>
      <c r="C41" s="258" t="s">
        <v>289</v>
      </c>
      <c r="D41" s="259" t="s">
        <v>64</v>
      </c>
      <c r="E41" s="218">
        <f t="shared" si="1"/>
        <v>314202.11124825175</v>
      </c>
      <c r="F41" s="252"/>
      <c r="G41" s="255"/>
      <c r="H41" s="221">
        <v>314202.11124825175</v>
      </c>
      <c r="I41" s="221">
        <v>264766.74937062938</v>
      </c>
      <c r="J41" s="221">
        <f t="shared" si="2"/>
        <v>49435.361877622374</v>
      </c>
    </row>
    <row r="42" spans="1:10" s="268" customFormat="1" ht="31" hidden="1">
      <c r="A42" s="260">
        <f t="shared" si="0"/>
        <v>28</v>
      </c>
      <c r="B42" s="261">
        <v>417</v>
      </c>
      <c r="C42" s="262" t="s">
        <v>290</v>
      </c>
      <c r="D42" s="263" t="s">
        <v>64</v>
      </c>
      <c r="E42" s="264">
        <f t="shared" si="1"/>
        <v>1751672.0674825176</v>
      </c>
      <c r="F42" s="265"/>
      <c r="G42" s="266"/>
      <c r="H42" s="267">
        <v>1751672.0674825176</v>
      </c>
      <c r="I42" s="267">
        <v>2022336.2465034965</v>
      </c>
      <c r="J42" s="267">
        <f t="shared" si="2"/>
        <v>-270664.17902097898</v>
      </c>
    </row>
    <row r="43" spans="1:10" s="203" customFormat="1" ht="28" hidden="1">
      <c r="A43" s="214">
        <f t="shared" si="0"/>
        <v>29</v>
      </c>
      <c r="B43" s="223" t="s">
        <v>291</v>
      </c>
      <c r="C43" s="269" t="s">
        <v>292</v>
      </c>
      <c r="D43" s="238" t="s">
        <v>64</v>
      </c>
      <c r="E43" s="218">
        <f t="shared" si="1"/>
        <v>549367.54720279714</v>
      </c>
      <c r="F43" s="252"/>
      <c r="G43" s="255"/>
      <c r="H43" s="221">
        <v>549367.54720279714</v>
      </c>
      <c r="I43" s="221"/>
      <c r="J43" s="221"/>
    </row>
    <row r="44" spans="1:10" s="203" customFormat="1" ht="28" hidden="1">
      <c r="A44" s="214">
        <f t="shared" si="0"/>
        <v>30</v>
      </c>
      <c r="B44" s="223" t="s">
        <v>293</v>
      </c>
      <c r="C44" s="269" t="s">
        <v>294</v>
      </c>
      <c r="D44" s="238" t="s">
        <v>64</v>
      </c>
      <c r="E44" s="218">
        <f t="shared" si="1"/>
        <v>3743993.7980186483</v>
      </c>
      <c r="F44" s="252"/>
      <c r="G44" s="255"/>
      <c r="H44" s="221">
        <v>3743993.7980186483</v>
      </c>
      <c r="I44" s="221"/>
      <c r="J44" s="221"/>
    </row>
    <row r="45" spans="1:10" s="203" customFormat="1" ht="28" hidden="1">
      <c r="A45" s="214"/>
      <c r="B45" s="223" t="s">
        <v>295</v>
      </c>
      <c r="C45" s="269" t="s">
        <v>296</v>
      </c>
      <c r="D45" s="238" t="s">
        <v>64</v>
      </c>
      <c r="E45" s="218">
        <f t="shared" si="1"/>
        <v>2277462.9765734263</v>
      </c>
      <c r="F45" s="252"/>
      <c r="G45" s="255"/>
      <c r="H45" s="221">
        <v>2277462.9765734263</v>
      </c>
      <c r="I45" s="221"/>
      <c r="J45" s="221"/>
    </row>
    <row r="46" spans="1:10" s="203" customFormat="1" ht="16.5" hidden="1">
      <c r="A46" s="214">
        <f>A42+1</f>
        <v>29</v>
      </c>
      <c r="B46" s="223" t="s">
        <v>297</v>
      </c>
      <c r="C46" s="270" t="s">
        <v>298</v>
      </c>
      <c r="D46" s="242" t="s">
        <v>64</v>
      </c>
      <c r="E46" s="218">
        <f t="shared" si="1"/>
        <v>2487950.9979020981</v>
      </c>
      <c r="F46" s="252"/>
      <c r="G46" s="255"/>
      <c r="H46" s="221">
        <v>2487950.9979020981</v>
      </c>
      <c r="I46" s="221">
        <v>2705303.1167832171</v>
      </c>
      <c r="J46" s="221">
        <f t="shared" si="2"/>
        <v>-217352.11888111895</v>
      </c>
    </row>
    <row r="47" spans="1:10" s="203" customFormat="1" ht="16.5" hidden="1">
      <c r="A47" s="214">
        <f t="shared" si="0"/>
        <v>30</v>
      </c>
      <c r="B47" s="223" t="s">
        <v>299</v>
      </c>
      <c r="C47" s="270" t="s">
        <v>300</v>
      </c>
      <c r="D47" s="242" t="s">
        <v>64</v>
      </c>
      <c r="E47" s="218">
        <f>H47</f>
        <v>1547031.4062937065</v>
      </c>
      <c r="F47" s="252"/>
      <c r="G47" s="255"/>
      <c r="H47" s="221">
        <v>1547031.4062937065</v>
      </c>
      <c r="I47" s="221">
        <v>2705303.1167832171</v>
      </c>
      <c r="J47" s="221">
        <f>H47-I47</f>
        <v>-1158271.7104895106</v>
      </c>
    </row>
    <row r="48" spans="1:10" s="203" customFormat="1" ht="16.5" hidden="1">
      <c r="A48" s="214">
        <f t="shared" si="0"/>
        <v>31</v>
      </c>
      <c r="B48" s="223" t="s">
        <v>301</v>
      </c>
      <c r="C48" s="270" t="s">
        <v>302</v>
      </c>
      <c r="D48" s="242" t="s">
        <v>64</v>
      </c>
      <c r="E48" s="218">
        <f>H48</f>
        <v>1058498.0874125874</v>
      </c>
      <c r="F48" s="252"/>
      <c r="G48" s="255"/>
      <c r="H48" s="221">
        <v>1058498.0874125874</v>
      </c>
      <c r="I48" s="221">
        <v>2705303.1167832171</v>
      </c>
      <c r="J48" s="221">
        <f>H48-I48</f>
        <v>-1646805.0293706297</v>
      </c>
    </row>
    <row r="49" spans="1:10" s="203" customFormat="1" ht="16.5" hidden="1">
      <c r="A49" s="295"/>
      <c r="B49" s="301" t="s">
        <v>310</v>
      </c>
      <c r="C49" s="296" t="s">
        <v>309</v>
      </c>
      <c r="D49" s="297" t="s">
        <v>311</v>
      </c>
      <c r="E49" s="298">
        <v>256963</v>
      </c>
      <c r="F49" s="299"/>
      <c r="G49" s="255"/>
      <c r="H49" s="221"/>
      <c r="I49" s="300"/>
      <c r="J49" s="300"/>
    </row>
    <row r="50" spans="1:10" s="203" customFormat="1" ht="50" hidden="1" thickBot="1">
      <c r="A50" s="271"/>
      <c r="B50" s="272" t="s">
        <v>303</v>
      </c>
      <c r="C50" s="273" t="s">
        <v>304</v>
      </c>
      <c r="D50" s="274" t="s">
        <v>64</v>
      </c>
      <c r="E50" s="275">
        <f t="shared" si="1"/>
        <v>1047172.5088911088</v>
      </c>
      <c r="F50" s="276"/>
      <c r="G50" s="255"/>
      <c r="H50" s="221">
        <v>1047172.5088911088</v>
      </c>
      <c r="I50" s="205"/>
      <c r="J50" s="205"/>
    </row>
    <row r="51" spans="1:10" s="279" customFormat="1" ht="18">
      <c r="A51" s="1046" t="s">
        <v>6</v>
      </c>
      <c r="B51" s="1046"/>
      <c r="C51" s="1046"/>
      <c r="D51" s="277"/>
      <c r="E51" s="278"/>
      <c r="F51" s="277"/>
      <c r="H51" s="280"/>
      <c r="I51" s="280"/>
      <c r="J51" s="280"/>
    </row>
    <row r="52" spans="1:10" s="281" customFormat="1" ht="15.75" customHeight="1">
      <c r="A52" s="1047" t="s">
        <v>305</v>
      </c>
      <c r="B52" s="1047"/>
      <c r="C52" s="1047"/>
      <c r="D52" s="1047"/>
      <c r="E52" s="1047"/>
      <c r="F52" s="1047"/>
      <c r="H52" s="282"/>
      <c r="I52" s="282"/>
      <c r="J52" s="282"/>
    </row>
    <row r="53" spans="1:10" s="281" customFormat="1" ht="34.5" customHeight="1">
      <c r="A53" s="1048" t="s">
        <v>306</v>
      </c>
      <c r="B53" s="1048"/>
      <c r="C53" s="1048"/>
      <c r="D53" s="1048"/>
      <c r="E53" s="1048"/>
      <c r="F53" s="1048"/>
      <c r="H53" s="282"/>
      <c r="I53" s="282"/>
      <c r="J53" s="282"/>
    </row>
    <row r="54" spans="1:10" s="281" customFormat="1" ht="50.25" customHeight="1">
      <c r="A54" s="1042" t="s">
        <v>307</v>
      </c>
      <c r="B54" s="1042"/>
      <c r="C54" s="1042"/>
      <c r="D54" s="1042"/>
      <c r="E54" s="1042"/>
      <c r="F54" s="1042"/>
      <c r="H54" s="282"/>
      <c r="I54" s="282"/>
      <c r="J54" s="282"/>
    </row>
    <row r="55" spans="1:10" s="283" customFormat="1" ht="17.25" customHeight="1">
      <c r="A55" s="1042" t="s">
        <v>2350</v>
      </c>
      <c r="B55" s="1042"/>
      <c r="C55" s="1042"/>
      <c r="D55" s="1042"/>
      <c r="E55" s="1042"/>
      <c r="F55" s="1042"/>
      <c r="H55" s="284"/>
      <c r="I55" s="284"/>
      <c r="J55" s="284"/>
    </row>
    <row r="56" spans="1:10" s="283" customFormat="1" ht="17.25" customHeight="1">
      <c r="A56" s="1042" t="s">
        <v>308</v>
      </c>
      <c r="B56" s="1042"/>
      <c r="C56" s="1042"/>
      <c r="D56" s="1042"/>
      <c r="E56" s="1042"/>
      <c r="F56" s="1042"/>
      <c r="H56" s="284">
        <v>256963</v>
      </c>
      <c r="I56" s="284"/>
      <c r="J56" s="284"/>
    </row>
    <row r="57" spans="1:10" s="287" customFormat="1">
      <c r="A57" s="285"/>
      <c r="B57" s="286"/>
      <c r="D57" s="285"/>
      <c r="E57" s="288"/>
      <c r="F57" s="289"/>
      <c r="H57" s="289"/>
      <c r="I57" s="289"/>
      <c r="J57" s="289"/>
    </row>
    <row r="58" spans="1:10" s="203" customFormat="1">
      <c r="A58" s="201"/>
      <c r="B58" s="202"/>
      <c r="E58" s="290"/>
      <c r="F58" s="205"/>
      <c r="G58" s="204"/>
      <c r="H58" s="205"/>
      <c r="I58" s="205"/>
      <c r="J58" s="205"/>
    </row>
    <row r="59" spans="1:10" s="203" customFormat="1">
      <c r="A59" s="201"/>
      <c r="B59" s="202"/>
      <c r="E59" s="290"/>
      <c r="F59" s="205"/>
      <c r="G59" s="204"/>
      <c r="H59" s="205"/>
      <c r="I59" s="205"/>
      <c r="J59" s="205"/>
    </row>
    <row r="60" spans="1:10" s="203" customFormat="1">
      <c r="A60" s="201"/>
      <c r="B60" s="202"/>
      <c r="E60" s="290"/>
      <c r="F60" s="205"/>
      <c r="G60" s="204"/>
      <c r="H60" s="205"/>
      <c r="I60" s="205"/>
      <c r="J60" s="205"/>
    </row>
  </sheetData>
  <mergeCells count="9">
    <mergeCell ref="A56:F56"/>
    <mergeCell ref="A54:F54"/>
    <mergeCell ref="A1:F1"/>
    <mergeCell ref="A2:F2"/>
    <mergeCell ref="E3:F3"/>
    <mergeCell ref="A51:C51"/>
    <mergeCell ref="A52:F52"/>
    <mergeCell ref="A53:F53"/>
    <mergeCell ref="A55:F55"/>
  </mergeCells>
  <pageMargins left="0.7" right="0.35" top="0.49" bottom="0.75" header="0.3" footer="0.3"/>
  <pageSetup paperSize="9" scale="9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view="pageBreakPreview" zoomScaleNormal="100" zoomScaleSheetLayoutView="100" workbookViewId="0">
      <selection activeCell="D20" sqref="D20"/>
    </sheetView>
  </sheetViews>
  <sheetFormatPr defaultColWidth="6.58203125" defaultRowHeight="15.5"/>
  <cols>
    <col min="1" max="1" width="7" style="726" customWidth="1"/>
    <col min="2" max="2" width="36.75" style="726" customWidth="1"/>
    <col min="3" max="3" width="12" style="726" customWidth="1"/>
    <col min="4" max="4" width="28.25" style="726" customWidth="1"/>
    <col min="5" max="5" width="8.25" style="726" customWidth="1"/>
    <col min="6" max="6" width="12" style="726" bestFit="1" customWidth="1"/>
    <col min="7" max="7" width="12.25" style="780" customWidth="1"/>
    <col min="8" max="8" width="14" style="780" customWidth="1"/>
    <col min="9" max="9" width="12.25" style="781" hidden="1" customWidth="1"/>
    <col min="10" max="10" width="9" style="726" customWidth="1"/>
    <col min="11" max="11" width="12.83203125" style="725" hidden="1" customWidth="1"/>
    <col min="12" max="16" width="9" style="726" hidden="1" customWidth="1"/>
    <col min="17" max="28" width="9" style="726" customWidth="1"/>
    <col min="29" max="16384" width="6.58203125" style="726"/>
  </cols>
  <sheetData>
    <row r="1" spans="1:256">
      <c r="A1" s="1050" t="s">
        <v>2377</v>
      </c>
      <c r="B1" s="1051"/>
      <c r="C1" s="1051"/>
      <c r="D1" s="1051"/>
      <c r="E1" s="1051"/>
      <c r="F1" s="1051"/>
      <c r="G1" s="1051"/>
      <c r="H1" s="1051"/>
      <c r="I1" s="1051"/>
      <c r="J1" s="724"/>
    </row>
    <row r="2" spans="1:256">
      <c r="A2" s="1052" t="s">
        <v>2216</v>
      </c>
      <c r="B2" s="1053"/>
      <c r="C2" s="1053"/>
      <c r="D2" s="1053"/>
      <c r="E2" s="1053"/>
      <c r="F2" s="1053"/>
      <c r="G2" s="1053"/>
      <c r="H2" s="1053"/>
      <c r="I2" s="1053"/>
      <c r="J2" s="724"/>
    </row>
    <row r="3" spans="1:256">
      <c r="A3" s="1049" t="s">
        <v>2217</v>
      </c>
      <c r="B3" s="1049"/>
      <c r="C3" s="1049"/>
      <c r="D3" s="1049"/>
      <c r="E3" s="1049"/>
      <c r="F3" s="1049"/>
      <c r="G3" s="1049"/>
      <c r="H3" s="1049"/>
      <c r="I3" s="1049"/>
      <c r="J3" s="724"/>
    </row>
    <row r="4" spans="1:256">
      <c r="A4" s="1049" t="s">
        <v>2218</v>
      </c>
      <c r="B4" s="1049"/>
      <c r="C4" s="1049"/>
      <c r="D4" s="1049"/>
      <c r="E4" s="1049"/>
      <c r="F4" s="1049"/>
      <c r="G4" s="1049"/>
      <c r="H4" s="1049"/>
      <c r="I4" s="1049"/>
      <c r="J4" s="724"/>
    </row>
    <row r="5" spans="1:256" ht="28.5" customHeight="1">
      <c r="A5" s="1049" t="s">
        <v>2219</v>
      </c>
      <c r="B5" s="1049"/>
      <c r="C5" s="1049"/>
      <c r="D5" s="1049"/>
      <c r="E5" s="1049"/>
      <c r="F5" s="1049"/>
      <c r="G5" s="1049"/>
      <c r="H5" s="1049"/>
      <c r="I5" s="1049"/>
      <c r="J5" s="724"/>
    </row>
    <row r="6" spans="1:256">
      <c r="A6" s="1049" t="s">
        <v>2220</v>
      </c>
      <c r="B6" s="1049"/>
      <c r="C6" s="1049"/>
      <c r="D6" s="1049"/>
      <c r="E6" s="1049"/>
      <c r="F6" s="1049"/>
      <c r="G6" s="1049"/>
      <c r="H6" s="1049"/>
      <c r="I6" s="1049"/>
      <c r="J6" s="724"/>
    </row>
    <row r="7" spans="1:256">
      <c r="A7" s="1049" t="s">
        <v>2221</v>
      </c>
      <c r="B7" s="1049"/>
      <c r="C7" s="1049"/>
      <c r="D7" s="1049"/>
      <c r="E7" s="1049"/>
      <c r="F7" s="1049"/>
      <c r="G7" s="1049"/>
      <c r="H7" s="1049"/>
      <c r="I7" s="1049"/>
      <c r="J7" s="724"/>
    </row>
    <row r="8" spans="1:256">
      <c r="A8" s="727"/>
      <c r="B8" s="728"/>
      <c r="C8" s="724"/>
      <c r="D8" s="729"/>
      <c r="E8" s="727"/>
      <c r="F8" s="730"/>
      <c r="G8" s="731"/>
      <c r="H8" s="731"/>
      <c r="I8" s="732"/>
      <c r="J8" s="724"/>
    </row>
    <row r="9" spans="1:256">
      <c r="A9" s="1054" t="s">
        <v>2222</v>
      </c>
      <c r="B9" s="1056" t="s">
        <v>2223</v>
      </c>
      <c r="C9" s="1054" t="s">
        <v>2224</v>
      </c>
      <c r="D9" s="1054" t="s">
        <v>2225</v>
      </c>
      <c r="E9" s="1054" t="s">
        <v>3</v>
      </c>
      <c r="F9" s="1057" t="s">
        <v>2226</v>
      </c>
      <c r="G9" s="1058" t="s">
        <v>2227</v>
      </c>
      <c r="H9" s="1058" t="s">
        <v>2228</v>
      </c>
      <c r="I9" s="1058" t="s">
        <v>6</v>
      </c>
      <c r="J9" s="724"/>
    </row>
    <row r="10" spans="1:256" ht="16" thickBot="1">
      <c r="A10" s="1055"/>
      <c r="B10" s="1055"/>
      <c r="C10" s="1055"/>
      <c r="D10" s="1055"/>
      <c r="E10" s="1056"/>
      <c r="F10" s="1057"/>
      <c r="G10" s="1058"/>
      <c r="H10" s="1058"/>
      <c r="I10" s="1055"/>
      <c r="J10" s="724"/>
      <c r="M10" s="733">
        <v>2</v>
      </c>
      <c r="N10" s="734" t="s">
        <v>2229</v>
      </c>
      <c r="O10" s="735" t="s">
        <v>2230</v>
      </c>
      <c r="P10" s="736">
        <v>190.5</v>
      </c>
    </row>
    <row r="11" spans="1:256" ht="16" thickBot="1">
      <c r="A11" s="737">
        <v>1</v>
      </c>
      <c r="B11" s="738" t="s">
        <v>2380</v>
      </c>
      <c r="C11" s="739"/>
      <c r="D11" s="739"/>
      <c r="E11" s="739"/>
      <c r="F11" s="740"/>
      <c r="G11" s="741"/>
      <c r="H11" s="741"/>
      <c r="I11" s="742"/>
      <c r="J11" s="724"/>
      <c r="M11" s="733">
        <v>3</v>
      </c>
      <c r="N11" s="734" t="s">
        <v>2231</v>
      </c>
      <c r="O11" s="735" t="s">
        <v>2232</v>
      </c>
      <c r="P11" s="736">
        <v>278.54000000000002</v>
      </c>
    </row>
    <row r="12" spans="1:256" ht="31.5" thickBot="1">
      <c r="A12" s="737"/>
      <c r="B12" s="738" t="s">
        <v>2233</v>
      </c>
      <c r="C12" s="743" t="s">
        <v>2234</v>
      </c>
      <c r="D12" s="737"/>
      <c r="E12" s="739" t="s">
        <v>2235</v>
      </c>
      <c r="F12" s="744">
        <v>720</v>
      </c>
      <c r="G12" s="745"/>
      <c r="H12" s="745"/>
      <c r="I12" s="746"/>
      <c r="J12" s="724"/>
      <c r="M12" s="733">
        <v>4</v>
      </c>
      <c r="N12" s="734" t="s">
        <v>2236</v>
      </c>
      <c r="O12" s="735" t="s">
        <v>2232</v>
      </c>
      <c r="P12" s="747">
        <v>1061.32</v>
      </c>
    </row>
    <row r="13" spans="1:256" ht="16" thickBot="1">
      <c r="A13" s="748"/>
      <c r="B13" s="738" t="s">
        <v>2237</v>
      </c>
      <c r="C13" s="748"/>
      <c r="D13" s="748"/>
      <c r="E13" s="739" t="s">
        <v>2235</v>
      </c>
      <c r="F13" s="749">
        <v>0</v>
      </c>
      <c r="G13" s="750"/>
      <c r="H13" s="750"/>
      <c r="I13" s="746"/>
      <c r="J13" s="751"/>
      <c r="K13" s="752"/>
      <c r="L13" s="753"/>
      <c r="M13" s="733">
        <v>5</v>
      </c>
      <c r="N13" s="734" t="s">
        <v>2238</v>
      </c>
      <c r="O13" s="735" t="s">
        <v>2232</v>
      </c>
      <c r="P13" s="736">
        <v>297.8</v>
      </c>
      <c r="Q13" s="753"/>
      <c r="R13" s="753"/>
      <c r="S13" s="753"/>
      <c r="T13" s="753"/>
      <c r="U13" s="753"/>
      <c r="V13" s="753"/>
      <c r="W13" s="753"/>
      <c r="X13" s="753"/>
      <c r="Y13" s="753"/>
      <c r="Z13" s="753"/>
      <c r="AA13" s="753"/>
      <c r="AB13" s="753"/>
      <c r="AC13" s="753"/>
      <c r="AD13" s="753"/>
      <c r="AE13" s="753"/>
      <c r="AF13" s="753"/>
      <c r="AG13" s="753"/>
      <c r="AH13" s="753"/>
      <c r="AI13" s="753"/>
      <c r="AJ13" s="753"/>
      <c r="AK13" s="753"/>
      <c r="AL13" s="753"/>
      <c r="AM13" s="753"/>
      <c r="AN13" s="753"/>
      <c r="AO13" s="753"/>
      <c r="AP13" s="753"/>
      <c r="AQ13" s="753"/>
      <c r="AR13" s="753"/>
      <c r="AS13" s="753"/>
      <c r="AT13" s="753"/>
      <c r="AU13" s="753"/>
      <c r="AV13" s="753"/>
      <c r="AW13" s="753"/>
      <c r="AX13" s="753"/>
      <c r="AY13" s="753"/>
      <c r="AZ13" s="753"/>
      <c r="BA13" s="753"/>
      <c r="BB13" s="753"/>
      <c r="BC13" s="753"/>
      <c r="BD13" s="753"/>
      <c r="BE13" s="753"/>
      <c r="BF13" s="753"/>
      <c r="BG13" s="753"/>
      <c r="BH13" s="753"/>
      <c r="BI13" s="753"/>
      <c r="BJ13" s="753"/>
      <c r="BK13" s="753"/>
      <c r="BL13" s="753"/>
      <c r="BM13" s="753"/>
      <c r="BN13" s="753"/>
      <c r="BO13" s="753"/>
      <c r="BP13" s="753"/>
      <c r="BQ13" s="753"/>
      <c r="BR13" s="753"/>
      <c r="BS13" s="753"/>
      <c r="BT13" s="753"/>
      <c r="BU13" s="753"/>
      <c r="BV13" s="753"/>
      <c r="BW13" s="753"/>
      <c r="BX13" s="753"/>
      <c r="BY13" s="753"/>
      <c r="BZ13" s="753"/>
      <c r="CA13" s="753"/>
      <c r="CB13" s="753"/>
      <c r="CC13" s="753"/>
      <c r="CD13" s="753"/>
      <c r="CE13" s="753"/>
      <c r="CF13" s="753"/>
      <c r="CG13" s="753"/>
      <c r="CH13" s="753"/>
      <c r="CI13" s="753"/>
      <c r="CJ13" s="753"/>
      <c r="CK13" s="753"/>
      <c r="CL13" s="753"/>
      <c r="CM13" s="753"/>
      <c r="CN13" s="753"/>
      <c r="CO13" s="753"/>
      <c r="CP13" s="753"/>
      <c r="CQ13" s="753"/>
      <c r="CR13" s="753"/>
      <c r="CS13" s="753"/>
      <c r="CT13" s="753"/>
      <c r="CU13" s="753"/>
      <c r="CV13" s="753"/>
      <c r="CW13" s="753"/>
      <c r="CX13" s="753"/>
      <c r="CY13" s="753"/>
      <c r="CZ13" s="753"/>
      <c r="DA13" s="753"/>
      <c r="DB13" s="753"/>
      <c r="DC13" s="753"/>
      <c r="DD13" s="753"/>
      <c r="DE13" s="753"/>
      <c r="DF13" s="753"/>
      <c r="DG13" s="753"/>
      <c r="DH13" s="753"/>
      <c r="DI13" s="753"/>
      <c r="DJ13" s="753"/>
      <c r="DK13" s="753"/>
      <c r="DL13" s="753"/>
      <c r="DM13" s="753"/>
      <c r="DN13" s="753"/>
      <c r="DO13" s="753"/>
      <c r="DP13" s="753"/>
      <c r="DQ13" s="753"/>
      <c r="DR13" s="753"/>
      <c r="DS13" s="753"/>
      <c r="DT13" s="753"/>
      <c r="DU13" s="753"/>
      <c r="DV13" s="753"/>
      <c r="DW13" s="753"/>
      <c r="DX13" s="753"/>
      <c r="DY13" s="753"/>
      <c r="DZ13" s="753"/>
      <c r="EA13" s="753"/>
      <c r="EB13" s="753"/>
      <c r="EC13" s="753"/>
      <c r="ED13" s="753"/>
      <c r="EE13" s="753"/>
      <c r="EF13" s="753"/>
      <c r="EG13" s="753"/>
      <c r="EH13" s="753"/>
      <c r="EI13" s="753"/>
      <c r="EJ13" s="753"/>
      <c r="EK13" s="753"/>
      <c r="EL13" s="753"/>
      <c r="EM13" s="753"/>
      <c r="EN13" s="753"/>
      <c r="EO13" s="753"/>
      <c r="EP13" s="753"/>
      <c r="EQ13" s="753"/>
      <c r="ER13" s="753"/>
      <c r="ES13" s="753"/>
      <c r="ET13" s="753"/>
      <c r="EU13" s="753"/>
      <c r="EV13" s="753"/>
      <c r="EW13" s="753"/>
      <c r="EX13" s="753"/>
      <c r="EY13" s="753"/>
      <c r="EZ13" s="753"/>
      <c r="FA13" s="753"/>
      <c r="FB13" s="753"/>
      <c r="FC13" s="753"/>
      <c r="FD13" s="753"/>
      <c r="FE13" s="753"/>
      <c r="FF13" s="753"/>
      <c r="FG13" s="753"/>
      <c r="FH13" s="753"/>
      <c r="FI13" s="753"/>
      <c r="FJ13" s="753"/>
      <c r="FK13" s="753"/>
      <c r="FL13" s="753"/>
      <c r="FM13" s="753"/>
      <c r="FN13" s="753"/>
      <c r="FO13" s="753"/>
      <c r="FP13" s="753"/>
      <c r="FQ13" s="753"/>
      <c r="FR13" s="753"/>
      <c r="FS13" s="753"/>
      <c r="FT13" s="753"/>
      <c r="FU13" s="753"/>
      <c r="FV13" s="753"/>
      <c r="FW13" s="753"/>
      <c r="FX13" s="753"/>
      <c r="FY13" s="753"/>
      <c r="FZ13" s="753"/>
      <c r="GA13" s="753"/>
      <c r="GB13" s="753"/>
      <c r="GC13" s="753"/>
      <c r="GD13" s="753"/>
      <c r="GE13" s="753"/>
      <c r="GF13" s="753"/>
      <c r="GG13" s="753"/>
      <c r="GH13" s="753"/>
      <c r="GI13" s="753"/>
      <c r="GJ13" s="753"/>
      <c r="GK13" s="753"/>
      <c r="GL13" s="753"/>
      <c r="GM13" s="753"/>
      <c r="GN13" s="753"/>
      <c r="GO13" s="753"/>
      <c r="GP13" s="753"/>
      <c r="GQ13" s="753"/>
      <c r="GR13" s="753"/>
      <c r="GS13" s="753"/>
      <c r="GT13" s="753"/>
      <c r="GU13" s="753"/>
      <c r="GV13" s="753"/>
      <c r="GW13" s="753"/>
      <c r="GX13" s="753"/>
      <c r="GY13" s="753"/>
      <c r="GZ13" s="753"/>
      <c r="HA13" s="753"/>
      <c r="HB13" s="753"/>
      <c r="HC13" s="753"/>
      <c r="HD13" s="753"/>
      <c r="HE13" s="753"/>
      <c r="HF13" s="753"/>
      <c r="HG13" s="753"/>
      <c r="HH13" s="753"/>
      <c r="HI13" s="753"/>
      <c r="HJ13" s="753"/>
      <c r="HK13" s="753"/>
      <c r="HL13" s="753"/>
      <c r="HM13" s="753"/>
      <c r="HN13" s="753"/>
      <c r="HO13" s="753"/>
      <c r="HP13" s="753"/>
      <c r="HQ13" s="753"/>
      <c r="HR13" s="753"/>
      <c r="HS13" s="753"/>
      <c r="HT13" s="753"/>
      <c r="HU13" s="753"/>
      <c r="HV13" s="753"/>
      <c r="HW13" s="753"/>
      <c r="HX13" s="753"/>
      <c r="HY13" s="753"/>
      <c r="HZ13" s="753"/>
      <c r="IA13" s="753"/>
      <c r="IB13" s="753"/>
      <c r="IC13" s="753"/>
      <c r="ID13" s="753"/>
      <c r="IE13" s="753"/>
      <c r="IF13" s="753"/>
      <c r="IG13" s="753"/>
      <c r="IH13" s="753"/>
      <c r="II13" s="753"/>
      <c r="IJ13" s="753"/>
      <c r="IK13" s="753"/>
      <c r="IL13" s="753"/>
      <c r="IM13" s="753"/>
      <c r="IN13" s="753"/>
      <c r="IO13" s="753"/>
      <c r="IP13" s="753"/>
      <c r="IQ13" s="753"/>
      <c r="IR13" s="753"/>
      <c r="IS13" s="753"/>
      <c r="IT13" s="753"/>
      <c r="IU13" s="753"/>
      <c r="IV13" s="753"/>
    </row>
    <row r="14" spans="1:256" ht="16" thickBot="1">
      <c r="A14" s="748"/>
      <c r="B14" s="738" t="s">
        <v>2239</v>
      </c>
      <c r="C14" s="748"/>
      <c r="D14" s="748"/>
      <c r="E14" s="739" t="s">
        <v>2235</v>
      </c>
      <c r="F14" s="749">
        <f>F12-F16-F18</f>
        <v>673</v>
      </c>
      <c r="G14" s="754"/>
      <c r="H14" s="754"/>
      <c r="I14" s="746"/>
      <c r="J14" s="751"/>
      <c r="K14" s="752"/>
      <c r="L14" s="753"/>
      <c r="M14" s="733">
        <v>6</v>
      </c>
      <c r="N14" s="734" t="s">
        <v>2240</v>
      </c>
      <c r="O14" s="735" t="s">
        <v>2232</v>
      </c>
      <c r="P14" s="736">
        <v>313.5</v>
      </c>
      <c r="Q14" s="753"/>
      <c r="R14" s="753"/>
      <c r="S14" s="753"/>
      <c r="T14" s="753"/>
      <c r="U14" s="753"/>
      <c r="V14" s="753"/>
      <c r="W14" s="753"/>
      <c r="X14" s="753"/>
      <c r="Y14" s="753"/>
      <c r="Z14" s="753"/>
      <c r="AA14" s="753"/>
      <c r="AB14" s="753"/>
      <c r="AC14" s="753"/>
      <c r="AD14" s="753"/>
      <c r="AE14" s="753"/>
      <c r="AF14" s="753"/>
      <c r="AG14" s="753"/>
      <c r="AH14" s="753"/>
      <c r="AI14" s="753"/>
      <c r="AJ14" s="753"/>
      <c r="AK14" s="753"/>
      <c r="AL14" s="753"/>
      <c r="AM14" s="753"/>
      <c r="AN14" s="753"/>
      <c r="AO14" s="753"/>
      <c r="AP14" s="753"/>
      <c r="AQ14" s="753"/>
      <c r="AR14" s="753"/>
      <c r="AS14" s="753"/>
      <c r="AT14" s="753"/>
      <c r="AU14" s="753"/>
      <c r="AV14" s="753"/>
      <c r="AW14" s="753"/>
      <c r="AX14" s="753"/>
      <c r="AY14" s="753"/>
      <c r="AZ14" s="753"/>
      <c r="BA14" s="753"/>
      <c r="BB14" s="753"/>
      <c r="BC14" s="753"/>
      <c r="BD14" s="753"/>
      <c r="BE14" s="753"/>
      <c r="BF14" s="753"/>
      <c r="BG14" s="753"/>
      <c r="BH14" s="753"/>
      <c r="BI14" s="753"/>
      <c r="BJ14" s="753"/>
      <c r="BK14" s="753"/>
      <c r="BL14" s="753"/>
      <c r="BM14" s="753"/>
      <c r="BN14" s="753"/>
      <c r="BO14" s="753"/>
      <c r="BP14" s="753"/>
      <c r="BQ14" s="753"/>
      <c r="BR14" s="753"/>
      <c r="BS14" s="753"/>
      <c r="BT14" s="753"/>
      <c r="BU14" s="753"/>
      <c r="BV14" s="753"/>
      <c r="BW14" s="753"/>
      <c r="BX14" s="753"/>
      <c r="BY14" s="753"/>
      <c r="BZ14" s="753"/>
      <c r="CA14" s="753"/>
      <c r="CB14" s="753"/>
      <c r="CC14" s="753"/>
      <c r="CD14" s="753"/>
      <c r="CE14" s="753"/>
      <c r="CF14" s="753"/>
      <c r="CG14" s="753"/>
      <c r="CH14" s="753"/>
      <c r="CI14" s="753"/>
      <c r="CJ14" s="753"/>
      <c r="CK14" s="753"/>
      <c r="CL14" s="753"/>
      <c r="CM14" s="753"/>
      <c r="CN14" s="753"/>
      <c r="CO14" s="753"/>
      <c r="CP14" s="753"/>
      <c r="CQ14" s="753"/>
      <c r="CR14" s="753"/>
      <c r="CS14" s="753"/>
      <c r="CT14" s="753"/>
      <c r="CU14" s="753"/>
      <c r="CV14" s="753"/>
      <c r="CW14" s="753"/>
      <c r="CX14" s="753"/>
      <c r="CY14" s="753"/>
      <c r="CZ14" s="753"/>
      <c r="DA14" s="753"/>
      <c r="DB14" s="753"/>
      <c r="DC14" s="753"/>
      <c r="DD14" s="753"/>
      <c r="DE14" s="753"/>
      <c r="DF14" s="753"/>
      <c r="DG14" s="753"/>
      <c r="DH14" s="753"/>
      <c r="DI14" s="753"/>
      <c r="DJ14" s="753"/>
      <c r="DK14" s="753"/>
      <c r="DL14" s="753"/>
      <c r="DM14" s="753"/>
      <c r="DN14" s="753"/>
      <c r="DO14" s="753"/>
      <c r="DP14" s="753"/>
      <c r="DQ14" s="753"/>
      <c r="DR14" s="753"/>
      <c r="DS14" s="753"/>
      <c r="DT14" s="753"/>
      <c r="DU14" s="753"/>
      <c r="DV14" s="753"/>
      <c r="DW14" s="753"/>
      <c r="DX14" s="753"/>
      <c r="DY14" s="753"/>
      <c r="DZ14" s="753"/>
      <c r="EA14" s="753"/>
      <c r="EB14" s="753"/>
      <c r="EC14" s="753"/>
      <c r="ED14" s="753"/>
      <c r="EE14" s="753"/>
      <c r="EF14" s="753"/>
      <c r="EG14" s="753"/>
      <c r="EH14" s="753"/>
      <c r="EI14" s="753"/>
      <c r="EJ14" s="753"/>
      <c r="EK14" s="753"/>
      <c r="EL14" s="753"/>
      <c r="EM14" s="753"/>
      <c r="EN14" s="753"/>
      <c r="EO14" s="753"/>
      <c r="EP14" s="753"/>
      <c r="EQ14" s="753"/>
      <c r="ER14" s="753"/>
      <c r="ES14" s="753"/>
      <c r="ET14" s="753"/>
      <c r="EU14" s="753"/>
      <c r="EV14" s="753"/>
      <c r="EW14" s="753"/>
      <c r="EX14" s="753"/>
      <c r="EY14" s="753"/>
      <c r="EZ14" s="753"/>
      <c r="FA14" s="753"/>
      <c r="FB14" s="753"/>
      <c r="FC14" s="753"/>
      <c r="FD14" s="753"/>
      <c r="FE14" s="753"/>
      <c r="FF14" s="753"/>
      <c r="FG14" s="753"/>
      <c r="FH14" s="753"/>
      <c r="FI14" s="753"/>
      <c r="FJ14" s="753"/>
      <c r="FK14" s="753"/>
      <c r="FL14" s="753"/>
      <c r="FM14" s="753"/>
      <c r="FN14" s="753"/>
      <c r="FO14" s="753"/>
      <c r="FP14" s="753"/>
      <c r="FQ14" s="753"/>
      <c r="FR14" s="753"/>
      <c r="FS14" s="753"/>
      <c r="FT14" s="753"/>
      <c r="FU14" s="753"/>
      <c r="FV14" s="753"/>
      <c r="FW14" s="753"/>
      <c r="FX14" s="753"/>
      <c r="FY14" s="753"/>
      <c r="FZ14" s="753"/>
      <c r="GA14" s="753"/>
      <c r="GB14" s="753"/>
      <c r="GC14" s="753"/>
      <c r="GD14" s="753"/>
      <c r="GE14" s="753"/>
      <c r="GF14" s="753"/>
      <c r="GG14" s="753"/>
      <c r="GH14" s="753"/>
      <c r="GI14" s="753"/>
      <c r="GJ14" s="753"/>
      <c r="GK14" s="753"/>
      <c r="GL14" s="753"/>
      <c r="GM14" s="753"/>
      <c r="GN14" s="753"/>
      <c r="GO14" s="753"/>
      <c r="GP14" s="753"/>
      <c r="GQ14" s="753"/>
      <c r="GR14" s="753"/>
      <c r="GS14" s="753"/>
      <c r="GT14" s="753"/>
      <c r="GU14" s="753"/>
      <c r="GV14" s="753"/>
      <c r="GW14" s="753"/>
      <c r="GX14" s="753"/>
      <c r="GY14" s="753"/>
      <c r="GZ14" s="753"/>
      <c r="HA14" s="753"/>
      <c r="HB14" s="753"/>
      <c r="HC14" s="753"/>
      <c r="HD14" s="753"/>
      <c r="HE14" s="753"/>
      <c r="HF14" s="753"/>
      <c r="HG14" s="753"/>
      <c r="HH14" s="753"/>
      <c r="HI14" s="753"/>
      <c r="HJ14" s="753"/>
      <c r="HK14" s="753"/>
      <c r="HL14" s="753"/>
      <c r="HM14" s="753"/>
      <c r="HN14" s="753"/>
      <c r="HO14" s="753"/>
      <c r="HP14" s="753"/>
      <c r="HQ14" s="753"/>
      <c r="HR14" s="753"/>
      <c r="HS14" s="753"/>
      <c r="HT14" s="753"/>
      <c r="HU14" s="753"/>
      <c r="HV14" s="753"/>
      <c r="HW14" s="753"/>
      <c r="HX14" s="753"/>
      <c r="HY14" s="753"/>
      <c r="HZ14" s="753"/>
      <c r="IA14" s="753"/>
      <c r="IB14" s="753"/>
      <c r="IC14" s="753"/>
      <c r="ID14" s="753"/>
      <c r="IE14" s="753"/>
      <c r="IF14" s="753"/>
      <c r="IG14" s="753"/>
      <c r="IH14" s="753"/>
      <c r="II14" s="753"/>
      <c r="IJ14" s="753"/>
      <c r="IK14" s="753"/>
      <c r="IL14" s="753"/>
      <c r="IM14" s="753"/>
      <c r="IN14" s="753"/>
      <c r="IO14" s="753"/>
      <c r="IP14" s="753"/>
      <c r="IQ14" s="753"/>
      <c r="IR14" s="753"/>
      <c r="IS14" s="753"/>
      <c r="IT14" s="753"/>
      <c r="IU14" s="753"/>
      <c r="IV14" s="753"/>
    </row>
    <row r="15" spans="1:256" ht="16" thickBot="1">
      <c r="A15" s="748"/>
      <c r="B15" s="738" t="s">
        <v>2241</v>
      </c>
      <c r="C15" s="748"/>
      <c r="D15" s="748"/>
      <c r="E15" s="739" t="s">
        <v>2235</v>
      </c>
      <c r="G15" s="755"/>
      <c r="H15" s="754"/>
      <c r="I15" s="746"/>
      <c r="J15" s="751"/>
      <c r="K15" s="752"/>
      <c r="L15" s="753"/>
      <c r="M15" s="733">
        <v>7</v>
      </c>
      <c r="N15" s="734" t="s">
        <v>2242</v>
      </c>
      <c r="O15" s="735" t="s">
        <v>2232</v>
      </c>
      <c r="P15" s="747">
        <v>1120.67</v>
      </c>
      <c r="Q15" s="753"/>
      <c r="R15" s="753"/>
      <c r="S15" s="753"/>
      <c r="T15" s="753"/>
      <c r="U15" s="753"/>
      <c r="V15" s="753"/>
      <c r="W15" s="753"/>
      <c r="X15" s="753"/>
      <c r="Y15" s="753"/>
      <c r="Z15" s="753"/>
      <c r="AA15" s="753"/>
      <c r="AB15" s="753"/>
      <c r="AC15" s="753"/>
      <c r="AD15" s="753"/>
      <c r="AE15" s="753"/>
      <c r="AF15" s="753"/>
      <c r="AG15" s="753"/>
      <c r="AH15" s="753"/>
      <c r="AI15" s="753"/>
      <c r="AJ15" s="753"/>
      <c r="AK15" s="753"/>
      <c r="AL15" s="753"/>
      <c r="AM15" s="753"/>
      <c r="AN15" s="753"/>
      <c r="AO15" s="753"/>
      <c r="AP15" s="753"/>
      <c r="AQ15" s="753"/>
      <c r="AR15" s="753"/>
      <c r="AS15" s="753"/>
      <c r="AT15" s="753"/>
      <c r="AU15" s="753"/>
      <c r="AV15" s="753"/>
      <c r="AW15" s="753"/>
      <c r="AX15" s="753"/>
      <c r="AY15" s="753"/>
      <c r="AZ15" s="753"/>
      <c r="BA15" s="753"/>
      <c r="BB15" s="753"/>
      <c r="BC15" s="753"/>
      <c r="BD15" s="753"/>
      <c r="BE15" s="753"/>
      <c r="BF15" s="753"/>
      <c r="BG15" s="753"/>
      <c r="BH15" s="753"/>
      <c r="BI15" s="753"/>
      <c r="BJ15" s="753"/>
      <c r="BK15" s="753"/>
      <c r="BL15" s="753"/>
      <c r="BM15" s="753"/>
      <c r="BN15" s="753"/>
      <c r="BO15" s="753"/>
      <c r="BP15" s="753"/>
      <c r="BQ15" s="753"/>
      <c r="BR15" s="753"/>
      <c r="BS15" s="753"/>
      <c r="BT15" s="753"/>
      <c r="BU15" s="753"/>
      <c r="BV15" s="753"/>
      <c r="BW15" s="753"/>
      <c r="BX15" s="753"/>
      <c r="BY15" s="753"/>
      <c r="BZ15" s="753"/>
      <c r="CA15" s="753"/>
      <c r="CB15" s="753"/>
      <c r="CC15" s="753"/>
      <c r="CD15" s="753"/>
      <c r="CE15" s="753"/>
      <c r="CF15" s="753"/>
      <c r="CG15" s="753"/>
      <c r="CH15" s="753"/>
      <c r="CI15" s="753"/>
      <c r="CJ15" s="753"/>
      <c r="CK15" s="753"/>
      <c r="CL15" s="753"/>
      <c r="CM15" s="753"/>
      <c r="CN15" s="753"/>
      <c r="CO15" s="753"/>
      <c r="CP15" s="753"/>
      <c r="CQ15" s="753"/>
      <c r="CR15" s="753"/>
      <c r="CS15" s="753"/>
      <c r="CT15" s="753"/>
      <c r="CU15" s="753"/>
      <c r="CV15" s="753"/>
      <c r="CW15" s="753"/>
      <c r="CX15" s="753"/>
      <c r="CY15" s="753"/>
      <c r="CZ15" s="753"/>
      <c r="DA15" s="753"/>
      <c r="DB15" s="753"/>
      <c r="DC15" s="753"/>
      <c r="DD15" s="753"/>
      <c r="DE15" s="753"/>
      <c r="DF15" s="753"/>
      <c r="DG15" s="753"/>
      <c r="DH15" s="753"/>
      <c r="DI15" s="753"/>
      <c r="DJ15" s="753"/>
      <c r="DK15" s="753"/>
      <c r="DL15" s="753"/>
      <c r="DM15" s="753"/>
      <c r="DN15" s="753"/>
      <c r="DO15" s="753"/>
      <c r="DP15" s="753"/>
      <c r="DQ15" s="753"/>
      <c r="DR15" s="753"/>
      <c r="DS15" s="753"/>
      <c r="DT15" s="753"/>
      <c r="DU15" s="753"/>
      <c r="DV15" s="753"/>
      <c r="DW15" s="753"/>
      <c r="DX15" s="753"/>
      <c r="DY15" s="753"/>
      <c r="DZ15" s="753"/>
      <c r="EA15" s="753"/>
      <c r="EB15" s="753"/>
      <c r="EC15" s="753"/>
      <c r="ED15" s="753"/>
      <c r="EE15" s="753"/>
      <c r="EF15" s="753"/>
      <c r="EG15" s="753"/>
      <c r="EH15" s="753"/>
      <c r="EI15" s="753"/>
      <c r="EJ15" s="753"/>
      <c r="EK15" s="753"/>
      <c r="EL15" s="753"/>
      <c r="EM15" s="753"/>
      <c r="EN15" s="753"/>
      <c r="EO15" s="753"/>
      <c r="EP15" s="753"/>
      <c r="EQ15" s="753"/>
      <c r="ER15" s="753"/>
      <c r="ES15" s="753"/>
      <c r="ET15" s="753"/>
      <c r="EU15" s="753"/>
      <c r="EV15" s="753"/>
      <c r="EW15" s="753"/>
      <c r="EX15" s="753"/>
      <c r="EY15" s="753"/>
      <c r="EZ15" s="753"/>
      <c r="FA15" s="753"/>
      <c r="FB15" s="753"/>
      <c r="FC15" s="753"/>
      <c r="FD15" s="753"/>
      <c r="FE15" s="753"/>
      <c r="FF15" s="753"/>
      <c r="FG15" s="753"/>
      <c r="FH15" s="753"/>
      <c r="FI15" s="753"/>
      <c r="FJ15" s="753"/>
      <c r="FK15" s="753"/>
      <c r="FL15" s="753"/>
      <c r="FM15" s="753"/>
      <c r="FN15" s="753"/>
      <c r="FO15" s="753"/>
      <c r="FP15" s="753"/>
      <c r="FQ15" s="753"/>
      <c r="FR15" s="753"/>
      <c r="FS15" s="753"/>
      <c r="FT15" s="753"/>
      <c r="FU15" s="753"/>
      <c r="FV15" s="753"/>
      <c r="FW15" s="753"/>
      <c r="FX15" s="753"/>
      <c r="FY15" s="753"/>
      <c r="FZ15" s="753"/>
      <c r="GA15" s="753"/>
      <c r="GB15" s="753"/>
      <c r="GC15" s="753"/>
      <c r="GD15" s="753"/>
      <c r="GE15" s="753"/>
      <c r="GF15" s="753"/>
      <c r="GG15" s="753"/>
      <c r="GH15" s="753"/>
      <c r="GI15" s="753"/>
      <c r="GJ15" s="753"/>
      <c r="GK15" s="753"/>
      <c r="GL15" s="753"/>
      <c r="GM15" s="753"/>
      <c r="GN15" s="753"/>
      <c r="GO15" s="753"/>
      <c r="GP15" s="753"/>
      <c r="GQ15" s="753"/>
      <c r="GR15" s="753"/>
      <c r="GS15" s="753"/>
      <c r="GT15" s="753"/>
      <c r="GU15" s="753"/>
      <c r="GV15" s="753"/>
      <c r="GW15" s="753"/>
      <c r="GX15" s="753"/>
      <c r="GY15" s="753"/>
      <c r="GZ15" s="753"/>
      <c r="HA15" s="753"/>
      <c r="HB15" s="753"/>
      <c r="HC15" s="753"/>
      <c r="HD15" s="753"/>
      <c r="HE15" s="753"/>
      <c r="HF15" s="753"/>
      <c r="HG15" s="753"/>
      <c r="HH15" s="753"/>
      <c r="HI15" s="753"/>
      <c r="HJ15" s="753"/>
      <c r="HK15" s="753"/>
      <c r="HL15" s="753"/>
      <c r="HM15" s="753"/>
      <c r="HN15" s="753"/>
      <c r="HO15" s="753"/>
      <c r="HP15" s="753"/>
      <c r="HQ15" s="753"/>
      <c r="HR15" s="753"/>
      <c r="HS15" s="753"/>
      <c r="HT15" s="753"/>
      <c r="HU15" s="753"/>
      <c r="HV15" s="753"/>
      <c r="HW15" s="753"/>
      <c r="HX15" s="753"/>
      <c r="HY15" s="753"/>
      <c r="HZ15" s="753"/>
      <c r="IA15" s="753"/>
      <c r="IB15" s="753"/>
      <c r="IC15" s="753"/>
      <c r="ID15" s="753"/>
      <c r="IE15" s="753"/>
      <c r="IF15" s="753"/>
      <c r="IG15" s="753"/>
      <c r="IH15" s="753"/>
      <c r="II15" s="753"/>
      <c r="IJ15" s="753"/>
      <c r="IK15" s="753"/>
      <c r="IL15" s="753"/>
      <c r="IM15" s="753"/>
      <c r="IN15" s="753"/>
      <c r="IO15" s="753"/>
      <c r="IP15" s="753"/>
      <c r="IQ15" s="753"/>
      <c r="IR15" s="753"/>
      <c r="IS15" s="753"/>
      <c r="IT15" s="753"/>
      <c r="IU15" s="753"/>
      <c r="IV15" s="753"/>
    </row>
    <row r="16" spans="1:256" ht="16" thickBot="1">
      <c r="A16" s="748"/>
      <c r="B16" s="738" t="s">
        <v>2243</v>
      </c>
      <c r="C16" s="748"/>
      <c r="D16" s="748"/>
      <c r="E16" s="739" t="s">
        <v>2235</v>
      </c>
      <c r="F16" s="749">
        <f>35</f>
        <v>35</v>
      </c>
      <c r="G16" s="755"/>
      <c r="H16" s="754"/>
      <c r="I16" s="746"/>
      <c r="J16" s="751"/>
      <c r="K16" s="752"/>
      <c r="L16" s="753"/>
      <c r="M16" s="733">
        <v>8</v>
      </c>
      <c r="N16" s="734" t="s">
        <v>2244</v>
      </c>
      <c r="O16" s="735" t="s">
        <v>2230</v>
      </c>
      <c r="P16" s="736">
        <v>450.17</v>
      </c>
      <c r="Q16" s="753"/>
      <c r="R16" s="753"/>
      <c r="S16" s="753"/>
      <c r="T16" s="753"/>
      <c r="U16" s="753"/>
      <c r="V16" s="753"/>
      <c r="W16" s="753"/>
      <c r="X16" s="753"/>
      <c r="Y16" s="753"/>
      <c r="Z16" s="753"/>
      <c r="AA16" s="753"/>
      <c r="AB16" s="753"/>
      <c r="AC16" s="753"/>
      <c r="AD16" s="753"/>
      <c r="AE16" s="753"/>
      <c r="AF16" s="753"/>
      <c r="AG16" s="753"/>
      <c r="AH16" s="753"/>
      <c r="AI16" s="753"/>
      <c r="AJ16" s="753"/>
      <c r="AK16" s="753"/>
      <c r="AL16" s="753"/>
      <c r="AM16" s="753"/>
      <c r="AN16" s="753"/>
      <c r="AO16" s="753"/>
      <c r="AP16" s="753"/>
      <c r="AQ16" s="753"/>
      <c r="AR16" s="753"/>
      <c r="AS16" s="753"/>
      <c r="AT16" s="753"/>
      <c r="AU16" s="753"/>
      <c r="AV16" s="753"/>
      <c r="AW16" s="753"/>
      <c r="AX16" s="753"/>
      <c r="AY16" s="753"/>
      <c r="AZ16" s="753"/>
      <c r="BA16" s="753"/>
      <c r="BB16" s="753"/>
      <c r="BC16" s="753"/>
      <c r="BD16" s="753"/>
      <c r="BE16" s="753"/>
      <c r="BF16" s="753"/>
      <c r="BG16" s="753"/>
      <c r="BH16" s="753"/>
      <c r="BI16" s="753"/>
      <c r="BJ16" s="753"/>
      <c r="BK16" s="753"/>
      <c r="BL16" s="753"/>
      <c r="BM16" s="753"/>
      <c r="BN16" s="753"/>
      <c r="BO16" s="753"/>
      <c r="BP16" s="753"/>
      <c r="BQ16" s="753"/>
      <c r="BR16" s="753"/>
      <c r="BS16" s="753"/>
      <c r="BT16" s="753"/>
      <c r="BU16" s="753"/>
      <c r="BV16" s="753"/>
      <c r="BW16" s="753"/>
      <c r="BX16" s="753"/>
      <c r="BY16" s="753"/>
      <c r="BZ16" s="753"/>
      <c r="CA16" s="753"/>
      <c r="CB16" s="753"/>
      <c r="CC16" s="753"/>
      <c r="CD16" s="753"/>
      <c r="CE16" s="753"/>
      <c r="CF16" s="753"/>
      <c r="CG16" s="753"/>
      <c r="CH16" s="753"/>
      <c r="CI16" s="753"/>
      <c r="CJ16" s="753"/>
      <c r="CK16" s="753"/>
      <c r="CL16" s="753"/>
      <c r="CM16" s="753"/>
      <c r="CN16" s="753"/>
      <c r="CO16" s="753"/>
      <c r="CP16" s="753"/>
      <c r="CQ16" s="753"/>
      <c r="CR16" s="753"/>
      <c r="CS16" s="753"/>
      <c r="CT16" s="753"/>
      <c r="CU16" s="753"/>
      <c r="CV16" s="753"/>
      <c r="CW16" s="753"/>
      <c r="CX16" s="753"/>
      <c r="CY16" s="753"/>
      <c r="CZ16" s="753"/>
      <c r="DA16" s="753"/>
      <c r="DB16" s="753"/>
      <c r="DC16" s="753"/>
      <c r="DD16" s="753"/>
      <c r="DE16" s="753"/>
      <c r="DF16" s="753"/>
      <c r="DG16" s="753"/>
      <c r="DH16" s="753"/>
      <c r="DI16" s="753"/>
      <c r="DJ16" s="753"/>
      <c r="DK16" s="753"/>
      <c r="DL16" s="753"/>
      <c r="DM16" s="753"/>
      <c r="DN16" s="753"/>
      <c r="DO16" s="753"/>
      <c r="DP16" s="753"/>
      <c r="DQ16" s="753"/>
      <c r="DR16" s="753"/>
      <c r="DS16" s="753"/>
      <c r="DT16" s="753"/>
      <c r="DU16" s="753"/>
      <c r="DV16" s="753"/>
      <c r="DW16" s="753"/>
      <c r="DX16" s="753"/>
      <c r="DY16" s="753"/>
      <c r="DZ16" s="753"/>
      <c r="EA16" s="753"/>
      <c r="EB16" s="753"/>
      <c r="EC16" s="753"/>
      <c r="ED16" s="753"/>
      <c r="EE16" s="753"/>
      <c r="EF16" s="753"/>
      <c r="EG16" s="753"/>
      <c r="EH16" s="753"/>
      <c r="EI16" s="753"/>
      <c r="EJ16" s="753"/>
      <c r="EK16" s="753"/>
      <c r="EL16" s="753"/>
      <c r="EM16" s="753"/>
      <c r="EN16" s="753"/>
      <c r="EO16" s="753"/>
      <c r="EP16" s="753"/>
      <c r="EQ16" s="753"/>
      <c r="ER16" s="753"/>
      <c r="ES16" s="753"/>
      <c r="ET16" s="753"/>
      <c r="EU16" s="753"/>
      <c r="EV16" s="753"/>
      <c r="EW16" s="753"/>
      <c r="EX16" s="753"/>
      <c r="EY16" s="753"/>
      <c r="EZ16" s="753"/>
      <c r="FA16" s="753"/>
      <c r="FB16" s="753"/>
      <c r="FC16" s="753"/>
      <c r="FD16" s="753"/>
      <c r="FE16" s="753"/>
      <c r="FF16" s="753"/>
      <c r="FG16" s="753"/>
      <c r="FH16" s="753"/>
      <c r="FI16" s="753"/>
      <c r="FJ16" s="753"/>
      <c r="FK16" s="753"/>
      <c r="FL16" s="753"/>
      <c r="FM16" s="753"/>
      <c r="FN16" s="753"/>
      <c r="FO16" s="753"/>
      <c r="FP16" s="753"/>
      <c r="FQ16" s="753"/>
      <c r="FR16" s="753"/>
      <c r="FS16" s="753"/>
      <c r="FT16" s="753"/>
      <c r="FU16" s="753"/>
      <c r="FV16" s="753"/>
      <c r="FW16" s="753"/>
      <c r="FX16" s="753"/>
      <c r="FY16" s="753"/>
      <c r="FZ16" s="753"/>
      <c r="GA16" s="753"/>
      <c r="GB16" s="753"/>
      <c r="GC16" s="753"/>
      <c r="GD16" s="753"/>
      <c r="GE16" s="753"/>
      <c r="GF16" s="753"/>
      <c r="GG16" s="753"/>
      <c r="GH16" s="753"/>
      <c r="GI16" s="753"/>
      <c r="GJ16" s="753"/>
      <c r="GK16" s="753"/>
      <c r="GL16" s="753"/>
      <c r="GM16" s="753"/>
      <c r="GN16" s="753"/>
      <c r="GO16" s="753"/>
      <c r="GP16" s="753"/>
      <c r="GQ16" s="753"/>
      <c r="GR16" s="753"/>
      <c r="GS16" s="753"/>
      <c r="GT16" s="753"/>
      <c r="GU16" s="753"/>
      <c r="GV16" s="753"/>
      <c r="GW16" s="753"/>
      <c r="GX16" s="753"/>
      <c r="GY16" s="753"/>
      <c r="GZ16" s="753"/>
      <c r="HA16" s="753"/>
      <c r="HB16" s="753"/>
      <c r="HC16" s="753"/>
      <c r="HD16" s="753"/>
      <c r="HE16" s="753"/>
      <c r="HF16" s="753"/>
      <c r="HG16" s="753"/>
      <c r="HH16" s="753"/>
      <c r="HI16" s="753"/>
      <c r="HJ16" s="753"/>
      <c r="HK16" s="753"/>
      <c r="HL16" s="753"/>
      <c r="HM16" s="753"/>
      <c r="HN16" s="753"/>
      <c r="HO16" s="753"/>
      <c r="HP16" s="753"/>
      <c r="HQ16" s="753"/>
      <c r="HR16" s="753"/>
      <c r="HS16" s="753"/>
      <c r="HT16" s="753"/>
      <c r="HU16" s="753"/>
      <c r="HV16" s="753"/>
      <c r="HW16" s="753"/>
      <c r="HX16" s="753"/>
      <c r="HY16" s="753"/>
      <c r="HZ16" s="753"/>
      <c r="IA16" s="753"/>
      <c r="IB16" s="753"/>
      <c r="IC16" s="753"/>
      <c r="ID16" s="753"/>
      <c r="IE16" s="753"/>
      <c r="IF16" s="753"/>
      <c r="IG16" s="753"/>
      <c r="IH16" s="753"/>
      <c r="II16" s="753"/>
      <c r="IJ16" s="753"/>
      <c r="IK16" s="753"/>
      <c r="IL16" s="753"/>
      <c r="IM16" s="753"/>
      <c r="IN16" s="753"/>
      <c r="IO16" s="753"/>
      <c r="IP16" s="753"/>
      <c r="IQ16" s="753"/>
      <c r="IR16" s="753"/>
      <c r="IS16" s="753"/>
      <c r="IT16" s="753"/>
      <c r="IU16" s="753"/>
      <c r="IV16" s="753"/>
    </row>
    <row r="17" spans="1:256" ht="16" thickBot="1">
      <c r="A17" s="748"/>
      <c r="B17" s="738" t="s">
        <v>2245</v>
      </c>
      <c r="C17" s="748"/>
      <c r="D17" s="748"/>
      <c r="E17" s="739" t="s">
        <v>2235</v>
      </c>
      <c r="G17" s="755"/>
      <c r="H17" s="754"/>
      <c r="I17" s="746"/>
      <c r="J17" s="751"/>
      <c r="K17" s="752"/>
      <c r="L17" s="753"/>
      <c r="M17" s="733">
        <v>9</v>
      </c>
      <c r="N17" s="734" t="s">
        <v>2246</v>
      </c>
      <c r="O17" s="735" t="s">
        <v>2230</v>
      </c>
      <c r="P17" s="736">
        <v>714.75</v>
      </c>
      <c r="Q17" s="753"/>
      <c r="R17" s="753"/>
      <c r="S17" s="753"/>
      <c r="T17" s="753"/>
      <c r="U17" s="753"/>
      <c r="V17" s="753"/>
      <c r="W17" s="753"/>
      <c r="X17" s="753"/>
      <c r="Y17" s="753"/>
      <c r="Z17" s="753"/>
      <c r="AA17" s="753"/>
      <c r="AB17" s="753"/>
      <c r="AC17" s="753"/>
      <c r="AD17" s="753"/>
      <c r="AE17" s="753"/>
      <c r="AF17" s="753"/>
      <c r="AG17" s="753"/>
      <c r="AH17" s="753"/>
      <c r="AI17" s="753"/>
      <c r="AJ17" s="753"/>
      <c r="AK17" s="753"/>
      <c r="AL17" s="753"/>
      <c r="AM17" s="753"/>
      <c r="AN17" s="753"/>
      <c r="AO17" s="753"/>
      <c r="AP17" s="753"/>
      <c r="AQ17" s="753"/>
      <c r="AR17" s="753"/>
      <c r="AS17" s="753"/>
      <c r="AT17" s="753"/>
      <c r="AU17" s="753"/>
      <c r="AV17" s="753"/>
      <c r="AW17" s="753"/>
      <c r="AX17" s="753"/>
      <c r="AY17" s="753"/>
      <c r="AZ17" s="753"/>
      <c r="BA17" s="753"/>
      <c r="BB17" s="753"/>
      <c r="BC17" s="753"/>
      <c r="BD17" s="753"/>
      <c r="BE17" s="753"/>
      <c r="BF17" s="753"/>
      <c r="BG17" s="753"/>
      <c r="BH17" s="753"/>
      <c r="BI17" s="753"/>
      <c r="BJ17" s="753"/>
      <c r="BK17" s="753"/>
      <c r="BL17" s="753"/>
      <c r="BM17" s="753"/>
      <c r="BN17" s="753"/>
      <c r="BO17" s="753"/>
      <c r="BP17" s="753"/>
      <c r="BQ17" s="753"/>
      <c r="BR17" s="753"/>
      <c r="BS17" s="753"/>
      <c r="BT17" s="753"/>
      <c r="BU17" s="753"/>
      <c r="BV17" s="753"/>
      <c r="BW17" s="753"/>
      <c r="BX17" s="753"/>
      <c r="BY17" s="753"/>
      <c r="BZ17" s="753"/>
      <c r="CA17" s="753"/>
      <c r="CB17" s="753"/>
      <c r="CC17" s="753"/>
      <c r="CD17" s="753"/>
      <c r="CE17" s="753"/>
      <c r="CF17" s="753"/>
      <c r="CG17" s="753"/>
      <c r="CH17" s="753"/>
      <c r="CI17" s="753"/>
      <c r="CJ17" s="753"/>
      <c r="CK17" s="753"/>
      <c r="CL17" s="753"/>
      <c r="CM17" s="753"/>
      <c r="CN17" s="753"/>
      <c r="CO17" s="753"/>
      <c r="CP17" s="753"/>
      <c r="CQ17" s="753"/>
      <c r="CR17" s="753"/>
      <c r="CS17" s="753"/>
      <c r="CT17" s="753"/>
      <c r="CU17" s="753"/>
      <c r="CV17" s="753"/>
      <c r="CW17" s="753"/>
      <c r="CX17" s="753"/>
      <c r="CY17" s="753"/>
      <c r="CZ17" s="753"/>
      <c r="DA17" s="753"/>
      <c r="DB17" s="753"/>
      <c r="DC17" s="753"/>
      <c r="DD17" s="753"/>
      <c r="DE17" s="753"/>
      <c r="DF17" s="753"/>
      <c r="DG17" s="753"/>
      <c r="DH17" s="753"/>
      <c r="DI17" s="753"/>
      <c r="DJ17" s="753"/>
      <c r="DK17" s="753"/>
      <c r="DL17" s="753"/>
      <c r="DM17" s="753"/>
      <c r="DN17" s="753"/>
      <c r="DO17" s="753"/>
      <c r="DP17" s="753"/>
      <c r="DQ17" s="753"/>
      <c r="DR17" s="753"/>
      <c r="DS17" s="753"/>
      <c r="DT17" s="753"/>
      <c r="DU17" s="753"/>
      <c r="DV17" s="753"/>
      <c r="DW17" s="753"/>
      <c r="DX17" s="753"/>
      <c r="DY17" s="753"/>
      <c r="DZ17" s="753"/>
      <c r="EA17" s="753"/>
      <c r="EB17" s="753"/>
      <c r="EC17" s="753"/>
      <c r="ED17" s="753"/>
      <c r="EE17" s="753"/>
      <c r="EF17" s="753"/>
      <c r="EG17" s="753"/>
      <c r="EH17" s="753"/>
      <c r="EI17" s="753"/>
      <c r="EJ17" s="753"/>
      <c r="EK17" s="753"/>
      <c r="EL17" s="753"/>
      <c r="EM17" s="753"/>
      <c r="EN17" s="753"/>
      <c r="EO17" s="753"/>
      <c r="EP17" s="753"/>
      <c r="EQ17" s="753"/>
      <c r="ER17" s="753"/>
      <c r="ES17" s="753"/>
      <c r="ET17" s="753"/>
      <c r="EU17" s="753"/>
      <c r="EV17" s="753"/>
      <c r="EW17" s="753"/>
      <c r="EX17" s="753"/>
      <c r="EY17" s="753"/>
      <c r="EZ17" s="753"/>
      <c r="FA17" s="753"/>
      <c r="FB17" s="753"/>
      <c r="FC17" s="753"/>
      <c r="FD17" s="753"/>
      <c r="FE17" s="753"/>
      <c r="FF17" s="753"/>
      <c r="FG17" s="753"/>
      <c r="FH17" s="753"/>
      <c r="FI17" s="753"/>
      <c r="FJ17" s="753"/>
      <c r="FK17" s="753"/>
      <c r="FL17" s="753"/>
      <c r="FM17" s="753"/>
      <c r="FN17" s="753"/>
      <c r="FO17" s="753"/>
      <c r="FP17" s="753"/>
      <c r="FQ17" s="753"/>
      <c r="FR17" s="753"/>
      <c r="FS17" s="753"/>
      <c r="FT17" s="753"/>
      <c r="FU17" s="753"/>
      <c r="FV17" s="753"/>
      <c r="FW17" s="753"/>
      <c r="FX17" s="753"/>
      <c r="FY17" s="753"/>
      <c r="FZ17" s="753"/>
      <c r="GA17" s="753"/>
      <c r="GB17" s="753"/>
      <c r="GC17" s="753"/>
      <c r="GD17" s="753"/>
      <c r="GE17" s="753"/>
      <c r="GF17" s="753"/>
      <c r="GG17" s="753"/>
      <c r="GH17" s="753"/>
      <c r="GI17" s="753"/>
      <c r="GJ17" s="753"/>
      <c r="GK17" s="753"/>
      <c r="GL17" s="753"/>
      <c r="GM17" s="753"/>
      <c r="GN17" s="753"/>
      <c r="GO17" s="753"/>
      <c r="GP17" s="753"/>
      <c r="GQ17" s="753"/>
      <c r="GR17" s="753"/>
      <c r="GS17" s="753"/>
      <c r="GT17" s="753"/>
      <c r="GU17" s="753"/>
      <c r="GV17" s="753"/>
      <c r="GW17" s="753"/>
      <c r="GX17" s="753"/>
      <c r="GY17" s="753"/>
      <c r="GZ17" s="753"/>
      <c r="HA17" s="753"/>
      <c r="HB17" s="753"/>
      <c r="HC17" s="753"/>
      <c r="HD17" s="753"/>
      <c r="HE17" s="753"/>
      <c r="HF17" s="753"/>
      <c r="HG17" s="753"/>
      <c r="HH17" s="753"/>
      <c r="HI17" s="753"/>
      <c r="HJ17" s="753"/>
      <c r="HK17" s="753"/>
      <c r="HL17" s="753"/>
      <c r="HM17" s="753"/>
      <c r="HN17" s="753"/>
      <c r="HO17" s="753"/>
      <c r="HP17" s="753"/>
      <c r="HQ17" s="753"/>
      <c r="HR17" s="753"/>
      <c r="HS17" s="753"/>
      <c r="HT17" s="753"/>
      <c r="HU17" s="753"/>
      <c r="HV17" s="753"/>
      <c r="HW17" s="753"/>
      <c r="HX17" s="753"/>
      <c r="HY17" s="753"/>
      <c r="HZ17" s="753"/>
      <c r="IA17" s="753"/>
      <c r="IB17" s="753"/>
      <c r="IC17" s="753"/>
      <c r="ID17" s="753"/>
      <c r="IE17" s="753"/>
      <c r="IF17" s="753"/>
      <c r="IG17" s="753"/>
      <c r="IH17" s="753"/>
      <c r="II17" s="753"/>
      <c r="IJ17" s="753"/>
      <c r="IK17" s="753"/>
      <c r="IL17" s="753"/>
      <c r="IM17" s="753"/>
      <c r="IN17" s="753"/>
      <c r="IO17" s="753"/>
      <c r="IP17" s="753"/>
      <c r="IQ17" s="753"/>
      <c r="IR17" s="753"/>
      <c r="IS17" s="753"/>
      <c r="IT17" s="753"/>
      <c r="IU17" s="753"/>
      <c r="IV17" s="753"/>
    </row>
    <row r="18" spans="1:256" ht="16" thickBot="1">
      <c r="A18" s="748"/>
      <c r="B18" s="738" t="s">
        <v>2247</v>
      </c>
      <c r="C18" s="748"/>
      <c r="D18" s="748"/>
      <c r="E18" s="739" t="s">
        <v>2235</v>
      </c>
      <c r="F18" s="749">
        <v>12</v>
      </c>
      <c r="G18" s="756"/>
      <c r="H18" s="754"/>
      <c r="I18" s="746"/>
      <c r="J18" s="751"/>
      <c r="K18" s="752"/>
      <c r="L18" s="753"/>
      <c r="M18" s="733">
        <v>10</v>
      </c>
      <c r="N18" s="734" t="s">
        <v>2248</v>
      </c>
      <c r="O18" s="735" t="s">
        <v>2232</v>
      </c>
      <c r="P18" s="736">
        <v>383.76</v>
      </c>
      <c r="Q18" s="753"/>
      <c r="R18" s="753"/>
      <c r="S18" s="753"/>
      <c r="T18" s="753"/>
      <c r="U18" s="753"/>
      <c r="V18" s="753"/>
      <c r="W18" s="753"/>
      <c r="X18" s="753"/>
      <c r="Y18" s="753"/>
      <c r="Z18" s="753"/>
      <c r="AA18" s="753"/>
      <c r="AB18" s="753"/>
      <c r="AC18" s="753"/>
      <c r="AD18" s="753"/>
      <c r="AE18" s="753"/>
      <c r="AF18" s="753"/>
      <c r="AG18" s="753"/>
      <c r="AH18" s="753"/>
      <c r="AI18" s="753"/>
      <c r="AJ18" s="753"/>
      <c r="AK18" s="753"/>
      <c r="AL18" s="753"/>
      <c r="AM18" s="753"/>
      <c r="AN18" s="753"/>
      <c r="AO18" s="753"/>
      <c r="AP18" s="753"/>
      <c r="AQ18" s="753"/>
      <c r="AR18" s="753"/>
      <c r="AS18" s="753"/>
      <c r="AT18" s="753"/>
      <c r="AU18" s="753"/>
      <c r="AV18" s="753"/>
      <c r="AW18" s="753"/>
      <c r="AX18" s="753"/>
      <c r="AY18" s="753"/>
      <c r="AZ18" s="753"/>
      <c r="BA18" s="753"/>
      <c r="BB18" s="753"/>
      <c r="BC18" s="753"/>
      <c r="BD18" s="753"/>
      <c r="BE18" s="753"/>
      <c r="BF18" s="753"/>
      <c r="BG18" s="753"/>
      <c r="BH18" s="753"/>
      <c r="BI18" s="753"/>
      <c r="BJ18" s="753"/>
      <c r="BK18" s="753"/>
      <c r="BL18" s="753"/>
      <c r="BM18" s="753"/>
      <c r="BN18" s="753"/>
      <c r="BO18" s="753"/>
      <c r="BP18" s="753"/>
      <c r="BQ18" s="753"/>
      <c r="BR18" s="753"/>
      <c r="BS18" s="753"/>
      <c r="BT18" s="753"/>
      <c r="BU18" s="753"/>
      <c r="BV18" s="753"/>
      <c r="BW18" s="753"/>
      <c r="BX18" s="753"/>
      <c r="BY18" s="753"/>
      <c r="BZ18" s="753"/>
      <c r="CA18" s="753"/>
      <c r="CB18" s="753"/>
      <c r="CC18" s="753"/>
      <c r="CD18" s="753"/>
      <c r="CE18" s="753"/>
      <c r="CF18" s="753"/>
      <c r="CG18" s="753"/>
      <c r="CH18" s="753"/>
      <c r="CI18" s="753"/>
      <c r="CJ18" s="753"/>
      <c r="CK18" s="753"/>
      <c r="CL18" s="753"/>
      <c r="CM18" s="753"/>
      <c r="CN18" s="753"/>
      <c r="CO18" s="753"/>
      <c r="CP18" s="753"/>
      <c r="CQ18" s="753"/>
      <c r="CR18" s="753"/>
      <c r="CS18" s="753"/>
      <c r="CT18" s="753"/>
      <c r="CU18" s="753"/>
      <c r="CV18" s="753"/>
      <c r="CW18" s="753"/>
      <c r="CX18" s="753"/>
      <c r="CY18" s="753"/>
      <c r="CZ18" s="753"/>
      <c r="DA18" s="753"/>
      <c r="DB18" s="753"/>
      <c r="DC18" s="753"/>
      <c r="DD18" s="753"/>
      <c r="DE18" s="753"/>
      <c r="DF18" s="753"/>
      <c r="DG18" s="753"/>
      <c r="DH18" s="753"/>
      <c r="DI18" s="753"/>
      <c r="DJ18" s="753"/>
      <c r="DK18" s="753"/>
      <c r="DL18" s="753"/>
      <c r="DM18" s="753"/>
      <c r="DN18" s="753"/>
      <c r="DO18" s="753"/>
      <c r="DP18" s="753"/>
      <c r="DQ18" s="753"/>
      <c r="DR18" s="753"/>
      <c r="DS18" s="753"/>
      <c r="DT18" s="753"/>
      <c r="DU18" s="753"/>
      <c r="DV18" s="753"/>
      <c r="DW18" s="753"/>
      <c r="DX18" s="753"/>
      <c r="DY18" s="753"/>
      <c r="DZ18" s="753"/>
      <c r="EA18" s="753"/>
      <c r="EB18" s="753"/>
      <c r="EC18" s="753"/>
      <c r="ED18" s="753"/>
      <c r="EE18" s="753"/>
      <c r="EF18" s="753"/>
      <c r="EG18" s="753"/>
      <c r="EH18" s="753"/>
      <c r="EI18" s="753"/>
      <c r="EJ18" s="753"/>
      <c r="EK18" s="753"/>
      <c r="EL18" s="753"/>
      <c r="EM18" s="753"/>
      <c r="EN18" s="753"/>
      <c r="EO18" s="753"/>
      <c r="EP18" s="753"/>
      <c r="EQ18" s="753"/>
      <c r="ER18" s="753"/>
      <c r="ES18" s="753"/>
      <c r="ET18" s="753"/>
      <c r="EU18" s="753"/>
      <c r="EV18" s="753"/>
      <c r="EW18" s="753"/>
      <c r="EX18" s="753"/>
      <c r="EY18" s="753"/>
      <c r="EZ18" s="753"/>
      <c r="FA18" s="753"/>
      <c r="FB18" s="753"/>
      <c r="FC18" s="753"/>
      <c r="FD18" s="753"/>
      <c r="FE18" s="753"/>
      <c r="FF18" s="753"/>
      <c r="FG18" s="753"/>
      <c r="FH18" s="753"/>
      <c r="FI18" s="753"/>
      <c r="FJ18" s="753"/>
      <c r="FK18" s="753"/>
      <c r="FL18" s="753"/>
      <c r="FM18" s="753"/>
      <c r="FN18" s="753"/>
      <c r="FO18" s="753"/>
      <c r="FP18" s="753"/>
      <c r="FQ18" s="753"/>
      <c r="FR18" s="753"/>
      <c r="FS18" s="753"/>
      <c r="FT18" s="753"/>
      <c r="FU18" s="753"/>
      <c r="FV18" s="753"/>
      <c r="FW18" s="753"/>
      <c r="FX18" s="753"/>
      <c r="FY18" s="753"/>
      <c r="FZ18" s="753"/>
      <c r="GA18" s="753"/>
      <c r="GB18" s="753"/>
      <c r="GC18" s="753"/>
      <c r="GD18" s="753"/>
      <c r="GE18" s="753"/>
      <c r="GF18" s="753"/>
      <c r="GG18" s="753"/>
      <c r="GH18" s="753"/>
      <c r="GI18" s="753"/>
      <c r="GJ18" s="753"/>
      <c r="GK18" s="753"/>
      <c r="GL18" s="753"/>
      <c r="GM18" s="753"/>
      <c r="GN18" s="753"/>
      <c r="GO18" s="753"/>
      <c r="GP18" s="753"/>
      <c r="GQ18" s="753"/>
      <c r="GR18" s="753"/>
      <c r="GS18" s="753"/>
      <c r="GT18" s="753"/>
      <c r="GU18" s="753"/>
      <c r="GV18" s="753"/>
      <c r="GW18" s="753"/>
      <c r="GX18" s="753"/>
      <c r="GY18" s="753"/>
      <c r="GZ18" s="753"/>
      <c r="HA18" s="753"/>
      <c r="HB18" s="753"/>
      <c r="HC18" s="753"/>
      <c r="HD18" s="753"/>
      <c r="HE18" s="753"/>
      <c r="HF18" s="753"/>
      <c r="HG18" s="753"/>
      <c r="HH18" s="753"/>
      <c r="HI18" s="753"/>
      <c r="HJ18" s="753"/>
      <c r="HK18" s="753"/>
      <c r="HL18" s="753"/>
      <c r="HM18" s="753"/>
      <c r="HN18" s="753"/>
      <c r="HO18" s="753"/>
      <c r="HP18" s="753"/>
      <c r="HQ18" s="753"/>
      <c r="HR18" s="753"/>
      <c r="HS18" s="753"/>
      <c r="HT18" s="753"/>
      <c r="HU18" s="753"/>
      <c r="HV18" s="753"/>
      <c r="HW18" s="753"/>
      <c r="HX18" s="753"/>
      <c r="HY18" s="753"/>
      <c r="HZ18" s="753"/>
      <c r="IA18" s="753"/>
      <c r="IB18" s="753"/>
      <c r="IC18" s="753"/>
      <c r="ID18" s="753"/>
      <c r="IE18" s="753"/>
      <c r="IF18" s="753"/>
      <c r="IG18" s="753"/>
      <c r="IH18" s="753"/>
      <c r="II18" s="753"/>
      <c r="IJ18" s="753"/>
      <c r="IK18" s="753"/>
      <c r="IL18" s="753"/>
      <c r="IM18" s="753"/>
      <c r="IN18" s="753"/>
      <c r="IO18" s="753"/>
      <c r="IP18" s="753"/>
      <c r="IQ18" s="753"/>
      <c r="IR18" s="753"/>
      <c r="IS18" s="753"/>
      <c r="IT18" s="753"/>
      <c r="IU18" s="753"/>
      <c r="IV18" s="753"/>
    </row>
    <row r="19" spans="1:256" ht="31.5" thickBot="1">
      <c r="A19" s="737">
        <v>1</v>
      </c>
      <c r="B19" s="738" t="s">
        <v>2249</v>
      </c>
      <c r="C19" s="739">
        <v>953</v>
      </c>
      <c r="D19" s="757" t="s">
        <v>2250</v>
      </c>
      <c r="E19" s="739" t="s">
        <v>2251</v>
      </c>
      <c r="F19" s="758">
        <v>15</v>
      </c>
      <c r="G19" s="759">
        <v>80000</v>
      </c>
      <c r="H19" s="759">
        <f>+G19*F19</f>
        <v>1200000</v>
      </c>
      <c r="I19" s="742"/>
      <c r="J19" s="724"/>
      <c r="M19" s="733">
        <v>12</v>
      </c>
      <c r="N19" s="734" t="s">
        <v>2252</v>
      </c>
      <c r="O19" s="735" t="s">
        <v>2232</v>
      </c>
      <c r="P19" s="736">
        <v>410.29</v>
      </c>
    </row>
    <row r="20" spans="1:256" ht="16" thickBot="1">
      <c r="A20" s="737">
        <v>2</v>
      </c>
      <c r="B20" s="760" t="s">
        <v>2253</v>
      </c>
      <c r="C20" s="748"/>
      <c r="D20" s="748"/>
      <c r="E20" s="739"/>
      <c r="F20" s="758"/>
      <c r="G20" s="759"/>
      <c r="H20" s="761"/>
      <c r="I20" s="742"/>
      <c r="K20" s="725">
        <f>SUM(K21:K21)</f>
        <v>7773619.7260799995</v>
      </c>
      <c r="M20" s="733">
        <v>13</v>
      </c>
      <c r="N20" s="734" t="s">
        <v>2254</v>
      </c>
      <c r="O20" s="735" t="s">
        <v>2232</v>
      </c>
      <c r="P20" s="736">
        <v>297.10000000000002</v>
      </c>
    </row>
    <row r="21" spans="1:256" ht="31.5" thickBot="1">
      <c r="A21" s="739" t="s">
        <v>2255</v>
      </c>
      <c r="B21" s="762" t="s">
        <v>2256</v>
      </c>
      <c r="C21" s="763" t="s">
        <v>2257</v>
      </c>
      <c r="D21" s="763" t="s">
        <v>2258</v>
      </c>
      <c r="E21" s="763" t="s">
        <v>2259</v>
      </c>
      <c r="F21" s="758">
        <v>1</v>
      </c>
      <c r="G21" s="759">
        <f>(673*1042+35*2222+12*3866)*1.3*15</f>
        <v>16095846.000000002</v>
      </c>
      <c r="H21" s="759">
        <f>+G21*F21</f>
        <v>16095846.000000002</v>
      </c>
      <c r="I21" s="764"/>
      <c r="K21" s="725">
        <f>348.02*1413*15.808</f>
        <v>7773619.7260799995</v>
      </c>
      <c r="M21" s="733">
        <v>14</v>
      </c>
      <c r="N21" s="734" t="s">
        <v>2260</v>
      </c>
      <c r="O21" s="735" t="s">
        <v>2232</v>
      </c>
      <c r="P21" s="736">
        <v>369.8</v>
      </c>
    </row>
    <row r="22" spans="1:256" ht="16" thickBot="1">
      <c r="A22" s="765">
        <v>3</v>
      </c>
      <c r="B22" s="762" t="s">
        <v>2261</v>
      </c>
      <c r="C22" s="739"/>
      <c r="D22" s="739"/>
      <c r="E22" s="739"/>
      <c r="F22" s="758"/>
      <c r="G22" s="759"/>
      <c r="H22" s="761"/>
      <c r="I22" s="742"/>
      <c r="M22" s="733">
        <v>15</v>
      </c>
      <c r="N22" s="734" t="s">
        <v>2262</v>
      </c>
      <c r="O22" s="735" t="s">
        <v>2232</v>
      </c>
      <c r="P22" s="736">
        <v>541.29</v>
      </c>
    </row>
    <row r="23" spans="1:256" ht="31.5" thickBot="1">
      <c r="A23" s="739" t="s">
        <v>2255</v>
      </c>
      <c r="B23" s="762" t="s">
        <v>2263</v>
      </c>
      <c r="C23" s="763" t="s">
        <v>2379</v>
      </c>
      <c r="D23" s="763" t="s">
        <v>2272</v>
      </c>
      <c r="E23" s="763" t="s">
        <v>2259</v>
      </c>
      <c r="F23" s="758">
        <v>2</v>
      </c>
      <c r="G23" s="759">
        <f>100000*10/1.05*2</f>
        <v>1904761.9047619046</v>
      </c>
      <c r="H23" s="759">
        <f>+G23*F23</f>
        <v>3809523.8095238092</v>
      </c>
      <c r="I23" s="764"/>
      <c r="M23" s="733">
        <v>16</v>
      </c>
      <c r="N23" s="734" t="s">
        <v>2264</v>
      </c>
      <c r="O23" s="735" t="s">
        <v>2232</v>
      </c>
      <c r="P23" s="736">
        <v>603.79</v>
      </c>
    </row>
    <row r="24" spans="1:256" ht="47" thickBot="1">
      <c r="A24" s="737">
        <v>4</v>
      </c>
      <c r="B24" s="738" t="s">
        <v>2265</v>
      </c>
      <c r="C24" s="739">
        <v>953</v>
      </c>
      <c r="D24" s="757" t="s">
        <v>2250</v>
      </c>
      <c r="E24" s="739" t="s">
        <v>2251</v>
      </c>
      <c r="F24" s="758">
        <v>10</v>
      </c>
      <c r="G24" s="759">
        <v>80000</v>
      </c>
      <c r="H24" s="759">
        <f>+G24*F24</f>
        <v>800000</v>
      </c>
      <c r="I24" s="742"/>
      <c r="J24" s="724"/>
      <c r="M24" s="733">
        <v>12</v>
      </c>
      <c r="N24" s="734" t="s">
        <v>2252</v>
      </c>
      <c r="O24" s="735" t="s">
        <v>2232</v>
      </c>
      <c r="P24" s="736">
        <v>410.29</v>
      </c>
    </row>
    <row r="25" spans="1:256" ht="37" customHeight="1">
      <c r="A25" s="766">
        <v>5</v>
      </c>
      <c r="B25" s="738" t="s">
        <v>2266</v>
      </c>
      <c r="C25" s="757" t="s">
        <v>2267</v>
      </c>
      <c r="D25" s="757" t="s">
        <v>2268</v>
      </c>
      <c r="E25" s="757" t="s">
        <v>2269</v>
      </c>
      <c r="F25" s="767">
        <v>15</v>
      </c>
      <c r="G25" s="768">
        <f>20000+15000</f>
        <v>35000</v>
      </c>
      <c r="H25" s="768">
        <f>F25*G25</f>
        <v>525000</v>
      </c>
      <c r="I25" s="742" t="s">
        <v>2270</v>
      </c>
      <c r="J25" s="769"/>
      <c r="K25" s="769"/>
      <c r="L25" s="769"/>
      <c r="M25" s="769"/>
      <c r="N25" s="769"/>
      <c r="O25" s="769"/>
      <c r="P25" s="769"/>
      <c r="Q25" s="769"/>
      <c r="R25" s="769"/>
      <c r="S25" s="769"/>
      <c r="T25" s="769"/>
      <c r="U25" s="769"/>
      <c r="V25" s="769"/>
      <c r="W25" s="769"/>
      <c r="X25" s="769"/>
      <c r="Y25" s="769"/>
      <c r="Z25" s="769"/>
      <c r="AA25" s="769"/>
      <c r="AB25" s="769"/>
      <c r="AC25" s="769"/>
      <c r="AD25" s="769"/>
      <c r="AE25" s="769"/>
      <c r="AF25" s="769"/>
      <c r="AG25" s="769"/>
      <c r="AH25" s="769"/>
      <c r="AI25" s="769"/>
      <c r="AJ25" s="769"/>
      <c r="AK25" s="769"/>
      <c r="AL25" s="769"/>
      <c r="AM25" s="769"/>
      <c r="AN25" s="769"/>
      <c r="AO25" s="769"/>
      <c r="AP25" s="769"/>
      <c r="AQ25" s="769"/>
      <c r="AR25" s="769"/>
      <c r="AS25" s="769"/>
      <c r="AT25" s="769"/>
      <c r="AU25" s="769"/>
      <c r="AV25" s="769"/>
      <c r="AW25" s="769"/>
      <c r="AX25" s="769"/>
      <c r="AY25" s="769"/>
      <c r="AZ25" s="769"/>
      <c r="BA25" s="769"/>
      <c r="BB25" s="769"/>
      <c r="BC25" s="769"/>
      <c r="BD25" s="769"/>
      <c r="BE25" s="769"/>
      <c r="BF25" s="769"/>
      <c r="BG25" s="769"/>
      <c r="BH25" s="769"/>
      <c r="BI25" s="769"/>
      <c r="BJ25" s="769"/>
      <c r="BK25" s="769"/>
      <c r="BL25" s="769"/>
      <c r="BM25" s="769"/>
      <c r="BN25" s="769"/>
      <c r="BO25" s="769"/>
      <c r="BP25" s="769"/>
      <c r="BQ25" s="769"/>
      <c r="BR25" s="769"/>
      <c r="BS25" s="769"/>
      <c r="BT25" s="769"/>
      <c r="BU25" s="769"/>
      <c r="BV25" s="769"/>
      <c r="BW25" s="769"/>
      <c r="BX25" s="769"/>
      <c r="BY25" s="769"/>
      <c r="BZ25" s="769"/>
      <c r="CA25" s="769"/>
      <c r="CB25" s="769"/>
      <c r="CC25" s="769"/>
      <c r="CD25" s="769"/>
      <c r="CE25" s="769"/>
      <c r="CF25" s="769"/>
      <c r="CG25" s="769"/>
      <c r="CH25" s="769"/>
      <c r="CI25" s="769"/>
      <c r="CJ25" s="769"/>
      <c r="CK25" s="769"/>
      <c r="CL25" s="769"/>
      <c r="CM25" s="769"/>
      <c r="CN25" s="769"/>
      <c r="CO25" s="769"/>
      <c r="CP25" s="769"/>
      <c r="CQ25" s="769"/>
      <c r="CR25" s="769"/>
      <c r="CS25" s="769"/>
      <c r="CT25" s="769"/>
      <c r="CU25" s="769"/>
      <c r="CV25" s="769"/>
      <c r="CW25" s="769"/>
      <c r="CX25" s="769"/>
      <c r="CY25" s="769"/>
      <c r="CZ25" s="769"/>
      <c r="DA25" s="769"/>
      <c r="DB25" s="769"/>
      <c r="DC25" s="769"/>
      <c r="DD25" s="769"/>
      <c r="DE25" s="769"/>
      <c r="DF25" s="769"/>
      <c r="DG25" s="769"/>
      <c r="DH25" s="769"/>
      <c r="DI25" s="769"/>
      <c r="DJ25" s="769"/>
      <c r="DK25" s="769"/>
      <c r="DL25" s="769"/>
      <c r="DM25" s="769"/>
      <c r="DN25" s="769"/>
      <c r="DO25" s="769"/>
      <c r="DP25" s="769"/>
      <c r="DQ25" s="769"/>
      <c r="DR25" s="769"/>
      <c r="DS25" s="769"/>
      <c r="DT25" s="769"/>
      <c r="DU25" s="769"/>
      <c r="DV25" s="769"/>
      <c r="DW25" s="769"/>
      <c r="DX25" s="769"/>
      <c r="DY25" s="769"/>
      <c r="DZ25" s="769"/>
      <c r="EA25" s="769"/>
      <c r="EB25" s="769"/>
      <c r="EC25" s="769"/>
      <c r="ED25" s="769"/>
      <c r="EE25" s="769"/>
      <c r="EF25" s="769"/>
      <c r="EG25" s="769"/>
      <c r="EH25" s="769"/>
      <c r="EI25" s="769"/>
      <c r="EJ25" s="769"/>
      <c r="EK25" s="769"/>
      <c r="EL25" s="769"/>
      <c r="EM25" s="769"/>
      <c r="EN25" s="769"/>
      <c r="EO25" s="769"/>
      <c r="EP25" s="769"/>
      <c r="EQ25" s="769"/>
      <c r="ER25" s="769"/>
      <c r="ES25" s="769"/>
      <c r="ET25" s="769"/>
      <c r="EU25" s="769"/>
      <c r="EV25" s="769"/>
      <c r="EW25" s="769"/>
      <c r="EX25" s="769"/>
      <c r="EY25" s="769"/>
      <c r="EZ25" s="769"/>
      <c r="FA25" s="769"/>
      <c r="FB25" s="769"/>
      <c r="FC25" s="769"/>
      <c r="FD25" s="769"/>
      <c r="FE25" s="769"/>
      <c r="FF25" s="769"/>
      <c r="FG25" s="769"/>
      <c r="FH25" s="769"/>
      <c r="FI25" s="769"/>
      <c r="FJ25" s="769"/>
      <c r="FK25" s="769"/>
      <c r="FL25" s="769"/>
      <c r="FM25" s="769"/>
      <c r="FN25" s="769"/>
      <c r="FO25" s="769"/>
      <c r="FP25" s="769"/>
      <c r="FQ25" s="769"/>
      <c r="FR25" s="769"/>
      <c r="FS25" s="769"/>
      <c r="FT25" s="769"/>
      <c r="FU25" s="769"/>
      <c r="FV25" s="769"/>
      <c r="FW25" s="769"/>
      <c r="FX25" s="769"/>
      <c r="FY25" s="769"/>
      <c r="FZ25" s="769"/>
      <c r="GA25" s="769"/>
      <c r="GB25" s="769"/>
      <c r="GC25" s="769"/>
      <c r="GD25" s="769"/>
      <c r="GE25" s="769"/>
      <c r="GF25" s="769"/>
      <c r="GG25" s="769"/>
      <c r="GH25" s="769"/>
      <c r="GI25" s="769"/>
      <c r="GJ25" s="769"/>
      <c r="GK25" s="769"/>
      <c r="GL25" s="769"/>
      <c r="GM25" s="769"/>
      <c r="GN25" s="769"/>
      <c r="GO25" s="769"/>
      <c r="GP25" s="769"/>
      <c r="GQ25" s="769"/>
      <c r="GR25" s="769"/>
      <c r="GS25" s="769"/>
      <c r="GT25" s="769"/>
      <c r="GU25" s="769"/>
      <c r="GV25" s="769"/>
      <c r="GW25" s="769"/>
      <c r="GX25" s="769"/>
      <c r="GY25" s="769"/>
      <c r="GZ25" s="769"/>
      <c r="HA25" s="769"/>
      <c r="HB25" s="769"/>
      <c r="HC25" s="769"/>
      <c r="HD25" s="769"/>
      <c r="HE25" s="769"/>
      <c r="HF25" s="769"/>
      <c r="HG25" s="769"/>
      <c r="HH25" s="769"/>
      <c r="HI25" s="769"/>
      <c r="HJ25" s="769"/>
      <c r="HK25" s="769"/>
      <c r="HL25" s="769"/>
      <c r="HM25" s="769"/>
      <c r="HN25" s="769"/>
      <c r="HO25" s="769"/>
      <c r="HP25" s="769"/>
      <c r="HQ25" s="769"/>
      <c r="HR25" s="769"/>
      <c r="HS25" s="769"/>
      <c r="HT25" s="769"/>
      <c r="HU25" s="769"/>
      <c r="HV25" s="769"/>
      <c r="HW25" s="769"/>
      <c r="HX25" s="769"/>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c r="A26" s="737"/>
      <c r="B26" s="770" t="s">
        <v>2271</v>
      </c>
      <c r="C26" s="737"/>
      <c r="D26" s="737"/>
      <c r="E26" s="737"/>
      <c r="F26" s="771"/>
      <c r="G26" s="761"/>
      <c r="H26" s="761">
        <f>SUM(H19:H25)</f>
        <v>22430369.80952381</v>
      </c>
      <c r="I26" s="772"/>
      <c r="J26" s="773"/>
      <c r="K26" s="774"/>
      <c r="L26" s="773"/>
      <c r="M26" s="773"/>
      <c r="N26" s="773"/>
      <c r="O26" s="773"/>
      <c r="P26" s="773">
        <f>SUM(P10:P23)</f>
        <v>7033.2800000000007</v>
      </c>
      <c r="Q26" s="773"/>
      <c r="R26" s="773"/>
      <c r="S26" s="773"/>
      <c r="T26" s="773"/>
      <c r="U26" s="773"/>
      <c r="V26" s="773"/>
      <c r="W26" s="773"/>
      <c r="X26" s="773"/>
      <c r="Y26" s="773"/>
      <c r="Z26" s="773"/>
      <c r="AA26" s="773"/>
      <c r="AB26" s="773"/>
      <c r="AC26" s="773"/>
      <c r="AD26" s="773"/>
      <c r="AE26" s="773"/>
      <c r="AF26" s="773"/>
      <c r="AG26" s="773"/>
      <c r="AH26" s="773"/>
      <c r="AI26" s="773"/>
      <c r="AJ26" s="773"/>
      <c r="AK26" s="773"/>
      <c r="AL26" s="773"/>
      <c r="AM26" s="773"/>
      <c r="AN26" s="773"/>
      <c r="AO26" s="773"/>
      <c r="AP26" s="773"/>
      <c r="AQ26" s="773"/>
      <c r="AR26" s="773"/>
      <c r="AS26" s="773"/>
      <c r="AT26" s="773"/>
      <c r="AU26" s="773"/>
      <c r="AV26" s="773"/>
      <c r="AW26" s="773"/>
      <c r="AX26" s="773"/>
      <c r="AY26" s="773"/>
      <c r="AZ26" s="773"/>
      <c r="BA26" s="773"/>
      <c r="BB26" s="773"/>
      <c r="BC26" s="773"/>
      <c r="BD26" s="773"/>
      <c r="BE26" s="773"/>
      <c r="BF26" s="773"/>
      <c r="BG26" s="773"/>
      <c r="BH26" s="773"/>
      <c r="BI26" s="773"/>
      <c r="BJ26" s="773"/>
      <c r="BK26" s="773"/>
      <c r="BL26" s="773"/>
      <c r="BM26" s="773"/>
      <c r="BN26" s="773"/>
      <c r="BO26" s="773"/>
      <c r="BP26" s="773"/>
      <c r="BQ26" s="773"/>
      <c r="BR26" s="773"/>
      <c r="BS26" s="773"/>
      <c r="BT26" s="773"/>
      <c r="BU26" s="773"/>
      <c r="BV26" s="773"/>
      <c r="BW26" s="773"/>
      <c r="BX26" s="773"/>
      <c r="BY26" s="773"/>
      <c r="BZ26" s="773"/>
      <c r="CA26" s="773"/>
      <c r="CB26" s="773"/>
      <c r="CC26" s="773"/>
      <c r="CD26" s="773"/>
      <c r="CE26" s="773"/>
      <c r="CF26" s="773"/>
      <c r="CG26" s="773"/>
      <c r="CH26" s="773"/>
      <c r="CI26" s="773"/>
      <c r="CJ26" s="773"/>
      <c r="CK26" s="773"/>
      <c r="CL26" s="773"/>
      <c r="CM26" s="773"/>
      <c r="CN26" s="773"/>
      <c r="CO26" s="773"/>
      <c r="CP26" s="773"/>
      <c r="CQ26" s="773"/>
      <c r="CR26" s="773"/>
      <c r="CS26" s="773"/>
      <c r="CT26" s="773"/>
      <c r="CU26" s="773"/>
      <c r="CV26" s="773"/>
      <c r="CW26" s="773"/>
      <c r="CX26" s="773"/>
      <c r="CY26" s="773"/>
      <c r="CZ26" s="773"/>
      <c r="DA26" s="773"/>
      <c r="DB26" s="773"/>
      <c r="DC26" s="773"/>
      <c r="DD26" s="773"/>
      <c r="DE26" s="773"/>
      <c r="DF26" s="773"/>
      <c r="DG26" s="773"/>
      <c r="DH26" s="773"/>
      <c r="DI26" s="773"/>
      <c r="DJ26" s="773"/>
      <c r="DK26" s="773"/>
      <c r="DL26" s="773"/>
      <c r="DM26" s="773"/>
      <c r="DN26" s="773"/>
      <c r="DO26" s="773"/>
      <c r="DP26" s="773"/>
      <c r="DQ26" s="773"/>
      <c r="DR26" s="773"/>
      <c r="DS26" s="773"/>
      <c r="DT26" s="773"/>
      <c r="DU26" s="773"/>
      <c r="DV26" s="773"/>
      <c r="DW26" s="773"/>
      <c r="DX26" s="773"/>
      <c r="DY26" s="773"/>
      <c r="DZ26" s="773"/>
      <c r="EA26" s="773"/>
      <c r="EB26" s="773"/>
      <c r="EC26" s="773"/>
      <c r="ED26" s="773"/>
      <c r="EE26" s="773"/>
      <c r="EF26" s="773"/>
      <c r="EG26" s="773"/>
      <c r="EH26" s="773"/>
      <c r="EI26" s="773"/>
      <c r="EJ26" s="773"/>
      <c r="EK26" s="773"/>
      <c r="EL26" s="773"/>
      <c r="EM26" s="773"/>
      <c r="EN26" s="773"/>
      <c r="EO26" s="773"/>
      <c r="EP26" s="773"/>
      <c r="EQ26" s="773"/>
      <c r="ER26" s="773"/>
      <c r="ES26" s="773"/>
      <c r="ET26" s="773"/>
      <c r="EU26" s="773"/>
      <c r="EV26" s="773"/>
      <c r="EW26" s="773"/>
      <c r="EX26" s="773"/>
      <c r="EY26" s="773"/>
      <c r="EZ26" s="773"/>
      <c r="FA26" s="773"/>
      <c r="FB26" s="773"/>
      <c r="FC26" s="773"/>
      <c r="FD26" s="773"/>
      <c r="FE26" s="773"/>
      <c r="FF26" s="773"/>
      <c r="FG26" s="773"/>
      <c r="FH26" s="773"/>
      <c r="FI26" s="773"/>
      <c r="FJ26" s="773"/>
      <c r="FK26" s="773"/>
      <c r="FL26" s="773"/>
      <c r="FM26" s="773"/>
      <c r="FN26" s="773"/>
      <c r="FO26" s="773"/>
      <c r="FP26" s="773"/>
      <c r="FQ26" s="773"/>
      <c r="FR26" s="773"/>
      <c r="FS26" s="773"/>
      <c r="FT26" s="773"/>
      <c r="FU26" s="773"/>
      <c r="FV26" s="773"/>
      <c r="FW26" s="773"/>
      <c r="FX26" s="773"/>
      <c r="FY26" s="773"/>
      <c r="FZ26" s="773"/>
      <c r="GA26" s="773"/>
      <c r="GB26" s="773"/>
      <c r="GC26" s="773"/>
      <c r="GD26" s="773"/>
      <c r="GE26" s="773"/>
      <c r="GF26" s="773"/>
      <c r="GG26" s="773"/>
      <c r="GH26" s="773"/>
      <c r="GI26" s="773"/>
      <c r="GJ26" s="773"/>
      <c r="GK26" s="773"/>
      <c r="GL26" s="773"/>
      <c r="GM26" s="773"/>
      <c r="GN26" s="773"/>
      <c r="GO26" s="773"/>
      <c r="GP26" s="773"/>
      <c r="GQ26" s="773"/>
      <c r="GR26" s="773"/>
      <c r="GS26" s="773"/>
      <c r="GT26" s="773"/>
      <c r="GU26" s="773"/>
      <c r="GV26" s="773"/>
      <c r="GW26" s="773"/>
      <c r="GX26" s="773"/>
      <c r="GY26" s="773"/>
      <c r="GZ26" s="773"/>
      <c r="HA26" s="773"/>
      <c r="HB26" s="773"/>
      <c r="HC26" s="773"/>
      <c r="HD26" s="773"/>
      <c r="HE26" s="773"/>
      <c r="HF26" s="773"/>
      <c r="HG26" s="773"/>
      <c r="HH26" s="773"/>
      <c r="HI26" s="773"/>
      <c r="HJ26" s="773"/>
      <c r="HK26" s="773"/>
      <c r="HL26" s="773"/>
      <c r="HM26" s="773"/>
      <c r="HN26" s="773"/>
      <c r="HO26" s="773"/>
      <c r="HP26" s="773"/>
      <c r="HQ26" s="773"/>
      <c r="HR26" s="773"/>
      <c r="HS26" s="773"/>
      <c r="HT26" s="773"/>
      <c r="HU26" s="773"/>
      <c r="HV26" s="773"/>
      <c r="HW26" s="773"/>
      <c r="HX26" s="773"/>
      <c r="HY26" s="773"/>
      <c r="HZ26" s="773"/>
      <c r="IA26" s="773"/>
      <c r="IB26" s="773"/>
      <c r="IC26" s="773"/>
      <c r="ID26" s="773"/>
      <c r="IE26" s="773"/>
      <c r="IF26" s="773"/>
      <c r="IG26" s="773"/>
      <c r="IH26" s="773"/>
      <c r="II26" s="773"/>
      <c r="IJ26" s="773"/>
      <c r="IK26" s="773"/>
      <c r="IL26" s="773"/>
      <c r="IM26" s="773"/>
      <c r="IN26" s="773"/>
      <c r="IO26" s="773"/>
      <c r="IP26" s="773"/>
      <c r="IQ26" s="773"/>
      <c r="IR26" s="773"/>
      <c r="IS26" s="773"/>
      <c r="IT26" s="773"/>
      <c r="IU26" s="773"/>
      <c r="IV26" s="773"/>
    </row>
    <row r="27" spans="1:256">
      <c r="A27" s="775"/>
      <c r="B27" s="776"/>
      <c r="C27" s="775"/>
      <c r="D27" s="775"/>
      <c r="E27" s="777"/>
      <c r="F27" s="778"/>
      <c r="G27" s="779"/>
      <c r="H27" s="761"/>
      <c r="I27" s="775"/>
    </row>
    <row r="32" spans="1:256">
      <c r="K32" s="725">
        <f>8*1.5</f>
        <v>12</v>
      </c>
    </row>
  </sheetData>
  <mergeCells count="16">
    <mergeCell ref="A7:I7"/>
    <mergeCell ref="A9:A10"/>
    <mergeCell ref="B9:B10"/>
    <mergeCell ref="C9:C10"/>
    <mergeCell ref="D9:D10"/>
    <mergeCell ref="E9:E10"/>
    <mergeCell ref="F9:F10"/>
    <mergeCell ref="G9:G10"/>
    <mergeCell ref="H9:H10"/>
    <mergeCell ref="I9:I10"/>
    <mergeCell ref="A6:I6"/>
    <mergeCell ref="A1:I1"/>
    <mergeCell ref="A2:I2"/>
    <mergeCell ref="A3:I3"/>
    <mergeCell ref="A4:I4"/>
    <mergeCell ref="A5:I5"/>
  </mergeCells>
  <pageMargins left="0.70866141732283472" right="0.27559055118110237" top="0.39370078740157483" bottom="0.35" header="0.31496062992125984" footer="0.31496062992125984"/>
  <pageSetup paperSize="9" scale="9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zoomScale="70" zoomScaleNormal="70" workbookViewId="0">
      <selection activeCell="D13" sqref="D13"/>
    </sheetView>
  </sheetViews>
  <sheetFormatPr defaultColWidth="9" defaultRowHeight="14"/>
  <cols>
    <col min="1" max="1" width="5.25" style="432" customWidth="1"/>
    <col min="2" max="2" width="32.25" style="427" customWidth="1"/>
    <col min="3" max="4" width="9" style="433" customWidth="1"/>
    <col min="5" max="5" width="9.33203125" style="427" customWidth="1"/>
    <col min="6" max="6" width="3.33203125" style="427" customWidth="1"/>
    <col min="7" max="7" width="5.75" style="427" customWidth="1"/>
    <col min="8" max="8" width="4.83203125" style="427" customWidth="1"/>
    <col min="9" max="9" width="6.83203125" style="427" customWidth="1"/>
    <col min="10" max="10" width="8.08203125" style="432" customWidth="1"/>
    <col min="11" max="11" width="28.33203125" style="432" customWidth="1"/>
    <col min="12" max="13" width="9" style="432"/>
    <col min="14" max="245" width="9" style="427"/>
    <col min="246" max="246" width="5.25" style="427" customWidth="1"/>
    <col min="247" max="247" width="24.33203125" style="427" customWidth="1"/>
    <col min="248" max="248" width="9.33203125" style="427" customWidth="1"/>
    <col min="249" max="251" width="7.75" style="427" customWidth="1"/>
    <col min="252" max="253" width="11.83203125" style="427" customWidth="1"/>
    <col min="254" max="254" width="28.33203125" style="427" customWidth="1"/>
    <col min="255" max="256" width="9" style="427"/>
    <col min="257" max="257" width="12.33203125" style="427" customWidth="1"/>
    <col min="258" max="258" width="9" style="427"/>
    <col min="259" max="259" width="13.75" style="427" bestFit="1" customWidth="1"/>
    <col min="260" max="501" width="9" style="427"/>
    <col min="502" max="502" width="5.25" style="427" customWidth="1"/>
    <col min="503" max="503" width="24.33203125" style="427" customWidth="1"/>
    <col min="504" max="504" width="9.33203125" style="427" customWidth="1"/>
    <col min="505" max="507" width="7.75" style="427" customWidth="1"/>
    <col min="508" max="509" width="11.83203125" style="427" customWidth="1"/>
    <col min="510" max="510" width="28.33203125" style="427" customWidth="1"/>
    <col min="511" max="512" width="9" style="427"/>
    <col min="513" max="513" width="12.33203125" style="427" customWidth="1"/>
    <col min="514" max="514" width="9" style="427"/>
    <col min="515" max="515" width="13.75" style="427" bestFit="1" customWidth="1"/>
    <col min="516" max="757" width="9" style="427"/>
    <col min="758" max="758" width="5.25" style="427" customWidth="1"/>
    <col min="759" max="759" width="24.33203125" style="427" customWidth="1"/>
    <col min="760" max="760" width="9.33203125" style="427" customWidth="1"/>
    <col min="761" max="763" width="7.75" style="427" customWidth="1"/>
    <col min="764" max="765" width="11.83203125" style="427" customWidth="1"/>
    <col min="766" max="766" width="28.33203125" style="427" customWidth="1"/>
    <col min="767" max="768" width="9" style="427"/>
    <col min="769" max="769" width="12.33203125" style="427" customWidth="1"/>
    <col min="770" max="770" width="9" style="427"/>
    <col min="771" max="771" width="13.75" style="427" bestFit="1" customWidth="1"/>
    <col min="772" max="1013" width="9" style="427"/>
    <col min="1014" max="1014" width="5.25" style="427" customWidth="1"/>
    <col min="1015" max="1015" width="24.33203125" style="427" customWidth="1"/>
    <col min="1016" max="1016" width="9.33203125" style="427" customWidth="1"/>
    <col min="1017" max="1019" width="7.75" style="427" customWidth="1"/>
    <col min="1020" max="1021" width="11.83203125" style="427" customWidth="1"/>
    <col min="1022" max="1022" width="28.33203125" style="427" customWidth="1"/>
    <col min="1023" max="1024" width="9" style="427"/>
    <col min="1025" max="1025" width="12.33203125" style="427" customWidth="1"/>
    <col min="1026" max="1026" width="9" style="427"/>
    <col min="1027" max="1027" width="13.75" style="427" bestFit="1" customWidth="1"/>
    <col min="1028" max="1269" width="9" style="427"/>
    <col min="1270" max="1270" width="5.25" style="427" customWidth="1"/>
    <col min="1271" max="1271" width="24.33203125" style="427" customWidth="1"/>
    <col min="1272" max="1272" width="9.33203125" style="427" customWidth="1"/>
    <col min="1273" max="1275" width="7.75" style="427" customWidth="1"/>
    <col min="1276" max="1277" width="11.83203125" style="427" customWidth="1"/>
    <col min="1278" max="1278" width="28.33203125" style="427" customWidth="1"/>
    <col min="1279" max="1280" width="9" style="427"/>
    <col min="1281" max="1281" width="12.33203125" style="427" customWidth="1"/>
    <col min="1282" max="1282" width="9" style="427"/>
    <col min="1283" max="1283" width="13.75" style="427" bestFit="1" customWidth="1"/>
    <col min="1284" max="1525" width="9" style="427"/>
    <col min="1526" max="1526" width="5.25" style="427" customWidth="1"/>
    <col min="1527" max="1527" width="24.33203125" style="427" customWidth="1"/>
    <col min="1528" max="1528" width="9.33203125" style="427" customWidth="1"/>
    <col min="1529" max="1531" width="7.75" style="427" customWidth="1"/>
    <col min="1532" max="1533" width="11.83203125" style="427" customWidth="1"/>
    <col min="1534" max="1534" width="28.33203125" style="427" customWidth="1"/>
    <col min="1535" max="1536" width="9" style="427"/>
    <col min="1537" max="1537" width="12.33203125" style="427" customWidth="1"/>
    <col min="1538" max="1538" width="9" style="427"/>
    <col min="1539" max="1539" width="13.75" style="427" bestFit="1" customWidth="1"/>
    <col min="1540" max="1781" width="9" style="427"/>
    <col min="1782" max="1782" width="5.25" style="427" customWidth="1"/>
    <col min="1783" max="1783" width="24.33203125" style="427" customWidth="1"/>
    <col min="1784" max="1784" width="9.33203125" style="427" customWidth="1"/>
    <col min="1785" max="1787" width="7.75" style="427" customWidth="1"/>
    <col min="1788" max="1789" width="11.83203125" style="427" customWidth="1"/>
    <col min="1790" max="1790" width="28.33203125" style="427" customWidth="1"/>
    <col min="1791" max="1792" width="9" style="427"/>
    <col min="1793" max="1793" width="12.33203125" style="427" customWidth="1"/>
    <col min="1794" max="1794" width="9" style="427"/>
    <col min="1795" max="1795" width="13.75" style="427" bestFit="1" customWidth="1"/>
    <col min="1796" max="2037" width="9" style="427"/>
    <col min="2038" max="2038" width="5.25" style="427" customWidth="1"/>
    <col min="2039" max="2039" width="24.33203125" style="427" customWidth="1"/>
    <col min="2040" max="2040" width="9.33203125" style="427" customWidth="1"/>
    <col min="2041" max="2043" width="7.75" style="427" customWidth="1"/>
    <col min="2044" max="2045" width="11.83203125" style="427" customWidth="1"/>
    <col min="2046" max="2046" width="28.33203125" style="427" customWidth="1"/>
    <col min="2047" max="2048" width="9" style="427"/>
    <col min="2049" max="2049" width="12.33203125" style="427" customWidth="1"/>
    <col min="2050" max="2050" width="9" style="427"/>
    <col min="2051" max="2051" width="13.75" style="427" bestFit="1" customWidth="1"/>
    <col min="2052" max="2293" width="9" style="427"/>
    <col min="2294" max="2294" width="5.25" style="427" customWidth="1"/>
    <col min="2295" max="2295" width="24.33203125" style="427" customWidth="1"/>
    <col min="2296" max="2296" width="9.33203125" style="427" customWidth="1"/>
    <col min="2297" max="2299" width="7.75" style="427" customWidth="1"/>
    <col min="2300" max="2301" width="11.83203125" style="427" customWidth="1"/>
    <col min="2302" max="2302" width="28.33203125" style="427" customWidth="1"/>
    <col min="2303" max="2304" width="9" style="427"/>
    <col min="2305" max="2305" width="12.33203125" style="427" customWidth="1"/>
    <col min="2306" max="2306" width="9" style="427"/>
    <col min="2307" max="2307" width="13.75" style="427" bestFit="1" customWidth="1"/>
    <col min="2308" max="2549" width="9" style="427"/>
    <col min="2550" max="2550" width="5.25" style="427" customWidth="1"/>
    <col min="2551" max="2551" width="24.33203125" style="427" customWidth="1"/>
    <col min="2552" max="2552" width="9.33203125" style="427" customWidth="1"/>
    <col min="2553" max="2555" width="7.75" style="427" customWidth="1"/>
    <col min="2556" max="2557" width="11.83203125" style="427" customWidth="1"/>
    <col min="2558" max="2558" width="28.33203125" style="427" customWidth="1"/>
    <col min="2559" max="2560" width="9" style="427"/>
    <col min="2561" max="2561" width="12.33203125" style="427" customWidth="1"/>
    <col min="2562" max="2562" width="9" style="427"/>
    <col min="2563" max="2563" width="13.75" style="427" bestFit="1" customWidth="1"/>
    <col min="2564" max="2805" width="9" style="427"/>
    <col min="2806" max="2806" width="5.25" style="427" customWidth="1"/>
    <col min="2807" max="2807" width="24.33203125" style="427" customWidth="1"/>
    <col min="2808" max="2808" width="9.33203125" style="427" customWidth="1"/>
    <col min="2809" max="2811" width="7.75" style="427" customWidth="1"/>
    <col min="2812" max="2813" width="11.83203125" style="427" customWidth="1"/>
    <col min="2814" max="2814" width="28.33203125" style="427" customWidth="1"/>
    <col min="2815" max="2816" width="9" style="427"/>
    <col min="2817" max="2817" width="12.33203125" style="427" customWidth="1"/>
    <col min="2818" max="2818" width="9" style="427"/>
    <col min="2819" max="2819" width="13.75" style="427" bestFit="1" customWidth="1"/>
    <col min="2820" max="3061" width="9" style="427"/>
    <col min="3062" max="3062" width="5.25" style="427" customWidth="1"/>
    <col min="3063" max="3063" width="24.33203125" style="427" customWidth="1"/>
    <col min="3064" max="3064" width="9.33203125" style="427" customWidth="1"/>
    <col min="3065" max="3067" width="7.75" style="427" customWidth="1"/>
    <col min="3068" max="3069" width="11.83203125" style="427" customWidth="1"/>
    <col min="3070" max="3070" width="28.33203125" style="427" customWidth="1"/>
    <col min="3071" max="3072" width="9" style="427"/>
    <col min="3073" max="3073" width="12.33203125" style="427" customWidth="1"/>
    <col min="3074" max="3074" width="9" style="427"/>
    <col min="3075" max="3075" width="13.75" style="427" bestFit="1" customWidth="1"/>
    <col min="3076" max="3317" width="9" style="427"/>
    <col min="3318" max="3318" width="5.25" style="427" customWidth="1"/>
    <col min="3319" max="3319" width="24.33203125" style="427" customWidth="1"/>
    <col min="3320" max="3320" width="9.33203125" style="427" customWidth="1"/>
    <col min="3321" max="3323" width="7.75" style="427" customWidth="1"/>
    <col min="3324" max="3325" width="11.83203125" style="427" customWidth="1"/>
    <col min="3326" max="3326" width="28.33203125" style="427" customWidth="1"/>
    <col min="3327" max="3328" width="9" style="427"/>
    <col min="3329" max="3329" width="12.33203125" style="427" customWidth="1"/>
    <col min="3330" max="3330" width="9" style="427"/>
    <col min="3331" max="3331" width="13.75" style="427" bestFit="1" customWidth="1"/>
    <col min="3332" max="3573" width="9" style="427"/>
    <col min="3574" max="3574" width="5.25" style="427" customWidth="1"/>
    <col min="3575" max="3575" width="24.33203125" style="427" customWidth="1"/>
    <col min="3576" max="3576" width="9.33203125" style="427" customWidth="1"/>
    <col min="3577" max="3579" width="7.75" style="427" customWidth="1"/>
    <col min="3580" max="3581" width="11.83203125" style="427" customWidth="1"/>
    <col min="3582" max="3582" width="28.33203125" style="427" customWidth="1"/>
    <col min="3583" max="3584" width="9" style="427"/>
    <col min="3585" max="3585" width="12.33203125" style="427" customWidth="1"/>
    <col min="3586" max="3586" width="9" style="427"/>
    <col min="3587" max="3587" width="13.75" style="427" bestFit="1" customWidth="1"/>
    <col min="3588" max="3829" width="9" style="427"/>
    <col min="3830" max="3830" width="5.25" style="427" customWidth="1"/>
    <col min="3831" max="3831" width="24.33203125" style="427" customWidth="1"/>
    <col min="3832" max="3832" width="9.33203125" style="427" customWidth="1"/>
    <col min="3833" max="3835" width="7.75" style="427" customWidth="1"/>
    <col min="3836" max="3837" width="11.83203125" style="427" customWidth="1"/>
    <col min="3838" max="3838" width="28.33203125" style="427" customWidth="1"/>
    <col min="3839" max="3840" width="9" style="427"/>
    <col min="3841" max="3841" width="12.33203125" style="427" customWidth="1"/>
    <col min="3842" max="3842" width="9" style="427"/>
    <col min="3843" max="3843" width="13.75" style="427" bestFit="1" customWidth="1"/>
    <col min="3844" max="4085" width="9" style="427"/>
    <col min="4086" max="4086" width="5.25" style="427" customWidth="1"/>
    <col min="4087" max="4087" width="24.33203125" style="427" customWidth="1"/>
    <col min="4088" max="4088" width="9.33203125" style="427" customWidth="1"/>
    <col min="4089" max="4091" width="7.75" style="427" customWidth="1"/>
    <col min="4092" max="4093" width="11.83203125" style="427" customWidth="1"/>
    <col min="4094" max="4094" width="28.33203125" style="427" customWidth="1"/>
    <col min="4095" max="4096" width="9" style="427"/>
    <col min="4097" max="4097" width="12.33203125" style="427" customWidth="1"/>
    <col min="4098" max="4098" width="9" style="427"/>
    <col min="4099" max="4099" width="13.75" style="427" bestFit="1" customWidth="1"/>
    <col min="4100" max="4341" width="9" style="427"/>
    <col min="4342" max="4342" width="5.25" style="427" customWidth="1"/>
    <col min="4343" max="4343" width="24.33203125" style="427" customWidth="1"/>
    <col min="4344" max="4344" width="9.33203125" style="427" customWidth="1"/>
    <col min="4345" max="4347" width="7.75" style="427" customWidth="1"/>
    <col min="4348" max="4349" width="11.83203125" style="427" customWidth="1"/>
    <col min="4350" max="4350" width="28.33203125" style="427" customWidth="1"/>
    <col min="4351" max="4352" width="9" style="427"/>
    <col min="4353" max="4353" width="12.33203125" style="427" customWidth="1"/>
    <col min="4354" max="4354" width="9" style="427"/>
    <col min="4355" max="4355" width="13.75" style="427" bestFit="1" customWidth="1"/>
    <col min="4356" max="4597" width="9" style="427"/>
    <col min="4598" max="4598" width="5.25" style="427" customWidth="1"/>
    <col min="4599" max="4599" width="24.33203125" style="427" customWidth="1"/>
    <col min="4600" max="4600" width="9.33203125" style="427" customWidth="1"/>
    <col min="4601" max="4603" width="7.75" style="427" customWidth="1"/>
    <col min="4604" max="4605" width="11.83203125" style="427" customWidth="1"/>
    <col min="4606" max="4606" width="28.33203125" style="427" customWidth="1"/>
    <col min="4607" max="4608" width="9" style="427"/>
    <col min="4609" max="4609" width="12.33203125" style="427" customWidth="1"/>
    <col min="4610" max="4610" width="9" style="427"/>
    <col min="4611" max="4611" width="13.75" style="427" bestFit="1" customWidth="1"/>
    <col min="4612" max="4853" width="9" style="427"/>
    <col min="4854" max="4854" width="5.25" style="427" customWidth="1"/>
    <col min="4855" max="4855" width="24.33203125" style="427" customWidth="1"/>
    <col min="4856" max="4856" width="9.33203125" style="427" customWidth="1"/>
    <col min="4857" max="4859" width="7.75" style="427" customWidth="1"/>
    <col min="4860" max="4861" width="11.83203125" style="427" customWidth="1"/>
    <col min="4862" max="4862" width="28.33203125" style="427" customWidth="1"/>
    <col min="4863" max="4864" width="9" style="427"/>
    <col min="4865" max="4865" width="12.33203125" style="427" customWidth="1"/>
    <col min="4866" max="4866" width="9" style="427"/>
    <col min="4867" max="4867" width="13.75" style="427" bestFit="1" customWidth="1"/>
    <col min="4868" max="5109" width="9" style="427"/>
    <col min="5110" max="5110" width="5.25" style="427" customWidth="1"/>
    <col min="5111" max="5111" width="24.33203125" style="427" customWidth="1"/>
    <col min="5112" max="5112" width="9.33203125" style="427" customWidth="1"/>
    <col min="5113" max="5115" width="7.75" style="427" customWidth="1"/>
    <col min="5116" max="5117" width="11.83203125" style="427" customWidth="1"/>
    <col min="5118" max="5118" width="28.33203125" style="427" customWidth="1"/>
    <col min="5119" max="5120" width="9" style="427"/>
    <col min="5121" max="5121" width="12.33203125" style="427" customWidth="1"/>
    <col min="5122" max="5122" width="9" style="427"/>
    <col min="5123" max="5123" width="13.75" style="427" bestFit="1" customWidth="1"/>
    <col min="5124" max="5365" width="9" style="427"/>
    <col min="5366" max="5366" width="5.25" style="427" customWidth="1"/>
    <col min="5367" max="5367" width="24.33203125" style="427" customWidth="1"/>
    <col min="5368" max="5368" width="9.33203125" style="427" customWidth="1"/>
    <col min="5369" max="5371" width="7.75" style="427" customWidth="1"/>
    <col min="5372" max="5373" width="11.83203125" style="427" customWidth="1"/>
    <col min="5374" max="5374" width="28.33203125" style="427" customWidth="1"/>
    <col min="5375" max="5376" width="9" style="427"/>
    <col min="5377" max="5377" width="12.33203125" style="427" customWidth="1"/>
    <col min="5378" max="5378" width="9" style="427"/>
    <col min="5379" max="5379" width="13.75" style="427" bestFit="1" customWidth="1"/>
    <col min="5380" max="5621" width="9" style="427"/>
    <col min="5622" max="5622" width="5.25" style="427" customWidth="1"/>
    <col min="5623" max="5623" width="24.33203125" style="427" customWidth="1"/>
    <col min="5624" max="5624" width="9.33203125" style="427" customWidth="1"/>
    <col min="5625" max="5627" width="7.75" style="427" customWidth="1"/>
    <col min="5628" max="5629" width="11.83203125" style="427" customWidth="1"/>
    <col min="5630" max="5630" width="28.33203125" style="427" customWidth="1"/>
    <col min="5631" max="5632" width="9" style="427"/>
    <col min="5633" max="5633" width="12.33203125" style="427" customWidth="1"/>
    <col min="5634" max="5634" width="9" style="427"/>
    <col min="5635" max="5635" width="13.75" style="427" bestFit="1" customWidth="1"/>
    <col min="5636" max="5877" width="9" style="427"/>
    <col min="5878" max="5878" width="5.25" style="427" customWidth="1"/>
    <col min="5879" max="5879" width="24.33203125" style="427" customWidth="1"/>
    <col min="5880" max="5880" width="9.33203125" style="427" customWidth="1"/>
    <col min="5881" max="5883" width="7.75" style="427" customWidth="1"/>
    <col min="5884" max="5885" width="11.83203125" style="427" customWidth="1"/>
    <col min="5886" max="5886" width="28.33203125" style="427" customWidth="1"/>
    <col min="5887" max="5888" width="9" style="427"/>
    <col min="5889" max="5889" width="12.33203125" style="427" customWidth="1"/>
    <col min="5890" max="5890" width="9" style="427"/>
    <col min="5891" max="5891" width="13.75" style="427" bestFit="1" customWidth="1"/>
    <col min="5892" max="6133" width="9" style="427"/>
    <col min="6134" max="6134" width="5.25" style="427" customWidth="1"/>
    <col min="6135" max="6135" width="24.33203125" style="427" customWidth="1"/>
    <col min="6136" max="6136" width="9.33203125" style="427" customWidth="1"/>
    <col min="6137" max="6139" width="7.75" style="427" customWidth="1"/>
    <col min="6140" max="6141" width="11.83203125" style="427" customWidth="1"/>
    <col min="6142" max="6142" width="28.33203125" style="427" customWidth="1"/>
    <col min="6143" max="6144" width="9" style="427"/>
    <col min="6145" max="6145" width="12.33203125" style="427" customWidth="1"/>
    <col min="6146" max="6146" width="9" style="427"/>
    <col min="6147" max="6147" width="13.75" style="427" bestFit="1" customWidth="1"/>
    <col min="6148" max="6389" width="9" style="427"/>
    <col min="6390" max="6390" width="5.25" style="427" customWidth="1"/>
    <col min="6391" max="6391" width="24.33203125" style="427" customWidth="1"/>
    <col min="6392" max="6392" width="9.33203125" style="427" customWidth="1"/>
    <col min="6393" max="6395" width="7.75" style="427" customWidth="1"/>
    <col min="6396" max="6397" width="11.83203125" style="427" customWidth="1"/>
    <col min="6398" max="6398" width="28.33203125" style="427" customWidth="1"/>
    <col min="6399" max="6400" width="9" style="427"/>
    <col min="6401" max="6401" width="12.33203125" style="427" customWidth="1"/>
    <col min="6402" max="6402" width="9" style="427"/>
    <col min="6403" max="6403" width="13.75" style="427" bestFit="1" customWidth="1"/>
    <col min="6404" max="6645" width="9" style="427"/>
    <col min="6646" max="6646" width="5.25" style="427" customWidth="1"/>
    <col min="6647" max="6647" width="24.33203125" style="427" customWidth="1"/>
    <col min="6648" max="6648" width="9.33203125" style="427" customWidth="1"/>
    <col min="6649" max="6651" width="7.75" style="427" customWidth="1"/>
    <col min="6652" max="6653" width="11.83203125" style="427" customWidth="1"/>
    <col min="6654" max="6654" width="28.33203125" style="427" customWidth="1"/>
    <col min="6655" max="6656" width="9" style="427"/>
    <col min="6657" max="6657" width="12.33203125" style="427" customWidth="1"/>
    <col min="6658" max="6658" width="9" style="427"/>
    <col min="6659" max="6659" width="13.75" style="427" bestFit="1" customWidth="1"/>
    <col min="6660" max="6901" width="9" style="427"/>
    <col min="6902" max="6902" width="5.25" style="427" customWidth="1"/>
    <col min="6903" max="6903" width="24.33203125" style="427" customWidth="1"/>
    <col min="6904" max="6904" width="9.33203125" style="427" customWidth="1"/>
    <col min="6905" max="6907" width="7.75" style="427" customWidth="1"/>
    <col min="6908" max="6909" width="11.83203125" style="427" customWidth="1"/>
    <col min="6910" max="6910" width="28.33203125" style="427" customWidth="1"/>
    <col min="6911" max="6912" width="9" style="427"/>
    <col min="6913" max="6913" width="12.33203125" style="427" customWidth="1"/>
    <col min="6914" max="6914" width="9" style="427"/>
    <col min="6915" max="6915" width="13.75" style="427" bestFit="1" customWidth="1"/>
    <col min="6916" max="7157" width="9" style="427"/>
    <col min="7158" max="7158" width="5.25" style="427" customWidth="1"/>
    <col min="7159" max="7159" width="24.33203125" style="427" customWidth="1"/>
    <col min="7160" max="7160" width="9.33203125" style="427" customWidth="1"/>
    <col min="7161" max="7163" width="7.75" style="427" customWidth="1"/>
    <col min="7164" max="7165" width="11.83203125" style="427" customWidth="1"/>
    <col min="7166" max="7166" width="28.33203125" style="427" customWidth="1"/>
    <col min="7167" max="7168" width="9" style="427"/>
    <col min="7169" max="7169" width="12.33203125" style="427" customWidth="1"/>
    <col min="7170" max="7170" width="9" style="427"/>
    <col min="7171" max="7171" width="13.75" style="427" bestFit="1" customWidth="1"/>
    <col min="7172" max="7413" width="9" style="427"/>
    <col min="7414" max="7414" width="5.25" style="427" customWidth="1"/>
    <col min="7415" max="7415" width="24.33203125" style="427" customWidth="1"/>
    <col min="7416" max="7416" width="9.33203125" style="427" customWidth="1"/>
    <col min="7417" max="7419" width="7.75" style="427" customWidth="1"/>
    <col min="7420" max="7421" width="11.83203125" style="427" customWidth="1"/>
    <col min="7422" max="7422" width="28.33203125" style="427" customWidth="1"/>
    <col min="7423" max="7424" width="9" style="427"/>
    <col min="7425" max="7425" width="12.33203125" style="427" customWidth="1"/>
    <col min="7426" max="7426" width="9" style="427"/>
    <col min="7427" max="7427" width="13.75" style="427" bestFit="1" customWidth="1"/>
    <col min="7428" max="7669" width="9" style="427"/>
    <col min="7670" max="7670" width="5.25" style="427" customWidth="1"/>
    <col min="7671" max="7671" width="24.33203125" style="427" customWidth="1"/>
    <col min="7672" max="7672" width="9.33203125" style="427" customWidth="1"/>
    <col min="7673" max="7675" width="7.75" style="427" customWidth="1"/>
    <col min="7676" max="7677" width="11.83203125" style="427" customWidth="1"/>
    <col min="7678" max="7678" width="28.33203125" style="427" customWidth="1"/>
    <col min="7679" max="7680" width="9" style="427"/>
    <col min="7681" max="7681" width="12.33203125" style="427" customWidth="1"/>
    <col min="7682" max="7682" width="9" style="427"/>
    <col min="7683" max="7683" width="13.75" style="427" bestFit="1" customWidth="1"/>
    <col min="7684" max="7925" width="9" style="427"/>
    <col min="7926" max="7926" width="5.25" style="427" customWidth="1"/>
    <col min="7927" max="7927" width="24.33203125" style="427" customWidth="1"/>
    <col min="7928" max="7928" width="9.33203125" style="427" customWidth="1"/>
    <col min="7929" max="7931" width="7.75" style="427" customWidth="1"/>
    <col min="7932" max="7933" width="11.83203125" style="427" customWidth="1"/>
    <col min="7934" max="7934" width="28.33203125" style="427" customWidth="1"/>
    <col min="7935" max="7936" width="9" style="427"/>
    <col min="7937" max="7937" width="12.33203125" style="427" customWidth="1"/>
    <col min="7938" max="7938" width="9" style="427"/>
    <col min="7939" max="7939" width="13.75" style="427" bestFit="1" customWidth="1"/>
    <col min="7940" max="8181" width="9" style="427"/>
    <col min="8182" max="8182" width="5.25" style="427" customWidth="1"/>
    <col min="8183" max="8183" width="24.33203125" style="427" customWidth="1"/>
    <col min="8184" max="8184" width="9.33203125" style="427" customWidth="1"/>
    <col min="8185" max="8187" width="7.75" style="427" customWidth="1"/>
    <col min="8188" max="8189" width="11.83203125" style="427" customWidth="1"/>
    <col min="8190" max="8190" width="28.33203125" style="427" customWidth="1"/>
    <col min="8191" max="8192" width="9" style="427"/>
    <col min="8193" max="8193" width="12.33203125" style="427" customWidth="1"/>
    <col min="8194" max="8194" width="9" style="427"/>
    <col min="8195" max="8195" width="13.75" style="427" bestFit="1" customWidth="1"/>
    <col min="8196" max="8437" width="9" style="427"/>
    <col min="8438" max="8438" width="5.25" style="427" customWidth="1"/>
    <col min="8439" max="8439" width="24.33203125" style="427" customWidth="1"/>
    <col min="8440" max="8440" width="9.33203125" style="427" customWidth="1"/>
    <col min="8441" max="8443" width="7.75" style="427" customWidth="1"/>
    <col min="8444" max="8445" width="11.83203125" style="427" customWidth="1"/>
    <col min="8446" max="8446" width="28.33203125" style="427" customWidth="1"/>
    <col min="8447" max="8448" width="9" style="427"/>
    <col min="8449" max="8449" width="12.33203125" style="427" customWidth="1"/>
    <col min="8450" max="8450" width="9" style="427"/>
    <col min="8451" max="8451" width="13.75" style="427" bestFit="1" customWidth="1"/>
    <col min="8452" max="8693" width="9" style="427"/>
    <col min="8694" max="8694" width="5.25" style="427" customWidth="1"/>
    <col min="8695" max="8695" width="24.33203125" style="427" customWidth="1"/>
    <col min="8696" max="8696" width="9.33203125" style="427" customWidth="1"/>
    <col min="8697" max="8699" width="7.75" style="427" customWidth="1"/>
    <col min="8700" max="8701" width="11.83203125" style="427" customWidth="1"/>
    <col min="8702" max="8702" width="28.33203125" style="427" customWidth="1"/>
    <col min="8703" max="8704" width="9" style="427"/>
    <col min="8705" max="8705" width="12.33203125" style="427" customWidth="1"/>
    <col min="8706" max="8706" width="9" style="427"/>
    <col min="8707" max="8707" width="13.75" style="427" bestFit="1" customWidth="1"/>
    <col min="8708" max="8949" width="9" style="427"/>
    <col min="8950" max="8950" width="5.25" style="427" customWidth="1"/>
    <col min="8951" max="8951" width="24.33203125" style="427" customWidth="1"/>
    <col min="8952" max="8952" width="9.33203125" style="427" customWidth="1"/>
    <col min="8953" max="8955" width="7.75" style="427" customWidth="1"/>
    <col min="8956" max="8957" width="11.83203125" style="427" customWidth="1"/>
    <col min="8958" max="8958" width="28.33203125" style="427" customWidth="1"/>
    <col min="8959" max="8960" width="9" style="427"/>
    <col min="8961" max="8961" width="12.33203125" style="427" customWidth="1"/>
    <col min="8962" max="8962" width="9" style="427"/>
    <col min="8963" max="8963" width="13.75" style="427" bestFit="1" customWidth="1"/>
    <col min="8964" max="9205" width="9" style="427"/>
    <col min="9206" max="9206" width="5.25" style="427" customWidth="1"/>
    <col min="9207" max="9207" width="24.33203125" style="427" customWidth="1"/>
    <col min="9208" max="9208" width="9.33203125" style="427" customWidth="1"/>
    <col min="9209" max="9211" width="7.75" style="427" customWidth="1"/>
    <col min="9212" max="9213" width="11.83203125" style="427" customWidth="1"/>
    <col min="9214" max="9214" width="28.33203125" style="427" customWidth="1"/>
    <col min="9215" max="9216" width="9" style="427"/>
    <col min="9217" max="9217" width="12.33203125" style="427" customWidth="1"/>
    <col min="9218" max="9218" width="9" style="427"/>
    <col min="9219" max="9219" width="13.75" style="427" bestFit="1" customWidth="1"/>
    <col min="9220" max="9461" width="9" style="427"/>
    <col min="9462" max="9462" width="5.25" style="427" customWidth="1"/>
    <col min="9463" max="9463" width="24.33203125" style="427" customWidth="1"/>
    <col min="9464" max="9464" width="9.33203125" style="427" customWidth="1"/>
    <col min="9465" max="9467" width="7.75" style="427" customWidth="1"/>
    <col min="9468" max="9469" width="11.83203125" style="427" customWidth="1"/>
    <col min="9470" max="9470" width="28.33203125" style="427" customWidth="1"/>
    <col min="9471" max="9472" width="9" style="427"/>
    <col min="9473" max="9473" width="12.33203125" style="427" customWidth="1"/>
    <col min="9474" max="9474" width="9" style="427"/>
    <col min="9475" max="9475" width="13.75" style="427" bestFit="1" customWidth="1"/>
    <col min="9476" max="9717" width="9" style="427"/>
    <col min="9718" max="9718" width="5.25" style="427" customWidth="1"/>
    <col min="9719" max="9719" width="24.33203125" style="427" customWidth="1"/>
    <col min="9720" max="9720" width="9.33203125" style="427" customWidth="1"/>
    <col min="9721" max="9723" width="7.75" style="427" customWidth="1"/>
    <col min="9724" max="9725" width="11.83203125" style="427" customWidth="1"/>
    <col min="9726" max="9726" width="28.33203125" style="427" customWidth="1"/>
    <col min="9727" max="9728" width="9" style="427"/>
    <col min="9729" max="9729" width="12.33203125" style="427" customWidth="1"/>
    <col min="9730" max="9730" width="9" style="427"/>
    <col min="9731" max="9731" width="13.75" style="427" bestFit="1" customWidth="1"/>
    <col min="9732" max="9973" width="9" style="427"/>
    <col min="9974" max="9974" width="5.25" style="427" customWidth="1"/>
    <col min="9975" max="9975" width="24.33203125" style="427" customWidth="1"/>
    <col min="9976" max="9976" width="9.33203125" style="427" customWidth="1"/>
    <col min="9977" max="9979" width="7.75" style="427" customWidth="1"/>
    <col min="9980" max="9981" width="11.83203125" style="427" customWidth="1"/>
    <col min="9982" max="9982" width="28.33203125" style="427" customWidth="1"/>
    <col min="9983" max="9984" width="9" style="427"/>
    <col min="9985" max="9985" width="12.33203125" style="427" customWidth="1"/>
    <col min="9986" max="9986" width="9" style="427"/>
    <col min="9987" max="9987" width="13.75" style="427" bestFit="1" customWidth="1"/>
    <col min="9988" max="10229" width="9" style="427"/>
    <col min="10230" max="10230" width="5.25" style="427" customWidth="1"/>
    <col min="10231" max="10231" width="24.33203125" style="427" customWidth="1"/>
    <col min="10232" max="10232" width="9.33203125" style="427" customWidth="1"/>
    <col min="10233" max="10235" width="7.75" style="427" customWidth="1"/>
    <col min="10236" max="10237" width="11.83203125" style="427" customWidth="1"/>
    <col min="10238" max="10238" width="28.33203125" style="427" customWidth="1"/>
    <col min="10239" max="10240" width="9" style="427"/>
    <col min="10241" max="10241" width="12.33203125" style="427" customWidth="1"/>
    <col min="10242" max="10242" width="9" style="427"/>
    <col min="10243" max="10243" width="13.75" style="427" bestFit="1" customWidth="1"/>
    <col min="10244" max="10485" width="9" style="427"/>
    <col min="10486" max="10486" width="5.25" style="427" customWidth="1"/>
    <col min="10487" max="10487" width="24.33203125" style="427" customWidth="1"/>
    <col min="10488" max="10488" width="9.33203125" style="427" customWidth="1"/>
    <col min="10489" max="10491" width="7.75" style="427" customWidth="1"/>
    <col min="10492" max="10493" width="11.83203125" style="427" customWidth="1"/>
    <col min="10494" max="10494" width="28.33203125" style="427" customWidth="1"/>
    <col min="10495" max="10496" width="9" style="427"/>
    <col min="10497" max="10497" width="12.33203125" style="427" customWidth="1"/>
    <col min="10498" max="10498" width="9" style="427"/>
    <col min="10499" max="10499" width="13.75" style="427" bestFit="1" customWidth="1"/>
    <col min="10500" max="10741" width="9" style="427"/>
    <col min="10742" max="10742" width="5.25" style="427" customWidth="1"/>
    <col min="10743" max="10743" width="24.33203125" style="427" customWidth="1"/>
    <col min="10744" max="10744" width="9.33203125" style="427" customWidth="1"/>
    <col min="10745" max="10747" width="7.75" style="427" customWidth="1"/>
    <col min="10748" max="10749" width="11.83203125" style="427" customWidth="1"/>
    <col min="10750" max="10750" width="28.33203125" style="427" customWidth="1"/>
    <col min="10751" max="10752" width="9" style="427"/>
    <col min="10753" max="10753" width="12.33203125" style="427" customWidth="1"/>
    <col min="10754" max="10754" width="9" style="427"/>
    <col min="10755" max="10755" width="13.75" style="427" bestFit="1" customWidth="1"/>
    <col min="10756" max="10997" width="9" style="427"/>
    <col min="10998" max="10998" width="5.25" style="427" customWidth="1"/>
    <col min="10999" max="10999" width="24.33203125" style="427" customWidth="1"/>
    <col min="11000" max="11000" width="9.33203125" style="427" customWidth="1"/>
    <col min="11001" max="11003" width="7.75" style="427" customWidth="1"/>
    <col min="11004" max="11005" width="11.83203125" style="427" customWidth="1"/>
    <col min="11006" max="11006" width="28.33203125" style="427" customWidth="1"/>
    <col min="11007" max="11008" width="9" style="427"/>
    <col min="11009" max="11009" width="12.33203125" style="427" customWidth="1"/>
    <col min="11010" max="11010" width="9" style="427"/>
    <col min="11011" max="11011" width="13.75" style="427" bestFit="1" customWidth="1"/>
    <col min="11012" max="11253" width="9" style="427"/>
    <col min="11254" max="11254" width="5.25" style="427" customWidth="1"/>
    <col min="11255" max="11255" width="24.33203125" style="427" customWidth="1"/>
    <col min="11256" max="11256" width="9.33203125" style="427" customWidth="1"/>
    <col min="11257" max="11259" width="7.75" style="427" customWidth="1"/>
    <col min="11260" max="11261" width="11.83203125" style="427" customWidth="1"/>
    <col min="11262" max="11262" width="28.33203125" style="427" customWidth="1"/>
    <col min="11263" max="11264" width="9" style="427"/>
    <col min="11265" max="11265" width="12.33203125" style="427" customWidth="1"/>
    <col min="11266" max="11266" width="9" style="427"/>
    <col min="11267" max="11267" width="13.75" style="427" bestFit="1" customWidth="1"/>
    <col min="11268" max="11509" width="9" style="427"/>
    <col min="11510" max="11510" width="5.25" style="427" customWidth="1"/>
    <col min="11511" max="11511" width="24.33203125" style="427" customWidth="1"/>
    <col min="11512" max="11512" width="9.33203125" style="427" customWidth="1"/>
    <col min="11513" max="11515" width="7.75" style="427" customWidth="1"/>
    <col min="11516" max="11517" width="11.83203125" style="427" customWidth="1"/>
    <col min="11518" max="11518" width="28.33203125" style="427" customWidth="1"/>
    <col min="11519" max="11520" width="9" style="427"/>
    <col min="11521" max="11521" width="12.33203125" style="427" customWidth="1"/>
    <col min="11522" max="11522" width="9" style="427"/>
    <col min="11523" max="11523" width="13.75" style="427" bestFit="1" customWidth="1"/>
    <col min="11524" max="11765" width="9" style="427"/>
    <col min="11766" max="11766" width="5.25" style="427" customWidth="1"/>
    <col min="11767" max="11767" width="24.33203125" style="427" customWidth="1"/>
    <col min="11768" max="11768" width="9.33203125" style="427" customWidth="1"/>
    <col min="11769" max="11771" width="7.75" style="427" customWidth="1"/>
    <col min="11772" max="11773" width="11.83203125" style="427" customWidth="1"/>
    <col min="11774" max="11774" width="28.33203125" style="427" customWidth="1"/>
    <col min="11775" max="11776" width="9" style="427"/>
    <col min="11777" max="11777" width="12.33203125" style="427" customWidth="1"/>
    <col min="11778" max="11778" width="9" style="427"/>
    <col min="11779" max="11779" width="13.75" style="427" bestFit="1" customWidth="1"/>
    <col min="11780" max="12021" width="9" style="427"/>
    <col min="12022" max="12022" width="5.25" style="427" customWidth="1"/>
    <col min="12023" max="12023" width="24.33203125" style="427" customWidth="1"/>
    <col min="12024" max="12024" width="9.33203125" style="427" customWidth="1"/>
    <col min="12025" max="12027" width="7.75" style="427" customWidth="1"/>
    <col min="12028" max="12029" width="11.83203125" style="427" customWidth="1"/>
    <col min="12030" max="12030" width="28.33203125" style="427" customWidth="1"/>
    <col min="12031" max="12032" width="9" style="427"/>
    <col min="12033" max="12033" width="12.33203125" style="427" customWidth="1"/>
    <col min="12034" max="12034" width="9" style="427"/>
    <col min="12035" max="12035" width="13.75" style="427" bestFit="1" customWidth="1"/>
    <col min="12036" max="12277" width="9" style="427"/>
    <col min="12278" max="12278" width="5.25" style="427" customWidth="1"/>
    <col min="12279" max="12279" width="24.33203125" style="427" customWidth="1"/>
    <col min="12280" max="12280" width="9.33203125" style="427" customWidth="1"/>
    <col min="12281" max="12283" width="7.75" style="427" customWidth="1"/>
    <col min="12284" max="12285" width="11.83203125" style="427" customWidth="1"/>
    <col min="12286" max="12286" width="28.33203125" style="427" customWidth="1"/>
    <col min="12287" max="12288" width="9" style="427"/>
    <col min="12289" max="12289" width="12.33203125" style="427" customWidth="1"/>
    <col min="12290" max="12290" width="9" style="427"/>
    <col min="12291" max="12291" width="13.75" style="427" bestFit="1" customWidth="1"/>
    <col min="12292" max="12533" width="9" style="427"/>
    <col min="12534" max="12534" width="5.25" style="427" customWidth="1"/>
    <col min="12535" max="12535" width="24.33203125" style="427" customWidth="1"/>
    <col min="12536" max="12536" width="9.33203125" style="427" customWidth="1"/>
    <col min="12537" max="12539" width="7.75" style="427" customWidth="1"/>
    <col min="12540" max="12541" width="11.83203125" style="427" customWidth="1"/>
    <col min="12542" max="12542" width="28.33203125" style="427" customWidth="1"/>
    <col min="12543" max="12544" width="9" style="427"/>
    <col min="12545" max="12545" width="12.33203125" style="427" customWidth="1"/>
    <col min="12546" max="12546" width="9" style="427"/>
    <col min="12547" max="12547" width="13.75" style="427" bestFit="1" customWidth="1"/>
    <col min="12548" max="12789" width="9" style="427"/>
    <col min="12790" max="12790" width="5.25" style="427" customWidth="1"/>
    <col min="12791" max="12791" width="24.33203125" style="427" customWidth="1"/>
    <col min="12792" max="12792" width="9.33203125" style="427" customWidth="1"/>
    <col min="12793" max="12795" width="7.75" style="427" customWidth="1"/>
    <col min="12796" max="12797" width="11.83203125" style="427" customWidth="1"/>
    <col min="12798" max="12798" width="28.33203125" style="427" customWidth="1"/>
    <col min="12799" max="12800" width="9" style="427"/>
    <col min="12801" max="12801" width="12.33203125" style="427" customWidth="1"/>
    <col min="12802" max="12802" width="9" style="427"/>
    <col min="12803" max="12803" width="13.75" style="427" bestFit="1" customWidth="1"/>
    <col min="12804" max="13045" width="9" style="427"/>
    <col min="13046" max="13046" width="5.25" style="427" customWidth="1"/>
    <col min="13047" max="13047" width="24.33203125" style="427" customWidth="1"/>
    <col min="13048" max="13048" width="9.33203125" style="427" customWidth="1"/>
    <col min="13049" max="13051" width="7.75" style="427" customWidth="1"/>
    <col min="13052" max="13053" width="11.83203125" style="427" customWidth="1"/>
    <col min="13054" max="13054" width="28.33203125" style="427" customWidth="1"/>
    <col min="13055" max="13056" width="9" style="427"/>
    <col min="13057" max="13057" width="12.33203125" style="427" customWidth="1"/>
    <col min="13058" max="13058" width="9" style="427"/>
    <col min="13059" max="13059" width="13.75" style="427" bestFit="1" customWidth="1"/>
    <col min="13060" max="13301" width="9" style="427"/>
    <col min="13302" max="13302" width="5.25" style="427" customWidth="1"/>
    <col min="13303" max="13303" width="24.33203125" style="427" customWidth="1"/>
    <col min="13304" max="13304" width="9.33203125" style="427" customWidth="1"/>
    <col min="13305" max="13307" width="7.75" style="427" customWidth="1"/>
    <col min="13308" max="13309" width="11.83203125" style="427" customWidth="1"/>
    <col min="13310" max="13310" width="28.33203125" style="427" customWidth="1"/>
    <col min="13311" max="13312" width="9" style="427"/>
    <col min="13313" max="13313" width="12.33203125" style="427" customWidth="1"/>
    <col min="13314" max="13314" width="9" style="427"/>
    <col min="13315" max="13315" width="13.75" style="427" bestFit="1" customWidth="1"/>
    <col min="13316" max="13557" width="9" style="427"/>
    <col min="13558" max="13558" width="5.25" style="427" customWidth="1"/>
    <col min="13559" max="13559" width="24.33203125" style="427" customWidth="1"/>
    <col min="13560" max="13560" width="9.33203125" style="427" customWidth="1"/>
    <col min="13561" max="13563" width="7.75" style="427" customWidth="1"/>
    <col min="13564" max="13565" width="11.83203125" style="427" customWidth="1"/>
    <col min="13566" max="13566" width="28.33203125" style="427" customWidth="1"/>
    <col min="13567" max="13568" width="9" style="427"/>
    <col min="13569" max="13569" width="12.33203125" style="427" customWidth="1"/>
    <col min="13570" max="13570" width="9" style="427"/>
    <col min="13571" max="13571" width="13.75" style="427" bestFit="1" customWidth="1"/>
    <col min="13572" max="13813" width="9" style="427"/>
    <col min="13814" max="13814" width="5.25" style="427" customWidth="1"/>
    <col min="13815" max="13815" width="24.33203125" style="427" customWidth="1"/>
    <col min="13816" max="13816" width="9.33203125" style="427" customWidth="1"/>
    <col min="13817" max="13819" width="7.75" style="427" customWidth="1"/>
    <col min="13820" max="13821" width="11.83203125" style="427" customWidth="1"/>
    <col min="13822" max="13822" width="28.33203125" style="427" customWidth="1"/>
    <col min="13823" max="13824" width="9" style="427"/>
    <col min="13825" max="13825" width="12.33203125" style="427" customWidth="1"/>
    <col min="13826" max="13826" width="9" style="427"/>
    <col min="13827" max="13827" width="13.75" style="427" bestFit="1" customWidth="1"/>
    <col min="13828" max="14069" width="9" style="427"/>
    <col min="14070" max="14070" width="5.25" style="427" customWidth="1"/>
    <col min="14071" max="14071" width="24.33203125" style="427" customWidth="1"/>
    <col min="14072" max="14072" width="9.33203125" style="427" customWidth="1"/>
    <col min="14073" max="14075" width="7.75" style="427" customWidth="1"/>
    <col min="14076" max="14077" width="11.83203125" style="427" customWidth="1"/>
    <col min="14078" max="14078" width="28.33203125" style="427" customWidth="1"/>
    <col min="14079" max="14080" width="9" style="427"/>
    <col min="14081" max="14081" width="12.33203125" style="427" customWidth="1"/>
    <col min="14082" max="14082" width="9" style="427"/>
    <col min="14083" max="14083" width="13.75" style="427" bestFit="1" customWidth="1"/>
    <col min="14084" max="14325" width="9" style="427"/>
    <col min="14326" max="14326" width="5.25" style="427" customWidth="1"/>
    <col min="14327" max="14327" width="24.33203125" style="427" customWidth="1"/>
    <col min="14328" max="14328" width="9.33203125" style="427" customWidth="1"/>
    <col min="14329" max="14331" width="7.75" style="427" customWidth="1"/>
    <col min="14332" max="14333" width="11.83203125" style="427" customWidth="1"/>
    <col min="14334" max="14334" width="28.33203125" style="427" customWidth="1"/>
    <col min="14335" max="14336" width="9" style="427"/>
    <col min="14337" max="14337" width="12.33203125" style="427" customWidth="1"/>
    <col min="14338" max="14338" width="9" style="427"/>
    <col min="14339" max="14339" width="13.75" style="427" bestFit="1" customWidth="1"/>
    <col min="14340" max="14581" width="9" style="427"/>
    <col min="14582" max="14582" width="5.25" style="427" customWidth="1"/>
    <col min="14583" max="14583" width="24.33203125" style="427" customWidth="1"/>
    <col min="14584" max="14584" width="9.33203125" style="427" customWidth="1"/>
    <col min="14585" max="14587" width="7.75" style="427" customWidth="1"/>
    <col min="14588" max="14589" width="11.83203125" style="427" customWidth="1"/>
    <col min="14590" max="14590" width="28.33203125" style="427" customWidth="1"/>
    <col min="14591" max="14592" width="9" style="427"/>
    <col min="14593" max="14593" width="12.33203125" style="427" customWidth="1"/>
    <col min="14594" max="14594" width="9" style="427"/>
    <col min="14595" max="14595" width="13.75" style="427" bestFit="1" customWidth="1"/>
    <col min="14596" max="14837" width="9" style="427"/>
    <col min="14838" max="14838" width="5.25" style="427" customWidth="1"/>
    <col min="14839" max="14839" width="24.33203125" style="427" customWidth="1"/>
    <col min="14840" max="14840" width="9.33203125" style="427" customWidth="1"/>
    <col min="14841" max="14843" width="7.75" style="427" customWidth="1"/>
    <col min="14844" max="14845" width="11.83203125" style="427" customWidth="1"/>
    <col min="14846" max="14846" width="28.33203125" style="427" customWidth="1"/>
    <col min="14847" max="14848" width="9" style="427"/>
    <col min="14849" max="14849" width="12.33203125" style="427" customWidth="1"/>
    <col min="14850" max="14850" width="9" style="427"/>
    <col min="14851" max="14851" width="13.75" style="427" bestFit="1" customWidth="1"/>
    <col min="14852" max="15093" width="9" style="427"/>
    <col min="15094" max="15094" width="5.25" style="427" customWidth="1"/>
    <col min="15095" max="15095" width="24.33203125" style="427" customWidth="1"/>
    <col min="15096" max="15096" width="9.33203125" style="427" customWidth="1"/>
    <col min="15097" max="15099" width="7.75" style="427" customWidth="1"/>
    <col min="15100" max="15101" width="11.83203125" style="427" customWidth="1"/>
    <col min="15102" max="15102" width="28.33203125" style="427" customWidth="1"/>
    <col min="15103" max="15104" width="9" style="427"/>
    <col min="15105" max="15105" width="12.33203125" style="427" customWidth="1"/>
    <col min="15106" max="15106" width="9" style="427"/>
    <col min="15107" max="15107" width="13.75" style="427" bestFit="1" customWidth="1"/>
    <col min="15108" max="15349" width="9" style="427"/>
    <col min="15350" max="15350" width="5.25" style="427" customWidth="1"/>
    <col min="15351" max="15351" width="24.33203125" style="427" customWidth="1"/>
    <col min="15352" max="15352" width="9.33203125" style="427" customWidth="1"/>
    <col min="15353" max="15355" width="7.75" style="427" customWidth="1"/>
    <col min="15356" max="15357" width="11.83203125" style="427" customWidth="1"/>
    <col min="15358" max="15358" width="28.33203125" style="427" customWidth="1"/>
    <col min="15359" max="15360" width="9" style="427"/>
    <col min="15361" max="15361" width="12.33203125" style="427" customWidth="1"/>
    <col min="15362" max="15362" width="9" style="427"/>
    <col min="15363" max="15363" width="13.75" style="427" bestFit="1" customWidth="1"/>
    <col min="15364" max="15605" width="9" style="427"/>
    <col min="15606" max="15606" width="5.25" style="427" customWidth="1"/>
    <col min="15607" max="15607" width="24.33203125" style="427" customWidth="1"/>
    <col min="15608" max="15608" width="9.33203125" style="427" customWidth="1"/>
    <col min="15609" max="15611" width="7.75" style="427" customWidth="1"/>
    <col min="15612" max="15613" width="11.83203125" style="427" customWidth="1"/>
    <col min="15614" max="15614" width="28.33203125" style="427" customWidth="1"/>
    <col min="15615" max="15616" width="9" style="427"/>
    <col min="15617" max="15617" width="12.33203125" style="427" customWidth="1"/>
    <col min="15618" max="15618" width="9" style="427"/>
    <col min="15619" max="15619" width="13.75" style="427" bestFit="1" customWidth="1"/>
    <col min="15620" max="15861" width="9" style="427"/>
    <col min="15862" max="15862" width="5.25" style="427" customWidth="1"/>
    <col min="15863" max="15863" width="24.33203125" style="427" customWidth="1"/>
    <col min="15864" max="15864" width="9.33203125" style="427" customWidth="1"/>
    <col min="15865" max="15867" width="7.75" style="427" customWidth="1"/>
    <col min="15868" max="15869" width="11.83203125" style="427" customWidth="1"/>
    <col min="15870" max="15870" width="28.33203125" style="427" customWidth="1"/>
    <col min="15871" max="15872" width="9" style="427"/>
    <col min="15873" max="15873" width="12.33203125" style="427" customWidth="1"/>
    <col min="15874" max="15874" width="9" style="427"/>
    <col min="15875" max="15875" width="13.75" style="427" bestFit="1" customWidth="1"/>
    <col min="15876" max="16117" width="9" style="427"/>
    <col min="16118" max="16118" width="5.25" style="427" customWidth="1"/>
    <col min="16119" max="16119" width="24.33203125" style="427" customWidth="1"/>
    <col min="16120" max="16120" width="9.33203125" style="427" customWidth="1"/>
    <col min="16121" max="16123" width="7.75" style="427" customWidth="1"/>
    <col min="16124" max="16125" width="11.83203125" style="427" customWidth="1"/>
    <col min="16126" max="16126" width="28.33203125" style="427" customWidth="1"/>
    <col min="16127" max="16128" width="9" style="427"/>
    <col min="16129" max="16129" width="12.33203125" style="427" customWidth="1"/>
    <col min="16130" max="16130" width="9" style="427"/>
    <col min="16131" max="16131" width="13.75" style="427" bestFit="1" customWidth="1"/>
    <col min="16132" max="16384" width="9" style="427"/>
  </cols>
  <sheetData>
    <row r="1" spans="1:13">
      <c r="A1" s="1064" t="s">
        <v>0</v>
      </c>
      <c r="B1" s="1064"/>
      <c r="C1" s="1064"/>
      <c r="D1" s="1064"/>
      <c r="E1" s="1064"/>
      <c r="F1" s="1064"/>
      <c r="G1" s="1064"/>
      <c r="H1" s="1064"/>
      <c r="I1" s="1064"/>
      <c r="J1" s="1064"/>
      <c r="K1" s="1064"/>
    </row>
    <row r="2" spans="1:13">
      <c r="A2" s="416"/>
      <c r="B2" s="416"/>
      <c r="C2" s="417"/>
      <c r="D2" s="417"/>
      <c r="E2" s="416"/>
      <c r="F2" s="416"/>
      <c r="G2" s="416"/>
      <c r="H2" s="416"/>
      <c r="I2" s="416"/>
      <c r="J2" s="416"/>
      <c r="K2" s="416"/>
    </row>
    <row r="3" spans="1:13" s="418" customFormat="1" ht="42">
      <c r="A3" s="1" t="s">
        <v>1</v>
      </c>
      <c r="B3" s="1" t="s">
        <v>2</v>
      </c>
      <c r="C3" s="419" t="s">
        <v>381</v>
      </c>
      <c r="D3" s="419" t="s">
        <v>5</v>
      </c>
      <c r="E3" s="1" t="s">
        <v>3</v>
      </c>
      <c r="F3" s="1065" t="s">
        <v>4</v>
      </c>
      <c r="G3" s="1065"/>
      <c r="H3" s="1065"/>
      <c r="I3" s="1065" t="s">
        <v>5</v>
      </c>
      <c r="J3" s="1065"/>
      <c r="K3" s="1" t="s">
        <v>6</v>
      </c>
      <c r="L3" s="1065" t="s">
        <v>388</v>
      </c>
      <c r="M3" s="1065"/>
    </row>
    <row r="4" spans="1:13" s="418" customFormat="1" ht="28">
      <c r="A4" s="447" t="s">
        <v>367</v>
      </c>
      <c r="B4" s="448" t="s">
        <v>423</v>
      </c>
      <c r="C4" s="449"/>
      <c r="D4" s="449"/>
      <c r="E4" s="447"/>
      <c r="F4" s="447" t="s">
        <v>7</v>
      </c>
      <c r="G4" s="447" t="s">
        <v>8</v>
      </c>
      <c r="H4" s="447" t="s">
        <v>9</v>
      </c>
      <c r="I4" s="447" t="s">
        <v>10</v>
      </c>
      <c r="J4" s="447" t="s">
        <v>11</v>
      </c>
      <c r="K4" s="447"/>
      <c r="L4" s="447" t="s">
        <v>389</v>
      </c>
      <c r="M4" s="447" t="s">
        <v>390</v>
      </c>
    </row>
    <row r="5" spans="1:13" s="428" customFormat="1" ht="28">
      <c r="A5" s="420" t="s">
        <v>12</v>
      </c>
      <c r="B5" s="435" t="s">
        <v>393</v>
      </c>
      <c r="C5" s="424"/>
      <c r="D5" s="424"/>
      <c r="E5" s="421"/>
      <c r="F5" s="420"/>
      <c r="G5" s="420"/>
      <c r="H5" s="420"/>
      <c r="I5" s="421"/>
      <c r="J5" s="420" t="s">
        <v>13</v>
      </c>
      <c r="K5" s="420" t="s">
        <v>14</v>
      </c>
      <c r="L5" s="420"/>
      <c r="M5" s="420"/>
    </row>
    <row r="6" spans="1:13" s="428" customFormat="1" ht="28">
      <c r="A6" s="420">
        <v>1</v>
      </c>
      <c r="B6" s="2" t="s">
        <v>15</v>
      </c>
      <c r="C6" s="425" t="s">
        <v>382</v>
      </c>
      <c r="D6" s="425">
        <v>30</v>
      </c>
      <c r="E6" s="421"/>
      <c r="F6" s="420"/>
      <c r="G6" s="420"/>
      <c r="H6" s="420"/>
      <c r="I6" s="421"/>
      <c r="J6" s="420"/>
      <c r="K6" s="422" t="s">
        <v>14</v>
      </c>
      <c r="L6" s="420" t="s">
        <v>392</v>
      </c>
      <c r="M6" s="420"/>
    </row>
    <row r="7" spans="1:13" s="429" customFormat="1" ht="28">
      <c r="A7" s="422">
        <v>2</v>
      </c>
      <c r="B7" s="2" t="s">
        <v>401</v>
      </c>
      <c r="C7" s="425" t="s">
        <v>382</v>
      </c>
      <c r="D7" s="425">
        <v>100</v>
      </c>
      <c r="E7" s="422" t="s">
        <v>16</v>
      </c>
      <c r="F7" s="422">
        <v>0.1</v>
      </c>
      <c r="G7" s="422">
        <v>0.1</v>
      </c>
      <c r="H7" s="422"/>
      <c r="I7" s="2">
        <f>F7*G7</f>
        <v>1.0000000000000002E-2</v>
      </c>
      <c r="J7" s="422">
        <f>I7*30</f>
        <v>0.30000000000000004</v>
      </c>
      <c r="K7" s="422" t="s">
        <v>386</v>
      </c>
      <c r="L7" s="422" t="s">
        <v>392</v>
      </c>
      <c r="M7" s="422"/>
    </row>
    <row r="8" spans="1:13" s="429" customFormat="1" ht="42">
      <c r="A8" s="422">
        <v>3</v>
      </c>
      <c r="B8" s="2" t="s">
        <v>383</v>
      </c>
      <c r="C8" s="425" t="s">
        <v>382</v>
      </c>
      <c r="D8" s="425">
        <v>100</v>
      </c>
      <c r="E8" s="422" t="s">
        <v>18</v>
      </c>
      <c r="F8" s="422" t="s">
        <v>19</v>
      </c>
      <c r="G8" s="422" t="s">
        <v>19</v>
      </c>
      <c r="H8" s="422"/>
      <c r="I8" s="2">
        <v>0.32</v>
      </c>
      <c r="J8" s="422">
        <f>I8*100</f>
        <v>32</v>
      </c>
      <c r="K8" s="422"/>
      <c r="L8" s="422" t="s">
        <v>392</v>
      </c>
      <c r="M8" s="422"/>
    </row>
    <row r="9" spans="1:13" s="429" customFormat="1" ht="28">
      <c r="A9" s="425" t="s">
        <v>402</v>
      </c>
      <c r="B9" s="415" t="s">
        <v>387</v>
      </c>
      <c r="C9" s="425" t="s">
        <v>382</v>
      </c>
      <c r="D9" s="425">
        <v>100</v>
      </c>
      <c r="E9" s="422"/>
      <c r="F9" s="422"/>
      <c r="G9" s="422"/>
      <c r="H9" s="422"/>
      <c r="I9" s="2"/>
      <c r="J9" s="422"/>
      <c r="K9" s="422"/>
      <c r="L9" s="422" t="s">
        <v>392</v>
      </c>
      <c r="M9" s="422"/>
    </row>
    <row r="10" spans="1:13" s="429" customFormat="1" ht="28">
      <c r="A10" s="425" t="s">
        <v>403</v>
      </c>
      <c r="B10" s="415" t="s">
        <v>384</v>
      </c>
      <c r="C10" s="425" t="s">
        <v>382</v>
      </c>
      <c r="D10" s="425">
        <v>100</v>
      </c>
      <c r="E10" s="422"/>
      <c r="F10" s="422"/>
      <c r="G10" s="422"/>
      <c r="H10" s="422"/>
      <c r="I10" s="2"/>
      <c r="J10" s="422"/>
      <c r="K10" s="422"/>
      <c r="L10" s="422" t="s">
        <v>392</v>
      </c>
      <c r="M10" s="422"/>
    </row>
    <row r="11" spans="1:13" s="429" customFormat="1" ht="28">
      <c r="A11" s="422">
        <v>5</v>
      </c>
      <c r="B11" s="2" t="s">
        <v>385</v>
      </c>
      <c r="C11" s="425" t="s">
        <v>382</v>
      </c>
      <c r="D11" s="425">
        <v>100</v>
      </c>
      <c r="E11" s="422" t="s">
        <v>16</v>
      </c>
      <c r="F11" s="422">
        <v>0.3</v>
      </c>
      <c r="G11" s="422">
        <v>0.3</v>
      </c>
      <c r="H11" s="422"/>
      <c r="I11" s="2">
        <f>F11*G11</f>
        <v>0.09</v>
      </c>
      <c r="J11" s="422">
        <f>I11*100</f>
        <v>9</v>
      </c>
      <c r="K11" s="426" t="s">
        <v>400</v>
      </c>
      <c r="L11" s="422"/>
      <c r="M11" s="422" t="s">
        <v>392</v>
      </c>
    </row>
    <row r="12" spans="1:13" s="429" customFormat="1" ht="42">
      <c r="A12" s="422">
        <v>6</v>
      </c>
      <c r="B12" s="2" t="s">
        <v>371</v>
      </c>
      <c r="C12" s="425" t="s">
        <v>382</v>
      </c>
      <c r="D12" s="425">
        <v>100</v>
      </c>
      <c r="E12" s="422"/>
      <c r="F12" s="422"/>
      <c r="G12" s="422"/>
      <c r="H12" s="422"/>
      <c r="I12" s="2"/>
      <c r="J12" s="422"/>
      <c r="K12" s="426" t="s">
        <v>391</v>
      </c>
      <c r="L12" s="422" t="s">
        <v>392</v>
      </c>
      <c r="M12" s="422"/>
    </row>
    <row r="13" spans="1:13" s="428" customFormat="1" ht="28">
      <c r="A13" s="420" t="s">
        <v>20</v>
      </c>
      <c r="B13" s="435" t="s">
        <v>395</v>
      </c>
      <c r="C13" s="424"/>
      <c r="D13" s="424"/>
      <c r="E13" s="421"/>
      <c r="F13" s="420"/>
      <c r="G13" s="420"/>
      <c r="H13" s="420"/>
      <c r="I13" s="421"/>
      <c r="J13" s="420" t="s">
        <v>21</v>
      </c>
      <c r="K13" s="420"/>
      <c r="L13" s="420"/>
      <c r="M13" s="420"/>
    </row>
    <row r="14" spans="1:13" s="428" customFormat="1" ht="28">
      <c r="A14" s="434" t="s">
        <v>324</v>
      </c>
      <c r="B14" s="2" t="s">
        <v>319</v>
      </c>
      <c r="C14" s="425" t="s">
        <v>382</v>
      </c>
      <c r="D14" s="425">
        <v>10</v>
      </c>
      <c r="E14" s="421"/>
      <c r="F14" s="420"/>
      <c r="G14" s="420"/>
      <c r="H14" s="420"/>
      <c r="I14" s="421"/>
      <c r="J14" s="420"/>
      <c r="K14" s="434" t="s">
        <v>394</v>
      </c>
      <c r="L14" s="420" t="s">
        <v>392</v>
      </c>
      <c r="M14" s="420"/>
    </row>
    <row r="15" spans="1:13" s="429" customFormat="1" ht="28">
      <c r="A15" s="422" t="s">
        <v>324</v>
      </c>
      <c r="B15" s="2" t="s">
        <v>396</v>
      </c>
      <c r="C15" s="425" t="s">
        <v>318</v>
      </c>
      <c r="D15" s="425">
        <v>10</v>
      </c>
      <c r="E15" s="422" t="s">
        <v>16</v>
      </c>
      <c r="F15" s="422">
        <v>0.1</v>
      </c>
      <c r="G15" s="422">
        <v>0.1</v>
      </c>
      <c r="H15" s="422"/>
      <c r="I15" s="2">
        <f>F15*G15</f>
        <v>1.0000000000000002E-2</v>
      </c>
      <c r="J15" s="422">
        <f>I15*10</f>
        <v>0.10000000000000002</v>
      </c>
      <c r="K15" s="422"/>
      <c r="L15" s="422" t="s">
        <v>392</v>
      </c>
      <c r="M15" s="422"/>
    </row>
    <row r="16" spans="1:13" s="429" customFormat="1" ht="28">
      <c r="A16" s="422">
        <v>1</v>
      </c>
      <c r="B16" s="2" t="s">
        <v>405</v>
      </c>
      <c r="C16" s="425" t="s">
        <v>382</v>
      </c>
      <c r="D16" s="425">
        <v>10</v>
      </c>
      <c r="E16" s="422" t="s">
        <v>18</v>
      </c>
      <c r="F16" s="422" t="s">
        <v>19</v>
      </c>
      <c r="G16" s="422" t="s">
        <v>19</v>
      </c>
      <c r="H16" s="422"/>
      <c r="I16" s="2">
        <v>0.64</v>
      </c>
      <c r="J16" s="422">
        <f>I16*10</f>
        <v>6.4</v>
      </c>
      <c r="K16" s="434" t="s">
        <v>412</v>
      </c>
      <c r="L16" s="422" t="s">
        <v>392</v>
      </c>
      <c r="M16" s="422"/>
    </row>
    <row r="17" spans="1:19" s="429" customFormat="1" ht="28">
      <c r="A17" s="425" t="s">
        <v>403</v>
      </c>
      <c r="B17" s="415" t="s">
        <v>384</v>
      </c>
      <c r="C17" s="425" t="s">
        <v>382</v>
      </c>
      <c r="D17" s="425">
        <v>10</v>
      </c>
      <c r="E17" s="422"/>
      <c r="F17" s="422"/>
      <c r="G17" s="422"/>
      <c r="H17" s="422"/>
      <c r="I17" s="2"/>
      <c r="J17" s="422"/>
      <c r="K17" s="422"/>
      <c r="L17" s="422" t="s">
        <v>392</v>
      </c>
      <c r="M17" s="422"/>
    </row>
    <row r="18" spans="1:19" s="429" customFormat="1" ht="28">
      <c r="A18" s="422">
        <v>2</v>
      </c>
      <c r="B18" s="2" t="s">
        <v>385</v>
      </c>
      <c r="C18" s="425" t="s">
        <v>382</v>
      </c>
      <c r="D18" s="425">
        <v>10</v>
      </c>
      <c r="E18" s="422" t="s">
        <v>16</v>
      </c>
      <c r="F18" s="422">
        <v>0.3</v>
      </c>
      <c r="G18" s="422">
        <v>0.3</v>
      </c>
      <c r="H18" s="422"/>
      <c r="I18" s="2">
        <f>F18*G18</f>
        <v>0.09</v>
      </c>
      <c r="J18" s="422">
        <f>I18*10</f>
        <v>0.89999999999999991</v>
      </c>
      <c r="K18" s="422" t="s">
        <v>17</v>
      </c>
      <c r="L18" s="422"/>
      <c r="M18" s="422" t="s">
        <v>392</v>
      </c>
    </row>
    <row r="19" spans="1:19" s="429" customFormat="1" ht="42">
      <c r="A19" s="422">
        <v>3</v>
      </c>
      <c r="B19" s="2" t="s">
        <v>371</v>
      </c>
      <c r="C19" s="425" t="s">
        <v>382</v>
      </c>
      <c r="D19" s="425">
        <v>10</v>
      </c>
      <c r="E19" s="422"/>
      <c r="F19" s="422"/>
      <c r="G19" s="422"/>
      <c r="H19" s="422"/>
      <c r="I19" s="2"/>
      <c r="J19" s="422"/>
      <c r="K19" s="426" t="s">
        <v>391</v>
      </c>
      <c r="L19" s="422" t="s">
        <v>392</v>
      </c>
      <c r="M19" s="422"/>
    </row>
    <row r="20" spans="1:19" s="429" customFormat="1" ht="28">
      <c r="A20" s="436">
        <v>4</v>
      </c>
      <c r="B20" s="437" t="s">
        <v>398</v>
      </c>
      <c r="C20" s="438"/>
      <c r="D20" s="438"/>
      <c r="E20" s="436"/>
      <c r="F20" s="436"/>
      <c r="G20" s="436"/>
      <c r="H20" s="436"/>
      <c r="I20" s="437"/>
      <c r="J20" s="436"/>
      <c r="K20" s="439" t="s">
        <v>397</v>
      </c>
      <c r="L20" s="422"/>
      <c r="M20" s="422"/>
    </row>
    <row r="21" spans="1:19" s="428" customFormat="1" ht="28">
      <c r="A21" s="440">
        <v>5</v>
      </c>
      <c r="B21" s="437" t="s">
        <v>399</v>
      </c>
      <c r="C21" s="438"/>
      <c r="D21" s="438"/>
      <c r="E21" s="436" t="s">
        <v>22</v>
      </c>
      <c r="F21" s="440"/>
      <c r="G21" s="440"/>
      <c r="H21" s="440"/>
      <c r="I21" s="441"/>
      <c r="J21" s="436">
        <v>10</v>
      </c>
      <c r="K21" s="439" t="s">
        <v>397</v>
      </c>
      <c r="L21" s="420"/>
      <c r="M21" s="420"/>
    </row>
    <row r="22" spans="1:19" s="428" customFormat="1" ht="28">
      <c r="A22" s="420" t="s">
        <v>23</v>
      </c>
      <c r="B22" s="421" t="s">
        <v>404</v>
      </c>
      <c r="C22" s="424"/>
      <c r="D22" s="424"/>
      <c r="E22" s="421"/>
      <c r="F22" s="420"/>
      <c r="G22" s="420"/>
      <c r="H22" s="420"/>
      <c r="I22" s="421"/>
      <c r="J22" s="420" t="s">
        <v>25</v>
      </c>
      <c r="K22" s="420"/>
      <c r="L22" s="420"/>
      <c r="M22" s="420"/>
    </row>
    <row r="23" spans="1:19" s="428" customFormat="1" ht="28">
      <c r="A23" s="422" t="s">
        <v>324</v>
      </c>
      <c r="B23" s="415" t="s">
        <v>406</v>
      </c>
      <c r="C23" s="425" t="s">
        <v>318</v>
      </c>
      <c r="D23" s="425">
        <v>6</v>
      </c>
      <c r="E23" s="421"/>
      <c r="F23" s="420"/>
      <c r="G23" s="420"/>
      <c r="H23" s="420"/>
      <c r="I23" s="421"/>
      <c r="J23" s="420"/>
      <c r="K23" s="434" t="s">
        <v>407</v>
      </c>
      <c r="L23" s="420" t="s">
        <v>392</v>
      </c>
      <c r="M23" s="420"/>
    </row>
    <row r="24" spans="1:19" s="429" customFormat="1" ht="42">
      <c r="A24" s="422">
        <v>1</v>
      </c>
      <c r="B24" s="2" t="s">
        <v>410</v>
      </c>
      <c r="C24" s="425" t="s">
        <v>318</v>
      </c>
      <c r="D24" s="425">
        <v>6</v>
      </c>
      <c r="E24" s="422" t="s">
        <v>16</v>
      </c>
      <c r="F24" s="422">
        <v>0.1</v>
      </c>
      <c r="G24" s="422">
        <f>3.14*3.2</f>
        <v>10.048000000000002</v>
      </c>
      <c r="H24" s="422"/>
      <c r="I24" s="2">
        <f>F24*G24</f>
        <v>1.0048000000000001</v>
      </c>
      <c r="J24" s="422">
        <f>I24*4</f>
        <v>4.0192000000000005</v>
      </c>
      <c r="K24" s="434" t="s">
        <v>416</v>
      </c>
      <c r="L24" s="422" t="s">
        <v>392</v>
      </c>
      <c r="M24" s="422"/>
    </row>
    <row r="25" spans="1:19" s="429" customFormat="1" ht="28">
      <c r="A25" s="422" t="s">
        <v>324</v>
      </c>
      <c r="B25" s="415" t="s">
        <v>409</v>
      </c>
      <c r="C25" s="425" t="s">
        <v>318</v>
      </c>
      <c r="D25" s="425">
        <v>6</v>
      </c>
      <c r="E25" s="422"/>
      <c r="F25" s="422"/>
      <c r="G25" s="422"/>
      <c r="H25" s="422"/>
      <c r="I25" s="2"/>
      <c r="J25" s="422"/>
      <c r="K25" s="434" t="s">
        <v>411</v>
      </c>
      <c r="L25" s="422"/>
      <c r="M25" s="422"/>
    </row>
    <row r="26" spans="1:19" s="429" customFormat="1" ht="28">
      <c r="A26" s="425" t="s">
        <v>403</v>
      </c>
      <c r="B26" s="415" t="s">
        <v>384</v>
      </c>
      <c r="C26" s="425" t="s">
        <v>382</v>
      </c>
      <c r="D26" s="425">
        <v>6</v>
      </c>
      <c r="E26" s="422"/>
      <c r="F26" s="422"/>
      <c r="G26" s="422"/>
      <c r="H26" s="422"/>
      <c r="I26" s="2"/>
      <c r="J26" s="422"/>
      <c r="K26" s="422"/>
      <c r="L26" s="422" t="s">
        <v>392</v>
      </c>
      <c r="M26" s="422"/>
    </row>
    <row r="27" spans="1:19" s="429" customFormat="1" ht="42">
      <c r="A27" s="422">
        <v>2</v>
      </c>
      <c r="B27" s="2" t="s">
        <v>385</v>
      </c>
      <c r="C27" s="425" t="s">
        <v>318</v>
      </c>
      <c r="D27" s="425">
        <v>6</v>
      </c>
      <c r="E27" s="422" t="s">
        <v>16</v>
      </c>
      <c r="F27" s="422">
        <v>0.3</v>
      </c>
      <c r="G27" s="422">
        <v>0.3</v>
      </c>
      <c r="H27" s="422"/>
      <c r="I27" s="2">
        <f>F27*G27</f>
        <v>0.09</v>
      </c>
      <c r="J27" s="422">
        <f>I27*10</f>
        <v>0.89999999999999991</v>
      </c>
      <c r="K27" s="426" t="s">
        <v>408</v>
      </c>
      <c r="L27" s="422"/>
      <c r="M27" s="422" t="s">
        <v>392</v>
      </c>
    </row>
    <row r="28" spans="1:19" s="429" customFormat="1">
      <c r="A28" s="420" t="s">
        <v>27</v>
      </c>
      <c r="B28" s="421" t="s">
        <v>28</v>
      </c>
      <c r="C28" s="424"/>
      <c r="D28" s="424"/>
      <c r="E28" s="421"/>
      <c r="F28" s="420"/>
      <c r="G28" s="420"/>
      <c r="H28" s="420"/>
      <c r="I28" s="421"/>
      <c r="J28" s="420" t="s">
        <v>10</v>
      </c>
      <c r="K28" s="420"/>
      <c r="L28" s="422"/>
      <c r="M28" s="422"/>
    </row>
    <row r="29" spans="1:19" s="429" customFormat="1" ht="28">
      <c r="A29" s="425" t="s">
        <v>324</v>
      </c>
      <c r="B29" s="2" t="s">
        <v>414</v>
      </c>
      <c r="C29" s="425" t="s">
        <v>318</v>
      </c>
      <c r="D29" s="425">
        <v>1</v>
      </c>
      <c r="E29" s="421"/>
      <c r="F29" s="420"/>
      <c r="G29" s="420"/>
      <c r="H29" s="420"/>
      <c r="I29" s="421"/>
      <c r="J29" s="420"/>
      <c r="K29" s="434" t="s">
        <v>413</v>
      </c>
      <c r="L29" s="422"/>
      <c r="M29" s="422"/>
      <c r="N29" s="1059"/>
      <c r="O29" s="1060"/>
      <c r="P29" s="1060"/>
      <c r="Q29" s="1060"/>
      <c r="R29" s="1060"/>
      <c r="S29" s="1060"/>
    </row>
    <row r="30" spans="1:19" s="429" customFormat="1" ht="28">
      <c r="A30" s="422">
        <v>1</v>
      </c>
      <c r="B30" s="2" t="s">
        <v>26</v>
      </c>
      <c r="C30" s="425" t="s">
        <v>318</v>
      </c>
      <c r="D30" s="425">
        <v>1</v>
      </c>
      <c r="E30" s="422" t="s">
        <v>16</v>
      </c>
      <c r="F30" s="422">
        <v>0.1</v>
      </c>
      <c r="G30" s="422">
        <v>0.6</v>
      </c>
      <c r="H30" s="422"/>
      <c r="I30" s="2">
        <f>F30*G30</f>
        <v>0.06</v>
      </c>
      <c r="J30" s="422">
        <f>I30*1</f>
        <v>0.06</v>
      </c>
      <c r="K30" s="434" t="s">
        <v>415</v>
      </c>
      <c r="L30" s="422"/>
      <c r="M30" s="422"/>
    </row>
    <row r="31" spans="1:19" s="429" customFormat="1" ht="42">
      <c r="A31" s="422">
        <v>2</v>
      </c>
      <c r="B31" s="2" t="s">
        <v>410</v>
      </c>
      <c r="C31" s="425" t="s">
        <v>318</v>
      </c>
      <c r="D31" s="425">
        <v>1</v>
      </c>
      <c r="E31" s="422"/>
      <c r="F31" s="422"/>
      <c r="G31" s="422"/>
      <c r="H31" s="422"/>
      <c r="I31" s="2"/>
      <c r="J31" s="422"/>
      <c r="K31" s="434" t="s">
        <v>417</v>
      </c>
      <c r="L31" s="422"/>
      <c r="M31" s="422"/>
    </row>
    <row r="32" spans="1:19" s="429" customFormat="1" ht="28">
      <c r="A32" s="422" t="s">
        <v>324</v>
      </c>
      <c r="B32" s="415" t="s">
        <v>409</v>
      </c>
      <c r="C32" s="425" t="s">
        <v>318</v>
      </c>
      <c r="D32" s="425">
        <v>1</v>
      </c>
      <c r="E32" s="422"/>
      <c r="F32" s="422"/>
      <c r="G32" s="422"/>
      <c r="H32" s="422"/>
      <c r="I32" s="2"/>
      <c r="J32" s="422"/>
      <c r="K32" s="434" t="s">
        <v>418</v>
      </c>
      <c r="L32" s="422"/>
      <c r="M32" s="422"/>
    </row>
    <row r="33" spans="1:13" s="429" customFormat="1" ht="28">
      <c r="A33" s="422" t="s">
        <v>324</v>
      </c>
      <c r="B33" s="2" t="s">
        <v>385</v>
      </c>
      <c r="C33" s="425" t="s">
        <v>382</v>
      </c>
      <c r="D33" s="425">
        <v>1</v>
      </c>
      <c r="E33" s="422" t="s">
        <v>16</v>
      </c>
      <c r="F33" s="422">
        <v>0.3</v>
      </c>
      <c r="G33" s="422">
        <v>0.3</v>
      </c>
      <c r="H33" s="422"/>
      <c r="I33" s="2">
        <f>F33*G33</f>
        <v>0.09</v>
      </c>
      <c r="J33" s="422">
        <f>I33*10</f>
        <v>0.89999999999999991</v>
      </c>
      <c r="K33" s="422" t="s">
        <v>17</v>
      </c>
      <c r="L33" s="422"/>
      <c r="M33" s="422" t="s">
        <v>392</v>
      </c>
    </row>
    <row r="34" spans="1:13" s="429" customFormat="1" ht="42">
      <c r="A34" s="422" t="s">
        <v>324</v>
      </c>
      <c r="B34" s="2" t="s">
        <v>371</v>
      </c>
      <c r="C34" s="425" t="s">
        <v>382</v>
      </c>
      <c r="D34" s="425">
        <v>1</v>
      </c>
      <c r="E34" s="422"/>
      <c r="F34" s="422"/>
      <c r="G34" s="422"/>
      <c r="H34" s="422"/>
      <c r="I34" s="2"/>
      <c r="J34" s="422"/>
      <c r="K34" s="426" t="s">
        <v>419</v>
      </c>
      <c r="L34" s="422" t="s">
        <v>392</v>
      </c>
      <c r="M34" s="422"/>
    </row>
    <row r="35" spans="1:13" s="429" customFormat="1" ht="28">
      <c r="A35" s="436">
        <v>2</v>
      </c>
      <c r="B35" s="437" t="s">
        <v>29</v>
      </c>
      <c r="C35" s="438"/>
      <c r="D35" s="438"/>
      <c r="E35" s="436" t="s">
        <v>30</v>
      </c>
      <c r="F35" s="436">
        <v>0.1</v>
      </c>
      <c r="G35" s="436">
        <v>0.6</v>
      </c>
      <c r="H35" s="436">
        <v>5.0000000000000001E-3</v>
      </c>
      <c r="I35" s="437">
        <f>F35*G35*H35*7850</f>
        <v>2.355</v>
      </c>
      <c r="J35" s="436">
        <f>I35*1</f>
        <v>2.355</v>
      </c>
      <c r="K35" s="439" t="s">
        <v>397</v>
      </c>
      <c r="L35" s="422"/>
      <c r="M35" s="422"/>
    </row>
    <row r="36" spans="1:13" s="428" customFormat="1">
      <c r="A36" s="447" t="s">
        <v>368</v>
      </c>
      <c r="B36" s="450" t="s">
        <v>31</v>
      </c>
      <c r="C36" s="449"/>
      <c r="D36" s="449"/>
      <c r="E36" s="450"/>
      <c r="F36" s="447"/>
      <c r="G36" s="447"/>
      <c r="H36" s="447"/>
      <c r="I36" s="450"/>
      <c r="J36" s="447"/>
      <c r="K36" s="447"/>
      <c r="L36" s="447"/>
      <c r="M36" s="447"/>
    </row>
    <row r="37" spans="1:13" s="428" customFormat="1" ht="28">
      <c r="A37" s="442" t="s">
        <v>12</v>
      </c>
      <c r="B37" s="444" t="s">
        <v>422</v>
      </c>
      <c r="C37" s="443"/>
      <c r="D37" s="443"/>
      <c r="E37" s="421"/>
      <c r="F37" s="420"/>
      <c r="G37" s="420"/>
      <c r="H37" s="420"/>
      <c r="I37" s="421"/>
      <c r="J37" s="420"/>
      <c r="K37" s="420"/>
      <c r="L37" s="420"/>
      <c r="M37" s="420"/>
    </row>
    <row r="38" spans="1:13" s="428" customFormat="1">
      <c r="A38" s="443">
        <v>1</v>
      </c>
      <c r="B38" s="445" t="s">
        <v>329</v>
      </c>
      <c r="C38" s="443" t="s">
        <v>18</v>
      </c>
      <c r="D38" s="443">
        <v>600</v>
      </c>
      <c r="E38" s="421"/>
      <c r="F38" s="420"/>
      <c r="G38" s="420"/>
      <c r="H38" s="420"/>
      <c r="I38" s="421"/>
      <c r="J38" s="420"/>
      <c r="K38" s="1061" t="s">
        <v>424</v>
      </c>
      <c r="L38" s="420"/>
      <c r="M38" s="420"/>
    </row>
    <row r="39" spans="1:13" s="428" customFormat="1">
      <c r="A39" s="443">
        <v>2</v>
      </c>
      <c r="B39" s="445" t="s">
        <v>330</v>
      </c>
      <c r="C39" s="443" t="s">
        <v>18</v>
      </c>
      <c r="D39" s="446">
        <v>1040</v>
      </c>
      <c r="E39" s="421"/>
      <c r="F39" s="420"/>
      <c r="G39" s="420"/>
      <c r="H39" s="420"/>
      <c r="I39" s="421"/>
      <c r="J39" s="420"/>
      <c r="K39" s="1062"/>
      <c r="L39" s="420"/>
      <c r="M39" s="420"/>
    </row>
    <row r="40" spans="1:13" s="428" customFormat="1">
      <c r="A40" s="443">
        <v>3</v>
      </c>
      <c r="B40" s="445" t="s">
        <v>331</v>
      </c>
      <c r="C40" s="443" t="s">
        <v>18</v>
      </c>
      <c r="D40" s="443">
        <v>400</v>
      </c>
      <c r="E40" s="421"/>
      <c r="F40" s="420"/>
      <c r="G40" s="420"/>
      <c r="H40" s="420"/>
      <c r="I40" s="421"/>
      <c r="J40" s="420"/>
      <c r="K40" s="1062"/>
      <c r="L40" s="420"/>
      <c r="M40" s="420"/>
    </row>
    <row r="41" spans="1:13" s="428" customFormat="1">
      <c r="A41" s="443">
        <v>4</v>
      </c>
      <c r="B41" s="445" t="s">
        <v>332</v>
      </c>
      <c r="C41" s="443" t="s">
        <v>18</v>
      </c>
      <c r="D41" s="443">
        <v>600</v>
      </c>
      <c r="E41" s="421"/>
      <c r="F41" s="420"/>
      <c r="G41" s="420"/>
      <c r="H41" s="420"/>
      <c r="I41" s="421"/>
      <c r="J41" s="420"/>
      <c r="K41" s="1062"/>
      <c r="L41" s="420"/>
      <c r="M41" s="420"/>
    </row>
    <row r="42" spans="1:13" s="428" customFormat="1">
      <c r="A42" s="443">
        <v>5</v>
      </c>
      <c r="B42" s="445" t="s">
        <v>333</v>
      </c>
      <c r="C42" s="443" t="s">
        <v>18</v>
      </c>
      <c r="D42" s="443">
        <v>200</v>
      </c>
      <c r="E42" s="421"/>
      <c r="F42" s="420"/>
      <c r="G42" s="420"/>
      <c r="H42" s="420"/>
      <c r="I42" s="421"/>
      <c r="J42" s="420"/>
      <c r="K42" s="1062"/>
      <c r="L42" s="420"/>
      <c r="M42" s="420"/>
    </row>
    <row r="43" spans="1:13" s="428" customFormat="1">
      <c r="A43" s="443">
        <v>6</v>
      </c>
      <c r="B43" s="445" t="s">
        <v>334</v>
      </c>
      <c r="C43" s="443" t="s">
        <v>335</v>
      </c>
      <c r="D43" s="443">
        <v>5</v>
      </c>
      <c r="E43" s="421"/>
      <c r="F43" s="420"/>
      <c r="G43" s="420"/>
      <c r="H43" s="420"/>
      <c r="I43" s="421"/>
      <c r="J43" s="420"/>
      <c r="K43" s="1062"/>
      <c r="L43" s="420"/>
      <c r="M43" s="420"/>
    </row>
    <row r="44" spans="1:13" s="428" customFormat="1">
      <c r="A44" s="443">
        <v>7</v>
      </c>
      <c r="B44" s="445" t="s">
        <v>336</v>
      </c>
      <c r="C44" s="443" t="s">
        <v>337</v>
      </c>
      <c r="D44" s="443">
        <v>18</v>
      </c>
      <c r="E44" s="421"/>
      <c r="F44" s="420"/>
      <c r="G44" s="420"/>
      <c r="H44" s="420"/>
      <c r="I44" s="421"/>
      <c r="J44" s="420"/>
      <c r="K44" s="1062"/>
      <c r="L44" s="420"/>
      <c r="M44" s="420"/>
    </row>
    <row r="45" spans="1:13" s="428" customFormat="1">
      <c r="A45" s="443">
        <v>8</v>
      </c>
      <c r="B45" s="445" t="s">
        <v>338</v>
      </c>
      <c r="C45" s="443" t="s">
        <v>335</v>
      </c>
      <c r="D45" s="443">
        <v>2</v>
      </c>
      <c r="E45" s="421"/>
      <c r="F45" s="420"/>
      <c r="G45" s="420"/>
      <c r="H45" s="420"/>
      <c r="I45" s="421"/>
      <c r="J45" s="420"/>
      <c r="K45" s="1062"/>
      <c r="L45" s="420"/>
      <c r="M45" s="420"/>
    </row>
    <row r="46" spans="1:13" s="428" customFormat="1">
      <c r="A46" s="443">
        <v>9</v>
      </c>
      <c r="B46" s="445" t="s">
        <v>339</v>
      </c>
      <c r="C46" s="443" t="s">
        <v>335</v>
      </c>
      <c r="D46" s="443">
        <v>100</v>
      </c>
      <c r="E46" s="421"/>
      <c r="F46" s="420"/>
      <c r="G46" s="420"/>
      <c r="H46" s="420"/>
      <c r="I46" s="421"/>
      <c r="J46" s="420"/>
      <c r="K46" s="1062"/>
      <c r="L46" s="420"/>
      <c r="M46" s="420"/>
    </row>
    <row r="47" spans="1:13" s="428" customFormat="1">
      <c r="A47" s="443">
        <v>10</v>
      </c>
      <c r="B47" s="445" t="s">
        <v>340</v>
      </c>
      <c r="C47" s="443" t="s">
        <v>335</v>
      </c>
      <c r="D47" s="443">
        <v>7</v>
      </c>
      <c r="E47" s="421"/>
      <c r="F47" s="420"/>
      <c r="G47" s="420"/>
      <c r="H47" s="420"/>
      <c r="I47" s="421"/>
      <c r="J47" s="420"/>
      <c r="K47" s="1062"/>
      <c r="L47" s="420"/>
      <c r="M47" s="420"/>
    </row>
    <row r="48" spans="1:13" s="428" customFormat="1">
      <c r="A48" s="443">
        <v>11</v>
      </c>
      <c r="B48" s="445" t="s">
        <v>341</v>
      </c>
      <c r="C48" s="443" t="s">
        <v>335</v>
      </c>
      <c r="D48" s="443">
        <v>100</v>
      </c>
      <c r="E48" s="421"/>
      <c r="F48" s="420"/>
      <c r="G48" s="420"/>
      <c r="H48" s="420"/>
      <c r="I48" s="421"/>
      <c r="J48" s="420"/>
      <c r="K48" s="1062"/>
      <c r="L48" s="420"/>
      <c r="M48" s="420"/>
    </row>
    <row r="49" spans="1:13" s="428" customFormat="1">
      <c r="A49" s="443">
        <v>12</v>
      </c>
      <c r="B49" s="445" t="s">
        <v>342</v>
      </c>
      <c r="C49" s="443" t="s">
        <v>45</v>
      </c>
      <c r="D49" s="443">
        <v>1</v>
      </c>
      <c r="E49" s="421"/>
      <c r="F49" s="420"/>
      <c r="G49" s="420"/>
      <c r="H49" s="420"/>
      <c r="I49" s="421"/>
      <c r="J49" s="420"/>
      <c r="K49" s="1062"/>
      <c r="L49" s="420"/>
      <c r="M49" s="420"/>
    </row>
    <row r="50" spans="1:13" s="428" customFormat="1">
      <c r="A50" s="443">
        <v>13</v>
      </c>
      <c r="B50" s="445" t="s">
        <v>343</v>
      </c>
      <c r="C50" s="443" t="s">
        <v>45</v>
      </c>
      <c r="D50" s="443">
        <v>4</v>
      </c>
      <c r="E50" s="421"/>
      <c r="F50" s="420"/>
      <c r="G50" s="420"/>
      <c r="H50" s="420"/>
      <c r="I50" s="421"/>
      <c r="J50" s="420"/>
      <c r="K50" s="1062"/>
      <c r="L50" s="420"/>
      <c r="M50" s="420"/>
    </row>
    <row r="51" spans="1:13" s="428" customFormat="1">
      <c r="A51" s="443">
        <v>14</v>
      </c>
      <c r="B51" s="445" t="s">
        <v>420</v>
      </c>
      <c r="C51" s="443" t="s">
        <v>18</v>
      </c>
      <c r="D51" s="443">
        <v>1600</v>
      </c>
      <c r="E51" s="421"/>
      <c r="F51" s="420"/>
      <c r="G51" s="420"/>
      <c r="H51" s="420"/>
      <c r="I51" s="421"/>
      <c r="J51" s="420"/>
      <c r="K51" s="1062"/>
      <c r="L51" s="420"/>
      <c r="M51" s="420"/>
    </row>
    <row r="52" spans="1:13" s="428" customFormat="1">
      <c r="A52" s="443">
        <v>15</v>
      </c>
      <c r="B52" s="445" t="s">
        <v>345</v>
      </c>
      <c r="C52" s="443" t="s">
        <v>337</v>
      </c>
      <c r="D52" s="443">
        <v>2</v>
      </c>
      <c r="E52" s="421"/>
      <c r="F52" s="420"/>
      <c r="G52" s="420"/>
      <c r="H52" s="420"/>
      <c r="I52" s="421"/>
      <c r="J52" s="420"/>
      <c r="K52" s="1062"/>
      <c r="L52" s="420"/>
      <c r="M52" s="420"/>
    </row>
    <row r="53" spans="1:13" s="428" customFormat="1">
      <c r="A53" s="443">
        <v>16</v>
      </c>
      <c r="B53" s="445" t="s">
        <v>346</v>
      </c>
      <c r="C53" s="443" t="s">
        <v>30</v>
      </c>
      <c r="D53" s="443">
        <f>80.1*3</f>
        <v>240.29999999999998</v>
      </c>
      <c r="E53" s="421"/>
      <c r="F53" s="420"/>
      <c r="G53" s="420"/>
      <c r="H53" s="420"/>
      <c r="I53" s="421"/>
      <c r="J53" s="420"/>
      <c r="K53" s="1062"/>
      <c r="L53" s="420"/>
      <c r="M53" s="420"/>
    </row>
    <row r="54" spans="1:13" s="428" customFormat="1">
      <c r="A54" s="443">
        <v>17</v>
      </c>
      <c r="B54" s="445" t="s">
        <v>347</v>
      </c>
      <c r="C54" s="443" t="s">
        <v>45</v>
      </c>
      <c r="D54" s="443">
        <v>6</v>
      </c>
      <c r="E54" s="421"/>
      <c r="F54" s="420"/>
      <c r="G54" s="420"/>
      <c r="H54" s="420"/>
      <c r="I54" s="421"/>
      <c r="J54" s="420"/>
      <c r="K54" s="1062"/>
      <c r="L54" s="420"/>
      <c r="M54" s="420"/>
    </row>
    <row r="55" spans="1:13" s="428" customFormat="1" ht="28">
      <c r="A55" s="443">
        <v>18</v>
      </c>
      <c r="B55" s="445" t="s">
        <v>348</v>
      </c>
      <c r="C55" s="443" t="s">
        <v>30</v>
      </c>
      <c r="D55" s="443">
        <v>22.6</v>
      </c>
      <c r="E55" s="421"/>
      <c r="F55" s="420"/>
      <c r="G55" s="420"/>
      <c r="H55" s="420"/>
      <c r="I55" s="421"/>
      <c r="J55" s="420"/>
      <c r="K55" s="1062"/>
      <c r="L55" s="420"/>
      <c r="M55" s="420"/>
    </row>
    <row r="56" spans="1:13" s="428" customFormat="1">
      <c r="A56" s="443">
        <v>19</v>
      </c>
      <c r="B56" s="445" t="s">
        <v>421</v>
      </c>
      <c r="C56" s="443" t="s">
        <v>30</v>
      </c>
      <c r="D56" s="443">
        <v>188.2</v>
      </c>
      <c r="E56" s="421"/>
      <c r="F56" s="420"/>
      <c r="G56" s="420"/>
      <c r="H56" s="420"/>
      <c r="I56" s="421"/>
      <c r="J56" s="420"/>
      <c r="K56" s="1062"/>
      <c r="L56" s="420"/>
      <c r="M56" s="420"/>
    </row>
    <row r="57" spans="1:13" s="428" customFormat="1">
      <c r="A57" s="443">
        <v>20</v>
      </c>
      <c r="B57" s="445" t="s">
        <v>350</v>
      </c>
      <c r="C57" s="443" t="s">
        <v>45</v>
      </c>
      <c r="D57" s="443">
        <v>3</v>
      </c>
      <c r="E57" s="421"/>
      <c r="F57" s="420"/>
      <c r="G57" s="420"/>
      <c r="H57" s="420"/>
      <c r="I57" s="421"/>
      <c r="J57" s="420"/>
      <c r="K57" s="1062"/>
      <c r="L57" s="420"/>
      <c r="M57" s="420"/>
    </row>
    <row r="58" spans="1:13" s="428" customFormat="1">
      <c r="A58" s="443">
        <v>21</v>
      </c>
      <c r="B58" s="445" t="s">
        <v>365</v>
      </c>
      <c r="C58" s="443" t="s">
        <v>30</v>
      </c>
      <c r="D58" s="443">
        <v>188.2</v>
      </c>
      <c r="E58" s="421"/>
      <c r="F58" s="420"/>
      <c r="G58" s="420"/>
      <c r="H58" s="420"/>
      <c r="I58" s="421"/>
      <c r="J58" s="420"/>
      <c r="K58" s="1062"/>
      <c r="L58" s="420"/>
      <c r="M58" s="420"/>
    </row>
    <row r="59" spans="1:13" s="428" customFormat="1" ht="28">
      <c r="A59" s="443">
        <v>22</v>
      </c>
      <c r="B59" s="445" t="s">
        <v>351</v>
      </c>
      <c r="C59" s="443" t="s">
        <v>166</v>
      </c>
      <c r="D59" s="443">
        <v>1</v>
      </c>
      <c r="E59" s="421"/>
      <c r="F59" s="420"/>
      <c r="G59" s="420"/>
      <c r="H59" s="420"/>
      <c r="I59" s="421"/>
      <c r="J59" s="420"/>
      <c r="K59" s="1062"/>
      <c r="L59" s="420"/>
      <c r="M59" s="420"/>
    </row>
    <row r="60" spans="1:13" s="428" customFormat="1" ht="28">
      <c r="A60" s="443">
        <v>23</v>
      </c>
      <c r="B60" s="445" t="s">
        <v>352</v>
      </c>
      <c r="C60" s="443" t="s">
        <v>353</v>
      </c>
      <c r="D60" s="443">
        <f>40*20*3+18*20*3</f>
        <v>3480</v>
      </c>
      <c r="E60" s="421"/>
      <c r="F60" s="420"/>
      <c r="G60" s="420"/>
      <c r="H60" s="420"/>
      <c r="I60" s="421"/>
      <c r="J60" s="420"/>
      <c r="K60" s="1062"/>
      <c r="L60" s="420"/>
      <c r="M60" s="420"/>
    </row>
    <row r="61" spans="1:13" s="428" customFormat="1">
      <c r="A61" s="443">
        <v>24</v>
      </c>
      <c r="B61" s="445" t="s">
        <v>354</v>
      </c>
      <c r="C61" s="443" t="s">
        <v>355</v>
      </c>
      <c r="D61" s="443">
        <v>2</v>
      </c>
      <c r="E61" s="421"/>
      <c r="F61" s="420"/>
      <c r="G61" s="420"/>
      <c r="H61" s="420"/>
      <c r="I61" s="421"/>
      <c r="J61" s="420"/>
      <c r="K61" s="1062"/>
      <c r="L61" s="420"/>
      <c r="M61" s="420"/>
    </row>
    <row r="62" spans="1:13" s="428" customFormat="1" ht="28">
      <c r="A62" s="443">
        <v>25</v>
      </c>
      <c r="B62" s="445" t="s">
        <v>356</v>
      </c>
      <c r="C62" s="443" t="s">
        <v>357</v>
      </c>
      <c r="D62" s="443">
        <v>15</v>
      </c>
      <c r="E62" s="421"/>
      <c r="F62" s="420"/>
      <c r="G62" s="420"/>
      <c r="H62" s="420"/>
      <c r="I62" s="421"/>
      <c r="J62" s="420"/>
      <c r="K62" s="1062"/>
      <c r="L62" s="420"/>
      <c r="M62" s="420"/>
    </row>
    <row r="63" spans="1:13" s="428" customFormat="1">
      <c r="A63" s="443">
        <v>26</v>
      </c>
      <c r="B63" s="445" t="s">
        <v>358</v>
      </c>
      <c r="C63" s="443" t="s">
        <v>359</v>
      </c>
      <c r="D63" s="443"/>
      <c r="E63" s="421"/>
      <c r="F63" s="420"/>
      <c r="G63" s="420"/>
      <c r="H63" s="420"/>
      <c r="I63" s="421"/>
      <c r="J63" s="420"/>
      <c r="K63" s="1062"/>
      <c r="L63" s="420"/>
      <c r="M63" s="420"/>
    </row>
    <row r="64" spans="1:13" s="428" customFormat="1">
      <c r="A64" s="443">
        <v>27</v>
      </c>
      <c r="B64" s="445" t="s">
        <v>360</v>
      </c>
      <c r="C64" s="443" t="s">
        <v>361</v>
      </c>
      <c r="D64" s="443">
        <v>1</v>
      </c>
      <c r="E64" s="421"/>
      <c r="F64" s="420"/>
      <c r="G64" s="420"/>
      <c r="H64" s="420"/>
      <c r="I64" s="421"/>
      <c r="J64" s="420"/>
      <c r="K64" s="1062"/>
      <c r="L64" s="420"/>
      <c r="M64" s="420"/>
    </row>
    <row r="65" spans="1:13" s="428" customFormat="1">
      <c r="A65" s="443">
        <v>28</v>
      </c>
      <c r="B65" s="445" t="s">
        <v>362</v>
      </c>
      <c r="C65" s="443" t="s">
        <v>357</v>
      </c>
      <c r="D65" s="443">
        <v>14</v>
      </c>
      <c r="E65" s="421"/>
      <c r="F65" s="420"/>
      <c r="G65" s="420"/>
      <c r="H65" s="420"/>
      <c r="I65" s="421"/>
      <c r="J65" s="420"/>
      <c r="K65" s="1063"/>
      <c r="L65" s="420"/>
      <c r="M65" s="420"/>
    </row>
    <row r="66" spans="1:13" s="428" customFormat="1" ht="28">
      <c r="A66" s="442" t="s">
        <v>20</v>
      </c>
      <c r="B66" s="451" t="s">
        <v>425</v>
      </c>
      <c r="C66" s="442" t="s">
        <v>426</v>
      </c>
      <c r="D66" s="442">
        <v>1</v>
      </c>
      <c r="E66" s="421"/>
      <c r="F66" s="420"/>
      <c r="G66" s="420"/>
      <c r="H66" s="420"/>
      <c r="I66" s="421"/>
      <c r="J66" s="420"/>
      <c r="K66" s="420"/>
      <c r="L66" s="420"/>
      <c r="M66" s="420"/>
    </row>
    <row r="67" spans="1:13" s="428" customFormat="1">
      <c r="A67" s="443"/>
      <c r="B67" s="445"/>
      <c r="C67" s="443"/>
      <c r="D67" s="443"/>
      <c r="E67" s="421"/>
      <c r="F67" s="420"/>
      <c r="G67" s="420"/>
      <c r="H67" s="420"/>
      <c r="I67" s="421"/>
      <c r="J67" s="420"/>
      <c r="K67" s="420"/>
      <c r="L67" s="420"/>
      <c r="M67" s="420"/>
    </row>
    <row r="68" spans="1:13" s="428" customFormat="1">
      <c r="A68" s="443"/>
      <c r="B68" s="445"/>
      <c r="C68" s="443"/>
      <c r="D68" s="443"/>
      <c r="E68" s="421"/>
      <c r="F68" s="420"/>
      <c r="G68" s="420"/>
      <c r="H68" s="420"/>
      <c r="I68" s="421"/>
      <c r="J68" s="420"/>
      <c r="K68" s="420"/>
      <c r="L68" s="420"/>
      <c r="M68" s="420"/>
    </row>
    <row r="69" spans="1:13" s="428" customFormat="1">
      <c r="A69" s="443"/>
      <c r="B69" s="445"/>
      <c r="C69" s="443"/>
      <c r="D69" s="443"/>
      <c r="E69" s="421"/>
      <c r="F69" s="420"/>
      <c r="G69" s="420"/>
      <c r="H69" s="420"/>
      <c r="I69" s="421"/>
      <c r="J69" s="420"/>
      <c r="K69" s="420"/>
      <c r="L69" s="420"/>
      <c r="M69" s="420"/>
    </row>
    <row r="70" spans="1:13" s="428" customFormat="1">
      <c r="A70" s="443"/>
      <c r="B70" s="445"/>
      <c r="C70" s="443"/>
      <c r="D70" s="443"/>
      <c r="E70" s="421"/>
      <c r="F70" s="420"/>
      <c r="G70" s="420"/>
      <c r="H70" s="420"/>
      <c r="I70" s="421"/>
      <c r="J70" s="420"/>
      <c r="K70" s="420"/>
      <c r="L70" s="420"/>
      <c r="M70" s="420"/>
    </row>
    <row r="71" spans="1:13" s="428" customFormat="1">
      <c r="A71" s="443"/>
      <c r="B71" s="445"/>
      <c r="C71" s="443"/>
      <c r="D71" s="443"/>
      <c r="E71" s="421"/>
      <c r="F71" s="420"/>
      <c r="G71" s="420"/>
      <c r="H71" s="420"/>
      <c r="I71" s="421"/>
      <c r="J71" s="420"/>
      <c r="K71" s="420"/>
      <c r="L71" s="420"/>
      <c r="M71" s="420"/>
    </row>
    <row r="72" spans="1:13" s="428" customFormat="1">
      <c r="A72" s="443"/>
      <c r="B72" s="445"/>
      <c r="C72" s="443"/>
      <c r="D72" s="443"/>
      <c r="E72" s="421"/>
      <c r="F72" s="420"/>
      <c r="G72" s="420"/>
      <c r="H72" s="420"/>
      <c r="I72" s="421"/>
      <c r="J72" s="420"/>
      <c r="K72" s="420"/>
      <c r="L72" s="420"/>
      <c r="M72" s="420"/>
    </row>
    <row r="73" spans="1:13" s="428" customFormat="1">
      <c r="A73" s="443"/>
      <c r="B73" s="445"/>
      <c r="C73" s="443"/>
      <c r="D73" s="443"/>
      <c r="E73" s="421"/>
      <c r="F73" s="420"/>
      <c r="G73" s="420"/>
      <c r="H73" s="420"/>
      <c r="I73" s="421"/>
      <c r="J73" s="420"/>
      <c r="K73" s="420"/>
      <c r="L73" s="420"/>
      <c r="M73" s="420"/>
    </row>
    <row r="74" spans="1:13" s="428" customFormat="1">
      <c r="A74" s="443"/>
      <c r="B74" s="445"/>
      <c r="C74" s="443"/>
      <c r="D74" s="443"/>
      <c r="E74" s="421"/>
      <c r="F74" s="420"/>
      <c r="G74" s="420"/>
      <c r="H74" s="420"/>
      <c r="I74" s="421"/>
      <c r="J74" s="420"/>
      <c r="K74" s="420"/>
      <c r="L74" s="420"/>
      <c r="M74" s="420"/>
    </row>
    <row r="75" spans="1:13" s="428" customFormat="1">
      <c r="A75" s="443"/>
      <c r="B75" s="445"/>
      <c r="C75" s="443"/>
      <c r="D75" s="443"/>
      <c r="E75" s="421"/>
      <c r="F75" s="420"/>
      <c r="G75" s="420"/>
      <c r="H75" s="420"/>
      <c r="I75" s="421"/>
      <c r="J75" s="420"/>
      <c r="K75" s="420"/>
      <c r="L75" s="420"/>
      <c r="M75" s="420"/>
    </row>
    <row r="76" spans="1:13" s="428" customFormat="1">
      <c r="A76" s="443"/>
      <c r="B76" s="445"/>
      <c r="C76" s="443"/>
      <c r="D76" s="443"/>
      <c r="E76" s="421"/>
      <c r="F76" s="420"/>
      <c r="G76" s="420"/>
      <c r="H76" s="420"/>
      <c r="I76" s="421"/>
      <c r="J76" s="420"/>
      <c r="K76" s="420"/>
      <c r="L76" s="420"/>
      <c r="M76" s="420"/>
    </row>
    <row r="77" spans="1:13" s="428" customFormat="1">
      <c r="A77" s="443"/>
      <c r="B77" s="445"/>
      <c r="C77" s="443"/>
      <c r="D77" s="443"/>
      <c r="E77" s="421"/>
      <c r="F77" s="420"/>
      <c r="G77" s="420"/>
      <c r="H77" s="420"/>
      <c r="I77" s="421"/>
      <c r="J77" s="420"/>
      <c r="K77" s="420"/>
      <c r="L77" s="420"/>
      <c r="M77" s="420"/>
    </row>
    <row r="78" spans="1:13" s="428" customFormat="1">
      <c r="A78" s="443"/>
      <c r="B78" s="445"/>
      <c r="C78" s="443"/>
      <c r="D78" s="443"/>
      <c r="E78" s="421"/>
      <c r="F78" s="420"/>
      <c r="G78" s="420"/>
      <c r="H78" s="420"/>
      <c r="I78" s="421"/>
      <c r="J78" s="420"/>
      <c r="K78" s="420"/>
      <c r="L78" s="420"/>
      <c r="M78" s="420"/>
    </row>
    <row r="79" spans="1:13" s="428" customFormat="1">
      <c r="A79" s="443"/>
      <c r="B79" s="445"/>
      <c r="C79" s="443"/>
      <c r="D79" s="443"/>
      <c r="E79" s="421"/>
      <c r="F79" s="420"/>
      <c r="G79" s="420"/>
      <c r="H79" s="420"/>
      <c r="I79" s="421"/>
      <c r="J79" s="420"/>
      <c r="K79" s="420"/>
      <c r="L79" s="420"/>
      <c r="M79" s="420"/>
    </row>
    <row r="80" spans="1:13" s="428" customFormat="1">
      <c r="A80" s="443"/>
      <c r="B80" s="445"/>
      <c r="C80" s="443"/>
      <c r="D80" s="443"/>
      <c r="E80" s="421"/>
      <c r="F80" s="420"/>
      <c r="G80" s="420"/>
      <c r="H80" s="420"/>
      <c r="I80" s="421"/>
      <c r="J80" s="420"/>
      <c r="K80" s="420"/>
      <c r="L80" s="420"/>
      <c r="M80" s="420"/>
    </row>
    <row r="81" spans="1:13" s="429" customFormat="1">
      <c r="A81" s="422">
        <v>1</v>
      </c>
      <c r="B81" s="2" t="s">
        <v>32</v>
      </c>
      <c r="C81" s="425"/>
      <c r="D81" s="425"/>
      <c r="E81" s="422" t="s">
        <v>33</v>
      </c>
      <c r="F81" s="422"/>
      <c r="G81" s="422"/>
      <c r="H81" s="422"/>
      <c r="I81" s="2">
        <v>256.67</v>
      </c>
      <c r="J81" s="423">
        <f>I81*5</f>
        <v>1283.3500000000001</v>
      </c>
      <c r="K81" s="422" t="s">
        <v>34</v>
      </c>
      <c r="L81" s="422"/>
      <c r="M81" s="422"/>
    </row>
    <row r="82" spans="1:13" s="429" customFormat="1">
      <c r="A82" s="422">
        <v>2</v>
      </c>
      <c r="B82" s="2" t="s">
        <v>35</v>
      </c>
      <c r="C82" s="425"/>
      <c r="D82" s="425"/>
      <c r="E82" s="422" t="s">
        <v>16</v>
      </c>
      <c r="F82" s="422"/>
      <c r="G82" s="422"/>
      <c r="H82" s="422"/>
      <c r="I82" s="2">
        <f>(2.4+1.2)*2.1*0.03</f>
        <v>0.22679999999999997</v>
      </c>
      <c r="J82" s="423">
        <f>I82*5</f>
        <v>1.1339999999999999</v>
      </c>
      <c r="K82" s="422" t="s">
        <v>36</v>
      </c>
      <c r="L82" s="422"/>
      <c r="M82" s="422"/>
    </row>
    <row r="83" spans="1:13" s="429" customFormat="1">
      <c r="A83" s="422">
        <v>3</v>
      </c>
      <c r="B83" s="2" t="s">
        <v>37</v>
      </c>
      <c r="C83" s="425"/>
      <c r="D83" s="425"/>
      <c r="E83" s="422"/>
      <c r="F83" s="422">
        <v>900</v>
      </c>
      <c r="G83" s="422"/>
      <c r="H83" s="422"/>
      <c r="I83" s="2"/>
      <c r="J83" s="422"/>
      <c r="K83" s="422"/>
      <c r="L83" s="422"/>
      <c r="M83" s="422"/>
    </row>
    <row r="84" spans="1:13" s="429" customFormat="1">
      <c r="A84" s="422"/>
      <c r="B84" s="2" t="s">
        <v>38</v>
      </c>
      <c r="C84" s="425"/>
      <c r="D84" s="425"/>
      <c r="E84" s="422"/>
      <c r="F84" s="422">
        <f>F83-F85-F86</f>
        <v>600</v>
      </c>
      <c r="G84" s="422"/>
      <c r="H84" s="422"/>
      <c r="I84" s="2"/>
      <c r="J84" s="422">
        <f>SUM(F84:G84)</f>
        <v>600</v>
      </c>
      <c r="K84" s="422"/>
      <c r="L84" s="422"/>
      <c r="M84" s="422"/>
    </row>
    <row r="85" spans="1:13" s="429" customFormat="1">
      <c r="A85" s="422"/>
      <c r="B85" s="2" t="s">
        <v>39</v>
      </c>
      <c r="C85" s="425"/>
      <c r="D85" s="425"/>
      <c r="E85" s="422"/>
      <c r="F85" s="422">
        <v>240</v>
      </c>
      <c r="G85" s="422"/>
      <c r="H85" s="422"/>
      <c r="I85" s="2"/>
      <c r="J85" s="422">
        <f>SUM(F85:G85)</f>
        <v>240</v>
      </c>
      <c r="K85" s="422"/>
      <c r="L85" s="422"/>
      <c r="M85" s="422"/>
    </row>
    <row r="86" spans="1:13" s="429" customFormat="1">
      <c r="A86" s="422"/>
      <c r="B86" s="2" t="s">
        <v>40</v>
      </c>
      <c r="C86" s="425"/>
      <c r="D86" s="425"/>
      <c r="E86" s="422"/>
      <c r="F86" s="422">
        <v>60</v>
      </c>
      <c r="G86" s="422"/>
      <c r="H86" s="422"/>
      <c r="I86" s="2"/>
      <c r="J86" s="422">
        <f>SUM(F86:G86)</f>
        <v>60</v>
      </c>
      <c r="K86" s="422"/>
      <c r="L86" s="422"/>
      <c r="M86" s="422"/>
    </row>
    <row r="87" spans="1:13" s="429" customFormat="1">
      <c r="A87" s="422">
        <v>4</v>
      </c>
      <c r="B87" s="2" t="s">
        <v>41</v>
      </c>
      <c r="C87" s="425"/>
      <c r="D87" s="425"/>
      <c r="E87" s="422"/>
      <c r="F87" s="422"/>
      <c r="G87" s="422"/>
      <c r="H87" s="422"/>
      <c r="I87" s="2"/>
      <c r="J87" s="422"/>
      <c r="K87" s="422"/>
      <c r="L87" s="422"/>
      <c r="M87" s="422"/>
    </row>
    <row r="88" spans="1:13" s="429" customFormat="1">
      <c r="A88" s="422"/>
      <c r="B88" s="2" t="s">
        <v>42</v>
      </c>
      <c r="C88" s="425"/>
      <c r="D88" s="425"/>
      <c r="E88" s="422" t="s">
        <v>18</v>
      </c>
      <c r="F88" s="422">
        <v>900</v>
      </c>
      <c r="G88" s="422">
        <v>700</v>
      </c>
      <c r="H88" s="422"/>
      <c r="I88" s="2"/>
      <c r="J88" s="422">
        <f t="shared" ref="J88:J93" si="0">SUM(F88:G88)</f>
        <v>1600</v>
      </c>
      <c r="K88" s="422"/>
      <c r="L88" s="422"/>
      <c r="M88" s="422"/>
    </row>
    <row r="89" spans="1:13" s="429" customFormat="1">
      <c r="A89" s="422"/>
      <c r="B89" s="2" t="s">
        <v>43</v>
      </c>
      <c r="C89" s="425"/>
      <c r="D89" s="425"/>
      <c r="E89" s="422" t="s">
        <v>18</v>
      </c>
      <c r="F89" s="422">
        <f>F88/4</f>
        <v>225</v>
      </c>
      <c r="G89" s="422">
        <f>G88/4</f>
        <v>175</v>
      </c>
      <c r="H89" s="422"/>
      <c r="I89" s="2"/>
      <c r="J89" s="422">
        <f t="shared" si="0"/>
        <v>400</v>
      </c>
      <c r="K89" s="422"/>
      <c r="L89" s="422"/>
      <c r="M89" s="422"/>
    </row>
    <row r="90" spans="1:13" s="429" customFormat="1">
      <c r="A90" s="422"/>
      <c r="B90" s="2" t="s">
        <v>44</v>
      </c>
      <c r="C90" s="425"/>
      <c r="D90" s="425"/>
      <c r="E90" s="422" t="s">
        <v>45</v>
      </c>
      <c r="F90" s="422">
        <f>F88/20</f>
        <v>45</v>
      </c>
      <c r="G90" s="422">
        <f>G88/20</f>
        <v>35</v>
      </c>
      <c r="H90" s="422"/>
      <c r="I90" s="2"/>
      <c r="J90" s="422">
        <f t="shared" si="0"/>
        <v>80</v>
      </c>
      <c r="K90" s="422"/>
      <c r="L90" s="422"/>
      <c r="M90" s="422"/>
    </row>
    <row r="91" spans="1:13" s="429" customFormat="1">
      <c r="A91" s="422"/>
      <c r="B91" s="2" t="s">
        <v>46</v>
      </c>
      <c r="C91" s="425"/>
      <c r="D91" s="425"/>
      <c r="E91" s="422" t="s">
        <v>45</v>
      </c>
      <c r="F91" s="422">
        <f>F90</f>
        <v>45</v>
      </c>
      <c r="G91" s="422">
        <f>G90</f>
        <v>35</v>
      </c>
      <c r="H91" s="422"/>
      <c r="I91" s="2"/>
      <c r="J91" s="422">
        <f t="shared" si="0"/>
        <v>80</v>
      </c>
      <c r="K91" s="422"/>
      <c r="L91" s="422"/>
      <c r="M91" s="422"/>
    </row>
    <row r="92" spans="1:13" s="429" customFormat="1">
      <c r="A92" s="422"/>
      <c r="B92" s="2" t="s">
        <v>47</v>
      </c>
      <c r="C92" s="425"/>
      <c r="D92" s="425"/>
      <c r="E92" s="422" t="s">
        <v>45</v>
      </c>
      <c r="F92" s="422">
        <f>F91</f>
        <v>45</v>
      </c>
      <c r="G92" s="422">
        <f>G91</f>
        <v>35</v>
      </c>
      <c r="H92" s="422"/>
      <c r="I92" s="2"/>
      <c r="J92" s="422">
        <f t="shared" si="0"/>
        <v>80</v>
      </c>
      <c r="K92" s="422"/>
      <c r="L92" s="422"/>
      <c r="M92" s="422"/>
    </row>
    <row r="93" spans="1:13" s="429" customFormat="1">
      <c r="A93" s="422"/>
      <c r="B93" s="2" t="s">
        <v>48</v>
      </c>
      <c r="C93" s="425"/>
      <c r="D93" s="425"/>
      <c r="E93" s="422" t="s">
        <v>49</v>
      </c>
      <c r="F93" s="422">
        <v>2</v>
      </c>
      <c r="G93" s="422">
        <v>2</v>
      </c>
      <c r="H93" s="422"/>
      <c r="I93" s="2"/>
      <c r="J93" s="422">
        <f t="shared" si="0"/>
        <v>4</v>
      </c>
      <c r="K93" s="422"/>
      <c r="L93" s="422"/>
      <c r="M93" s="422"/>
    </row>
    <row r="94" spans="1:13" s="429" customFormat="1">
      <c r="A94" s="422">
        <v>5</v>
      </c>
      <c r="B94" s="2" t="s">
        <v>50</v>
      </c>
      <c r="C94" s="425"/>
      <c r="D94" s="425"/>
      <c r="E94" s="422" t="s">
        <v>33</v>
      </c>
      <c r="F94" s="422"/>
      <c r="G94" s="422"/>
      <c r="H94" s="422"/>
      <c r="I94" s="2"/>
      <c r="J94" s="422">
        <v>200</v>
      </c>
      <c r="K94" s="422"/>
      <c r="L94" s="422"/>
      <c r="M94" s="422"/>
    </row>
    <row r="95" spans="1:13" s="429" customFormat="1">
      <c r="A95" s="430"/>
      <c r="C95" s="431"/>
      <c r="D95" s="431"/>
      <c r="J95" s="430"/>
      <c r="K95" s="430"/>
      <c r="L95" s="430"/>
      <c r="M95" s="430"/>
    </row>
    <row r="96" spans="1:13" s="429" customFormat="1">
      <c r="A96" s="430"/>
      <c r="C96" s="431"/>
      <c r="D96" s="431"/>
      <c r="J96" s="430"/>
      <c r="K96" s="430"/>
      <c r="L96" s="430"/>
      <c r="M96" s="430"/>
    </row>
    <row r="97" spans="1:13" s="429" customFormat="1">
      <c r="A97" s="430"/>
      <c r="C97" s="431"/>
      <c r="D97" s="431"/>
      <c r="J97" s="430"/>
      <c r="K97" s="430"/>
      <c r="L97" s="430"/>
      <c r="M97" s="430"/>
    </row>
    <row r="98" spans="1:13" s="429" customFormat="1">
      <c r="A98" s="430"/>
      <c r="C98" s="431"/>
      <c r="D98" s="431"/>
      <c r="J98" s="430"/>
      <c r="K98" s="430"/>
      <c r="L98" s="430"/>
      <c r="M98" s="430"/>
    </row>
    <row r="99" spans="1:13" s="429" customFormat="1">
      <c r="A99" s="430"/>
      <c r="C99" s="431"/>
      <c r="D99" s="431"/>
      <c r="J99" s="430"/>
      <c r="K99" s="430"/>
      <c r="L99" s="430"/>
      <c r="M99" s="430"/>
    </row>
    <row r="100" spans="1:13" s="429" customFormat="1">
      <c r="A100" s="430"/>
      <c r="C100" s="431"/>
      <c r="D100" s="431"/>
      <c r="J100" s="430"/>
      <c r="K100" s="430"/>
      <c r="L100" s="430"/>
      <c r="M100" s="430"/>
    </row>
    <row r="101" spans="1:13" s="429" customFormat="1">
      <c r="A101" s="430"/>
      <c r="C101" s="431"/>
      <c r="D101" s="431"/>
      <c r="J101" s="430"/>
      <c r="K101" s="430"/>
      <c r="L101" s="430"/>
      <c r="M101" s="430"/>
    </row>
    <row r="102" spans="1:13" s="429" customFormat="1">
      <c r="A102" s="430"/>
      <c r="C102" s="431"/>
      <c r="D102" s="431"/>
      <c r="J102" s="430"/>
      <c r="K102" s="430"/>
      <c r="L102" s="430"/>
      <c r="M102" s="430"/>
    </row>
    <row r="103" spans="1:13" s="429" customFormat="1">
      <c r="A103" s="430"/>
      <c r="C103" s="431"/>
      <c r="D103" s="431"/>
      <c r="J103" s="430"/>
      <c r="K103" s="430"/>
      <c r="L103" s="430"/>
      <c r="M103" s="430"/>
    </row>
    <row r="104" spans="1:13" s="429" customFormat="1">
      <c r="A104" s="430"/>
      <c r="C104" s="431"/>
      <c r="D104" s="431"/>
      <c r="J104" s="430"/>
      <c r="K104" s="430"/>
      <c r="L104" s="430"/>
      <c r="M104" s="430"/>
    </row>
    <row r="105" spans="1:13" s="429" customFormat="1">
      <c r="A105" s="430"/>
      <c r="C105" s="431"/>
      <c r="D105" s="431"/>
      <c r="J105" s="430"/>
      <c r="K105" s="430"/>
      <c r="L105" s="430"/>
      <c r="M105" s="430"/>
    </row>
    <row r="106" spans="1:13" s="429" customFormat="1">
      <c r="A106" s="430"/>
      <c r="C106" s="431"/>
      <c r="D106" s="431"/>
      <c r="J106" s="430"/>
      <c r="K106" s="430"/>
      <c r="L106" s="430"/>
      <c r="M106" s="430"/>
    </row>
    <row r="107" spans="1:13" s="429" customFormat="1">
      <c r="A107" s="430"/>
      <c r="C107" s="431"/>
      <c r="D107" s="431"/>
      <c r="J107" s="430"/>
      <c r="K107" s="430"/>
      <c r="L107" s="430"/>
      <c r="M107" s="430"/>
    </row>
    <row r="108" spans="1:13" s="429" customFormat="1">
      <c r="A108" s="430"/>
      <c r="C108" s="431"/>
      <c r="D108" s="431"/>
      <c r="J108" s="430"/>
      <c r="K108" s="430"/>
      <c r="L108" s="430"/>
      <c r="M108" s="430"/>
    </row>
    <row r="109" spans="1:13" s="429" customFormat="1">
      <c r="A109" s="430"/>
      <c r="C109" s="431"/>
      <c r="D109" s="431"/>
      <c r="J109" s="430"/>
      <c r="K109" s="430"/>
      <c r="L109" s="430"/>
      <c r="M109" s="430"/>
    </row>
    <row r="110" spans="1:13" s="429" customFormat="1">
      <c r="A110" s="430"/>
      <c r="C110" s="431"/>
      <c r="D110" s="431"/>
      <c r="J110" s="430"/>
      <c r="K110" s="430"/>
      <c r="L110" s="430"/>
      <c r="M110" s="430"/>
    </row>
  </sheetData>
  <mergeCells count="6">
    <mergeCell ref="N29:S29"/>
    <mergeCell ref="K38:K65"/>
    <mergeCell ref="A1:K1"/>
    <mergeCell ref="F3:H3"/>
    <mergeCell ref="I3:J3"/>
    <mergeCell ref="L3:M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workbookViewId="0">
      <selection activeCell="D99" sqref="D99"/>
    </sheetView>
  </sheetViews>
  <sheetFormatPr defaultRowHeight="14"/>
  <cols>
    <col min="1" max="1" width="29" customWidth="1"/>
    <col min="2" max="2" width="12" customWidth="1"/>
    <col min="3" max="3" width="11.33203125" customWidth="1"/>
    <col min="4" max="4" width="14.33203125" customWidth="1"/>
    <col min="5" max="5" width="17" customWidth="1"/>
    <col min="6" max="6" width="11.75" customWidth="1"/>
    <col min="7" max="7" width="14.75" customWidth="1"/>
  </cols>
  <sheetData>
    <row r="1" spans="1:6" ht="42">
      <c r="A1" s="4" t="s">
        <v>65</v>
      </c>
    </row>
    <row r="2" spans="1:6" ht="14.5">
      <c r="A2" s="5" t="s">
        <v>66</v>
      </c>
      <c r="B2" s="6" t="s">
        <v>67</v>
      </c>
      <c r="C2" s="6" t="s">
        <v>5</v>
      </c>
      <c r="D2" s="7" t="s">
        <v>68</v>
      </c>
      <c r="E2" s="7" t="s">
        <v>69</v>
      </c>
    </row>
    <row r="3" spans="1:6">
      <c r="A3" s="8" t="s">
        <v>70</v>
      </c>
      <c r="B3" s="9"/>
      <c r="C3" s="10"/>
      <c r="D3" s="10"/>
      <c r="E3" s="11">
        <f>SUM(E4:E6)</f>
        <v>1512500</v>
      </c>
    </row>
    <row r="4" spans="1:6">
      <c r="A4" s="12" t="s">
        <v>71</v>
      </c>
      <c r="B4" s="13" t="s">
        <v>30</v>
      </c>
      <c r="C4" s="13">
        <v>7.7</v>
      </c>
      <c r="D4" s="14">
        <v>85000</v>
      </c>
      <c r="E4" s="15">
        <f>C4*D4</f>
        <v>654500</v>
      </c>
    </row>
    <row r="5" spans="1:6" ht="16.5" customHeight="1">
      <c r="A5" s="12" t="s">
        <v>72</v>
      </c>
      <c r="B5" s="13" t="s">
        <v>45</v>
      </c>
      <c r="C5" s="13">
        <v>2</v>
      </c>
      <c r="D5" s="16">
        <v>110000</v>
      </c>
      <c r="E5" s="15">
        <f>C5*D5</f>
        <v>220000</v>
      </c>
    </row>
    <row r="6" spans="1:6">
      <c r="A6" s="12" t="s">
        <v>73</v>
      </c>
      <c r="B6" s="13" t="s">
        <v>30</v>
      </c>
      <c r="C6" s="13">
        <v>2.2000000000000002</v>
      </c>
      <c r="D6" s="16">
        <v>290000</v>
      </c>
      <c r="E6" s="15">
        <f>C6*D6</f>
        <v>638000</v>
      </c>
    </row>
    <row r="7" spans="1:6">
      <c r="A7" s="17" t="s">
        <v>74</v>
      </c>
      <c r="B7" s="18"/>
      <c r="C7" s="13"/>
      <c r="D7" s="19"/>
      <c r="E7" s="20">
        <f>SUM(E8:E9)</f>
        <v>7441848</v>
      </c>
      <c r="F7" s="21"/>
    </row>
    <row r="8" spans="1:6" ht="15">
      <c r="A8" s="22" t="s">
        <v>75</v>
      </c>
      <c r="B8" s="18" t="s">
        <v>62</v>
      </c>
      <c r="C8" s="13">
        <v>12</v>
      </c>
      <c r="D8" s="16">
        <v>310077</v>
      </c>
      <c r="E8" s="19">
        <f>C8*D8</f>
        <v>3720924</v>
      </c>
      <c r="F8" s="21"/>
    </row>
    <row r="9" spans="1:6" ht="45">
      <c r="A9" s="22" t="s">
        <v>76</v>
      </c>
      <c r="B9" s="18" t="s">
        <v>59</v>
      </c>
      <c r="C9" s="13">
        <v>100</v>
      </c>
      <c r="D9" s="23"/>
      <c r="E9" s="19">
        <f>100%*E8</f>
        <v>3720924</v>
      </c>
      <c r="F9" s="21"/>
    </row>
    <row r="10" spans="1:6">
      <c r="A10" s="17" t="s">
        <v>77</v>
      </c>
      <c r="B10" s="24"/>
      <c r="C10" s="15"/>
      <c r="D10" s="25"/>
      <c r="E10" s="20">
        <f>SUM(E11:E14)</f>
        <v>1526152.95</v>
      </c>
      <c r="F10" s="21"/>
    </row>
    <row r="11" spans="1:6">
      <c r="A11" s="12" t="s">
        <v>78</v>
      </c>
      <c r="B11" s="18" t="s">
        <v>64</v>
      </c>
      <c r="C11" s="13">
        <v>1</v>
      </c>
      <c r="D11" s="19">
        <v>801969</v>
      </c>
      <c r="E11" s="15">
        <f>C11*D11</f>
        <v>801969</v>
      </c>
      <c r="F11" s="21"/>
    </row>
    <row r="12" spans="1:6">
      <c r="A12" s="12" t="s">
        <v>79</v>
      </c>
      <c r="B12" s="18" t="s">
        <v>64</v>
      </c>
      <c r="C12" s="13">
        <v>1</v>
      </c>
      <c r="D12" s="26">
        <v>392432</v>
      </c>
      <c r="E12" s="19">
        <f>C12*D12</f>
        <v>392432</v>
      </c>
      <c r="F12" s="21"/>
    </row>
    <row r="13" spans="1:6">
      <c r="A13" s="12" t="s">
        <v>80</v>
      </c>
      <c r="B13" s="18" t="s">
        <v>64</v>
      </c>
      <c r="C13" s="13">
        <v>1</v>
      </c>
      <c r="D13" s="27">
        <v>259078</v>
      </c>
      <c r="E13" s="19">
        <f>C13*D13</f>
        <v>259078</v>
      </c>
      <c r="F13" s="21"/>
    </row>
    <row r="14" spans="1:6">
      <c r="A14" s="12" t="s">
        <v>81</v>
      </c>
      <c r="B14" s="18" t="s">
        <v>59</v>
      </c>
      <c r="C14" s="13">
        <v>5</v>
      </c>
      <c r="D14" s="19"/>
      <c r="E14" s="19">
        <f>5%*SUM(E11:E13)</f>
        <v>72673.95</v>
      </c>
      <c r="F14" s="21"/>
    </row>
    <row r="15" spans="1:6">
      <c r="A15" s="28" t="s">
        <v>82</v>
      </c>
      <c r="B15" s="18"/>
      <c r="C15" s="15"/>
      <c r="D15" s="19"/>
      <c r="E15" s="29">
        <f>E3+E7+E10</f>
        <v>10480500.949999999</v>
      </c>
      <c r="F15" s="21"/>
    </row>
    <row r="16" spans="1:6" ht="14.15" customHeight="1">
      <c r="A16" s="30" t="s">
        <v>83</v>
      </c>
      <c r="B16" s="31"/>
      <c r="C16" s="31"/>
      <c r="D16" s="31"/>
      <c r="E16" s="32"/>
      <c r="F16" s="21"/>
    </row>
    <row r="17" spans="1:6" ht="14.15" customHeight="1">
      <c r="A17" s="33" t="s">
        <v>84</v>
      </c>
      <c r="B17" s="31"/>
      <c r="C17" s="31"/>
      <c r="D17" s="31"/>
      <c r="E17" s="32">
        <f>1.5%*E15</f>
        <v>157207.51424999998</v>
      </c>
      <c r="F17" s="21"/>
    </row>
    <row r="18" spans="1:6" ht="14.15" customHeight="1">
      <c r="A18" s="30" t="s">
        <v>85</v>
      </c>
      <c r="B18" s="31"/>
      <c r="C18" s="31"/>
      <c r="D18" s="31"/>
      <c r="E18" s="32"/>
      <c r="F18" s="21"/>
    </row>
    <row r="19" spans="1:6" ht="14.15" customHeight="1">
      <c r="A19" s="34" t="s">
        <v>86</v>
      </c>
      <c r="B19" s="31"/>
      <c r="C19" s="31"/>
      <c r="D19" s="31"/>
      <c r="E19" s="32">
        <f>E15+E17</f>
        <v>10637708.464249998</v>
      </c>
      <c r="F19" s="21"/>
    </row>
    <row r="20" spans="1:6" ht="14.15" customHeight="1">
      <c r="A20" s="30" t="s">
        <v>87</v>
      </c>
      <c r="B20" s="31"/>
      <c r="C20" s="31"/>
      <c r="D20" s="31"/>
      <c r="E20" s="32"/>
      <c r="F20" s="21"/>
    </row>
    <row r="21" spans="1:6" ht="14.15" customHeight="1">
      <c r="A21" s="34" t="s">
        <v>88</v>
      </c>
      <c r="B21" s="31"/>
      <c r="C21" s="31"/>
      <c r="D21" s="31"/>
      <c r="E21" s="32">
        <f>E6*65%*1.05</f>
        <v>435435</v>
      </c>
      <c r="F21" s="21"/>
    </row>
    <row r="22" spans="1:6" ht="27.75" customHeight="1">
      <c r="A22" s="30" t="s">
        <v>89</v>
      </c>
      <c r="B22" s="31"/>
      <c r="C22" s="31"/>
      <c r="D22" s="31"/>
      <c r="E22" s="32"/>
      <c r="F22" s="21"/>
    </row>
    <row r="23" spans="1:6" ht="14.15" customHeight="1">
      <c r="A23" s="34" t="s">
        <v>90</v>
      </c>
      <c r="B23" s="31"/>
      <c r="C23" s="31"/>
      <c r="D23" s="31"/>
      <c r="E23" s="32">
        <f>E19+E21</f>
        <v>11073143.464249998</v>
      </c>
      <c r="F23" s="21"/>
    </row>
    <row r="24" spans="1:6" ht="27.75" customHeight="1">
      <c r="A24" s="30" t="s">
        <v>91</v>
      </c>
      <c r="B24" s="31"/>
      <c r="C24" s="31"/>
      <c r="D24" s="31"/>
      <c r="E24" s="32"/>
      <c r="F24" s="21"/>
    </row>
    <row r="25" spans="1:6" ht="14.15" customHeight="1">
      <c r="A25" s="34" t="s">
        <v>92</v>
      </c>
      <c r="B25" s="31"/>
      <c r="C25" s="31"/>
      <c r="D25" s="31"/>
      <c r="E25" s="32">
        <f>E23*6%</f>
        <v>664388.60785499983</v>
      </c>
      <c r="F25" s="21"/>
    </row>
    <row r="26" spans="1:6" ht="27" customHeight="1">
      <c r="A26" s="30" t="s">
        <v>93</v>
      </c>
      <c r="B26" s="31"/>
      <c r="C26" s="31"/>
      <c r="D26" s="31"/>
      <c r="E26" s="32"/>
      <c r="F26" s="21"/>
    </row>
    <row r="27" spans="1:6" ht="14.15" customHeight="1">
      <c r="A27" s="34" t="s">
        <v>94</v>
      </c>
      <c r="B27" s="31"/>
      <c r="C27" s="31"/>
      <c r="D27" s="31"/>
      <c r="E27" s="32">
        <f>E23+E25</f>
        <v>11737532.072104998</v>
      </c>
      <c r="F27" s="21"/>
    </row>
    <row r="28" spans="1:6" ht="28">
      <c r="A28" s="4" t="s">
        <v>95</v>
      </c>
    </row>
    <row r="29" spans="1:6" ht="14.5">
      <c r="A29" s="5" t="s">
        <v>66</v>
      </c>
      <c r="B29" s="6" t="s">
        <v>67</v>
      </c>
      <c r="C29" s="6" t="s">
        <v>5</v>
      </c>
      <c r="D29" s="7" t="s">
        <v>68</v>
      </c>
      <c r="E29" s="7" t="s">
        <v>69</v>
      </c>
    </row>
    <row r="30" spans="1:6">
      <c r="A30" s="8" t="s">
        <v>70</v>
      </c>
      <c r="B30" s="9"/>
      <c r="C30" s="10"/>
      <c r="D30" s="10"/>
      <c r="E30" s="11">
        <f>SUM(E31:E32)</f>
        <v>2058500</v>
      </c>
    </row>
    <row r="31" spans="1:6" ht="16.5" customHeight="1">
      <c r="A31" s="12" t="s">
        <v>96</v>
      </c>
      <c r="B31" s="13" t="s">
        <v>97</v>
      </c>
      <c r="C31" s="13">
        <v>48</v>
      </c>
      <c r="D31" s="16">
        <v>32000</v>
      </c>
      <c r="E31" s="15">
        <f>C31*D31</f>
        <v>1536000</v>
      </c>
    </row>
    <row r="32" spans="1:6">
      <c r="A32" s="12" t="s">
        <v>98</v>
      </c>
      <c r="B32" s="13" t="s">
        <v>30</v>
      </c>
      <c r="C32" s="13">
        <v>9.5</v>
      </c>
      <c r="D32" s="16">
        <v>55000</v>
      </c>
      <c r="E32" s="15">
        <f>C32*D32</f>
        <v>522500</v>
      </c>
    </row>
    <row r="33" spans="1:5">
      <c r="A33" s="17" t="s">
        <v>74</v>
      </c>
      <c r="B33" s="18"/>
      <c r="C33" s="13"/>
      <c r="D33" s="19"/>
      <c r="E33" s="20">
        <f>SUM(E34:E35)</f>
        <v>37209240</v>
      </c>
    </row>
    <row r="34" spans="1:5" ht="15">
      <c r="A34" s="22" t="s">
        <v>75</v>
      </c>
      <c r="B34" s="18" t="s">
        <v>62</v>
      </c>
      <c r="C34" s="13">
        <v>60</v>
      </c>
      <c r="D34" s="16">
        <v>310077</v>
      </c>
      <c r="E34" s="19">
        <f>C34*D34</f>
        <v>18604620</v>
      </c>
    </row>
    <row r="35" spans="1:5" ht="45">
      <c r="A35" s="22" t="s">
        <v>76</v>
      </c>
      <c r="B35" s="18" t="s">
        <v>59</v>
      </c>
      <c r="C35" s="13">
        <v>100</v>
      </c>
      <c r="D35" s="23"/>
      <c r="E35" s="19">
        <f>100%*E34</f>
        <v>18604620</v>
      </c>
    </row>
    <row r="36" spans="1:5">
      <c r="A36" s="17" t="s">
        <v>77</v>
      </c>
      <c r="B36" s="24"/>
      <c r="C36" s="15"/>
      <c r="D36" s="25"/>
      <c r="E36" s="20">
        <f>SUM(E37:E40)</f>
        <v>15261529.5</v>
      </c>
    </row>
    <row r="37" spans="1:5">
      <c r="A37" s="12" t="s">
        <v>78</v>
      </c>
      <c r="B37" s="18" t="s">
        <v>64</v>
      </c>
      <c r="C37" s="13">
        <v>10</v>
      </c>
      <c r="D37" s="19">
        <v>801969</v>
      </c>
      <c r="E37" s="15">
        <f>C37*D37</f>
        <v>8019690</v>
      </c>
    </row>
    <row r="38" spans="1:5">
      <c r="A38" s="12" t="s">
        <v>79</v>
      </c>
      <c r="B38" s="18" t="s">
        <v>64</v>
      </c>
      <c r="C38" s="13">
        <v>10</v>
      </c>
      <c r="D38" s="26">
        <v>392432</v>
      </c>
      <c r="E38" s="19">
        <f>C38*D38</f>
        <v>3924320</v>
      </c>
    </row>
    <row r="39" spans="1:5">
      <c r="A39" s="12" t="s">
        <v>80</v>
      </c>
      <c r="B39" s="18" t="s">
        <v>64</v>
      </c>
      <c r="C39" s="13">
        <v>10</v>
      </c>
      <c r="D39" s="27">
        <v>259078</v>
      </c>
      <c r="E39" s="19">
        <f>C39*D39</f>
        <v>2590780</v>
      </c>
    </row>
    <row r="40" spans="1:5">
      <c r="A40" s="12" t="s">
        <v>81</v>
      </c>
      <c r="B40" s="18" t="s">
        <v>59</v>
      </c>
      <c r="C40" s="13">
        <v>5</v>
      </c>
      <c r="D40" s="19"/>
      <c r="E40" s="19">
        <f>5%*SUM(E37:E39)</f>
        <v>726739.5</v>
      </c>
    </row>
    <row r="41" spans="1:5">
      <c r="A41" s="28" t="s">
        <v>82</v>
      </c>
      <c r="B41" s="18"/>
      <c r="C41" s="15"/>
      <c r="D41" s="19"/>
      <c r="E41" s="29">
        <f>E30+E33+E36</f>
        <v>54529269.5</v>
      </c>
    </row>
    <row r="42" spans="1:5" ht="15" customHeight="1">
      <c r="A42" s="30" t="s">
        <v>83</v>
      </c>
      <c r="B42" s="31"/>
      <c r="C42" s="31"/>
      <c r="D42" s="31"/>
      <c r="E42" s="32"/>
    </row>
    <row r="43" spans="1:5" ht="15.5">
      <c r="A43" s="33" t="s">
        <v>84</v>
      </c>
      <c r="B43" s="31"/>
      <c r="C43" s="31"/>
      <c r="D43" s="31"/>
      <c r="E43" s="32">
        <f>1.5%*E41</f>
        <v>817939.04249999998</v>
      </c>
    </row>
    <row r="44" spans="1:5" ht="16.5" customHeight="1">
      <c r="A44" s="30" t="s">
        <v>85</v>
      </c>
      <c r="B44" s="31"/>
      <c r="C44" s="31"/>
      <c r="D44" s="31"/>
      <c r="E44" s="32"/>
    </row>
    <row r="45" spans="1:5" ht="15.5">
      <c r="A45" s="34" t="s">
        <v>86</v>
      </c>
      <c r="B45" s="31"/>
      <c r="C45" s="31"/>
      <c r="D45" s="31"/>
      <c r="E45" s="32">
        <f>E41+E43</f>
        <v>55347208.542499997</v>
      </c>
    </row>
    <row r="46" spans="1:5" ht="15.5">
      <c r="A46" s="30" t="s">
        <v>87</v>
      </c>
      <c r="B46" s="31"/>
      <c r="C46" s="31"/>
      <c r="D46" s="31"/>
      <c r="E46" s="32"/>
    </row>
    <row r="47" spans="1:5" ht="15.5">
      <c r="A47" s="34" t="s">
        <v>88</v>
      </c>
      <c r="B47" s="31"/>
      <c r="C47" s="31"/>
      <c r="D47" s="31"/>
      <c r="E47" s="32">
        <f>E34*65%*1.05</f>
        <v>12697653.15</v>
      </c>
    </row>
    <row r="48" spans="1:5" ht="15" customHeight="1">
      <c r="A48" s="30" t="s">
        <v>89</v>
      </c>
      <c r="B48" s="31"/>
      <c r="C48" s="31"/>
      <c r="D48" s="31"/>
      <c r="E48" s="32"/>
    </row>
    <row r="49" spans="1:5" ht="15.5">
      <c r="A49" s="34" t="s">
        <v>90</v>
      </c>
      <c r="B49" s="31"/>
      <c r="C49" s="31"/>
      <c r="D49" s="31"/>
      <c r="E49" s="32">
        <f>E45+E47</f>
        <v>68044861.692499995</v>
      </c>
    </row>
    <row r="50" spans="1:5" ht="15.75" customHeight="1">
      <c r="A50" s="30" t="s">
        <v>91</v>
      </c>
      <c r="B50" s="31"/>
      <c r="C50" s="31"/>
      <c r="D50" s="31"/>
      <c r="E50" s="32"/>
    </row>
    <row r="51" spans="1:5" ht="15.5">
      <c r="A51" s="34" t="s">
        <v>92</v>
      </c>
      <c r="B51" s="31"/>
      <c r="C51" s="31"/>
      <c r="D51" s="31"/>
      <c r="E51" s="32">
        <f>E49*6%</f>
        <v>4082691.7015499994</v>
      </c>
    </row>
    <row r="52" spans="1:5" ht="15.5">
      <c r="A52" s="30" t="s">
        <v>93</v>
      </c>
      <c r="B52" s="31"/>
      <c r="C52" s="31"/>
      <c r="D52" s="31"/>
      <c r="E52" s="32"/>
    </row>
    <row r="53" spans="1:5" ht="15.5">
      <c r="A53" s="34" t="s">
        <v>94</v>
      </c>
      <c r="B53" s="31"/>
      <c r="C53" s="31"/>
      <c r="D53" s="31"/>
      <c r="E53" s="32">
        <f>E49+E51</f>
        <v>72127553.394050002</v>
      </c>
    </row>
    <row r="54" spans="1:5" ht="42">
      <c r="A54" s="4" t="s">
        <v>101</v>
      </c>
    </row>
    <row r="55" spans="1:5" ht="14.5">
      <c r="A55" s="5" t="s">
        <v>66</v>
      </c>
      <c r="B55" s="6" t="s">
        <v>67</v>
      </c>
      <c r="C55" s="6" t="s">
        <v>5</v>
      </c>
      <c r="D55" s="7" t="s">
        <v>68</v>
      </c>
      <c r="E55" s="7" t="s">
        <v>69</v>
      </c>
    </row>
    <row r="56" spans="1:5">
      <c r="A56" s="8" t="s">
        <v>70</v>
      </c>
      <c r="B56" s="9"/>
      <c r="C56" s="10"/>
      <c r="D56" s="10"/>
      <c r="E56" s="11">
        <f>SUM(E57:E59)</f>
        <v>1802000</v>
      </c>
    </row>
    <row r="57" spans="1:5">
      <c r="A57" s="12" t="s">
        <v>96</v>
      </c>
      <c r="B57" s="13" t="s">
        <v>97</v>
      </c>
      <c r="C57" s="13">
        <v>36</v>
      </c>
      <c r="D57" s="16">
        <v>32000</v>
      </c>
      <c r="E57" s="15">
        <f>C57*D57</f>
        <v>1152000</v>
      </c>
    </row>
    <row r="58" spans="1:5">
      <c r="A58" s="12" t="s">
        <v>98</v>
      </c>
      <c r="B58" s="13" t="s">
        <v>30</v>
      </c>
      <c r="C58" s="13">
        <v>8</v>
      </c>
      <c r="D58" s="16">
        <v>55000</v>
      </c>
      <c r="E58" s="15">
        <f>C58*D58</f>
        <v>440000</v>
      </c>
    </row>
    <row r="59" spans="1:5">
      <c r="A59" s="12" t="s">
        <v>72</v>
      </c>
      <c r="B59" s="13" t="s">
        <v>45</v>
      </c>
      <c r="C59" s="13">
        <v>2</v>
      </c>
      <c r="D59" s="16">
        <v>105000</v>
      </c>
      <c r="E59" s="15">
        <f>C59*D59</f>
        <v>210000</v>
      </c>
    </row>
    <row r="60" spans="1:5">
      <c r="A60" s="17" t="s">
        <v>74</v>
      </c>
      <c r="B60" s="18"/>
      <c r="C60" s="13"/>
      <c r="D60" s="19"/>
      <c r="E60" s="20">
        <f>SUM(E61:E62)</f>
        <v>25320051.692307692</v>
      </c>
    </row>
    <row r="61" spans="1:5" ht="15">
      <c r="A61" s="22" t="s">
        <v>75</v>
      </c>
      <c r="B61" s="18" t="s">
        <v>62</v>
      </c>
      <c r="C61" s="13">
        <v>36</v>
      </c>
      <c r="D61" s="16">
        <f>'3NC'!N16</f>
        <v>351667.38461538462</v>
      </c>
      <c r="E61" s="19">
        <f>C61*D61</f>
        <v>12660025.846153846</v>
      </c>
    </row>
    <row r="62" spans="1:5" ht="45">
      <c r="A62" s="22" t="s">
        <v>76</v>
      </c>
      <c r="B62" s="18" t="s">
        <v>59</v>
      </c>
      <c r="C62" s="13">
        <v>100</v>
      </c>
      <c r="D62" s="23"/>
      <c r="E62" s="19">
        <f>100%*E61</f>
        <v>12660025.846153846</v>
      </c>
    </row>
    <row r="63" spans="1:5">
      <c r="A63" s="17" t="s">
        <v>77</v>
      </c>
      <c r="B63" s="24"/>
      <c r="C63" s="15"/>
      <c r="D63" s="25"/>
      <c r="E63" s="20">
        <f>SUM(E64:E67)</f>
        <v>12209223.6</v>
      </c>
    </row>
    <row r="64" spans="1:5">
      <c r="A64" s="12" t="s">
        <v>78</v>
      </c>
      <c r="B64" s="18" t="s">
        <v>64</v>
      </c>
      <c r="C64" s="13">
        <v>8</v>
      </c>
      <c r="D64" s="19">
        <v>801969</v>
      </c>
      <c r="E64" s="15">
        <f>C64*D64</f>
        <v>6415752</v>
      </c>
    </row>
    <row r="65" spans="1:5">
      <c r="A65" s="12" t="s">
        <v>79</v>
      </c>
      <c r="B65" s="18" t="s">
        <v>64</v>
      </c>
      <c r="C65" s="13">
        <v>8</v>
      </c>
      <c r="D65" s="26">
        <v>392432</v>
      </c>
      <c r="E65" s="19">
        <f>C65*D65</f>
        <v>3139456</v>
      </c>
    </row>
    <row r="66" spans="1:5">
      <c r="A66" s="12" t="s">
        <v>80</v>
      </c>
      <c r="B66" s="18" t="s">
        <v>64</v>
      </c>
      <c r="C66" s="13">
        <v>8</v>
      </c>
      <c r="D66" s="27">
        <v>259078</v>
      </c>
      <c r="E66" s="19">
        <f>C66*D66</f>
        <v>2072624</v>
      </c>
    </row>
    <row r="67" spans="1:5">
      <c r="A67" s="12" t="s">
        <v>81</v>
      </c>
      <c r="B67" s="18" t="s">
        <v>59</v>
      </c>
      <c r="C67" s="13">
        <v>5</v>
      </c>
      <c r="D67" s="19"/>
      <c r="E67" s="19">
        <f>5%*SUM(E64:E66)</f>
        <v>581391.6</v>
      </c>
    </row>
    <row r="68" spans="1:5">
      <c r="A68" s="28" t="s">
        <v>82</v>
      </c>
      <c r="B68" s="18"/>
      <c r="C68" s="15"/>
      <c r="D68" s="19"/>
      <c r="E68" s="29">
        <f>E56+E60+E63</f>
        <v>39331275.29230769</v>
      </c>
    </row>
    <row r="69" spans="1:5" ht="19.5" customHeight="1">
      <c r="A69" s="30" t="s">
        <v>83</v>
      </c>
      <c r="B69" s="31"/>
      <c r="C69" s="31"/>
      <c r="D69" s="31"/>
      <c r="E69" s="32"/>
    </row>
    <row r="70" spans="1:5" ht="16.5" customHeight="1">
      <c r="A70" s="33" t="s">
        <v>84</v>
      </c>
      <c r="B70" s="31"/>
      <c r="C70" s="31"/>
      <c r="D70" s="31"/>
      <c r="E70" s="32">
        <f>1.5%*E68</f>
        <v>589969.12938461534</v>
      </c>
    </row>
    <row r="71" spans="1:5" ht="18.75" customHeight="1">
      <c r="A71" s="30" t="s">
        <v>85</v>
      </c>
      <c r="B71" s="31"/>
      <c r="C71" s="31"/>
      <c r="D71" s="31"/>
      <c r="E71" s="32"/>
    </row>
    <row r="72" spans="1:5" ht="16.5" customHeight="1">
      <c r="A72" s="34" t="s">
        <v>86</v>
      </c>
      <c r="B72" s="31"/>
      <c r="C72" s="31"/>
      <c r="D72" s="31"/>
      <c r="E72" s="32">
        <f>E68+E70</f>
        <v>39921244.421692304</v>
      </c>
    </row>
    <row r="73" spans="1:5" ht="15.5">
      <c r="A73" s="30" t="s">
        <v>87</v>
      </c>
      <c r="B73" s="31"/>
      <c r="C73" s="31"/>
      <c r="D73" s="31"/>
      <c r="E73" s="32"/>
    </row>
    <row r="74" spans="1:5" ht="15.5">
      <c r="A74" s="34" t="s">
        <v>88</v>
      </c>
      <c r="B74" s="31"/>
      <c r="C74" s="31"/>
      <c r="D74" s="31"/>
      <c r="E74" s="32">
        <f>E61*65%*1.05</f>
        <v>8640467.6400000006</v>
      </c>
    </row>
    <row r="75" spans="1:5" ht="15.5">
      <c r="A75" s="30" t="s">
        <v>89</v>
      </c>
      <c r="B75" s="31"/>
      <c r="C75" s="31"/>
      <c r="D75" s="31"/>
      <c r="E75" s="32"/>
    </row>
    <row r="76" spans="1:5" ht="15.5">
      <c r="A76" s="34" t="s">
        <v>90</v>
      </c>
      <c r="B76" s="31"/>
      <c r="C76" s="31"/>
      <c r="D76" s="31"/>
      <c r="E76" s="32">
        <f>E72+E74</f>
        <v>48561712.061692305</v>
      </c>
    </row>
    <row r="77" spans="1:5" ht="15.5">
      <c r="A77" s="30" t="s">
        <v>91</v>
      </c>
      <c r="B77" s="31"/>
      <c r="C77" s="31"/>
      <c r="D77" s="31"/>
      <c r="E77" s="32"/>
    </row>
    <row r="78" spans="1:5" ht="15.5">
      <c r="A78" s="34" t="s">
        <v>92</v>
      </c>
      <c r="B78" s="31"/>
      <c r="C78" s="31"/>
      <c r="D78" s="31"/>
      <c r="E78" s="32">
        <f>E76*6%</f>
        <v>2913702.7237015381</v>
      </c>
    </row>
    <row r="79" spans="1:5" ht="15.5">
      <c r="A79" s="30" t="s">
        <v>93</v>
      </c>
      <c r="B79" s="31"/>
      <c r="C79" s="31"/>
      <c r="D79" s="31"/>
      <c r="E79" s="32"/>
    </row>
    <row r="80" spans="1:5" ht="15.5">
      <c r="A80" s="34" t="s">
        <v>94</v>
      </c>
      <c r="B80" s="31"/>
      <c r="C80" s="31"/>
      <c r="D80" s="31"/>
      <c r="E80" s="32">
        <f>E76+E78</f>
        <v>51475414.785393842</v>
      </c>
    </row>
    <row r="96" spans="1:1" ht="42">
      <c r="A96" s="4" t="s">
        <v>99</v>
      </c>
    </row>
    <row r="97" spans="1:5" ht="14.5">
      <c r="A97" s="5" t="s">
        <v>66</v>
      </c>
      <c r="B97" s="6" t="s">
        <v>67</v>
      </c>
      <c r="C97" s="6" t="s">
        <v>5</v>
      </c>
      <c r="D97" s="7" t="s">
        <v>68</v>
      </c>
      <c r="E97" s="7" t="s">
        <v>69</v>
      </c>
    </row>
    <row r="98" spans="1:5">
      <c r="A98" s="8" t="s">
        <v>70</v>
      </c>
      <c r="B98" s="9"/>
      <c r="C98" s="10"/>
      <c r="D98" s="10"/>
      <c r="E98" s="11">
        <f>SUM(E99:E102)</f>
        <v>1393900</v>
      </c>
    </row>
    <row r="99" spans="1:5">
      <c r="A99" s="12" t="s">
        <v>100</v>
      </c>
      <c r="B99" s="13" t="s">
        <v>30</v>
      </c>
      <c r="C99" s="13">
        <v>3.14</v>
      </c>
      <c r="D99" s="14">
        <v>85000</v>
      </c>
      <c r="E99" s="15">
        <f>C99*D99</f>
        <v>266900</v>
      </c>
    </row>
    <row r="100" spans="1:5">
      <c r="A100" s="12" t="s">
        <v>96</v>
      </c>
      <c r="B100" s="13" t="s">
        <v>97</v>
      </c>
      <c r="C100" s="13">
        <v>6</v>
      </c>
      <c r="D100" s="16">
        <v>32000</v>
      </c>
      <c r="E100" s="15">
        <f>C100*D100</f>
        <v>192000</v>
      </c>
    </row>
    <row r="101" spans="1:5">
      <c r="A101" s="12" t="s">
        <v>73</v>
      </c>
      <c r="B101" s="13" t="s">
        <v>30</v>
      </c>
      <c r="C101" s="13">
        <v>2.5</v>
      </c>
      <c r="D101" s="16">
        <v>290000</v>
      </c>
      <c r="E101" s="15">
        <f>C101*D101</f>
        <v>725000</v>
      </c>
    </row>
    <row r="102" spans="1:5">
      <c r="A102" s="12" t="s">
        <v>72</v>
      </c>
      <c r="B102" s="13" t="s">
        <v>45</v>
      </c>
      <c r="C102" s="13">
        <v>2</v>
      </c>
      <c r="D102" s="16">
        <v>105000</v>
      </c>
      <c r="E102" s="15">
        <f>C102*D102</f>
        <v>210000</v>
      </c>
    </row>
    <row r="103" spans="1:5">
      <c r="A103" s="17" t="s">
        <v>74</v>
      </c>
      <c r="B103" s="18"/>
      <c r="C103" s="13"/>
      <c r="D103" s="19"/>
      <c r="E103" s="20">
        <f>SUM(E104:E105)</f>
        <v>9302310</v>
      </c>
    </row>
    <row r="104" spans="1:5" ht="15">
      <c r="A104" s="22" t="s">
        <v>75</v>
      </c>
      <c r="B104" s="18" t="s">
        <v>62</v>
      </c>
      <c r="C104" s="13">
        <v>15</v>
      </c>
      <c r="D104" s="16">
        <v>310077</v>
      </c>
      <c r="E104" s="19">
        <f>C104*D104</f>
        <v>4651155</v>
      </c>
    </row>
    <row r="105" spans="1:5" ht="45">
      <c r="A105" s="22" t="s">
        <v>76</v>
      </c>
      <c r="B105" s="18" t="s">
        <v>59</v>
      </c>
      <c r="C105" s="13">
        <v>100</v>
      </c>
      <c r="D105" s="23"/>
      <c r="E105" s="19">
        <f>100%*E104</f>
        <v>4651155</v>
      </c>
    </row>
    <row r="106" spans="1:5">
      <c r="A106" s="17" t="s">
        <v>77</v>
      </c>
      <c r="B106" s="24"/>
      <c r="C106" s="15"/>
      <c r="D106" s="25"/>
      <c r="E106" s="20">
        <f>SUM(E107:E110)</f>
        <v>3052305.9</v>
      </c>
    </row>
    <row r="107" spans="1:5">
      <c r="A107" s="12" t="s">
        <v>78</v>
      </c>
      <c r="B107" s="18" t="s">
        <v>64</v>
      </c>
      <c r="C107" s="13">
        <v>2</v>
      </c>
      <c r="D107" s="19">
        <v>801969</v>
      </c>
      <c r="E107" s="15">
        <f>C107*D107</f>
        <v>1603938</v>
      </c>
    </row>
    <row r="108" spans="1:5">
      <c r="A108" s="12" t="s">
        <v>79</v>
      </c>
      <c r="B108" s="18" t="s">
        <v>64</v>
      </c>
      <c r="C108" s="13">
        <v>2</v>
      </c>
      <c r="D108" s="26">
        <v>392432</v>
      </c>
      <c r="E108" s="19">
        <f>C108*D108</f>
        <v>784864</v>
      </c>
    </row>
    <row r="109" spans="1:5">
      <c r="A109" s="12" t="s">
        <v>80</v>
      </c>
      <c r="B109" s="18" t="s">
        <v>64</v>
      </c>
      <c r="C109" s="13">
        <v>2</v>
      </c>
      <c r="D109" s="27">
        <v>259078</v>
      </c>
      <c r="E109" s="19">
        <f>C109*D109</f>
        <v>518156</v>
      </c>
    </row>
    <row r="110" spans="1:5">
      <c r="A110" s="12" t="s">
        <v>81</v>
      </c>
      <c r="B110" s="18" t="s">
        <v>59</v>
      </c>
      <c r="C110" s="13">
        <v>5</v>
      </c>
      <c r="D110" s="19"/>
      <c r="E110" s="19">
        <f>5%*SUM(E107:E109)</f>
        <v>145347.9</v>
      </c>
    </row>
    <row r="111" spans="1:5">
      <c r="A111" s="28" t="s">
        <v>82</v>
      </c>
      <c r="B111" s="18"/>
      <c r="C111" s="15"/>
      <c r="D111" s="19"/>
      <c r="E111" s="29">
        <f>E98+E103+E106</f>
        <v>13748515.9</v>
      </c>
    </row>
    <row r="112" spans="1:5" ht="18.75" customHeight="1">
      <c r="A112" s="30" t="s">
        <v>83</v>
      </c>
      <c r="B112" s="31"/>
      <c r="C112" s="31"/>
      <c r="D112" s="31"/>
      <c r="E112" s="32"/>
    </row>
    <row r="113" spans="1:5" ht="15.5">
      <c r="A113" s="33" t="s">
        <v>84</v>
      </c>
      <c r="B113" s="31"/>
      <c r="C113" s="31"/>
      <c r="D113" s="31"/>
      <c r="E113" s="32">
        <f>1.5%*E111</f>
        <v>206227.73850000001</v>
      </c>
    </row>
    <row r="114" spans="1:5" ht="15" customHeight="1">
      <c r="A114" s="30" t="s">
        <v>85</v>
      </c>
      <c r="B114" s="31"/>
      <c r="C114" s="31"/>
      <c r="D114" s="31"/>
      <c r="E114" s="32"/>
    </row>
    <row r="115" spans="1:5" ht="15.5">
      <c r="A115" s="34" t="s">
        <v>86</v>
      </c>
      <c r="B115" s="31"/>
      <c r="C115" s="31"/>
      <c r="D115" s="31"/>
      <c r="E115" s="32">
        <f>E111+E113</f>
        <v>13954743.638500001</v>
      </c>
    </row>
    <row r="116" spans="1:5" ht="15.5">
      <c r="A116" s="30" t="s">
        <v>87</v>
      </c>
      <c r="B116" s="31"/>
      <c r="C116" s="31"/>
      <c r="D116" s="31"/>
      <c r="E116" s="32"/>
    </row>
    <row r="117" spans="1:5" ht="15.5">
      <c r="A117" s="34" t="s">
        <v>88</v>
      </c>
      <c r="B117" s="31"/>
      <c r="C117" s="31"/>
      <c r="D117" s="31"/>
      <c r="E117" s="32">
        <f>E101*65%*1.05</f>
        <v>494812.5</v>
      </c>
    </row>
    <row r="118" spans="1:5" ht="15.5">
      <c r="A118" s="30" t="s">
        <v>89</v>
      </c>
      <c r="B118" s="31"/>
      <c r="C118" s="31"/>
      <c r="D118" s="31"/>
      <c r="E118" s="32"/>
    </row>
    <row r="119" spans="1:5" ht="15.5">
      <c r="A119" s="34" t="s">
        <v>90</v>
      </c>
      <c r="B119" s="31"/>
      <c r="C119" s="31"/>
      <c r="D119" s="31"/>
      <c r="E119" s="32">
        <f>E115+E117</f>
        <v>14449556.138500001</v>
      </c>
    </row>
    <row r="120" spans="1:5" ht="15.5">
      <c r="A120" s="30" t="s">
        <v>91</v>
      </c>
      <c r="B120" s="31"/>
      <c r="C120" s="31"/>
      <c r="D120" s="31"/>
      <c r="E120" s="32"/>
    </row>
    <row r="121" spans="1:5" ht="15.5">
      <c r="A121" s="34" t="s">
        <v>92</v>
      </c>
      <c r="B121" s="31"/>
      <c r="C121" s="31"/>
      <c r="D121" s="31"/>
      <c r="E121" s="32">
        <f>E119*6%</f>
        <v>866973.36831000005</v>
      </c>
    </row>
    <row r="122" spans="1:5" ht="15.5">
      <c r="A122" s="30" t="s">
        <v>93</v>
      </c>
      <c r="B122" s="31"/>
      <c r="C122" s="31"/>
      <c r="D122" s="31"/>
      <c r="E122" s="32"/>
    </row>
    <row r="123" spans="1:5" ht="15.5">
      <c r="A123" s="34" t="s">
        <v>94</v>
      </c>
      <c r="B123" s="31"/>
      <c r="C123" s="31"/>
      <c r="D123" s="31"/>
      <c r="E123" s="32">
        <f>E119+E121</f>
        <v>15316529.506810002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7</vt:i4>
      </vt:variant>
    </vt:vector>
  </HeadingPairs>
  <TitlesOfParts>
    <vt:vector size="19" baseType="lpstr">
      <vt:lpstr>1TH</vt:lpstr>
      <vt:lpstr>cũ</vt:lpstr>
      <vt:lpstr>2CT</vt:lpstr>
      <vt:lpstr>3NC</vt:lpstr>
      <vt:lpstr>4GVL</vt:lpstr>
      <vt:lpstr>5CM</vt:lpstr>
      <vt:lpstr>6VC TB</vt:lpstr>
      <vt:lpstr>KL</vt:lpstr>
      <vt:lpstr>Trang_tính3</vt:lpstr>
      <vt:lpstr>GIA TT-Hue</vt:lpstr>
      <vt:lpstr>Trang_tính1</vt:lpstr>
      <vt:lpstr>Trang_tính4</vt:lpstr>
      <vt:lpstr>'1TH'!Print_Titles</vt:lpstr>
      <vt:lpstr>'2CT'!Print_Titles</vt:lpstr>
      <vt:lpstr>'1TH'!Vùng_In</vt:lpstr>
      <vt:lpstr>'2CT'!Vùng_In</vt:lpstr>
      <vt:lpstr>'4GVL'!Vùng_In</vt:lpstr>
      <vt:lpstr>'5CM'!Vùng_In</vt:lpstr>
      <vt:lpstr>'6VC TB'!Vùng_In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VIET CUONG</dc:creator>
  <cp:lastModifiedBy>DUONG VIET CUONG</cp:lastModifiedBy>
  <cp:lastPrinted>2018-01-25T08:30:08Z</cp:lastPrinted>
  <dcterms:created xsi:type="dcterms:W3CDTF">2018-01-19T14:55:20Z</dcterms:created>
  <dcterms:modified xsi:type="dcterms:W3CDTF">2018-03-18T02:36:37Z</dcterms:modified>
</cp:coreProperties>
</file>