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kongara\Downloads\"/>
    </mc:Choice>
  </mc:AlternateContent>
  <xr:revisionPtr revIDLastSave="0" documentId="13_ncr:1_{42006694-7599-4942-97BD-7850E7C060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fit and Loss" sheetId="12" r:id="rId1"/>
    <sheet name="Sheet1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9" l="1"/>
  <c r="C1" i="19"/>
  <c r="D1" i="19"/>
  <c r="E1" i="19"/>
  <c r="F1" i="19"/>
  <c r="G1" i="19"/>
  <c r="H1" i="19"/>
  <c r="I1" i="19"/>
  <c r="J1" i="19"/>
  <c r="K1" i="19"/>
  <c r="L1" i="19"/>
  <c r="M1" i="19"/>
  <c r="N1" i="19"/>
  <c r="B3" i="12"/>
  <c r="C3" i="12"/>
  <c r="D3" i="12"/>
  <c r="D5" i="12" s="1"/>
  <c r="E3" i="12"/>
  <c r="E5" i="12" s="1"/>
  <c r="F3" i="12"/>
  <c r="G3" i="12"/>
  <c r="H3" i="12"/>
  <c r="H5" i="12" s="1"/>
  <c r="I3" i="12"/>
  <c r="I5" i="12" s="1"/>
  <c r="J3" i="12"/>
  <c r="K3" i="12"/>
  <c r="L3" i="12"/>
  <c r="M3" i="12"/>
  <c r="N3" i="12"/>
  <c r="O3" i="12"/>
  <c r="O5" i="12" s="1"/>
  <c r="P3" i="12"/>
  <c r="P5" i="12" s="1"/>
  <c r="Q3" i="12"/>
  <c r="Q5" i="12" s="1"/>
  <c r="R3" i="12"/>
  <c r="S3" i="12"/>
  <c r="B4" i="12"/>
  <c r="T4" i="12" s="1"/>
  <c r="C4" i="12"/>
  <c r="D4" i="12"/>
  <c r="E4" i="12"/>
  <c r="F4" i="12"/>
  <c r="F5" i="12" s="1"/>
  <c r="G4" i="12"/>
  <c r="H4" i="12"/>
  <c r="I4" i="12"/>
  <c r="J4" i="12"/>
  <c r="K4" i="12"/>
  <c r="L4" i="12"/>
  <c r="L5" i="12" s="1"/>
  <c r="M4" i="12"/>
  <c r="N4" i="12"/>
  <c r="O4" i="12"/>
  <c r="P4" i="12"/>
  <c r="Q4" i="12"/>
  <c r="R4" i="12"/>
  <c r="R5" i="12" s="1"/>
  <c r="S4" i="12"/>
  <c r="B5" i="12"/>
  <c r="C5" i="12"/>
  <c r="G5" i="12"/>
  <c r="G12" i="12" s="1"/>
  <c r="J5" i="12"/>
  <c r="J12" i="12" s="1"/>
  <c r="J38" i="12" s="1"/>
  <c r="J39" i="12" s="1"/>
  <c r="K5" i="12"/>
  <c r="S5" i="12"/>
  <c r="B8" i="12"/>
  <c r="B11" i="12" s="1"/>
  <c r="C8" i="12"/>
  <c r="D8" i="12"/>
  <c r="E8" i="12"/>
  <c r="F8" i="12"/>
  <c r="F11" i="12" s="1"/>
  <c r="F3" i="19" s="1"/>
  <c r="G8" i="12"/>
  <c r="H8" i="12"/>
  <c r="I8" i="12"/>
  <c r="J8" i="12"/>
  <c r="J11" i="12" s="1"/>
  <c r="J13" i="12" s="1"/>
  <c r="K8" i="12"/>
  <c r="L8" i="12"/>
  <c r="M8" i="12"/>
  <c r="N8" i="12"/>
  <c r="N11" i="12" s="1"/>
  <c r="O8" i="12"/>
  <c r="P8" i="12"/>
  <c r="Q8" i="12"/>
  <c r="R8" i="12"/>
  <c r="R11" i="12" s="1"/>
  <c r="S8" i="12"/>
  <c r="B9" i="12"/>
  <c r="C9" i="12"/>
  <c r="C11" i="12" s="1"/>
  <c r="C13" i="12" s="1"/>
  <c r="D9" i="12"/>
  <c r="E9" i="12"/>
  <c r="F9" i="12"/>
  <c r="G9" i="12"/>
  <c r="G11" i="12" s="1"/>
  <c r="G13" i="12" s="1"/>
  <c r="H9" i="12"/>
  <c r="I9" i="12"/>
  <c r="J9" i="12"/>
  <c r="K9" i="12"/>
  <c r="K11" i="12" s="1"/>
  <c r="K13" i="12" s="1"/>
  <c r="L9" i="12"/>
  <c r="M9" i="12"/>
  <c r="N9" i="12"/>
  <c r="O9" i="12"/>
  <c r="O11" i="12" s="1"/>
  <c r="O3" i="19" s="1"/>
  <c r="P9" i="12"/>
  <c r="Q9" i="12"/>
  <c r="R9" i="12"/>
  <c r="S9" i="12"/>
  <c r="S11" i="12" s="1"/>
  <c r="B10" i="12"/>
  <c r="C10" i="12"/>
  <c r="D10" i="12"/>
  <c r="D11" i="12" s="1"/>
  <c r="E10" i="12"/>
  <c r="F10" i="12"/>
  <c r="G10" i="12"/>
  <c r="H10" i="12"/>
  <c r="I10" i="12"/>
  <c r="J10" i="12"/>
  <c r="K10" i="12"/>
  <c r="L10" i="12"/>
  <c r="L11" i="12" s="1"/>
  <c r="L3" i="19" s="1"/>
  <c r="M10" i="12"/>
  <c r="N10" i="12"/>
  <c r="O10" i="12"/>
  <c r="P10" i="12"/>
  <c r="Q10" i="12"/>
  <c r="R10" i="12"/>
  <c r="S10" i="12"/>
  <c r="T10" i="12"/>
  <c r="E11" i="12"/>
  <c r="H11" i="12"/>
  <c r="I11" i="12"/>
  <c r="I3" i="19" s="1"/>
  <c r="M11" i="12"/>
  <c r="M13" i="12" s="1"/>
  <c r="P11" i="12"/>
  <c r="P3" i="19" s="1"/>
  <c r="Q11" i="12"/>
  <c r="Q3" i="19" s="1"/>
  <c r="M12" i="12"/>
  <c r="B16" i="12"/>
  <c r="C16" i="12"/>
  <c r="D16" i="12"/>
  <c r="D37" i="12" s="1"/>
  <c r="D6" i="19" s="1"/>
  <c r="E16" i="12"/>
  <c r="F16" i="12"/>
  <c r="G16" i="12"/>
  <c r="T16" i="12" s="1"/>
  <c r="H16" i="12"/>
  <c r="H37" i="12" s="1"/>
  <c r="H6" i="19" s="1"/>
  <c r="I16" i="12"/>
  <c r="J16" i="12"/>
  <c r="K16" i="12"/>
  <c r="L16" i="12"/>
  <c r="L37" i="12" s="1"/>
  <c r="L6" i="19" s="1"/>
  <c r="M16" i="12"/>
  <c r="N16" i="12"/>
  <c r="O16" i="12"/>
  <c r="O37" i="12" s="1"/>
  <c r="O6" i="19" s="1"/>
  <c r="P16" i="12"/>
  <c r="P37" i="12" s="1"/>
  <c r="Q16" i="12"/>
  <c r="R16" i="12"/>
  <c r="S16" i="12"/>
  <c r="B17" i="12"/>
  <c r="C17" i="12"/>
  <c r="D17" i="12"/>
  <c r="E17" i="12"/>
  <c r="E37" i="12" s="1"/>
  <c r="E6" i="19" s="1"/>
  <c r="F17" i="12"/>
  <c r="G17" i="12"/>
  <c r="H17" i="12"/>
  <c r="I17" i="12"/>
  <c r="J17" i="12"/>
  <c r="K17" i="12"/>
  <c r="L17" i="12"/>
  <c r="M17" i="12"/>
  <c r="M37" i="12" s="1"/>
  <c r="N17" i="12"/>
  <c r="O17" i="12"/>
  <c r="P17" i="12"/>
  <c r="Q17" i="12"/>
  <c r="R17" i="12"/>
  <c r="S17" i="12"/>
  <c r="B18" i="12"/>
  <c r="B37" i="12" s="1"/>
  <c r="C18" i="12"/>
  <c r="D18" i="12"/>
  <c r="E18" i="12"/>
  <c r="F18" i="12"/>
  <c r="F37" i="12" s="1"/>
  <c r="G18" i="12"/>
  <c r="H18" i="12"/>
  <c r="I18" i="12"/>
  <c r="J18" i="12"/>
  <c r="J37" i="12" s="1"/>
  <c r="J6" i="19" s="1"/>
  <c r="K18" i="12"/>
  <c r="L18" i="12"/>
  <c r="M18" i="12"/>
  <c r="N18" i="12"/>
  <c r="N37" i="12" s="1"/>
  <c r="O18" i="12"/>
  <c r="P18" i="12"/>
  <c r="Q18" i="12"/>
  <c r="R18" i="12"/>
  <c r="R37" i="12" s="1"/>
  <c r="R6" i="19" s="1"/>
  <c r="S18" i="12"/>
  <c r="B19" i="12"/>
  <c r="C19" i="12"/>
  <c r="C37" i="12" s="1"/>
  <c r="C6" i="19" s="1"/>
  <c r="D19" i="12"/>
  <c r="E19" i="12"/>
  <c r="F19" i="12"/>
  <c r="G19" i="12"/>
  <c r="H19" i="12"/>
  <c r="I19" i="12"/>
  <c r="J19" i="12"/>
  <c r="K19" i="12"/>
  <c r="K37" i="12" s="1"/>
  <c r="K6" i="19" s="1"/>
  <c r="L19" i="12"/>
  <c r="M19" i="12"/>
  <c r="N19" i="12"/>
  <c r="O19" i="12"/>
  <c r="P19" i="12"/>
  <c r="Q19" i="12"/>
  <c r="R19" i="12"/>
  <c r="S19" i="12"/>
  <c r="S37" i="12" s="1"/>
  <c r="S6" i="19" s="1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B21" i="12"/>
  <c r="C21" i="12"/>
  <c r="D21" i="12"/>
  <c r="E21" i="12"/>
  <c r="T21" i="12" s="1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B22" i="12"/>
  <c r="T22" i="12" s="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B23" i="12"/>
  <c r="T23" i="12" s="1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B24" i="12"/>
  <c r="C24" i="12"/>
  <c r="D24" i="12"/>
  <c r="E24" i="12"/>
  <c r="F24" i="12"/>
  <c r="G24" i="12"/>
  <c r="T24" i="12" s="1"/>
  <c r="H24" i="12"/>
  <c r="I24" i="12"/>
  <c r="J24" i="12"/>
  <c r="K24" i="12"/>
  <c r="L24" i="12"/>
  <c r="M24" i="12"/>
  <c r="N24" i="12"/>
  <c r="O24" i="12"/>
  <c r="P24" i="12"/>
  <c r="Q24" i="12"/>
  <c r="R24" i="12"/>
  <c r="S24" i="12"/>
  <c r="B25" i="12"/>
  <c r="C25" i="12"/>
  <c r="D25" i="12"/>
  <c r="E25" i="12"/>
  <c r="T25" i="12" s="1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B26" i="12"/>
  <c r="T26" i="12" s="1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B27" i="12"/>
  <c r="C27" i="12"/>
  <c r="T27" i="12" s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B28" i="12"/>
  <c r="C28" i="12"/>
  <c r="D28" i="12"/>
  <c r="T28" i="12" s="1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B29" i="12"/>
  <c r="C29" i="12"/>
  <c r="D29" i="12"/>
  <c r="E29" i="12"/>
  <c r="T29" i="12" s="1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B30" i="12"/>
  <c r="T30" i="12" s="1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B31" i="12"/>
  <c r="T31" i="12" s="1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B32" i="12"/>
  <c r="C32" i="12"/>
  <c r="D32" i="12"/>
  <c r="E32" i="12"/>
  <c r="F32" i="12"/>
  <c r="G32" i="12"/>
  <c r="T32" i="12" s="1"/>
  <c r="H32" i="12"/>
  <c r="I32" i="12"/>
  <c r="J32" i="12"/>
  <c r="K32" i="12"/>
  <c r="L32" i="12"/>
  <c r="M32" i="12"/>
  <c r="N32" i="12"/>
  <c r="O32" i="12"/>
  <c r="P32" i="12"/>
  <c r="Q32" i="12"/>
  <c r="R32" i="12"/>
  <c r="S32" i="12"/>
  <c r="B33" i="12"/>
  <c r="C33" i="12"/>
  <c r="D33" i="12"/>
  <c r="E33" i="12"/>
  <c r="T33" i="12" s="1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B34" i="12"/>
  <c r="T34" i="12" s="1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B35" i="12"/>
  <c r="C35" i="12"/>
  <c r="T35" i="12" s="1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I37" i="12"/>
  <c r="I6" i="19" s="1"/>
  <c r="Q37" i="12"/>
  <c r="Q6" i="19" s="1"/>
  <c r="A6" i="19"/>
  <c r="A7" i="19"/>
  <c r="A8" i="19"/>
  <c r="A5" i="19"/>
  <c r="A4" i="19"/>
  <c r="A3" i="19"/>
  <c r="A2" i="19"/>
  <c r="M2" i="19"/>
  <c r="N2" i="19"/>
  <c r="O1" i="19"/>
  <c r="P1" i="19"/>
  <c r="Q1" i="19"/>
  <c r="R1" i="19"/>
  <c r="S1" i="19"/>
  <c r="T1" i="19"/>
  <c r="N12" i="12" l="1"/>
  <c r="N38" i="12" s="1"/>
  <c r="N39" i="12" s="1"/>
  <c r="N13" i="12"/>
  <c r="F13" i="12"/>
  <c r="F12" i="12"/>
  <c r="F38" i="12" s="1"/>
  <c r="F39" i="12" s="1"/>
  <c r="P12" i="12"/>
  <c r="P38" i="12" s="1"/>
  <c r="P39" i="12" s="1"/>
  <c r="P13" i="12"/>
  <c r="P5" i="19" s="1"/>
  <c r="H12" i="12"/>
  <c r="H38" i="12" s="1"/>
  <c r="H39" i="12" s="1"/>
  <c r="H13" i="12"/>
  <c r="I12" i="12"/>
  <c r="I38" i="12" s="1"/>
  <c r="I39" i="12" s="1"/>
  <c r="I13" i="12"/>
  <c r="M6" i="19"/>
  <c r="M38" i="12"/>
  <c r="M39" i="12" s="1"/>
  <c r="S3" i="19"/>
  <c r="S13" i="12"/>
  <c r="C12" i="12"/>
  <c r="C38" i="12" s="1"/>
  <c r="C39" i="12" s="1"/>
  <c r="O12" i="12"/>
  <c r="O38" i="12" s="1"/>
  <c r="O39" i="12" s="1"/>
  <c r="O13" i="12"/>
  <c r="B12" i="12"/>
  <c r="L13" i="12"/>
  <c r="L12" i="12"/>
  <c r="L38" i="12" s="1"/>
  <c r="L39" i="12" s="1"/>
  <c r="T11" i="12"/>
  <c r="B13" i="12"/>
  <c r="B5" i="19" s="1"/>
  <c r="R12" i="12"/>
  <c r="R38" i="12" s="1"/>
  <c r="R39" i="12" s="1"/>
  <c r="R13" i="12"/>
  <c r="D13" i="12"/>
  <c r="D12" i="12"/>
  <c r="D38" i="12" s="1"/>
  <c r="D39" i="12" s="1"/>
  <c r="Q12" i="12"/>
  <c r="Q38" i="12" s="1"/>
  <c r="Q39" i="12" s="1"/>
  <c r="Q13" i="12"/>
  <c r="E13" i="12"/>
  <c r="E12" i="12"/>
  <c r="E38" i="12" s="1"/>
  <c r="E39" i="12" s="1"/>
  <c r="S12" i="12"/>
  <c r="S38" i="12" s="1"/>
  <c r="S39" i="12" s="1"/>
  <c r="K12" i="12"/>
  <c r="K38" i="12" s="1"/>
  <c r="K39" i="12" s="1"/>
  <c r="B2" i="19"/>
  <c r="J2" i="19"/>
  <c r="G37" i="12"/>
  <c r="G38" i="12" s="1"/>
  <c r="G39" i="12" s="1"/>
  <c r="T17" i="12"/>
  <c r="T5" i="12"/>
  <c r="T13" i="12" s="1"/>
  <c r="T19" i="12"/>
  <c r="T9" i="12"/>
  <c r="T3" i="12"/>
  <c r="T18" i="12"/>
  <c r="T8" i="12"/>
  <c r="N5" i="19"/>
  <c r="R5" i="19"/>
  <c r="D3" i="19"/>
  <c r="E3" i="19"/>
  <c r="R3" i="19"/>
  <c r="P6" i="19"/>
  <c r="N6" i="19"/>
  <c r="H3" i="19"/>
  <c r="G3" i="19"/>
  <c r="K3" i="19"/>
  <c r="C3" i="19"/>
  <c r="P2" i="19"/>
  <c r="O2" i="19"/>
  <c r="J3" i="19"/>
  <c r="B3" i="19"/>
  <c r="E5" i="19"/>
  <c r="E2" i="19"/>
  <c r="B6" i="19"/>
  <c r="R2" i="19"/>
  <c r="N3" i="19"/>
  <c r="M3" i="19"/>
  <c r="F6" i="19"/>
  <c r="I2" i="19"/>
  <c r="F2" i="19"/>
  <c r="D2" i="19"/>
  <c r="L2" i="19"/>
  <c r="K2" i="19"/>
  <c r="S2" i="19"/>
  <c r="H2" i="19"/>
  <c r="Q2" i="19"/>
  <c r="G2" i="19"/>
  <c r="G6" i="19" l="1"/>
  <c r="T37" i="12"/>
  <c r="T6" i="19" s="1"/>
  <c r="B38" i="12"/>
  <c r="T12" i="12"/>
  <c r="C5" i="19"/>
  <c r="C2" i="19"/>
  <c r="I5" i="19"/>
  <c r="T3" i="19"/>
  <c r="M4" i="19"/>
  <c r="R4" i="19"/>
  <c r="B4" i="19"/>
  <c r="N4" i="19"/>
  <c r="E4" i="19"/>
  <c r="P4" i="19"/>
  <c r="D5" i="19"/>
  <c r="M5" i="19"/>
  <c r="Q5" i="19"/>
  <c r="K4" i="19"/>
  <c r="S5" i="19"/>
  <c r="K5" i="19"/>
  <c r="F5" i="19"/>
  <c r="H5" i="19"/>
  <c r="J4" i="19"/>
  <c r="J5" i="19"/>
  <c r="O4" i="19"/>
  <c r="O5" i="19"/>
  <c r="G4" i="19"/>
  <c r="G5" i="19"/>
  <c r="L5" i="19"/>
  <c r="B39" i="12" l="1"/>
  <c r="T38" i="12"/>
  <c r="T39" i="12" s="1"/>
  <c r="I4" i="19"/>
  <c r="B8" i="19"/>
  <c r="T2" i="19"/>
  <c r="N8" i="19"/>
  <c r="N7" i="19"/>
  <c r="E8" i="19"/>
  <c r="E7" i="19"/>
  <c r="B7" i="19"/>
  <c r="P7" i="19"/>
  <c r="P8" i="19"/>
  <c r="R7" i="19"/>
  <c r="R8" i="19"/>
  <c r="D4" i="19"/>
  <c r="H4" i="19"/>
  <c r="L4" i="19"/>
  <c r="M8" i="19"/>
  <c r="M7" i="19"/>
  <c r="Q4" i="19"/>
  <c r="S4" i="19"/>
  <c r="F4" i="19"/>
  <c r="C4" i="19"/>
  <c r="T4" i="19"/>
  <c r="T5" i="19"/>
  <c r="I8" i="19" l="1"/>
  <c r="I7" i="19"/>
  <c r="D8" i="19"/>
  <c r="D7" i="19"/>
  <c r="G8" i="19"/>
  <c r="G7" i="19"/>
  <c r="H8" i="19"/>
  <c r="H7" i="19"/>
  <c r="J8" i="19"/>
  <c r="J7" i="19"/>
  <c r="K8" i="19"/>
  <c r="K7" i="19"/>
  <c r="L8" i="19"/>
  <c r="L7" i="19"/>
  <c r="O8" i="19"/>
  <c r="O7" i="19"/>
  <c r="Q8" i="19"/>
  <c r="Q7" i="19"/>
  <c r="S8" i="19"/>
  <c r="S7" i="19"/>
  <c r="F8" i="19"/>
  <c r="F7" i="19"/>
  <c r="C8" i="19"/>
  <c r="C7" i="19"/>
  <c r="T8" i="19" l="1"/>
  <c r="T7" i="19"/>
</calcChain>
</file>

<file path=xl/sharedStrings.xml><?xml version="1.0" encoding="utf-8"?>
<sst xmlns="http://schemas.openxmlformats.org/spreadsheetml/2006/main" count="56" uniqueCount="56">
  <si>
    <t>Expenses</t>
  </si>
  <si>
    <t>Total</t>
  </si>
  <si>
    <t>Income</t>
  </si>
  <si>
    <t xml:space="preserve">   Discounts given</t>
  </si>
  <si>
    <t xml:space="preserve">   Services for Care Management</t>
  </si>
  <si>
    <t>Total Income</t>
  </si>
  <si>
    <t>Cost of Goods Sold</t>
  </si>
  <si>
    <t xml:space="preserve">   Equipment Rental</t>
  </si>
  <si>
    <t xml:space="preserve">   Payroll Fee</t>
  </si>
  <si>
    <t xml:space="preserve">   Salaries &amp; Wages - Nurses</t>
  </si>
  <si>
    <t>Total Cost of Goods Sold</t>
  </si>
  <si>
    <t>Gross Profit</t>
  </si>
  <si>
    <t xml:space="preserve">   Advertising &amp; Marketing</t>
  </si>
  <si>
    <t xml:space="preserve">   Bad Debts</t>
  </si>
  <si>
    <t xml:space="preserve">   Bank Charges &amp; Fees</t>
  </si>
  <si>
    <t xml:space="preserve">   Car &amp; Truck</t>
  </si>
  <si>
    <t xml:space="preserve">   Contractors</t>
  </si>
  <si>
    <t xml:space="preserve">   Donations</t>
  </si>
  <si>
    <t xml:space="preserve">   Dues &amp; subscriptions</t>
  </si>
  <si>
    <t xml:space="preserve">   Employee Benefits</t>
  </si>
  <si>
    <t xml:space="preserve">   Meals &amp; Entertainment</t>
  </si>
  <si>
    <t xml:space="preserve">   Office Supplies &amp; Software</t>
  </si>
  <si>
    <t xml:space="preserve">   Other Business Expenses</t>
  </si>
  <si>
    <t xml:space="preserve">   Payroll Expenses</t>
  </si>
  <si>
    <t xml:space="preserve">   Phone &amp; Internet</t>
  </si>
  <si>
    <t xml:space="preserve">   QuickBooks Payments</t>
  </si>
  <si>
    <t xml:space="preserve">   Rent &amp; Lease</t>
  </si>
  <si>
    <t xml:space="preserve">   Salaries &amp; Wages - Admin &amp; Sales</t>
  </si>
  <si>
    <t xml:space="preserve">   Shipping &amp; Delivery</t>
  </si>
  <si>
    <t xml:space="preserve">   Taxes &amp; Licenses</t>
  </si>
  <si>
    <t xml:space="preserve">   Travel</t>
  </si>
  <si>
    <t xml:space="preserve">   Uniforms</t>
  </si>
  <si>
    <t>Total Expenses</t>
  </si>
  <si>
    <t>Net Operating Income</t>
  </si>
  <si>
    <t xml:space="preserve">   Uncategorized Expense</t>
  </si>
  <si>
    <t>Gross Margin</t>
  </si>
  <si>
    <t>Net Margin</t>
  </si>
  <si>
    <t>KPI</t>
  </si>
  <si>
    <t>May_2022</t>
  </si>
  <si>
    <t>May_2023</t>
  </si>
  <si>
    <t>January_2022</t>
  </si>
  <si>
    <t>February_2022</t>
  </si>
  <si>
    <t>March_2022</t>
  </si>
  <si>
    <t>April_2022</t>
  </si>
  <si>
    <t>June_2022</t>
  </si>
  <si>
    <t>July_2022</t>
  </si>
  <si>
    <t>August_2022</t>
  </si>
  <si>
    <t>September_2022</t>
  </si>
  <si>
    <t>October_2022</t>
  </si>
  <si>
    <t>November_2022</t>
  </si>
  <si>
    <t>December_2022</t>
  </si>
  <si>
    <t>January_2023</t>
  </si>
  <si>
    <t>February_2023</t>
  </si>
  <si>
    <t>March_2023</t>
  </si>
  <si>
    <t>April_2023</t>
  </si>
  <si>
    <t>June_2023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</si>
</sst>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_€"/>
    <numFmt numFmtId="165" formatCode="&quot;$&quot;* #,##0.00\ _€"/>
  </numFmts>
  <fonts count="6" x14ac:knownFonts="1"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2" fillId="0" borderId="0" xfId="0" applyFont="1"/>
    <xf numFmtId="17" fontId="2" fillId="0" borderId="0" xfId="0" applyNumberFormat="1" applyFont="1"/>
    <xf numFmtId="9" fontId="2" fillId="0" borderId="0" xfId="1" applyFont="1"/>
    <xf numFmtId="17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 wrapText="1"/>
    </xf>
    <xf numFmtId="0" fontId="3" fillId="0" borderId="2" xfId="0" applyFont="1" applyBorder="1" applyAlignment="1">
      <alignment horizontal="left" wrapText="1"/>
    </xf>
    <xf numFmtId="165" fontId="3" fillId="0" borderId="3" xfId="0" applyNumberFormat="1" applyFont="1" applyBorder="1" applyAlignment="1">
      <alignment horizontal="right" wrapText="1"/>
    </xf>
    <xf numFmtId="165" fontId="3" fillId="0" borderId="1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left" wrapText="1"/>
    </xf>
    <xf numFmtId="165" fontId="3" fillId="0" borderId="4" xfId="0" applyNumberFormat="1" applyFont="1" applyBorder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9" fontId="4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D7D31"/>
          <bgColor rgb="FFED7D31"/>
        </patternFill>
      </fill>
    </dxf>
  </dxfs>
  <tableStyles count="13">
    <tableStyle name="IGNORE-style" pivot="0" count="4" xr9:uid="{00000000-0011-0000-FFFF-FFFF00000000}">
      <tableStyleElement type="headerRow" dxfId="35"/>
      <tableStyleElement type="totalRow" dxfId="34"/>
      <tableStyleElement type="firstRowStripe" dxfId="33"/>
      <tableStyleElement type="secondRowStripe" dxfId="32"/>
    </tableStyle>
    <tableStyle name="IGNORE1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IGNORE1-style 2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IGNORE1-style 3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IGNORE1-style 4" pivot="0" count="2" xr9:uid="{00000000-0011-0000-FFFF-FFFF04000000}">
      <tableStyleElement type="firstRowStripe" dxfId="22"/>
      <tableStyleElement type="secondRowStripe" dxfId="21"/>
    </tableStyle>
    <tableStyle name="IGNORE1-style 5" pivot="0" count="2" xr9:uid="{00000000-0011-0000-FFFF-FFFF05000000}">
      <tableStyleElement type="firstRowStripe" dxfId="20"/>
      <tableStyleElement type="secondRowStripe" dxfId="19"/>
    </tableStyle>
    <tableStyle name="IGNORE1-style 6" pivot="0" count="3" xr9:uid="{00000000-0011-0000-FFFF-FFFF06000000}">
      <tableStyleElement type="headerRow" dxfId="18"/>
      <tableStyleElement type="firstRowStripe" dxfId="17"/>
      <tableStyleElement type="secondRowStripe" dxfId="16"/>
    </tableStyle>
    <tableStyle name="IGNORE3-style" pivot="0" count="3" xr9:uid="{00000000-0011-0000-FFFF-FFFF07000000}">
      <tableStyleElement type="headerRow" dxfId="15"/>
      <tableStyleElement type="firstRowStripe" dxfId="14"/>
      <tableStyleElement type="secondRowStripe" dxfId="13"/>
    </tableStyle>
    <tableStyle name="IGNORE3-style 2" pivot="0" count="3" xr9:uid="{00000000-0011-0000-FFFF-FFFF08000000}">
      <tableStyleElement type="headerRow" dxfId="12"/>
      <tableStyleElement type="firstRowStripe" dxfId="11"/>
      <tableStyleElement type="secondRowStripe" dxfId="10"/>
    </tableStyle>
    <tableStyle name="IGNORE3-style 3" pivot="0" count="3" xr9:uid="{00000000-0011-0000-FFFF-FFFF09000000}">
      <tableStyleElement type="headerRow" dxfId="9"/>
      <tableStyleElement type="firstRowStripe" dxfId="8"/>
      <tableStyleElement type="secondRowStripe" dxfId="7"/>
    </tableStyle>
    <tableStyle name="IGNORE3-style 4" pivot="0" count="2" xr9:uid="{00000000-0011-0000-FFFF-FFFF0A000000}">
      <tableStyleElement type="firstRowStripe" dxfId="6"/>
      <tableStyleElement type="secondRowStripe" dxfId="5"/>
    </tableStyle>
    <tableStyle name="IGNORE3-style 5" pivot="0" count="2" xr9:uid="{00000000-0011-0000-FFFF-FFFF0B000000}">
      <tableStyleElement type="firstRowStripe" dxfId="4"/>
      <tableStyleElement type="secondRowStripe" dxfId="3"/>
    </tableStyle>
    <tableStyle name="IGNORE3-style 6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904"/>
  <sheetViews>
    <sheetView workbookViewId="0">
      <pane xSplit="1" topLeftCell="C1" activePane="topRight" state="frozen"/>
      <selection pane="topRight" activeCell="R2" sqref="R2"/>
    </sheetView>
  </sheetViews>
  <sheetFormatPr defaultColWidth="14.44140625" defaultRowHeight="15" customHeight="1" x14ac:dyDescent="0.25"/>
  <cols>
    <col min="1" max="1" width="31" style="7" customWidth="1"/>
    <col min="2" max="4" width="9.44140625" style="7" customWidth="1"/>
    <col min="5" max="5" width="10.33203125" style="7" customWidth="1"/>
    <col min="6" max="7" width="9.44140625" style="7" customWidth="1"/>
    <col min="8" max="8" width="10.33203125" style="7" customWidth="1"/>
    <col min="9" max="9" width="11.109375" style="7" customWidth="1"/>
    <col min="10" max="12" width="9.44140625" style="7" customWidth="1"/>
    <col min="13" max="13" width="10.33203125" style="7" customWidth="1"/>
    <col min="14" max="14" width="11.109375" style="7" customWidth="1"/>
    <col min="15" max="15" width="9.44140625" style="7" customWidth="1"/>
    <col min="16" max="16" width="10.33203125" style="7" customWidth="1"/>
    <col min="17" max="17" width="9.44140625" style="7" customWidth="1"/>
    <col min="18" max="18" width="11.109375" style="7" customWidth="1"/>
    <col min="19" max="19" width="9.44140625" style="7" customWidth="1"/>
    <col min="20" max="20" width="12" style="7" customWidth="1"/>
    <col min="21" max="16384" width="14.44140625" style="7"/>
  </cols>
  <sheetData>
    <row r="1" spans="1:21" ht="24" x14ac:dyDescent="0.25">
      <c r="B1" s="5" t="s">
        <v>40</v>
      </c>
      <c r="C1" s="5" t="s">
        <v>41</v>
      </c>
      <c r="D1" s="5" t="s">
        <v>42</v>
      </c>
      <c r="E1" s="5" t="s">
        <v>43</v>
      </c>
      <c r="F1" s="5" t="s">
        <v>38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39</v>
      </c>
      <c r="S1" s="5" t="s">
        <v>55</v>
      </c>
      <c r="T1" s="6" t="s">
        <v>1</v>
      </c>
    </row>
    <row r="2" spans="1:21" ht="12" x14ac:dyDescent="0.25">
      <c r="A2" s="18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1" ht="12" x14ac:dyDescent="0.25">
      <c r="A3" s="8" t="s">
        <v>3</v>
      </c>
      <c r="B3" s="10">
        <f>0</f>
        <v>0</v>
      </c>
      <c r="C3" s="10">
        <f>0</f>
        <v>0</v>
      </c>
      <c r="D3" s="10">
        <f>0</f>
        <v>0</v>
      </c>
      <c r="E3" s="10">
        <f>0</f>
        <v>0</v>
      </c>
      <c r="F3" s="10">
        <f>0</f>
        <v>0</v>
      </c>
      <c r="G3" s="10">
        <f>0</f>
        <v>0</v>
      </c>
      <c r="H3" s="10">
        <f>0</f>
        <v>0</v>
      </c>
      <c r="I3" s="10">
        <f>0</f>
        <v>0</v>
      </c>
      <c r="J3" s="10">
        <f>0</f>
        <v>0</v>
      </c>
      <c r="K3" s="10">
        <f>0</f>
        <v>0</v>
      </c>
      <c r="L3" s="10">
        <f>0</f>
        <v>0</v>
      </c>
      <c r="M3" s="10">
        <f>0</f>
        <v>0</v>
      </c>
      <c r="N3" s="10">
        <f>0</f>
        <v>0</v>
      </c>
      <c r="O3" s="10">
        <f>0</f>
        <v>0</v>
      </c>
      <c r="P3" s="10">
        <f>1000</f>
        <v>1000</v>
      </c>
      <c r="Q3" s="10">
        <f>0</f>
        <v>0</v>
      </c>
      <c r="R3" s="10">
        <f>0</f>
        <v>0</v>
      </c>
      <c r="S3" s="10">
        <f>0</f>
        <v>0</v>
      </c>
      <c r="T3" s="10">
        <f>(((((((((((((((((B3)+(C3))+(D3))+(E3))+(F3))+(G3))+(H3))+(I3))+(J3))+(K3))+(L3))+(M3))+(N3))+(O3))+(P3))+(Q3))+(R3))+(S3)</f>
        <v>1000</v>
      </c>
    </row>
    <row r="4" spans="1:21" ht="12" x14ac:dyDescent="0.25">
      <c r="A4" s="11" t="s">
        <v>4</v>
      </c>
      <c r="B4" s="10">
        <f>47701.8</f>
        <v>47701.8</v>
      </c>
      <c r="C4" s="10">
        <f>51892.59</f>
        <v>51892.59</v>
      </c>
      <c r="D4" s="10">
        <f>45904.68</f>
        <v>45904.68</v>
      </c>
      <c r="E4" s="10">
        <f>48863.99</f>
        <v>48863.99</v>
      </c>
      <c r="F4" s="10">
        <f>50279.58</f>
        <v>50279.58</v>
      </c>
      <c r="G4" s="10">
        <f>49432.86</f>
        <v>49432.86</v>
      </c>
      <c r="H4" s="10">
        <f>101170.02</f>
        <v>101170.02</v>
      </c>
      <c r="I4" s="10">
        <f>49204.45</f>
        <v>49204.45</v>
      </c>
      <c r="J4" s="10">
        <f>79677.43</f>
        <v>79677.429999999993</v>
      </c>
      <c r="K4" s="10">
        <f>74487.1</f>
        <v>74487.100000000006</v>
      </c>
      <c r="L4" s="10">
        <f>66263.49</f>
        <v>66263.490000000005</v>
      </c>
      <c r="M4" s="10">
        <f>155900.17</f>
        <v>155900.17000000001</v>
      </c>
      <c r="N4" s="10">
        <f>2206.5</f>
        <v>2206.5</v>
      </c>
      <c r="O4" s="10">
        <f>89149.99</f>
        <v>89149.99</v>
      </c>
      <c r="P4" s="10">
        <f>77500.7</f>
        <v>77500.7</v>
      </c>
      <c r="Q4" s="10">
        <f>75991.47</f>
        <v>75991.47</v>
      </c>
      <c r="R4" s="10">
        <f>61921.25</f>
        <v>61921.25</v>
      </c>
      <c r="S4" s="10">
        <f>62797.25</f>
        <v>62797.25</v>
      </c>
      <c r="T4" s="10">
        <f>(((((((((((((((((B4)+(C4))+(D4))+(E4))+(F4))+(G4))+(H4))+(I4))+(J4))+(K4))+(L4))+(M4))+(N4))+(O4))+(P4))+(Q4))+(R4))+(S4)</f>
        <v>1190345.32</v>
      </c>
    </row>
    <row r="5" spans="1:21" ht="12" x14ac:dyDescent="0.25">
      <c r="A5" s="8" t="s">
        <v>5</v>
      </c>
      <c r="B5" s="12">
        <f t="shared" ref="B5:L5" si="0">(B3)+(B4)</f>
        <v>47701.8</v>
      </c>
      <c r="C5" s="12">
        <f t="shared" si="0"/>
        <v>51892.59</v>
      </c>
      <c r="D5" s="12">
        <f t="shared" si="0"/>
        <v>45904.68</v>
      </c>
      <c r="E5" s="12">
        <f t="shared" si="0"/>
        <v>48863.99</v>
      </c>
      <c r="F5" s="12">
        <f t="shared" si="0"/>
        <v>50279.58</v>
      </c>
      <c r="G5" s="12">
        <f t="shared" si="0"/>
        <v>49432.86</v>
      </c>
      <c r="H5" s="12">
        <f t="shared" si="0"/>
        <v>101170.02</v>
      </c>
      <c r="I5" s="12">
        <f t="shared" si="0"/>
        <v>49204.45</v>
      </c>
      <c r="J5" s="12">
        <f t="shared" si="0"/>
        <v>79677.429999999993</v>
      </c>
      <c r="K5" s="12">
        <f t="shared" si="0"/>
        <v>74487.100000000006</v>
      </c>
      <c r="L5" s="12">
        <f t="shared" si="0"/>
        <v>66263.490000000005</v>
      </c>
      <c r="M5" s="12">
        <v>78643.31</v>
      </c>
      <c r="N5" s="12">
        <v>79861.179999999993</v>
      </c>
      <c r="O5" s="12">
        <f>(O3)+(O4)</f>
        <v>89149.99</v>
      </c>
      <c r="P5" s="12">
        <f>(P3)+(P4)</f>
        <v>78500.7</v>
      </c>
      <c r="Q5" s="12">
        <f>(Q3)+(Q4)</f>
        <v>75991.47</v>
      </c>
      <c r="R5" s="12">
        <f>(R3)+(R4)</f>
        <v>61921.25</v>
      </c>
      <c r="S5" s="12">
        <f>(S3)+(S4)</f>
        <v>62797.25</v>
      </c>
      <c r="T5" s="12">
        <f>(((((((((((((((((B5)+(C5))+(D5))+(E5))+(F5))+(G5))+(H5))+(I5))+(J5))+(K5))+(L5))+(M5))+(N5))+(O5))+(P5))+(Q5))+(R5))+(S5)</f>
        <v>1191743.1399999999</v>
      </c>
    </row>
    <row r="6" spans="1:21" ht="12" x14ac:dyDescent="0.25">
      <c r="A6" s="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1" ht="12" x14ac:dyDescent="0.25">
      <c r="A7" s="1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 ht="12" x14ac:dyDescent="0.25">
      <c r="A8" s="8" t="s">
        <v>7</v>
      </c>
      <c r="B8" s="10">
        <f>1353.5</f>
        <v>1353.5</v>
      </c>
      <c r="C8" s="10">
        <f>0</f>
        <v>0</v>
      </c>
      <c r="D8" s="10">
        <f>182.3</f>
        <v>182.3</v>
      </c>
      <c r="E8" s="10">
        <f>16336</f>
        <v>16336</v>
      </c>
      <c r="F8" s="10">
        <f>0</f>
        <v>0</v>
      </c>
      <c r="G8" s="10">
        <f>8925</f>
        <v>8925</v>
      </c>
      <c r="H8" s="10">
        <f>0</f>
        <v>0</v>
      </c>
      <c r="I8" s="10">
        <f>31360</f>
        <v>31360</v>
      </c>
      <c r="J8" s="10">
        <f>19425</f>
        <v>19425</v>
      </c>
      <c r="K8" s="10">
        <f>18335</f>
        <v>18335</v>
      </c>
      <c r="L8" s="10">
        <f>13025</f>
        <v>13025</v>
      </c>
      <c r="M8" s="10">
        <f>11425</f>
        <v>11425</v>
      </c>
      <c r="N8" s="10">
        <f>0</f>
        <v>0</v>
      </c>
      <c r="O8" s="10">
        <f>15750</f>
        <v>15750</v>
      </c>
      <c r="P8" s="10">
        <f>35098</f>
        <v>35098</v>
      </c>
      <c r="Q8" s="10">
        <f>4015</f>
        <v>4015</v>
      </c>
      <c r="R8" s="10">
        <f>18710</f>
        <v>18710</v>
      </c>
      <c r="S8" s="10">
        <f>0</f>
        <v>0</v>
      </c>
      <c r="T8" s="10">
        <f>(((((((((((((((((B8)+(C8))+(D8))+(E8))+(F8))+(G8))+(H8))+(I8))+(J8))+(K8))+(L8))+(M8))+(N8))+(O8))+(P8))+(Q8))+(R8))+(S8)</f>
        <v>193939.8</v>
      </c>
    </row>
    <row r="9" spans="1:21" ht="12" x14ac:dyDescent="0.25">
      <c r="A9" s="8" t="s">
        <v>8</v>
      </c>
      <c r="B9" s="10">
        <f>373.39</f>
        <v>373.39</v>
      </c>
      <c r="C9" s="10">
        <f>81.67</f>
        <v>81.67</v>
      </c>
      <c r="D9" s="10">
        <f>83.86</f>
        <v>83.86</v>
      </c>
      <c r="E9" s="10">
        <f>124.09</f>
        <v>124.09</v>
      </c>
      <c r="F9" s="10">
        <f>90.02</f>
        <v>90.02</v>
      </c>
      <c r="G9" s="10">
        <f>91.18</f>
        <v>91.18</v>
      </c>
      <c r="H9" s="10">
        <f>85.38</f>
        <v>85.38</v>
      </c>
      <c r="I9" s="10">
        <f>86.54</f>
        <v>86.54</v>
      </c>
      <c r="J9" s="10">
        <f>132.13</f>
        <v>132.13</v>
      </c>
      <c r="K9" s="10">
        <f>84.22</f>
        <v>84.22</v>
      </c>
      <c r="L9" s="10">
        <f>148.97</f>
        <v>148.97</v>
      </c>
      <c r="M9" s="10">
        <f>151.29</f>
        <v>151.29</v>
      </c>
      <c r="N9" s="10">
        <f>0</f>
        <v>0</v>
      </c>
      <c r="O9" s="10">
        <f>0</f>
        <v>0</v>
      </c>
      <c r="P9" s="10">
        <f>0</f>
        <v>0</v>
      </c>
      <c r="Q9" s="10">
        <f>0</f>
        <v>0</v>
      </c>
      <c r="R9" s="10">
        <f>0</f>
        <v>0</v>
      </c>
      <c r="S9" s="10">
        <f>0</f>
        <v>0</v>
      </c>
      <c r="T9" s="10">
        <f>(((((((((((((((((B9)+(C9))+(D9))+(E9))+(F9))+(G9))+(H9))+(I9))+(J9))+(K9))+(L9))+(M9))+(N9))+(O9))+(P9))+(Q9))+(R9))+(S9)</f>
        <v>1532.74</v>
      </c>
    </row>
    <row r="10" spans="1:21" ht="12" x14ac:dyDescent="0.25">
      <c r="A10" s="8" t="s">
        <v>9</v>
      </c>
      <c r="B10" s="10">
        <f>15761.64</f>
        <v>15761.64</v>
      </c>
      <c r="C10" s="10">
        <f>22397.21</f>
        <v>22397.21</v>
      </c>
      <c r="D10" s="10">
        <f>21011.1</f>
        <v>21011.1</v>
      </c>
      <c r="E10" s="10">
        <f>24084.28</f>
        <v>24084.28</v>
      </c>
      <c r="F10" s="10">
        <f>26329.36</f>
        <v>26329.360000000001</v>
      </c>
      <c r="G10" s="10">
        <f>22979.88</f>
        <v>22979.88</v>
      </c>
      <c r="H10" s="10">
        <f>41588.29</f>
        <v>41588.29</v>
      </c>
      <c r="I10" s="10">
        <f>24627.26</f>
        <v>24627.26</v>
      </c>
      <c r="J10" s="10">
        <f>27740.33</f>
        <v>27740.33</v>
      </c>
      <c r="K10" s="10">
        <f>28184.93</f>
        <v>28184.93</v>
      </c>
      <c r="L10" s="10">
        <f>28625.81</f>
        <v>28625.81</v>
      </c>
      <c r="M10" s="10">
        <f>48646.84</f>
        <v>48646.84</v>
      </c>
      <c r="N10" s="10">
        <f>32020.75</f>
        <v>32020.75</v>
      </c>
      <c r="O10" s="10">
        <f>31848.77</f>
        <v>31848.77</v>
      </c>
      <c r="P10" s="10">
        <f>32762.06</f>
        <v>32762.06</v>
      </c>
      <c r="Q10" s="10">
        <f>26292.34</f>
        <v>26292.34</v>
      </c>
      <c r="R10" s="10">
        <f>41113.94</f>
        <v>41113.94</v>
      </c>
      <c r="S10" s="10">
        <f>16536.4</f>
        <v>16536.400000000001</v>
      </c>
      <c r="T10" s="10">
        <f>(((((((((((((((((B10)+(C10))+(D10))+(E10))+(F10))+(G10))+(H10))+(I10))+(J10))+(K10))+(L10))+(M10))+(N10))+(O10))+(P10))+(Q10))+(R10))+(S10)</f>
        <v>512551.19000000012</v>
      </c>
    </row>
    <row r="11" spans="1:21" ht="12" x14ac:dyDescent="0.25">
      <c r="A11" s="14" t="s">
        <v>10</v>
      </c>
      <c r="B11" s="12">
        <f t="shared" ref="B11:S11" si="1">((B8)+(B9))+(B10)</f>
        <v>17488.53</v>
      </c>
      <c r="C11" s="12">
        <f t="shared" si="1"/>
        <v>22478.879999999997</v>
      </c>
      <c r="D11" s="12">
        <f t="shared" si="1"/>
        <v>21277.26</v>
      </c>
      <c r="E11" s="12">
        <f t="shared" si="1"/>
        <v>40544.369999999995</v>
      </c>
      <c r="F11" s="12">
        <f t="shared" si="1"/>
        <v>26419.38</v>
      </c>
      <c r="G11" s="15">
        <f t="shared" si="1"/>
        <v>31996.06</v>
      </c>
      <c r="H11" s="12">
        <f t="shared" si="1"/>
        <v>41673.67</v>
      </c>
      <c r="I11" s="15">
        <f t="shared" si="1"/>
        <v>56073.8</v>
      </c>
      <c r="J11" s="15">
        <f t="shared" si="1"/>
        <v>47297.460000000006</v>
      </c>
      <c r="K11" s="15">
        <f t="shared" si="1"/>
        <v>46604.15</v>
      </c>
      <c r="L11" s="15">
        <f t="shared" si="1"/>
        <v>41799.78</v>
      </c>
      <c r="M11" s="15">
        <f t="shared" si="1"/>
        <v>60223.13</v>
      </c>
      <c r="N11" s="15">
        <f t="shared" si="1"/>
        <v>32020.75</v>
      </c>
      <c r="O11" s="15">
        <f t="shared" si="1"/>
        <v>47598.770000000004</v>
      </c>
      <c r="P11" s="15">
        <f t="shared" si="1"/>
        <v>67860.06</v>
      </c>
      <c r="Q11" s="15">
        <f t="shared" si="1"/>
        <v>30307.34</v>
      </c>
      <c r="R11" s="15">
        <f t="shared" si="1"/>
        <v>59823.94</v>
      </c>
      <c r="S11" s="15">
        <f t="shared" si="1"/>
        <v>16536.400000000001</v>
      </c>
      <c r="T11" s="15">
        <f>(((((((((((((((((B11)+(C11))+(D11))+(E11))+(F11))+(G11))+(H11))+(I11))+(J11))+(K11))+(L11))+(M11))+(N11))+(O11))+(P11))+(Q11))+(R11))+(S11)</f>
        <v>708023.7300000001</v>
      </c>
    </row>
    <row r="12" spans="1:21" ht="12" x14ac:dyDescent="0.25">
      <c r="A12" s="8" t="s">
        <v>11</v>
      </c>
      <c r="B12" s="12">
        <f t="shared" ref="B12:S12" si="2">(B5)-(B11)</f>
        <v>30213.270000000004</v>
      </c>
      <c r="C12" s="12">
        <f t="shared" si="2"/>
        <v>29413.71</v>
      </c>
      <c r="D12" s="12">
        <f t="shared" si="2"/>
        <v>24627.420000000002</v>
      </c>
      <c r="E12" s="12">
        <f t="shared" si="2"/>
        <v>8319.6200000000026</v>
      </c>
      <c r="F12" s="12">
        <f t="shared" si="2"/>
        <v>23860.2</v>
      </c>
      <c r="G12" s="12">
        <f t="shared" si="2"/>
        <v>17436.8</v>
      </c>
      <c r="H12" s="12">
        <f t="shared" si="2"/>
        <v>59496.350000000006</v>
      </c>
      <c r="I12" s="12">
        <f t="shared" si="2"/>
        <v>-6869.3500000000058</v>
      </c>
      <c r="J12" s="12">
        <f t="shared" si="2"/>
        <v>32379.969999999987</v>
      </c>
      <c r="K12" s="12">
        <f t="shared" si="2"/>
        <v>27882.950000000004</v>
      </c>
      <c r="L12" s="12">
        <f t="shared" si="2"/>
        <v>24463.710000000006</v>
      </c>
      <c r="M12" s="12">
        <f t="shared" si="2"/>
        <v>18420.18</v>
      </c>
      <c r="N12" s="12">
        <f t="shared" si="2"/>
        <v>47840.429999999993</v>
      </c>
      <c r="O12" s="12">
        <f t="shared" si="2"/>
        <v>41551.22</v>
      </c>
      <c r="P12" s="12">
        <f t="shared" si="2"/>
        <v>10640.64</v>
      </c>
      <c r="Q12" s="12">
        <f t="shared" si="2"/>
        <v>45684.130000000005</v>
      </c>
      <c r="R12" s="12">
        <f t="shared" si="2"/>
        <v>2097.3099999999977</v>
      </c>
      <c r="S12" s="12">
        <f t="shared" si="2"/>
        <v>46260.85</v>
      </c>
      <c r="T12" s="12">
        <f>(((((((((((((((((B12)+(C12))+(D12))+(E12))+(F12))+(G12))+(H12))+(I12))+(J12))+(K12))+(L12))+(M12))+(N12))+(O12))+(P12))+(Q12))+(R12))+(S12)</f>
        <v>483719.41</v>
      </c>
    </row>
    <row r="13" spans="1:21" ht="12" x14ac:dyDescent="0.25">
      <c r="A13" s="8" t="s">
        <v>35</v>
      </c>
      <c r="B13" s="16">
        <f t="shared" ref="B13:T13" si="3">(B5-B11)/B5</f>
        <v>0.63337798573638737</v>
      </c>
      <c r="C13" s="16">
        <f t="shared" si="3"/>
        <v>0.56681907763709616</v>
      </c>
      <c r="D13" s="16">
        <f t="shared" si="3"/>
        <v>0.53649039705755497</v>
      </c>
      <c r="E13" s="16">
        <f t="shared" si="3"/>
        <v>0.17026075848492936</v>
      </c>
      <c r="F13" s="16">
        <f t="shared" si="3"/>
        <v>0.4745505034051597</v>
      </c>
      <c r="G13" s="16">
        <f t="shared" si="3"/>
        <v>0.35273702553321817</v>
      </c>
      <c r="H13" s="16">
        <f t="shared" si="3"/>
        <v>0.58808281346588642</v>
      </c>
      <c r="I13" s="16">
        <f t="shared" si="3"/>
        <v>-0.13960830778516997</v>
      </c>
      <c r="J13" s="16">
        <f t="shared" si="3"/>
        <v>0.40638823315460837</v>
      </c>
      <c r="K13" s="16">
        <f t="shared" si="3"/>
        <v>0.37433260255802686</v>
      </c>
      <c r="L13" s="16">
        <f t="shared" si="3"/>
        <v>0.36918837205827831</v>
      </c>
      <c r="M13" s="16">
        <f t="shared" si="3"/>
        <v>0.23422437331287302</v>
      </c>
      <c r="N13" s="16">
        <f t="shared" si="3"/>
        <v>0.59904486760651421</v>
      </c>
      <c r="O13" s="16">
        <f t="shared" si="3"/>
        <v>0.46608216108605283</v>
      </c>
      <c r="P13" s="16">
        <f t="shared" si="3"/>
        <v>0.13554834542876687</v>
      </c>
      <c r="Q13" s="16">
        <f t="shared" si="3"/>
        <v>0.60117444760576422</v>
      </c>
      <c r="R13" s="16">
        <f t="shared" si="3"/>
        <v>3.3870601772412502E-2</v>
      </c>
      <c r="S13" s="16">
        <f t="shared" si="3"/>
        <v>0.73666999749192841</v>
      </c>
      <c r="T13" s="16">
        <f t="shared" si="3"/>
        <v>0.40589233851180367</v>
      </c>
      <c r="U13" s="19"/>
    </row>
    <row r="14" spans="1:21" ht="12" x14ac:dyDescent="0.25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2" x14ac:dyDescent="0.25">
      <c r="A15" s="18" t="s">
        <v>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1" ht="12" x14ac:dyDescent="0.25">
      <c r="A16" s="8" t="s">
        <v>12</v>
      </c>
      <c r="B16" s="10">
        <f>395</f>
        <v>395</v>
      </c>
      <c r="C16" s="10">
        <f>30</f>
        <v>30</v>
      </c>
      <c r="D16" s="10">
        <f>99.86</f>
        <v>99.86</v>
      </c>
      <c r="E16" s="10">
        <f>154.45</f>
        <v>154.44999999999999</v>
      </c>
      <c r="F16" s="10">
        <f>25.78</f>
        <v>25.78</v>
      </c>
      <c r="G16" s="10">
        <f>27</f>
        <v>27</v>
      </c>
      <c r="H16" s="10">
        <f>30</f>
        <v>30</v>
      </c>
      <c r="I16" s="10">
        <f>30</f>
        <v>30</v>
      </c>
      <c r="J16" s="10">
        <f>96.07</f>
        <v>96.07</v>
      </c>
      <c r="K16" s="10">
        <f>103.56</f>
        <v>103.56</v>
      </c>
      <c r="L16" s="10">
        <f>30</f>
        <v>30</v>
      </c>
      <c r="M16" s="10">
        <f>1126.96</f>
        <v>1126.96</v>
      </c>
      <c r="N16" s="10">
        <f>68.44</f>
        <v>68.44</v>
      </c>
      <c r="O16" s="10">
        <f>70.48</f>
        <v>70.48</v>
      </c>
      <c r="P16" s="10">
        <f>172.87</f>
        <v>172.87</v>
      </c>
      <c r="Q16" s="10">
        <f>257.18</f>
        <v>257.18</v>
      </c>
      <c r="R16" s="10">
        <f>20</f>
        <v>20</v>
      </c>
      <c r="S16" s="10">
        <f>20</f>
        <v>20</v>
      </c>
      <c r="T16" s="10">
        <f t="shared" ref="T16:T38" si="4">(((((((((((((((((B16)+(C16))+(D16))+(E16))+(F16))+(G16))+(H16))+(I16))+(J16))+(K16))+(L16))+(M16))+(N16))+(O16))+(P16))+(Q16))+(R16))+(S16)</f>
        <v>2757.6499999999996</v>
      </c>
    </row>
    <row r="17" spans="1:20" ht="12" x14ac:dyDescent="0.25">
      <c r="A17" s="8" t="s">
        <v>13</v>
      </c>
      <c r="B17" s="10">
        <f>0</f>
        <v>0</v>
      </c>
      <c r="C17" s="10">
        <f>671.5</f>
        <v>671.5</v>
      </c>
      <c r="D17" s="10">
        <f>0</f>
        <v>0</v>
      </c>
      <c r="E17" s="10">
        <f>0</f>
        <v>0</v>
      </c>
      <c r="F17" s="10">
        <f>0</f>
        <v>0</v>
      </c>
      <c r="G17" s="10">
        <f>0</f>
        <v>0</v>
      </c>
      <c r="H17" s="10">
        <f>0</f>
        <v>0</v>
      </c>
      <c r="I17" s="10">
        <f>0</f>
        <v>0</v>
      </c>
      <c r="J17" s="10">
        <f>0</f>
        <v>0</v>
      </c>
      <c r="K17" s="10">
        <f>0</f>
        <v>0</v>
      </c>
      <c r="L17" s="10">
        <f>0</f>
        <v>0</v>
      </c>
      <c r="M17" s="10">
        <f>14035.42</f>
        <v>14035.42</v>
      </c>
      <c r="N17" s="10">
        <f>0</f>
        <v>0</v>
      </c>
      <c r="O17" s="10">
        <f>0</f>
        <v>0</v>
      </c>
      <c r="P17" s="10">
        <f>0</f>
        <v>0</v>
      </c>
      <c r="Q17" s="10">
        <f>0</f>
        <v>0</v>
      </c>
      <c r="R17" s="10">
        <f>0</f>
        <v>0</v>
      </c>
      <c r="S17" s="10">
        <f>0</f>
        <v>0</v>
      </c>
      <c r="T17" s="10">
        <f t="shared" si="4"/>
        <v>14706.92</v>
      </c>
    </row>
    <row r="18" spans="1:20" ht="12" x14ac:dyDescent="0.25">
      <c r="A18" s="8" t="s">
        <v>14</v>
      </c>
      <c r="B18" s="10">
        <f>24.95</f>
        <v>24.95</v>
      </c>
      <c r="C18" s="10">
        <f>25.71</f>
        <v>25.71</v>
      </c>
      <c r="D18" s="10">
        <f>5.4</f>
        <v>5.4</v>
      </c>
      <c r="E18" s="10">
        <f>285.31</f>
        <v>285.31</v>
      </c>
      <c r="F18" s="10">
        <f>279.88</f>
        <v>279.88</v>
      </c>
      <c r="G18" s="10">
        <f>268.6</f>
        <v>268.60000000000002</v>
      </c>
      <c r="H18" s="10">
        <f>435.83</f>
        <v>435.83</v>
      </c>
      <c r="I18" s="10">
        <f>30.95</f>
        <v>30.95</v>
      </c>
      <c r="J18" s="10">
        <f>233.3</f>
        <v>233.3</v>
      </c>
      <c r="K18" s="10">
        <f>253.56</f>
        <v>253.56</v>
      </c>
      <c r="L18" s="10">
        <f>272.27</f>
        <v>272.27</v>
      </c>
      <c r="M18" s="10">
        <f>288.07</f>
        <v>288.07</v>
      </c>
      <c r="N18" s="10">
        <f>55.37</f>
        <v>55.37</v>
      </c>
      <c r="O18" s="10">
        <f>298.4</f>
        <v>298.39999999999998</v>
      </c>
      <c r="P18" s="10">
        <f>80.89</f>
        <v>80.89</v>
      </c>
      <c r="Q18" s="10">
        <f>73.62</f>
        <v>73.62</v>
      </c>
      <c r="R18" s="10">
        <f>416.46</f>
        <v>416.46</v>
      </c>
      <c r="S18" s="10">
        <f>323.07</f>
        <v>323.07</v>
      </c>
      <c r="T18" s="10">
        <f t="shared" si="4"/>
        <v>3651.6400000000003</v>
      </c>
    </row>
    <row r="19" spans="1:20" ht="12" x14ac:dyDescent="0.25">
      <c r="A19" s="8" t="s">
        <v>15</v>
      </c>
      <c r="B19" s="10">
        <f>15.71</f>
        <v>15.71</v>
      </c>
      <c r="C19" s="10">
        <f>0</f>
        <v>0</v>
      </c>
      <c r="D19" s="10">
        <f>10.05</f>
        <v>10.050000000000001</v>
      </c>
      <c r="E19" s="10">
        <f>5.6</f>
        <v>5.6</v>
      </c>
      <c r="F19" s="10">
        <f>20.43</f>
        <v>20.43</v>
      </c>
      <c r="G19" s="10">
        <f>0</f>
        <v>0</v>
      </c>
      <c r="H19" s="10">
        <f>0</f>
        <v>0</v>
      </c>
      <c r="I19" s="10">
        <f>0</f>
        <v>0</v>
      </c>
      <c r="J19" s="10">
        <f>1</f>
        <v>1</v>
      </c>
      <c r="K19" s="10">
        <f>148.57</f>
        <v>148.57</v>
      </c>
      <c r="L19" s="10">
        <f>33.27</f>
        <v>33.270000000000003</v>
      </c>
      <c r="M19" s="10">
        <f>243.6</f>
        <v>243.6</v>
      </c>
      <c r="N19" s="10">
        <f>332.03</f>
        <v>332.03</v>
      </c>
      <c r="O19" s="10">
        <f>1.75</f>
        <v>1.75</v>
      </c>
      <c r="P19" s="10">
        <f>1213</f>
        <v>1213</v>
      </c>
      <c r="Q19" s="10">
        <f>11</f>
        <v>11</v>
      </c>
      <c r="R19" s="10">
        <f>0</f>
        <v>0</v>
      </c>
      <c r="S19" s="10">
        <f>0</f>
        <v>0</v>
      </c>
      <c r="T19" s="10">
        <f t="shared" si="4"/>
        <v>2036.01</v>
      </c>
    </row>
    <row r="20" spans="1:20" ht="12" x14ac:dyDescent="0.25">
      <c r="A20" s="8" t="s">
        <v>16</v>
      </c>
      <c r="B20" s="10">
        <f>0</f>
        <v>0</v>
      </c>
      <c r="C20" s="10">
        <f>0</f>
        <v>0</v>
      </c>
      <c r="D20" s="10">
        <f>250</f>
        <v>250</v>
      </c>
      <c r="E20" s="10">
        <f>250</f>
        <v>250</v>
      </c>
      <c r="F20" s="10">
        <f>381.82</f>
        <v>381.82</v>
      </c>
      <c r="G20" s="10">
        <f>224.81</f>
        <v>224.81</v>
      </c>
      <c r="H20" s="10">
        <f>263.75</f>
        <v>263.75</v>
      </c>
      <c r="I20" s="10">
        <f>0</f>
        <v>0</v>
      </c>
      <c r="J20" s="10">
        <f>1236.81</f>
        <v>1236.81</v>
      </c>
      <c r="K20" s="10">
        <f>0</f>
        <v>0</v>
      </c>
      <c r="L20" s="10">
        <f>225.32</f>
        <v>225.32</v>
      </c>
      <c r="M20" s="10">
        <f>1060</f>
        <v>1060</v>
      </c>
      <c r="N20" s="10">
        <f>0</f>
        <v>0</v>
      </c>
      <c r="O20" s="10">
        <f>1000</f>
        <v>1000</v>
      </c>
      <c r="P20" s="10">
        <f>0</f>
        <v>0</v>
      </c>
      <c r="Q20" s="10">
        <f>401</f>
        <v>401</v>
      </c>
      <c r="R20" s="10">
        <f>0</f>
        <v>0</v>
      </c>
      <c r="S20" s="10">
        <f>0</f>
        <v>0</v>
      </c>
      <c r="T20" s="10">
        <f t="shared" si="4"/>
        <v>5293.51</v>
      </c>
    </row>
    <row r="21" spans="1:20" ht="12" x14ac:dyDescent="0.25">
      <c r="A21" s="8" t="s">
        <v>17</v>
      </c>
      <c r="B21" s="10">
        <f>0</f>
        <v>0</v>
      </c>
      <c r="C21" s="10">
        <f>0</f>
        <v>0</v>
      </c>
      <c r="D21" s="10">
        <f>0</f>
        <v>0</v>
      </c>
      <c r="E21" s="10">
        <f>30</f>
        <v>30</v>
      </c>
      <c r="F21" s="10">
        <f>12</f>
        <v>12</v>
      </c>
      <c r="G21" s="10">
        <f>0</f>
        <v>0</v>
      </c>
      <c r="H21" s="10">
        <f>20</f>
        <v>20</v>
      </c>
      <c r="I21" s="10">
        <f>20</f>
        <v>20</v>
      </c>
      <c r="J21" s="10">
        <f>40</f>
        <v>40</v>
      </c>
      <c r="K21" s="10">
        <f>20</f>
        <v>20</v>
      </c>
      <c r="L21" s="10">
        <f>0</f>
        <v>0</v>
      </c>
      <c r="M21" s="10">
        <f>40</f>
        <v>40</v>
      </c>
      <c r="N21" s="10">
        <f>20</f>
        <v>20</v>
      </c>
      <c r="O21" s="10">
        <f>20</f>
        <v>20</v>
      </c>
      <c r="P21" s="10">
        <f>60</f>
        <v>60</v>
      </c>
      <c r="Q21" s="10">
        <f>117.9</f>
        <v>117.9</v>
      </c>
      <c r="R21" s="10">
        <f>0</f>
        <v>0</v>
      </c>
      <c r="S21" s="10">
        <f>0</f>
        <v>0</v>
      </c>
      <c r="T21" s="10">
        <f t="shared" si="4"/>
        <v>399.9</v>
      </c>
    </row>
    <row r="22" spans="1:20" ht="12" x14ac:dyDescent="0.25">
      <c r="A22" s="8" t="s">
        <v>18</v>
      </c>
      <c r="B22" s="10">
        <f>299</f>
        <v>299</v>
      </c>
      <c r="C22" s="10">
        <f>-299</f>
        <v>-299</v>
      </c>
      <c r="D22" s="10">
        <f>0</f>
        <v>0</v>
      </c>
      <c r="E22" s="10">
        <f>0</f>
        <v>0</v>
      </c>
      <c r="F22" s="10">
        <f>0</f>
        <v>0</v>
      </c>
      <c r="G22" s="10">
        <f>0</f>
        <v>0</v>
      </c>
      <c r="H22" s="10">
        <f>0</f>
        <v>0</v>
      </c>
      <c r="I22" s="10">
        <f>0</f>
        <v>0</v>
      </c>
      <c r="J22" s="10">
        <f>0</f>
        <v>0</v>
      </c>
      <c r="K22" s="10">
        <f>0</f>
        <v>0</v>
      </c>
      <c r="L22" s="10">
        <f>0</f>
        <v>0</v>
      </c>
      <c r="M22" s="10">
        <f>0</f>
        <v>0</v>
      </c>
      <c r="N22" s="10">
        <f>0</f>
        <v>0</v>
      </c>
      <c r="O22" s="10">
        <f>26.68</f>
        <v>26.68</v>
      </c>
      <c r="P22" s="10">
        <f>78.87</f>
        <v>78.87</v>
      </c>
      <c r="Q22" s="10">
        <f>26.68</f>
        <v>26.68</v>
      </c>
      <c r="R22" s="10">
        <f>26.68</f>
        <v>26.68</v>
      </c>
      <c r="S22" s="10">
        <f>0</f>
        <v>0</v>
      </c>
      <c r="T22" s="10">
        <f t="shared" si="4"/>
        <v>158.91000000000003</v>
      </c>
    </row>
    <row r="23" spans="1:20" ht="12" x14ac:dyDescent="0.25">
      <c r="A23" s="8" t="s">
        <v>19</v>
      </c>
      <c r="B23" s="10">
        <f>0</f>
        <v>0</v>
      </c>
      <c r="C23" s="10">
        <f>0</f>
        <v>0</v>
      </c>
      <c r="D23" s="10">
        <f>0</f>
        <v>0</v>
      </c>
      <c r="E23" s="10">
        <f>0</f>
        <v>0</v>
      </c>
      <c r="F23" s="10">
        <f>0</f>
        <v>0</v>
      </c>
      <c r="G23" s="10">
        <f>0</f>
        <v>0</v>
      </c>
      <c r="H23" s="10">
        <f>0</f>
        <v>0</v>
      </c>
      <c r="I23" s="10">
        <f>0</f>
        <v>0</v>
      </c>
      <c r="J23" s="10">
        <f>0</f>
        <v>0</v>
      </c>
      <c r="K23" s="10">
        <f>0</f>
        <v>0</v>
      </c>
      <c r="L23" s="10">
        <f>0</f>
        <v>0</v>
      </c>
      <c r="M23" s="10">
        <f>0</f>
        <v>0</v>
      </c>
      <c r="N23" s="10">
        <f>121.72</f>
        <v>121.72</v>
      </c>
      <c r="O23" s="10">
        <f>31.61</f>
        <v>31.61</v>
      </c>
      <c r="P23" s="10">
        <f>0</f>
        <v>0</v>
      </c>
      <c r="Q23" s="10">
        <f>0</f>
        <v>0</v>
      </c>
      <c r="R23" s="10">
        <f>0</f>
        <v>0</v>
      </c>
      <c r="S23" s="10">
        <f>0</f>
        <v>0</v>
      </c>
      <c r="T23" s="10">
        <f t="shared" si="4"/>
        <v>153.32999999999998</v>
      </c>
    </row>
    <row r="24" spans="1:20" ht="12" x14ac:dyDescent="0.25">
      <c r="A24" s="8" t="s">
        <v>20</v>
      </c>
      <c r="B24" s="10">
        <f>49.72</f>
        <v>49.72</v>
      </c>
      <c r="C24" s="10">
        <f>50</f>
        <v>50</v>
      </c>
      <c r="D24" s="10">
        <f>171.92</f>
        <v>171.92</v>
      </c>
      <c r="E24" s="10">
        <f>372.88</f>
        <v>372.88</v>
      </c>
      <c r="F24" s="10">
        <f>181.9</f>
        <v>181.9</v>
      </c>
      <c r="G24" s="10">
        <f>20.98</f>
        <v>20.98</v>
      </c>
      <c r="H24" s="10">
        <f>100.38</f>
        <v>100.38</v>
      </c>
      <c r="I24" s="10">
        <f>80.26</f>
        <v>80.260000000000005</v>
      </c>
      <c r="J24" s="10">
        <f>284.78</f>
        <v>284.77999999999997</v>
      </c>
      <c r="K24" s="10">
        <f>763.77</f>
        <v>763.77</v>
      </c>
      <c r="L24" s="10">
        <f>39.86</f>
        <v>39.86</v>
      </c>
      <c r="M24" s="10">
        <f>577.37</f>
        <v>577.37</v>
      </c>
      <c r="N24" s="10">
        <f>274.43</f>
        <v>274.43</v>
      </c>
      <c r="O24" s="10">
        <f>96.45</f>
        <v>96.45</v>
      </c>
      <c r="P24" s="10">
        <f>206.29</f>
        <v>206.29</v>
      </c>
      <c r="Q24" s="10">
        <f>361.71</f>
        <v>361.71</v>
      </c>
      <c r="R24" s="10">
        <f>11.19</f>
        <v>11.19</v>
      </c>
      <c r="S24" s="10">
        <f>0</f>
        <v>0</v>
      </c>
      <c r="T24" s="10">
        <f t="shared" si="4"/>
        <v>3643.89</v>
      </c>
    </row>
    <row r="25" spans="1:20" ht="12" x14ac:dyDescent="0.25">
      <c r="A25" s="8" t="s">
        <v>21</v>
      </c>
      <c r="B25" s="10">
        <f>361</f>
        <v>361</v>
      </c>
      <c r="C25" s="10">
        <f>722.92</f>
        <v>722.92</v>
      </c>
      <c r="D25" s="10">
        <f>283.38</f>
        <v>283.38</v>
      </c>
      <c r="E25" s="10">
        <f>391.11</f>
        <v>391.11</v>
      </c>
      <c r="F25" s="10">
        <f>248.18</f>
        <v>248.18</v>
      </c>
      <c r="G25" s="10">
        <f>759.33</f>
        <v>759.33</v>
      </c>
      <c r="H25" s="10">
        <f>550.49</f>
        <v>550.49</v>
      </c>
      <c r="I25" s="10">
        <f>305.11</f>
        <v>305.11</v>
      </c>
      <c r="J25" s="10">
        <f>838.38</f>
        <v>838.38</v>
      </c>
      <c r="K25" s="10">
        <f>2008.87</f>
        <v>2008.87</v>
      </c>
      <c r="L25" s="10">
        <f>1616.27</f>
        <v>1616.27</v>
      </c>
      <c r="M25" s="10">
        <f>488.22</f>
        <v>488.22</v>
      </c>
      <c r="N25" s="10">
        <f>998.5</f>
        <v>998.5</v>
      </c>
      <c r="O25" s="10">
        <f>1044.51</f>
        <v>1044.51</v>
      </c>
      <c r="P25" s="10">
        <f>1011.81</f>
        <v>1011.81</v>
      </c>
      <c r="Q25" s="10">
        <f>510.83</f>
        <v>510.83</v>
      </c>
      <c r="R25" s="10">
        <f>157.17</f>
        <v>157.16999999999999</v>
      </c>
      <c r="S25" s="10">
        <f>0</f>
        <v>0</v>
      </c>
      <c r="T25" s="10">
        <f t="shared" si="4"/>
        <v>12296.08</v>
      </c>
    </row>
    <row r="26" spans="1:20" ht="12" x14ac:dyDescent="0.25">
      <c r="A26" s="8" t="s">
        <v>22</v>
      </c>
      <c r="B26" s="10">
        <f>0</f>
        <v>0</v>
      </c>
      <c r="C26" s="10">
        <f>0</f>
        <v>0</v>
      </c>
      <c r="D26" s="10">
        <f>0</f>
        <v>0</v>
      </c>
      <c r="E26" s="10">
        <f>0</f>
        <v>0</v>
      </c>
      <c r="F26" s="10">
        <f>0</f>
        <v>0</v>
      </c>
      <c r="G26" s="10">
        <f>0</f>
        <v>0</v>
      </c>
      <c r="H26" s="10">
        <f>0</f>
        <v>0</v>
      </c>
      <c r="I26" s="10">
        <f>0</f>
        <v>0</v>
      </c>
      <c r="J26" s="10">
        <f>0</f>
        <v>0</v>
      </c>
      <c r="K26" s="10">
        <f>0</f>
        <v>0</v>
      </c>
      <c r="L26" s="10">
        <f>0</f>
        <v>0</v>
      </c>
      <c r="M26" s="10">
        <f>0</f>
        <v>0</v>
      </c>
      <c r="N26" s="10">
        <f>0</f>
        <v>0</v>
      </c>
      <c r="O26" s="10">
        <f>0</f>
        <v>0</v>
      </c>
      <c r="P26" s="10">
        <f>0</f>
        <v>0</v>
      </c>
      <c r="Q26" s="10">
        <f>0</f>
        <v>0</v>
      </c>
      <c r="R26" s="10">
        <f>0</f>
        <v>0</v>
      </c>
      <c r="S26" s="10">
        <f>0</f>
        <v>0</v>
      </c>
      <c r="T26" s="10">
        <f t="shared" si="4"/>
        <v>0</v>
      </c>
    </row>
    <row r="27" spans="1:20" ht="12" x14ac:dyDescent="0.25">
      <c r="A27" s="8" t="s">
        <v>23</v>
      </c>
      <c r="B27" s="10">
        <f>0</f>
        <v>0</v>
      </c>
      <c r="C27" s="10">
        <f>0</f>
        <v>0</v>
      </c>
      <c r="D27" s="10">
        <f>0</f>
        <v>0</v>
      </c>
      <c r="E27" s="10">
        <f>0</f>
        <v>0</v>
      </c>
      <c r="F27" s="10">
        <f>0</f>
        <v>0</v>
      </c>
      <c r="G27" s="10">
        <f>0</f>
        <v>0</v>
      </c>
      <c r="H27" s="10">
        <f>0</f>
        <v>0</v>
      </c>
      <c r="I27" s="10">
        <f>0</f>
        <v>0</v>
      </c>
      <c r="J27" s="10">
        <f>0</f>
        <v>0</v>
      </c>
      <c r="K27" s="10">
        <f>0</f>
        <v>0</v>
      </c>
      <c r="L27" s="10">
        <f>0</f>
        <v>0</v>
      </c>
      <c r="M27" s="10">
        <f>0</f>
        <v>0</v>
      </c>
      <c r="N27" s="10">
        <f>306.86</f>
        <v>306.86</v>
      </c>
      <c r="O27" s="10">
        <f>0</f>
        <v>0</v>
      </c>
      <c r="P27" s="10">
        <f>0</f>
        <v>0</v>
      </c>
      <c r="Q27" s="10">
        <f>0</f>
        <v>0</v>
      </c>
      <c r="R27" s="10">
        <f>0</f>
        <v>0</v>
      </c>
      <c r="S27" s="10">
        <f>0</f>
        <v>0</v>
      </c>
      <c r="T27" s="10">
        <f t="shared" si="4"/>
        <v>306.86</v>
      </c>
    </row>
    <row r="28" spans="1:20" ht="12" x14ac:dyDescent="0.25">
      <c r="A28" s="8" t="s">
        <v>24</v>
      </c>
      <c r="B28" s="10">
        <f>325.62</f>
        <v>325.62</v>
      </c>
      <c r="C28" s="10">
        <f>313.06</f>
        <v>313.06</v>
      </c>
      <c r="D28" s="10">
        <f>338.74</f>
        <v>338.74</v>
      </c>
      <c r="E28" s="10">
        <f>352.07</f>
        <v>352.07</v>
      </c>
      <c r="F28" s="10">
        <f>380.36</f>
        <v>380.36</v>
      </c>
      <c r="G28" s="10">
        <f>403.55</f>
        <v>403.55</v>
      </c>
      <c r="H28" s="10">
        <f>382.36</f>
        <v>382.36</v>
      </c>
      <c r="I28" s="10">
        <f>400.29</f>
        <v>400.29</v>
      </c>
      <c r="J28" s="10">
        <f>338.41</f>
        <v>338.41</v>
      </c>
      <c r="K28" s="10">
        <f>313.29</f>
        <v>313.29000000000002</v>
      </c>
      <c r="L28" s="10">
        <f>379.44</f>
        <v>379.44</v>
      </c>
      <c r="M28" s="10">
        <f>417.67</f>
        <v>417.67</v>
      </c>
      <c r="N28" s="10">
        <f>421.1</f>
        <v>421.1</v>
      </c>
      <c r="O28" s="10">
        <f>420.43</f>
        <v>420.43</v>
      </c>
      <c r="P28" s="10">
        <f>419.97</f>
        <v>419.97</v>
      </c>
      <c r="Q28" s="10">
        <f>451.94</f>
        <v>451.94</v>
      </c>
      <c r="R28" s="10">
        <f>0</f>
        <v>0</v>
      </c>
      <c r="S28" s="10">
        <f>0</f>
        <v>0</v>
      </c>
      <c r="T28" s="10">
        <f t="shared" si="4"/>
        <v>6058.3</v>
      </c>
    </row>
    <row r="29" spans="1:20" ht="12" x14ac:dyDescent="0.25">
      <c r="A29" s="8" t="s">
        <v>25</v>
      </c>
      <c r="B29" s="10">
        <f>0</f>
        <v>0</v>
      </c>
      <c r="C29" s="10">
        <f>0</f>
        <v>0</v>
      </c>
      <c r="D29" s="10">
        <f>0</f>
        <v>0</v>
      </c>
      <c r="E29" s="10">
        <f>0</f>
        <v>0</v>
      </c>
      <c r="F29" s="10">
        <f>0</f>
        <v>0</v>
      </c>
      <c r="G29" s="10">
        <f>0</f>
        <v>0</v>
      </c>
      <c r="H29" s="10">
        <f>0</f>
        <v>0</v>
      </c>
      <c r="I29" s="10">
        <f>0</f>
        <v>0</v>
      </c>
      <c r="J29" s="10">
        <f>0</f>
        <v>0</v>
      </c>
      <c r="K29" s="10">
        <f>0</f>
        <v>0</v>
      </c>
      <c r="L29" s="10">
        <f>0</f>
        <v>0</v>
      </c>
      <c r="M29" s="10">
        <f>259.39</f>
        <v>259.39</v>
      </c>
      <c r="N29" s="10">
        <f>5</f>
        <v>5</v>
      </c>
      <c r="O29" s="10">
        <f>0</f>
        <v>0</v>
      </c>
      <c r="P29" s="10">
        <f>0</f>
        <v>0</v>
      </c>
      <c r="Q29" s="10">
        <f>0</f>
        <v>0</v>
      </c>
      <c r="R29" s="10">
        <f>0</f>
        <v>0</v>
      </c>
      <c r="S29" s="10">
        <f>0</f>
        <v>0</v>
      </c>
      <c r="T29" s="10">
        <f t="shared" si="4"/>
        <v>264.39</v>
      </c>
    </row>
    <row r="30" spans="1:20" ht="12" x14ac:dyDescent="0.25">
      <c r="A30" s="8" t="s">
        <v>26</v>
      </c>
      <c r="B30" s="10">
        <f>0</f>
        <v>0</v>
      </c>
      <c r="C30" s="10">
        <f>0</f>
        <v>0</v>
      </c>
      <c r="D30" s="10">
        <f>0</f>
        <v>0</v>
      </c>
      <c r="E30" s="10">
        <f>0</f>
        <v>0</v>
      </c>
      <c r="F30" s="10">
        <f>0</f>
        <v>0</v>
      </c>
      <c r="G30" s="10">
        <f>0</f>
        <v>0</v>
      </c>
      <c r="H30" s="10">
        <f>0</f>
        <v>0</v>
      </c>
      <c r="I30" s="10">
        <f>0</f>
        <v>0</v>
      </c>
      <c r="J30" s="10">
        <f>0</f>
        <v>0</v>
      </c>
      <c r="K30" s="10">
        <f>0</f>
        <v>0</v>
      </c>
      <c r="L30" s="10">
        <f>0</f>
        <v>0</v>
      </c>
      <c r="M30" s="10">
        <f>0</f>
        <v>0</v>
      </c>
      <c r="N30" s="10">
        <f>0</f>
        <v>0</v>
      </c>
      <c r="O30" s="10">
        <f>150</f>
        <v>150</v>
      </c>
      <c r="P30" s="10">
        <f>175</f>
        <v>175</v>
      </c>
      <c r="Q30" s="10">
        <f>250</f>
        <v>250</v>
      </c>
      <c r="R30" s="10">
        <f>160</f>
        <v>160</v>
      </c>
      <c r="S30" s="10">
        <f>150</f>
        <v>150</v>
      </c>
      <c r="T30" s="10">
        <f t="shared" si="4"/>
        <v>885</v>
      </c>
    </row>
    <row r="31" spans="1:20" ht="12" x14ac:dyDescent="0.25">
      <c r="A31" s="8" t="s">
        <v>27</v>
      </c>
      <c r="B31" s="10">
        <f>5253.87</f>
        <v>5253.87</v>
      </c>
      <c r="C31" s="10">
        <f>7465.73</f>
        <v>7465.73</v>
      </c>
      <c r="D31" s="10">
        <f>6953.69</f>
        <v>6953.69</v>
      </c>
      <c r="E31" s="10">
        <f>8028.09</f>
        <v>8028.09</v>
      </c>
      <c r="F31" s="10">
        <f>8776.46</f>
        <v>8776.4599999999991</v>
      </c>
      <c r="G31" s="10">
        <f>7659.95</f>
        <v>7659.95</v>
      </c>
      <c r="H31" s="10">
        <f>13862.76</f>
        <v>13862.76</v>
      </c>
      <c r="I31" s="10">
        <f>8670.61</f>
        <v>8670.61</v>
      </c>
      <c r="J31" s="10">
        <f>8627.85</f>
        <v>8627.85</v>
      </c>
      <c r="K31" s="10">
        <f>9394.96</f>
        <v>9394.9599999999991</v>
      </c>
      <c r="L31" s="10">
        <f>9541.93</f>
        <v>9541.93</v>
      </c>
      <c r="M31" s="10">
        <f>14717.95</f>
        <v>14717.95</v>
      </c>
      <c r="N31" s="10">
        <f>10673.57</f>
        <v>10673.57</v>
      </c>
      <c r="O31" s="10">
        <f>10616.25</f>
        <v>10616.25</v>
      </c>
      <c r="P31" s="10">
        <f>11420.68</f>
        <v>11420.68</v>
      </c>
      <c r="Q31" s="10">
        <f>9464.12</f>
        <v>9464.1200000000008</v>
      </c>
      <c r="R31" s="10">
        <f>14104.65</f>
        <v>14104.65</v>
      </c>
      <c r="S31" s="10">
        <f>5512.13</f>
        <v>5512.13</v>
      </c>
      <c r="T31" s="10">
        <f t="shared" si="4"/>
        <v>170745.24999999997</v>
      </c>
    </row>
    <row r="32" spans="1:20" ht="12" x14ac:dyDescent="0.25">
      <c r="A32" s="8" t="s">
        <v>28</v>
      </c>
      <c r="B32" s="10">
        <f>109.95</f>
        <v>109.95</v>
      </c>
      <c r="C32" s="10">
        <f>23.2</f>
        <v>23.2</v>
      </c>
      <c r="D32" s="10">
        <f>0</f>
        <v>0</v>
      </c>
      <c r="E32" s="10">
        <f>0</f>
        <v>0</v>
      </c>
      <c r="F32" s="10">
        <f>11.6</f>
        <v>11.6</v>
      </c>
      <c r="G32" s="10">
        <f>0</f>
        <v>0</v>
      </c>
      <c r="H32" s="10">
        <f>115.55</f>
        <v>115.55</v>
      </c>
      <c r="I32" s="10">
        <f>1.52</f>
        <v>1.52</v>
      </c>
      <c r="J32" s="10">
        <f>0</f>
        <v>0</v>
      </c>
      <c r="K32" s="10">
        <f>48.6</f>
        <v>48.6</v>
      </c>
      <c r="L32" s="10">
        <f>0</f>
        <v>0</v>
      </c>
      <c r="M32" s="10">
        <f>0</f>
        <v>0</v>
      </c>
      <c r="N32" s="10">
        <f>90</f>
        <v>90</v>
      </c>
      <c r="O32" s="10">
        <f>0</f>
        <v>0</v>
      </c>
      <c r="P32" s="10">
        <f>0</f>
        <v>0</v>
      </c>
      <c r="Q32" s="10">
        <f>0</f>
        <v>0</v>
      </c>
      <c r="R32" s="10">
        <f>0</f>
        <v>0</v>
      </c>
      <c r="S32" s="10">
        <f>0</f>
        <v>0</v>
      </c>
      <c r="T32" s="10">
        <f t="shared" si="4"/>
        <v>400.42</v>
      </c>
    </row>
    <row r="33" spans="1:20" ht="12" x14ac:dyDescent="0.25">
      <c r="A33" s="8" t="s">
        <v>29</v>
      </c>
      <c r="B33" s="10">
        <f>51.51</f>
        <v>51.51</v>
      </c>
      <c r="C33" s="10">
        <f>1114.85</f>
        <v>1114.8499999999999</v>
      </c>
      <c r="D33" s="10">
        <f>1390.96</f>
        <v>1390.96</v>
      </c>
      <c r="E33" s="10">
        <f>2727.41</f>
        <v>2727.41</v>
      </c>
      <c r="F33" s="10">
        <f>3948.81</f>
        <v>3948.81</v>
      </c>
      <c r="G33" s="10">
        <f>2591.91</f>
        <v>2591.91</v>
      </c>
      <c r="H33" s="10">
        <f>6196.44</f>
        <v>6196.44</v>
      </c>
      <c r="I33" s="10">
        <f>4432.85</f>
        <v>4432.8500000000004</v>
      </c>
      <c r="J33" s="10">
        <f>4159.68</f>
        <v>4159.68</v>
      </c>
      <c r="K33" s="10">
        <f>4055.76</f>
        <v>4055.76</v>
      </c>
      <c r="L33" s="10">
        <f>4273.58</f>
        <v>4273.58</v>
      </c>
      <c r="M33" s="10">
        <f>1665.19</f>
        <v>1665.19</v>
      </c>
      <c r="N33" s="10">
        <f>4385.45</f>
        <v>4385.45</v>
      </c>
      <c r="O33" s="10">
        <f>4694.04</f>
        <v>4694.04</v>
      </c>
      <c r="P33" s="10">
        <f>3942.38</f>
        <v>3942.38</v>
      </c>
      <c r="Q33" s="10">
        <f>4788.57</f>
        <v>4788.57</v>
      </c>
      <c r="R33" s="10">
        <f>5025.73</f>
        <v>5025.7299999999996</v>
      </c>
      <c r="S33" s="10">
        <f>2535.73</f>
        <v>2535.73</v>
      </c>
      <c r="T33" s="10">
        <f t="shared" si="4"/>
        <v>61980.85</v>
      </c>
    </row>
    <row r="34" spans="1:20" ht="12" x14ac:dyDescent="0.25">
      <c r="A34" s="8" t="s">
        <v>30</v>
      </c>
      <c r="B34" s="10">
        <f>114.77</f>
        <v>114.77</v>
      </c>
      <c r="C34" s="10">
        <f>0</f>
        <v>0</v>
      </c>
      <c r="D34" s="10">
        <f>105</f>
        <v>105</v>
      </c>
      <c r="E34" s="10">
        <f>1.92</f>
        <v>1.92</v>
      </c>
      <c r="F34" s="10">
        <f>223.16</f>
        <v>223.16</v>
      </c>
      <c r="G34" s="10">
        <f>234.51</f>
        <v>234.51</v>
      </c>
      <c r="H34" s="10">
        <f>122.25</f>
        <v>122.25</v>
      </c>
      <c r="I34" s="10">
        <f>74.36</f>
        <v>74.36</v>
      </c>
      <c r="J34" s="10">
        <f>114.47</f>
        <v>114.47</v>
      </c>
      <c r="K34" s="10">
        <f>419.5</f>
        <v>419.5</v>
      </c>
      <c r="L34" s="10">
        <f>0</f>
        <v>0</v>
      </c>
      <c r="M34" s="10">
        <f>218.87</f>
        <v>218.87</v>
      </c>
      <c r="N34" s="10">
        <f>0</f>
        <v>0</v>
      </c>
      <c r="O34" s="10">
        <f>18.01</f>
        <v>18.010000000000002</v>
      </c>
      <c r="P34" s="10">
        <f>290.68</f>
        <v>290.68</v>
      </c>
      <c r="Q34" s="10">
        <f>302.97</f>
        <v>302.97000000000003</v>
      </c>
      <c r="R34" s="10">
        <f>0</f>
        <v>0</v>
      </c>
      <c r="S34" s="10">
        <f>0</f>
        <v>0</v>
      </c>
      <c r="T34" s="10">
        <f t="shared" si="4"/>
        <v>2240.4700000000003</v>
      </c>
    </row>
    <row r="35" spans="1:20" ht="12" x14ac:dyDescent="0.25">
      <c r="A35" s="8" t="s">
        <v>34</v>
      </c>
      <c r="B35" s="10">
        <f>0</f>
        <v>0</v>
      </c>
      <c r="C35" s="10">
        <f>0</f>
        <v>0</v>
      </c>
      <c r="D35" s="10">
        <f>0</f>
        <v>0</v>
      </c>
      <c r="E35" s="10">
        <f>0</f>
        <v>0</v>
      </c>
      <c r="F35" s="10">
        <f>0</f>
        <v>0</v>
      </c>
      <c r="G35" s="10">
        <f>0</f>
        <v>0</v>
      </c>
      <c r="H35" s="10">
        <f>0</f>
        <v>0</v>
      </c>
      <c r="I35" s="10">
        <f>0</f>
        <v>0</v>
      </c>
      <c r="J35" s="10">
        <f>0</f>
        <v>0</v>
      </c>
      <c r="K35" s="10">
        <f>0</f>
        <v>0</v>
      </c>
      <c r="L35" s="10">
        <f>0</f>
        <v>0</v>
      </c>
      <c r="M35" s="10">
        <f>0</f>
        <v>0</v>
      </c>
      <c r="N35" s="10">
        <f>0</f>
        <v>0</v>
      </c>
      <c r="O35" s="10">
        <f>0</f>
        <v>0</v>
      </c>
      <c r="P35" s="10">
        <f>85.31</f>
        <v>85.31</v>
      </c>
      <c r="Q35" s="10">
        <f>0</f>
        <v>0</v>
      </c>
      <c r="R35" s="10">
        <f>0</f>
        <v>0</v>
      </c>
      <c r="S35" s="10">
        <f>0</f>
        <v>0</v>
      </c>
      <c r="T35" s="10">
        <f t="shared" si="4"/>
        <v>85.31</v>
      </c>
    </row>
    <row r="36" spans="1:20" ht="12" x14ac:dyDescent="0.25">
      <c r="A36" s="8" t="s">
        <v>31</v>
      </c>
      <c r="B36" s="10">
        <f>0</f>
        <v>0</v>
      </c>
      <c r="C36" s="10">
        <f>0</f>
        <v>0</v>
      </c>
      <c r="D36" s="10">
        <f>0</f>
        <v>0</v>
      </c>
      <c r="E36" s="10">
        <f>0</f>
        <v>0</v>
      </c>
      <c r="F36" s="10">
        <f>0</f>
        <v>0</v>
      </c>
      <c r="G36" s="10">
        <f>0</f>
        <v>0</v>
      </c>
      <c r="H36" s="10">
        <f>0</f>
        <v>0</v>
      </c>
      <c r="I36" s="10">
        <f>0</f>
        <v>0</v>
      </c>
      <c r="J36" s="10">
        <f>21.38</f>
        <v>21.38</v>
      </c>
      <c r="K36" s="10">
        <f>0</f>
        <v>0</v>
      </c>
      <c r="L36" s="10">
        <f>10.69</f>
        <v>10.69</v>
      </c>
      <c r="M36" s="10">
        <f>0</f>
        <v>0</v>
      </c>
      <c r="N36" s="10">
        <f>0</f>
        <v>0</v>
      </c>
      <c r="O36" s="10">
        <f>0</f>
        <v>0</v>
      </c>
      <c r="P36" s="10">
        <f>0</f>
        <v>0</v>
      </c>
      <c r="Q36" s="10">
        <f>0</f>
        <v>0</v>
      </c>
      <c r="R36" s="10">
        <f>0</f>
        <v>0</v>
      </c>
      <c r="S36" s="10">
        <f>0</f>
        <v>0</v>
      </c>
      <c r="T36" s="10">
        <f t="shared" si="4"/>
        <v>32.07</v>
      </c>
    </row>
    <row r="37" spans="1:20" ht="12" x14ac:dyDescent="0.25">
      <c r="A37" s="14" t="s">
        <v>32</v>
      </c>
      <c r="B37" s="12">
        <f t="shared" ref="B37:S37" si="5">((((((((((((((((((((B16)+(B17))+(B18))+(B19))+(B20))+(B21))+(B22))+(B23))+(B24))+(B25))+(B26))+(B27))+(B28))+(B29))+(B30))+(B31))+(B32))+(B33))+(B34))+(B35))+(B36)</f>
        <v>7001.1</v>
      </c>
      <c r="C37" s="12">
        <f t="shared" si="5"/>
        <v>10117.970000000001</v>
      </c>
      <c r="D37" s="12">
        <f t="shared" si="5"/>
        <v>9609</v>
      </c>
      <c r="E37" s="12">
        <f t="shared" si="5"/>
        <v>12598.84</v>
      </c>
      <c r="F37" s="15">
        <f t="shared" si="5"/>
        <v>14490.38</v>
      </c>
      <c r="G37" s="15">
        <f t="shared" si="5"/>
        <v>12190.64</v>
      </c>
      <c r="H37" s="12">
        <f t="shared" si="5"/>
        <v>22079.809999999998</v>
      </c>
      <c r="I37" s="15">
        <f t="shared" si="5"/>
        <v>14045.950000000003</v>
      </c>
      <c r="J37" s="15">
        <f t="shared" si="5"/>
        <v>15992.13</v>
      </c>
      <c r="K37" s="15">
        <f t="shared" si="5"/>
        <v>17530.439999999999</v>
      </c>
      <c r="L37" s="15">
        <f t="shared" si="5"/>
        <v>16422.63</v>
      </c>
      <c r="M37" s="15">
        <f t="shared" si="5"/>
        <v>35138.710000000006</v>
      </c>
      <c r="N37" s="15">
        <f t="shared" si="5"/>
        <v>17752.47</v>
      </c>
      <c r="O37" s="15">
        <f t="shared" si="5"/>
        <v>18488.609999999997</v>
      </c>
      <c r="P37" s="15">
        <f t="shared" si="5"/>
        <v>19157.750000000004</v>
      </c>
      <c r="Q37" s="15">
        <f t="shared" si="5"/>
        <v>17017.52</v>
      </c>
      <c r="R37" s="15">
        <f t="shared" si="5"/>
        <v>19921.879999999997</v>
      </c>
      <c r="S37" s="15">
        <f t="shared" si="5"/>
        <v>8540.93</v>
      </c>
      <c r="T37" s="15">
        <f t="shared" si="4"/>
        <v>288096.75999999995</v>
      </c>
    </row>
    <row r="38" spans="1:20" ht="12" x14ac:dyDescent="0.25">
      <c r="A38" s="11" t="s">
        <v>33</v>
      </c>
      <c r="B38" s="12">
        <f t="shared" ref="B38:S38" si="6">(B12)-(B37)</f>
        <v>23212.170000000006</v>
      </c>
      <c r="C38" s="12">
        <f t="shared" si="6"/>
        <v>19295.739999999998</v>
      </c>
      <c r="D38" s="12">
        <f t="shared" si="6"/>
        <v>15018.420000000002</v>
      </c>
      <c r="E38" s="12">
        <f t="shared" si="6"/>
        <v>-4279.2199999999975</v>
      </c>
      <c r="F38" s="15">
        <f t="shared" si="6"/>
        <v>9369.8200000000015</v>
      </c>
      <c r="G38" s="15">
        <f t="shared" si="6"/>
        <v>5246.16</v>
      </c>
      <c r="H38" s="12">
        <f t="shared" si="6"/>
        <v>37416.540000000008</v>
      </c>
      <c r="I38" s="15">
        <f t="shared" si="6"/>
        <v>-20915.30000000001</v>
      </c>
      <c r="J38" s="15">
        <f t="shared" si="6"/>
        <v>16387.839999999989</v>
      </c>
      <c r="K38" s="15">
        <f t="shared" si="6"/>
        <v>10352.510000000006</v>
      </c>
      <c r="L38" s="15">
        <f t="shared" si="6"/>
        <v>8041.0800000000054</v>
      </c>
      <c r="M38" s="15">
        <f t="shared" si="6"/>
        <v>-16718.530000000006</v>
      </c>
      <c r="N38" s="15">
        <f t="shared" si="6"/>
        <v>30087.959999999992</v>
      </c>
      <c r="O38" s="15">
        <f t="shared" si="6"/>
        <v>23062.610000000004</v>
      </c>
      <c r="P38" s="15">
        <f t="shared" si="6"/>
        <v>-8517.1100000000042</v>
      </c>
      <c r="Q38" s="15">
        <f t="shared" si="6"/>
        <v>28666.610000000004</v>
      </c>
      <c r="R38" s="15">
        <f t="shared" si="6"/>
        <v>-17824.57</v>
      </c>
      <c r="S38" s="15">
        <f t="shared" si="6"/>
        <v>37719.919999999998</v>
      </c>
      <c r="T38" s="15">
        <f t="shared" si="4"/>
        <v>195622.64999999997</v>
      </c>
    </row>
    <row r="39" spans="1:20" ht="12" x14ac:dyDescent="0.25">
      <c r="A39" s="8" t="s">
        <v>36</v>
      </c>
      <c r="B39" s="17">
        <f t="shared" ref="B39:T39" si="7">B38/B5</f>
        <v>0.48660993924757567</v>
      </c>
      <c r="C39" s="17">
        <f t="shared" si="7"/>
        <v>0.37183998717350586</v>
      </c>
      <c r="D39" s="17">
        <f t="shared" si="7"/>
        <v>0.32716533477632348</v>
      </c>
      <c r="E39" s="17">
        <f t="shared" si="7"/>
        <v>-8.7574101091621823E-2</v>
      </c>
      <c r="F39" s="17">
        <f t="shared" si="7"/>
        <v>0.1863543808440723</v>
      </c>
      <c r="G39" s="17">
        <f t="shared" si="7"/>
        <v>0.10612697707557281</v>
      </c>
      <c r="H39" s="17">
        <f t="shared" si="7"/>
        <v>0.36983821887155904</v>
      </c>
      <c r="I39" s="17">
        <f t="shared" si="7"/>
        <v>-0.42506927727065358</v>
      </c>
      <c r="J39" s="17">
        <f t="shared" si="7"/>
        <v>0.20567731665039887</v>
      </c>
      <c r="K39" s="17">
        <f t="shared" si="7"/>
        <v>0.13898393144584772</v>
      </c>
      <c r="L39" s="17">
        <f t="shared" si="7"/>
        <v>0.12135008282841735</v>
      </c>
      <c r="M39" s="17">
        <f t="shared" si="7"/>
        <v>-0.21258680490432061</v>
      </c>
      <c r="N39" s="17">
        <f t="shared" si="7"/>
        <v>0.37675326109631729</v>
      </c>
      <c r="O39" s="17">
        <f t="shared" si="7"/>
        <v>0.25869447657818023</v>
      </c>
      <c r="P39" s="17">
        <f t="shared" si="7"/>
        <v>-0.10849724906911663</v>
      </c>
      <c r="Q39" s="17">
        <f t="shared" si="7"/>
        <v>0.37723457645970004</v>
      </c>
      <c r="R39" s="17">
        <f t="shared" si="7"/>
        <v>-0.28785869148313381</v>
      </c>
      <c r="S39" s="17">
        <f t="shared" si="7"/>
        <v>0.6006619716627718</v>
      </c>
      <c r="T39" s="17">
        <f t="shared" si="7"/>
        <v>0.16414833317186117</v>
      </c>
    </row>
    <row r="40" spans="1:20" ht="15.75" customHeight="1" x14ac:dyDescent="0.25"/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7789-4E1C-450F-9A30-C118A41E716F}">
  <dimension ref="A1:T8"/>
  <sheetViews>
    <sheetView tabSelected="1" workbookViewId="0">
      <selection activeCell="B1" sqref="B1"/>
    </sheetView>
  </sheetViews>
  <sheetFormatPr defaultRowHeight="14.4" x14ac:dyDescent="0.3"/>
  <cols>
    <col min="1" max="1" width="22.6640625" style="2" customWidth="1"/>
  </cols>
  <sheetData>
    <row r="1" spans="1:20" s="2" customFormat="1" x14ac:dyDescent="0.3">
      <c r="A1" s="2" t="s">
        <v>37</v>
      </c>
      <c r="B1" s="3" t="str">
        <f>'Profit and Loss'!B1</f>
        <v>January_2022</v>
      </c>
      <c r="C1" s="3" t="str">
        <f>'Profit and Loss'!C1</f>
        <v>February_2022</v>
      </c>
      <c r="D1" s="3" t="str">
        <f>'Profit and Loss'!D1</f>
        <v>March_2022</v>
      </c>
      <c r="E1" s="3" t="str">
        <f>'Profit and Loss'!E1</f>
        <v>April_2022</v>
      </c>
      <c r="F1" s="3" t="str">
        <f>'Profit and Loss'!F1</f>
        <v>May_2022</v>
      </c>
      <c r="G1" s="3" t="str">
        <f>'Profit and Loss'!G1</f>
        <v>June_2022</v>
      </c>
      <c r="H1" s="3" t="str">
        <f>'Profit and Loss'!H1</f>
        <v>July_2022</v>
      </c>
      <c r="I1" s="3" t="str">
        <f>'Profit and Loss'!I1</f>
        <v>August_2022</v>
      </c>
      <c r="J1" s="3" t="str">
        <f>'Profit and Loss'!J1</f>
        <v>September_2022</v>
      </c>
      <c r="K1" s="3" t="str">
        <f>'Profit and Loss'!K1</f>
        <v>October_2022</v>
      </c>
      <c r="L1" s="3" t="str">
        <f>'Profit and Loss'!L1</f>
        <v>November_2022</v>
      </c>
      <c r="M1" s="3" t="str">
        <f>'Profit and Loss'!M1</f>
        <v>December_2022</v>
      </c>
      <c r="N1" s="3" t="str">
        <f>'Profit and Loss'!N1</f>
        <v>January_2023</v>
      </c>
      <c r="O1" s="3" t="str">
        <f>'Profit and Loss'!O1</f>
        <v>February_2023</v>
      </c>
      <c r="P1" s="3" t="str">
        <f>'Profit and Loss'!P1</f>
        <v>March_2023</v>
      </c>
      <c r="Q1" s="3" t="str">
        <f>'Profit and Loss'!Q1</f>
        <v>April_2023</v>
      </c>
      <c r="R1" s="3" t="str">
        <f>'Profit and Loss'!R1</f>
        <v>May_2023</v>
      </c>
      <c r="S1" s="3" t="str">
        <f>'Profit and Loss'!S1</f>
        <v>June_2023</v>
      </c>
      <c r="T1" s="3" t="str">
        <f>'Profit and Loss'!T1</f>
        <v>Total</v>
      </c>
    </row>
    <row r="2" spans="1:20" x14ac:dyDescent="0.3">
      <c r="A2" s="2" t="str">
        <f>'Profit and Loss'!A5</f>
        <v>Total Income</v>
      </c>
      <c r="B2">
        <f>'Profit and Loss'!B5</f>
        <v>47701.8</v>
      </c>
      <c r="C2">
        <f>'Profit and Loss'!C5</f>
        <v>51892.59</v>
      </c>
      <c r="D2">
        <f>'Profit and Loss'!D5</f>
        <v>45904.68</v>
      </c>
      <c r="E2">
        <f>'Profit and Loss'!E5</f>
        <v>48863.99</v>
      </c>
      <c r="F2">
        <f>'Profit and Loss'!F5</f>
        <v>50279.58</v>
      </c>
      <c r="G2">
        <f>'Profit and Loss'!G5</f>
        <v>49432.86</v>
      </c>
      <c r="H2">
        <f>'Profit and Loss'!H5</f>
        <v>101170.02</v>
      </c>
      <c r="I2">
        <f>'Profit and Loss'!I5</f>
        <v>49204.45</v>
      </c>
      <c r="J2">
        <f>'Profit and Loss'!J5</f>
        <v>79677.429999999993</v>
      </c>
      <c r="K2">
        <f>'Profit and Loss'!K5</f>
        <v>74487.100000000006</v>
      </c>
      <c r="L2">
        <f>'Profit and Loss'!L5</f>
        <v>66263.490000000005</v>
      </c>
      <c r="M2">
        <f>'Profit and Loss'!M5</f>
        <v>78643.31</v>
      </c>
      <c r="N2">
        <f>'Profit and Loss'!N5</f>
        <v>79861.179999999993</v>
      </c>
      <c r="O2">
        <f>'Profit and Loss'!O5</f>
        <v>89149.99</v>
      </c>
      <c r="P2">
        <f>'Profit and Loss'!P5</f>
        <v>78500.7</v>
      </c>
      <c r="Q2">
        <f>'Profit and Loss'!Q5</f>
        <v>75991.47</v>
      </c>
      <c r="R2">
        <f>'Profit and Loss'!R5</f>
        <v>61921.25</v>
      </c>
      <c r="S2">
        <f>'Profit and Loss'!S5</f>
        <v>62797.25</v>
      </c>
      <c r="T2">
        <f>'Profit and Loss'!T5</f>
        <v>1191743.1399999999</v>
      </c>
    </row>
    <row r="3" spans="1:20" x14ac:dyDescent="0.3">
      <c r="A3" s="2" t="str">
        <f>'Profit and Loss'!A11</f>
        <v>Total Cost of Goods Sold</v>
      </c>
      <c r="B3">
        <f>'Profit and Loss'!B11</f>
        <v>17488.53</v>
      </c>
      <c r="C3">
        <f>'Profit and Loss'!C11</f>
        <v>22478.879999999997</v>
      </c>
      <c r="D3">
        <f>'Profit and Loss'!D11</f>
        <v>21277.26</v>
      </c>
      <c r="E3">
        <f>'Profit and Loss'!E11</f>
        <v>40544.369999999995</v>
      </c>
      <c r="F3">
        <f>'Profit and Loss'!F11</f>
        <v>26419.38</v>
      </c>
      <c r="G3">
        <f>'Profit and Loss'!G11</f>
        <v>31996.06</v>
      </c>
      <c r="H3">
        <f>'Profit and Loss'!H11</f>
        <v>41673.67</v>
      </c>
      <c r="I3">
        <f>'Profit and Loss'!I11</f>
        <v>56073.8</v>
      </c>
      <c r="J3">
        <f>'Profit and Loss'!J11</f>
        <v>47297.460000000006</v>
      </c>
      <c r="K3">
        <f>'Profit and Loss'!K11</f>
        <v>46604.15</v>
      </c>
      <c r="L3">
        <f>'Profit and Loss'!L11</f>
        <v>41799.78</v>
      </c>
      <c r="M3">
        <f>'Profit and Loss'!M11</f>
        <v>60223.13</v>
      </c>
      <c r="N3">
        <f>'Profit and Loss'!N11</f>
        <v>32020.75</v>
      </c>
      <c r="O3">
        <f>'Profit and Loss'!O11</f>
        <v>47598.770000000004</v>
      </c>
      <c r="P3">
        <f>'Profit and Loss'!P11</f>
        <v>67860.06</v>
      </c>
      <c r="Q3">
        <f>'Profit and Loss'!Q11</f>
        <v>30307.34</v>
      </c>
      <c r="R3">
        <f>'Profit and Loss'!R11</f>
        <v>59823.94</v>
      </c>
      <c r="S3">
        <f>'Profit and Loss'!S11</f>
        <v>16536.400000000001</v>
      </c>
      <c r="T3">
        <f>'Profit and Loss'!T11</f>
        <v>708023.7300000001</v>
      </c>
    </row>
    <row r="4" spans="1:20" x14ac:dyDescent="0.3">
      <c r="A4" s="2" t="str">
        <f>'Profit and Loss'!A12</f>
        <v>Gross Profit</v>
      </c>
      <c r="B4">
        <f>'Profit and Loss'!B12</f>
        <v>30213.270000000004</v>
      </c>
      <c r="C4">
        <f>'Profit and Loss'!C12</f>
        <v>29413.71</v>
      </c>
      <c r="D4">
        <f>'Profit and Loss'!D12</f>
        <v>24627.420000000002</v>
      </c>
      <c r="E4">
        <f>'Profit and Loss'!E12</f>
        <v>8319.6200000000026</v>
      </c>
      <c r="F4">
        <f>'Profit and Loss'!F12</f>
        <v>23860.2</v>
      </c>
      <c r="G4">
        <f>'Profit and Loss'!G12</f>
        <v>17436.8</v>
      </c>
      <c r="H4">
        <f>'Profit and Loss'!H12</f>
        <v>59496.350000000006</v>
      </c>
      <c r="I4">
        <f>'Profit and Loss'!I12</f>
        <v>-6869.3500000000058</v>
      </c>
      <c r="J4">
        <f>'Profit and Loss'!J12</f>
        <v>32379.969999999987</v>
      </c>
      <c r="K4">
        <f>'Profit and Loss'!K12</f>
        <v>27882.950000000004</v>
      </c>
      <c r="L4">
        <f>'Profit and Loss'!L12</f>
        <v>24463.710000000006</v>
      </c>
      <c r="M4">
        <f>'Profit and Loss'!M12</f>
        <v>18420.18</v>
      </c>
      <c r="N4">
        <f>'Profit and Loss'!N12</f>
        <v>47840.429999999993</v>
      </c>
      <c r="O4">
        <f>'Profit and Loss'!O12</f>
        <v>41551.22</v>
      </c>
      <c r="P4">
        <f>'Profit and Loss'!P12</f>
        <v>10640.64</v>
      </c>
      <c r="Q4">
        <f>'Profit and Loss'!Q12</f>
        <v>45684.130000000005</v>
      </c>
      <c r="R4">
        <f>'Profit and Loss'!R12</f>
        <v>2097.3099999999977</v>
      </c>
      <c r="S4">
        <f>'Profit and Loss'!S12</f>
        <v>46260.85</v>
      </c>
      <c r="T4">
        <f>'Profit and Loss'!T12</f>
        <v>483719.41</v>
      </c>
    </row>
    <row r="5" spans="1:20" s="1" customFormat="1" x14ac:dyDescent="0.3">
      <c r="A5" s="4" t="str">
        <f>'Profit and Loss'!A13</f>
        <v>Gross Margin</v>
      </c>
      <c r="B5" s="1">
        <f>'Profit and Loss'!B13</f>
        <v>0.63337798573638737</v>
      </c>
      <c r="C5" s="1">
        <f>'Profit and Loss'!C13</f>
        <v>0.56681907763709616</v>
      </c>
      <c r="D5" s="1">
        <f>'Profit and Loss'!D13</f>
        <v>0.53649039705755497</v>
      </c>
      <c r="E5" s="1">
        <f>'Profit and Loss'!E13</f>
        <v>0.17026075848492936</v>
      </c>
      <c r="F5" s="1">
        <f>'Profit and Loss'!F13</f>
        <v>0.4745505034051597</v>
      </c>
      <c r="G5" s="1">
        <f>'Profit and Loss'!G13</f>
        <v>0.35273702553321817</v>
      </c>
      <c r="H5" s="1">
        <f>'Profit and Loss'!H13</f>
        <v>0.58808281346588642</v>
      </c>
      <c r="I5" s="1">
        <f>'Profit and Loss'!I13</f>
        <v>-0.13960830778516997</v>
      </c>
      <c r="J5" s="1">
        <f>'Profit and Loss'!J13</f>
        <v>0.40638823315460837</v>
      </c>
      <c r="K5" s="1">
        <f>'Profit and Loss'!K13</f>
        <v>0.37433260255802686</v>
      </c>
      <c r="L5" s="1">
        <f>'Profit and Loss'!L13</f>
        <v>0.36918837205827831</v>
      </c>
      <c r="M5" s="1">
        <f>'Profit and Loss'!M13</f>
        <v>0.23422437331287302</v>
      </c>
      <c r="N5" s="1">
        <f>'Profit and Loss'!N13</f>
        <v>0.59904486760651421</v>
      </c>
      <c r="O5" s="1">
        <f>'Profit and Loss'!O13</f>
        <v>0.46608216108605283</v>
      </c>
      <c r="P5" s="1">
        <f>'Profit and Loss'!P13</f>
        <v>0.13554834542876687</v>
      </c>
      <c r="Q5" s="1">
        <f>'Profit and Loss'!Q13</f>
        <v>0.60117444760576422</v>
      </c>
      <c r="R5" s="1">
        <f>'Profit and Loss'!R13</f>
        <v>3.3870601772412502E-2</v>
      </c>
      <c r="S5" s="1">
        <f>'Profit and Loss'!S13</f>
        <v>0.73666999749192841</v>
      </c>
      <c r="T5" s="1">
        <f>'Profit and Loss'!T13</f>
        <v>0.40589233851180367</v>
      </c>
    </row>
    <row r="6" spans="1:20" x14ac:dyDescent="0.3">
      <c r="A6" s="2" t="str">
        <f>'Profit and Loss'!A37</f>
        <v>Total Expenses</v>
      </c>
      <c r="B6">
        <f>'Profit and Loss'!B37</f>
        <v>7001.1</v>
      </c>
      <c r="C6">
        <f>'Profit and Loss'!C37</f>
        <v>10117.970000000001</v>
      </c>
      <c r="D6">
        <f>'Profit and Loss'!D37</f>
        <v>9609</v>
      </c>
      <c r="E6">
        <f>'Profit and Loss'!E37</f>
        <v>12598.84</v>
      </c>
      <c r="F6">
        <f>'Profit and Loss'!F37</f>
        <v>14490.38</v>
      </c>
      <c r="G6">
        <f>'Profit and Loss'!G37</f>
        <v>12190.64</v>
      </c>
      <c r="H6">
        <f>'Profit and Loss'!H37</f>
        <v>22079.809999999998</v>
      </c>
      <c r="I6">
        <f>'Profit and Loss'!I37</f>
        <v>14045.950000000003</v>
      </c>
      <c r="J6">
        <f>'Profit and Loss'!J37</f>
        <v>15992.13</v>
      </c>
      <c r="K6">
        <f>'Profit and Loss'!K37</f>
        <v>17530.439999999999</v>
      </c>
      <c r="L6">
        <f>'Profit and Loss'!L37</f>
        <v>16422.63</v>
      </c>
      <c r="M6">
        <f>'Profit and Loss'!M37</f>
        <v>35138.710000000006</v>
      </c>
      <c r="N6">
        <f>'Profit and Loss'!N37</f>
        <v>17752.47</v>
      </c>
      <c r="O6">
        <f>'Profit and Loss'!O37</f>
        <v>18488.609999999997</v>
      </c>
      <c r="P6">
        <f>'Profit and Loss'!P37</f>
        <v>19157.750000000004</v>
      </c>
      <c r="Q6">
        <f>'Profit and Loss'!Q37</f>
        <v>17017.52</v>
      </c>
      <c r="R6">
        <f>'Profit and Loss'!R37</f>
        <v>19921.879999999997</v>
      </c>
      <c r="S6">
        <f>'Profit and Loss'!S37</f>
        <v>8540.93</v>
      </c>
      <c r="T6">
        <f>'Profit and Loss'!T37</f>
        <v>288096.75999999995</v>
      </c>
    </row>
    <row r="7" spans="1:20" x14ac:dyDescent="0.3">
      <c r="A7" s="2" t="str">
        <f>'Profit and Loss'!A38</f>
        <v>Net Operating Income</v>
      </c>
      <c r="B7">
        <f>'Profit and Loss'!B38</f>
        <v>23212.170000000006</v>
      </c>
      <c r="C7">
        <f>'Profit and Loss'!C38</f>
        <v>19295.739999999998</v>
      </c>
      <c r="D7">
        <f>'Profit and Loss'!D38</f>
        <v>15018.420000000002</v>
      </c>
      <c r="E7">
        <f>'Profit and Loss'!E38</f>
        <v>-4279.2199999999975</v>
      </c>
      <c r="F7">
        <f>'Profit and Loss'!F38</f>
        <v>9369.8200000000015</v>
      </c>
      <c r="G7">
        <f>'Profit and Loss'!G38</f>
        <v>5246.16</v>
      </c>
      <c r="H7">
        <f>'Profit and Loss'!H38</f>
        <v>37416.540000000008</v>
      </c>
      <c r="I7">
        <f>'Profit and Loss'!I38</f>
        <v>-20915.30000000001</v>
      </c>
      <c r="J7">
        <f>'Profit and Loss'!J38</f>
        <v>16387.839999999989</v>
      </c>
      <c r="K7">
        <f>'Profit and Loss'!K38</f>
        <v>10352.510000000006</v>
      </c>
      <c r="L7">
        <f>'Profit and Loss'!L38</f>
        <v>8041.0800000000054</v>
      </c>
      <c r="M7">
        <f>'Profit and Loss'!M38</f>
        <v>-16718.530000000006</v>
      </c>
      <c r="N7">
        <f>'Profit and Loss'!N38</f>
        <v>30087.959999999992</v>
      </c>
      <c r="O7">
        <f>'Profit and Loss'!O38</f>
        <v>23062.610000000004</v>
      </c>
      <c r="P7">
        <f>'Profit and Loss'!P38</f>
        <v>-8517.1100000000042</v>
      </c>
      <c r="Q7">
        <f>'Profit and Loss'!Q38</f>
        <v>28666.610000000004</v>
      </c>
      <c r="R7">
        <f>'Profit and Loss'!R38</f>
        <v>-17824.57</v>
      </c>
      <c r="S7">
        <f>'Profit and Loss'!S38</f>
        <v>37719.919999999998</v>
      </c>
      <c r="T7">
        <f>'Profit and Loss'!T38</f>
        <v>195622.64999999997</v>
      </c>
    </row>
    <row r="8" spans="1:20" s="1" customFormat="1" x14ac:dyDescent="0.3">
      <c r="A8" s="4" t="str">
        <f>'Profit and Loss'!A39</f>
        <v>Net Margin</v>
      </c>
      <c r="B8" s="1">
        <f>'Profit and Loss'!B39</f>
        <v>0.48660993924757567</v>
      </c>
      <c r="C8" s="1">
        <f>'Profit and Loss'!C39</f>
        <v>0.37183998717350586</v>
      </c>
      <c r="D8" s="1">
        <f>'Profit and Loss'!D39</f>
        <v>0.32716533477632348</v>
      </c>
      <c r="E8" s="1">
        <f>'Profit and Loss'!E39</f>
        <v>-8.7574101091621823E-2</v>
      </c>
      <c r="F8" s="1">
        <f>'Profit and Loss'!F39</f>
        <v>0.1863543808440723</v>
      </c>
      <c r="G8" s="1">
        <f>'Profit and Loss'!G39</f>
        <v>0.10612697707557281</v>
      </c>
      <c r="H8" s="1">
        <f>'Profit and Loss'!H39</f>
        <v>0.36983821887155904</v>
      </c>
      <c r="I8" s="1">
        <f>'Profit and Loss'!I39</f>
        <v>-0.42506927727065358</v>
      </c>
      <c r="J8" s="1">
        <f>'Profit and Loss'!J39</f>
        <v>0.20567731665039887</v>
      </c>
      <c r="K8" s="1">
        <f>'Profit and Loss'!K39</f>
        <v>0.13898393144584772</v>
      </c>
      <c r="L8" s="1">
        <f>'Profit and Loss'!L39</f>
        <v>0.12135008282841735</v>
      </c>
      <c r="M8" s="1">
        <f>'Profit and Loss'!M39</f>
        <v>-0.21258680490432061</v>
      </c>
      <c r="N8" s="1">
        <f>'Profit and Loss'!N39</f>
        <v>0.37675326109631729</v>
      </c>
      <c r="O8" s="1">
        <f>'Profit and Loss'!O39</f>
        <v>0.25869447657818023</v>
      </c>
      <c r="P8" s="1">
        <f>'Profit and Loss'!P39</f>
        <v>-0.10849724906911663</v>
      </c>
      <c r="Q8" s="1">
        <f>'Profit and Loss'!Q39</f>
        <v>0.37723457645970004</v>
      </c>
      <c r="R8" s="1">
        <f>'Profit and Loss'!R39</f>
        <v>-0.28785869148313381</v>
      </c>
      <c r="S8" s="1">
        <f>'Profit and Loss'!S39</f>
        <v>0.6006619716627718</v>
      </c>
      <c r="T8" s="1">
        <f>'Profit and Loss'!T39</f>
        <v>0.16414833317186117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and Loss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Kongara, Chanikya</cp:lastModifiedBy>
  <dcterms:created xsi:type="dcterms:W3CDTF">2023-08-22T23:40:58Z</dcterms:created>
  <dcterms:modified xsi:type="dcterms:W3CDTF">2023-09-03T19:46:30Z</dcterms:modified>
</cp:coreProperties>
</file>