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GNORE" sheetId="1" r:id="rId4"/>
    <sheet state="visible" name="IGNORE1" sheetId="2" r:id="rId5"/>
    <sheet state="visible" name="IGNORE2" sheetId="3" r:id="rId6"/>
    <sheet state="visible" name="IGNORE4" sheetId="4" r:id="rId7"/>
    <sheet state="visible" name="IGNORE3" sheetId="5" r:id="rId8"/>
    <sheet state="visible" name="IGNORE5" sheetId="6" r:id="rId9"/>
    <sheet state="visible" name="Investment" sheetId="7" r:id="rId10"/>
    <sheet state="visible" name="P&amp;L w Investment" sheetId="8" r:id="rId11"/>
    <sheet state="visible" name="Sheet1" sheetId="9" r:id="rId12"/>
    <sheet state="visible" name="P&amp;L" sheetId="10" r:id="rId13"/>
    <sheet state="visible" name="P&amp;L Yumin" sheetId="11" r:id="rId14"/>
    <sheet state="visible" name="Profit and Loss" sheetId="12" r:id="rId15"/>
    <sheet state="visible" name="Quarterly P&amp;L" sheetId="13" r:id="rId16"/>
    <sheet state="visible" name="Planned vs Actuals" sheetId="14" r:id="rId17"/>
    <sheet state="visible" name="Sheet5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ID#AAAAngBrkCg
Sadik Bizanti    (2023-01-18 06:09:06)
2% for sales team, 1% of Sales Manager</t>
      </text>
    </comment>
    <comment authorId="0" ref="C17">
      <text>
        <t xml:space="preserve">======
ID#AAAAngBrkC0
Sadik Bizanti    (2023-01-18 06:24:02)
Nursing Lead team, and operations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======
ID#AAAAngBrkCg
Sadik Bizanti    (2023-01-18 06:09:06)
2% for sales team, 1% of Sales Manager</t>
      </text>
    </comment>
    <comment authorId="0" ref="B11">
      <text>
        <t xml:space="preserve">======
ID#AAAAngBrkC0
Sadik Bizanti    (2023-01-18 06:24:02)
Nursing Lead team, and operations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======
ID#AAAAngBrkC0
Sadik Bizanti    (2023-01-18 06:24:02)
Nursing Lead team, and operations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======
ID#AAAAngBrkC0
Sadik Bizanti    (2023-01-18 06:24:02)
Nursing Lead team, and operations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======
ID#AAAAngBrkC0
Sadik Bizanti    (2023-01-18 06:24:02)
Nursing Lead team, and operations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======
ID#AAAAngBrkC0
Sadik Bizanti    (2023-01-18 06:24:02)
Nursing Lead team, and operations</t>
      </text>
    </comment>
  </commentList>
</comments>
</file>

<file path=xl/sharedStrings.xml><?xml version="1.0" encoding="utf-8"?>
<sst xmlns="http://schemas.openxmlformats.org/spreadsheetml/2006/main" count="1210" uniqueCount="373">
  <si>
    <t>Category</t>
  </si>
  <si>
    <t>Item</t>
  </si>
  <si>
    <t>Rev PMPM</t>
  </si>
  <si>
    <t>Source Link</t>
  </si>
  <si>
    <t>Service</t>
  </si>
  <si>
    <t>CCM &amp; RPM</t>
  </si>
  <si>
    <t>Startup cost</t>
  </si>
  <si>
    <t>YEAR 1</t>
  </si>
  <si>
    <t>YEAR 2</t>
  </si>
  <si>
    <t>First month to be in positive</t>
  </si>
  <si>
    <t>Number of offices</t>
  </si>
  <si>
    <t>Provider</t>
  </si>
  <si>
    <t>Revenue</t>
  </si>
  <si>
    <t>Contractual rate</t>
  </si>
  <si>
    <t>Amount in that month</t>
  </si>
  <si>
    <t>Expenses</t>
  </si>
  <si>
    <t># of months to reach profit</t>
  </si>
  <si>
    <t>Care coordintor</t>
  </si>
  <si>
    <t>Hourly Base</t>
  </si>
  <si>
    <t>Profit</t>
  </si>
  <si>
    <t>Net Profit</t>
  </si>
  <si>
    <t>Monthly Bills</t>
  </si>
  <si>
    <t>Rent</t>
  </si>
  <si>
    <t>Training</t>
  </si>
  <si>
    <t>Platfrom</t>
  </si>
  <si>
    <t>Phone system</t>
  </si>
  <si>
    <t>ADP/ Payroll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</si>
  <si>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</si>
  <si>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</si>
  <si>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</si>
  <si>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</si>
  <si>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</si>
  <si>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</si>
  <si>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</si>
  <si>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</si>
  <si>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</si>
  <si>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</si>
  <si>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</si>
  <si>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</si>
  <si>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</si>
  <si>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Emails</t>
  </si>
  <si>
    <t>Sales Commission</t>
  </si>
  <si>
    <t>Management</t>
  </si>
  <si>
    <t>One time expense</t>
  </si>
  <si>
    <t>Laptop</t>
  </si>
  <si>
    <t>Net</t>
  </si>
  <si>
    <t>Screen</t>
  </si>
  <si>
    <t>Total</t>
  </si>
  <si>
    <t>Mouse</t>
  </si>
  <si>
    <t>Keyboard</t>
  </si>
  <si>
    <t>Hard set phone</t>
  </si>
  <si>
    <t>Year 1 Net</t>
  </si>
  <si>
    <t>Desks</t>
  </si>
  <si>
    <t>Year 2 Net</t>
  </si>
  <si>
    <t>Chairs</t>
  </si>
  <si>
    <t>Year 3 Net</t>
  </si>
  <si>
    <t>Headsets</t>
  </si>
  <si>
    <t>Office supply</t>
  </si>
  <si>
    <t>Medical Devices</t>
  </si>
  <si>
    <t>Printer</t>
  </si>
  <si>
    <t>326 Providers</t>
  </si>
  <si>
    <t>1 month</t>
  </si>
  <si>
    <t>12 mon</t>
  </si>
  <si>
    <t>18 month</t>
  </si>
  <si>
    <t>24 month</t>
  </si>
  <si>
    <t>Additioanl expenses</t>
  </si>
  <si>
    <t>CEO</t>
  </si>
  <si>
    <t>COO</t>
  </si>
  <si>
    <t>Strategy</t>
  </si>
  <si>
    <t>HR</t>
  </si>
  <si>
    <t>Finance</t>
  </si>
  <si>
    <t>Accounting</t>
  </si>
  <si>
    <t>Legal</t>
  </si>
  <si>
    <t>Sales</t>
  </si>
  <si>
    <t>Sales Manager 1</t>
  </si>
  <si>
    <t>Sales Manager 2</t>
  </si>
  <si>
    <t>Sales Rep</t>
  </si>
  <si>
    <t xml:space="preserve">Marketing </t>
  </si>
  <si>
    <t>Monthly budget</t>
  </si>
  <si>
    <t>Platform building</t>
  </si>
  <si>
    <t>Company proposal</t>
  </si>
  <si>
    <t>IT Team</t>
  </si>
  <si>
    <t>CTO</t>
  </si>
  <si>
    <t>Devoloper</t>
  </si>
  <si>
    <t>Hourly rate nurse</t>
  </si>
  <si>
    <t>One time Expenses</t>
  </si>
  <si>
    <t>Column1</t>
  </si>
  <si>
    <t># of Patients Completed</t>
  </si>
  <si>
    <t>Financials</t>
  </si>
  <si>
    <t>Receivable</t>
  </si>
  <si>
    <t>Year 3 net</t>
  </si>
  <si>
    <t>Net Revenue</t>
  </si>
  <si>
    <t>Expense</t>
  </si>
  <si>
    <t>Care Coordinator</t>
  </si>
  <si>
    <t>Base hourly</t>
  </si>
  <si>
    <t>Benefits</t>
  </si>
  <si>
    <t>Internet</t>
  </si>
  <si>
    <t>Platform</t>
  </si>
  <si>
    <t>ADP</t>
  </si>
  <si>
    <t>Call Center Software</t>
  </si>
  <si>
    <t>Other</t>
  </si>
  <si>
    <t>Computers</t>
  </si>
  <si>
    <t>Total monthly Expense</t>
  </si>
  <si>
    <t>Column2</t>
  </si>
  <si>
    <t>Year 2</t>
  </si>
  <si>
    <t>Year 1</t>
  </si>
  <si>
    <t>Cumulative Expense</t>
  </si>
  <si>
    <t>End of Year Cumulative Expense</t>
  </si>
  <si>
    <t>Month of 1st month profit</t>
  </si>
  <si>
    <t>Amount made in that month</t>
  </si>
  <si>
    <t>First month positive</t>
  </si>
  <si>
    <t>How much that month</t>
  </si>
  <si>
    <t xml:space="preserve">Expenses </t>
  </si>
  <si>
    <t>Services</t>
  </si>
  <si>
    <t>Contractual Rate</t>
  </si>
  <si>
    <t>CCM</t>
  </si>
  <si>
    <t>Chronic Care Management</t>
  </si>
  <si>
    <t>RPM</t>
  </si>
  <si>
    <t>Remote patient monitoring</t>
  </si>
  <si>
    <t>PCM</t>
  </si>
  <si>
    <t>Prinicipal Care Management</t>
  </si>
  <si>
    <t>Both Services</t>
  </si>
  <si>
    <t>Med-Kick</t>
  </si>
  <si>
    <t>Profit and Loss</t>
  </si>
  <si>
    <t>January 1, 2021 - April 7, 2023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</si>
  <si>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</si>
  <si>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</si>
  <si>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</si>
  <si>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</si>
  <si>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</si>
  <si>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</si>
  <si>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</si>
  <si>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</si>
  <si>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</si>
  <si>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</si>
  <si>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</si>
  <si>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</si>
  <si>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</si>
  <si>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</si>
  <si>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</si>
  <si>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</si>
  <si>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</si>
  <si>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</si>
  <si>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</si>
  <si>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</si>
  <si>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</si>
  <si>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</si>
  <si>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</si>
  <si>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</si>
  <si>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</si>
  <si>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</si>
  <si>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</si>
  <si>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1-7, 2023</t>
  </si>
  <si>
    <t>Income</t>
  </si>
  <si>
    <t xml:space="preserve">   Discounts given</t>
  </si>
  <si>
    <t xml:space="preserve">   Services for Care Management</t>
  </si>
  <si>
    <t>Total Income</t>
  </si>
  <si>
    <t>Cost of Goods Sold</t>
  </si>
  <si>
    <t xml:space="preserve">   Equipment Rental</t>
  </si>
  <si>
    <t xml:space="preserve">   Payroll Fee</t>
  </si>
  <si>
    <t xml:space="preserve">   Salaries &amp; Wages - Nurses</t>
  </si>
  <si>
    <t>Total Cost of Goods Sold</t>
  </si>
  <si>
    <t>Gross Profit</t>
  </si>
  <si>
    <t xml:space="preserve">   Advertising &amp; Marketing</t>
  </si>
  <si>
    <t xml:space="preserve">   Bad Debts</t>
  </si>
  <si>
    <t xml:space="preserve">   Bank Charges &amp; Fees</t>
  </si>
  <si>
    <t xml:space="preserve">   Car &amp; Truck</t>
  </si>
  <si>
    <t xml:space="preserve">   Contractors</t>
  </si>
  <si>
    <t xml:space="preserve">   Donations</t>
  </si>
  <si>
    <t xml:space="preserve">   Dues &amp; subscriptions</t>
  </si>
  <si>
    <t xml:space="preserve">   Employee Benefits</t>
  </si>
  <si>
    <t xml:space="preserve">   Insurance</t>
  </si>
  <si>
    <t xml:space="preserve">   Meals &amp; Entertainment</t>
  </si>
  <si>
    <t xml:space="preserve">   Office Supplies &amp; Software</t>
  </si>
  <si>
    <t xml:space="preserve">   Other Business Expenses</t>
  </si>
  <si>
    <t xml:space="preserve">   Payroll Expenses</t>
  </si>
  <si>
    <t xml:space="preserve">   Phone &amp; Internet</t>
  </si>
  <si>
    <t xml:space="preserve">   QuickBooks Payments</t>
  </si>
  <si>
    <t xml:space="preserve">   Rent &amp; Lease</t>
  </si>
  <si>
    <t xml:space="preserve">   Salaries &amp; Wages - Admin &amp; Sales</t>
  </si>
  <si>
    <t xml:space="preserve">   Shipping &amp; Delivery</t>
  </si>
  <si>
    <t xml:space="preserve">   Taxes &amp; Licenses</t>
  </si>
  <si>
    <t xml:space="preserve">   Travel</t>
  </si>
  <si>
    <t xml:space="preserve">   Uniforms</t>
  </si>
  <si>
    <t>Total Expenses</t>
  </si>
  <si>
    <t>Net Operating Income</t>
  </si>
  <si>
    <t>Net Income</t>
  </si>
  <si>
    <t>Multiplier</t>
  </si>
  <si>
    <t>Salary</t>
  </si>
  <si>
    <t>First Month</t>
  </si>
  <si>
    <t>Monthly</t>
  </si>
  <si>
    <t>Cost in 2023 per nurse</t>
  </si>
  <si>
    <t>Costs in 2023 per patient</t>
  </si>
  <si>
    <t>Software</t>
  </si>
  <si>
    <t>1 Device</t>
  </si>
  <si>
    <t>2 Device</t>
  </si>
  <si>
    <t>Software + 1 Device + Nurse</t>
  </si>
  <si>
    <t>Software + 2 Device + Nurse</t>
  </si>
  <si>
    <t>Software + 3 Device + Nurse</t>
  </si>
  <si>
    <t>Rev per patient</t>
  </si>
  <si>
    <t>June</t>
  </si>
  <si>
    <t>Jul</t>
  </si>
  <si>
    <t>Aug</t>
  </si>
  <si>
    <t>Sep</t>
  </si>
  <si>
    <t>Oct</t>
  </si>
  <si>
    <t>Nov</t>
  </si>
  <si>
    <t>Dec</t>
  </si>
  <si>
    <t>Jan</t>
  </si>
  <si>
    <t>Feb</t>
  </si>
  <si>
    <t>March</t>
  </si>
  <si>
    <t>Apr</t>
  </si>
  <si>
    <t>May</t>
  </si>
  <si>
    <t>Jun</t>
  </si>
  <si>
    <t># of patients</t>
  </si>
  <si>
    <t>Total for 2023</t>
  </si>
  <si>
    <t>Cost of Software per mth</t>
  </si>
  <si>
    <t>Cost to purchase devices</t>
  </si>
  <si>
    <t>Cost of Nurse(s)</t>
  </si>
  <si>
    <t>SIM Cards Annually</t>
  </si>
  <si>
    <t>Total Costs</t>
  </si>
  <si>
    <t>Operating Income</t>
  </si>
  <si>
    <t>Software + Nurse</t>
  </si>
  <si>
    <t>Investment</t>
  </si>
  <si>
    <t>SIM Card Per year</t>
  </si>
  <si>
    <t>SPV</t>
  </si>
  <si>
    <t>Replacement</t>
  </si>
  <si>
    <t>Investment 2</t>
  </si>
  <si>
    <t>Device Cost per Ptnt</t>
  </si>
  <si>
    <t>Investment 3</t>
  </si>
  <si>
    <t>Cost of Sotware per ptnt per month</t>
  </si>
  <si>
    <t>Investment 4</t>
  </si>
  <si>
    <t>Shipped Devices Lost</t>
  </si>
  <si>
    <t>Mar</t>
  </si>
  <si>
    <t>Revenue from Investment</t>
  </si>
  <si>
    <t>Total Revenue</t>
  </si>
  <si>
    <t>Current Costs</t>
  </si>
  <si>
    <t xml:space="preserve">   Uncategorized Expense</t>
  </si>
  <si>
    <t>Cash</t>
  </si>
  <si>
    <t>Nurses</t>
  </si>
  <si>
    <t>Kim Barrow</t>
  </si>
  <si>
    <t>Michell Murley</t>
  </si>
  <si>
    <t>Whitney</t>
  </si>
  <si>
    <t>Jennifer</t>
  </si>
  <si>
    <t>Brittany</t>
  </si>
  <si>
    <t>Madelaine</t>
  </si>
  <si>
    <t>Brandy</t>
  </si>
  <si>
    <t>Shannon</t>
  </si>
  <si>
    <t>Costina</t>
  </si>
  <si>
    <t>Elizabeth</t>
  </si>
  <si>
    <t>Full Time</t>
  </si>
  <si>
    <t>Part Time</t>
  </si>
  <si>
    <t>Jan - Jun 2023 Actuals/July - Dec 2023 Forecast</t>
  </si>
  <si>
    <t>Apr 2023</t>
  </si>
  <si>
    <t>Thursday, May 11, 2023 09:31:24 AM GMT-7 - Accrual Basis</t>
  </si>
  <si>
    <t>Software + 1 Device</t>
  </si>
  <si>
    <t>Contractors</t>
  </si>
  <si>
    <t>Software + 2 Device</t>
  </si>
  <si>
    <t>Salaries&amp;Wages</t>
  </si>
  <si>
    <t>Software + 3 Device</t>
  </si>
  <si>
    <t>Advertising&amp;Marketing</t>
  </si>
  <si>
    <t>Employee Benefits</t>
  </si>
  <si>
    <t>Office Supplies&amp; Software</t>
  </si>
  <si>
    <t>Phone&amp;Internet</t>
  </si>
  <si>
    <t>Taxes&amp;Licenses</t>
  </si>
  <si>
    <t>Travel</t>
  </si>
  <si>
    <t>Enrollment Plan</t>
  </si>
  <si>
    <t>Group 1 - Enrollment Campaign</t>
  </si>
  <si>
    <t>Cellular Data</t>
  </si>
  <si>
    <t>Spirazza</t>
  </si>
  <si>
    <t>$4 month after first year</t>
  </si>
  <si>
    <t xml:space="preserve">Blood Pressure </t>
  </si>
  <si>
    <t>Columbia</t>
  </si>
  <si>
    <t>Weight Scale</t>
  </si>
  <si>
    <t>Patient Enrollment</t>
  </si>
  <si>
    <t>Impact Health</t>
  </si>
  <si>
    <t>Glucometer</t>
  </si>
  <si>
    <t>Day</t>
  </si>
  <si>
    <t>Highlands</t>
  </si>
  <si>
    <t>PulseOx</t>
  </si>
  <si>
    <t>Week</t>
  </si>
  <si>
    <t>East Montgomery</t>
  </si>
  <si>
    <t>Southeastern Cardiology</t>
  </si>
  <si>
    <t>Number of Nurses</t>
  </si>
  <si>
    <t>Total for 2024</t>
  </si>
  <si>
    <t>January 1, 2022 - June 7, 2023</t>
  </si>
  <si>
    <t>May 2023</t>
  </si>
  <si>
    <t>Jun 1-7, 2023</t>
  </si>
  <si>
    <t>Gross Margin</t>
  </si>
  <si>
    <t>Net Margin</t>
  </si>
  <si>
    <t>Wednesday, Jun 07, 2023 12:53:58 PM GMT-7 - Accrual Basis</t>
  </si>
  <si>
    <t>Q1 '22</t>
  </si>
  <si>
    <t>Q2 '22</t>
  </si>
  <si>
    <t>Q3 '22</t>
  </si>
  <si>
    <t>Q4 '22</t>
  </si>
  <si>
    <t>Q1 '23</t>
  </si>
  <si>
    <t>Q2 '23</t>
  </si>
  <si>
    <t>Quarterly Gross Revenue</t>
  </si>
  <si>
    <t>CAGR</t>
  </si>
  <si>
    <t xml:space="preserve">Q1 '23 </t>
  </si>
  <si>
    <t>Gross Revenue</t>
  </si>
  <si>
    <t>Quarterly Gross Margin</t>
  </si>
  <si>
    <t>Q1 2022</t>
  </si>
  <si>
    <t>Q2 2022</t>
  </si>
  <si>
    <t>Q3 2022</t>
  </si>
  <si>
    <t>Q4 2022</t>
  </si>
  <si>
    <t>Q1 2023</t>
  </si>
  <si>
    <t>Q2 2023</t>
  </si>
  <si>
    <t>Budget</t>
  </si>
  <si>
    <t>25K</t>
  </si>
  <si>
    <t>2% of Rev</t>
  </si>
  <si>
    <t>Jan - Forecast</t>
  </si>
  <si>
    <t>Jan - Actual</t>
  </si>
  <si>
    <t>Jan - % Change</t>
  </si>
  <si>
    <t>Feb - Forecast</t>
  </si>
  <si>
    <t>Feb - Actual</t>
  </si>
  <si>
    <t>Feb - % Change</t>
  </si>
  <si>
    <t>Mar - Forecast</t>
  </si>
  <si>
    <t>Mar - Actual</t>
  </si>
  <si>
    <t>Mar - % Change</t>
  </si>
  <si>
    <t>Apr - Forecast</t>
  </si>
  <si>
    <t>Apr - Actual</t>
  </si>
  <si>
    <t>Apr - % Change</t>
  </si>
  <si>
    <t>May - Forecast</t>
  </si>
  <si>
    <t>May - Actual</t>
  </si>
  <si>
    <t>May - % Change</t>
  </si>
  <si>
    <t>Jun - Forecast</t>
  </si>
  <si>
    <t>Jun - Actual</t>
  </si>
  <si>
    <t>Jun-% Change</t>
  </si>
  <si>
    <t>Jul - Forecast</t>
  </si>
  <si>
    <t>Jul - Actual</t>
  </si>
  <si>
    <t>Jul - % Change</t>
  </si>
  <si>
    <t>Aug - Forecast</t>
  </si>
  <si>
    <t>Aug - Actual</t>
  </si>
  <si>
    <t>Aug - % Change</t>
  </si>
  <si>
    <t>Sep - Forecast</t>
  </si>
  <si>
    <t>Sep - Actual</t>
  </si>
  <si>
    <t>Sep - % Change</t>
  </si>
  <si>
    <t>Oct - Forecast</t>
  </si>
  <si>
    <t>Oct - Actual</t>
  </si>
  <si>
    <t>Oct - % Change</t>
  </si>
  <si>
    <t>Nov - Forecast</t>
  </si>
  <si>
    <t>Nov - Actual</t>
  </si>
  <si>
    <t>Nov - % Change</t>
  </si>
  <si>
    <t>Dec - Forecast</t>
  </si>
  <si>
    <t>Dec - Actual</t>
  </si>
  <si>
    <t>Dec-% Change</t>
  </si>
  <si>
    <t>2023 - Forecast</t>
  </si>
  <si>
    <t>2023 - Actual</t>
  </si>
  <si>
    <t>2023 - F vs. A % Chng</t>
  </si>
  <si>
    <t>Jan-Actual</t>
  </si>
  <si>
    <t>Jan-% Change</t>
  </si>
  <si>
    <t>March - Forecast</t>
  </si>
  <si>
    <t>March - Actual</t>
  </si>
  <si>
    <t>March - % Change</t>
  </si>
  <si>
    <t>Apr-Forecast</t>
  </si>
  <si>
    <t>Apr-Actual</t>
  </si>
  <si>
    <t>Apr- % Change</t>
  </si>
  <si>
    <t>May-Forecast</t>
  </si>
  <si>
    <t>May-Actual</t>
  </si>
  <si>
    <t>May-% Change</t>
  </si>
  <si>
    <t>Jun-Forecast</t>
  </si>
  <si>
    <t>June-Actual</t>
  </si>
  <si>
    <t>Jul-Forecast</t>
  </si>
  <si>
    <t>Jul-Actual</t>
  </si>
  <si>
    <t>Jul-% Change</t>
  </si>
  <si>
    <t>Aug- Forecast</t>
  </si>
  <si>
    <t>Dec- Actual</t>
  </si>
  <si>
    <t>Dec - % Change</t>
  </si>
  <si>
    <t>2024 - Forecast</t>
  </si>
  <si>
    <t>2024 - Actual</t>
  </si>
  <si>
    <t>2024 - F vs. A % Chng</t>
  </si>
  <si>
    <t>Net Credit Sales</t>
  </si>
  <si>
    <t>Avg. Accounts Receivable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</si>
</sst>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&quot;$&quot;#,##0"/>
    <numFmt numFmtId="165" formatCode="&quot;$&quot;#,##0.0"/>
    <numFmt numFmtId="166" formatCode="#,##0.00\ _€"/>
    <numFmt numFmtId="167" formatCode="&quot;$&quot;* #,##0.00\ _€"/>
    <numFmt numFmtId="168" formatCode="_(&quot;$&quot;* #,##0.00_);_(&quot;$&quot;* \(#,##0.00\);_(&quot;$&quot;* &quot;-&quot;??_);_(@_)"/>
    <numFmt numFmtId="169" formatCode="_(* #,##0_);_(* \(#,##0\);_(* &quot;-&quot;??_);_(@_)"/>
    <numFmt numFmtId="170" formatCode="&quot;$&quot;#,##0_);[Red]\(&quot;$&quot;#,##0\)"/>
    <numFmt numFmtId="171" formatCode="&quot;$&quot;#,##0.00"/>
  </numFmts>
  <fonts count="34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8.0"/>
      <color rgb="FF000000"/>
      <name val="Calibri"/>
    </font>
    <font>
      <b/>
      <sz val="14.0"/>
      <color rgb="FF000000"/>
      <name val="Calibri"/>
    </font>
    <font/>
    <font>
      <b/>
      <sz val="11.0"/>
      <color rgb="FF000000"/>
      <name val="Calibri"/>
    </font>
    <font>
      <sz val="22.0"/>
      <color rgb="FF000000"/>
      <name val="Calibri"/>
    </font>
    <font>
      <b/>
      <sz val="16.0"/>
      <color rgb="FF000000"/>
      <name val="Calibri"/>
    </font>
    <font>
      <b/>
      <sz val="24.0"/>
      <color rgb="FF000000"/>
      <name val="Calibri"/>
    </font>
    <font>
      <b/>
      <sz val="12.0"/>
      <color rgb="FF000000"/>
      <name val="Calibri"/>
    </font>
    <font>
      <b/>
      <sz val="14.0"/>
      <color rgb="FFFFFFFF"/>
      <name val="Calibri"/>
    </font>
    <font>
      <sz val="14.0"/>
      <color rgb="FF000000"/>
      <name val="Calibri"/>
    </font>
    <font>
      <sz val="11.0"/>
      <color rgb="FFFFFFFF"/>
      <name val="Calibri"/>
    </font>
    <font>
      <sz val="10.0"/>
      <color rgb="FF333333"/>
      <name val="Verdana"/>
    </font>
    <font>
      <b/>
      <sz val="14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Calibri"/>
      <scheme val="minor"/>
    </font>
    <font>
      <i/>
      <sz val="11.0"/>
      <color rgb="FF000000"/>
      <name val="Calibri"/>
    </font>
    <font>
      <b/>
      <sz val="12.0"/>
      <color theme="0"/>
      <name val="Calibri"/>
    </font>
    <font>
      <b/>
      <sz val="12.0"/>
      <color rgb="FF4472C4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Calibri"/>
      <scheme val="minor"/>
    </font>
    <font>
      <b/>
      <sz val="12.0"/>
      <color rgb="FFFFFFFF"/>
      <name val="Calibri"/>
    </font>
    <font>
      <b/>
      <i/>
      <sz val="11.0"/>
      <color rgb="FF000000"/>
      <name val="Calibri"/>
    </font>
    <font>
      <b/>
      <sz val="11.0"/>
      <color rgb="FF000000"/>
      <name val="Calibri"/>
      <scheme val="minor"/>
    </font>
    <font>
      <sz val="11.0"/>
      <color rgb="FF1F1F1F"/>
      <name val="&quot;Google Sans&quot;"/>
    </font>
    <font>
      <b/>
      <sz val="11.0"/>
      <color rgb="FF1F1F1F"/>
      <name val="&quot;Google Sans&quot;"/>
    </font>
  </fonts>
  <fills count="2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ED7D31"/>
        <bgColor rgb="FFED7D31"/>
      </patternFill>
    </fill>
    <fill>
      <patternFill patternType="solid">
        <fgColor rgb="FFF4B083"/>
        <bgColor rgb="FFF4B083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76A5AF"/>
        <bgColor rgb="FF76A5AF"/>
      </patternFill>
    </fill>
    <fill>
      <patternFill patternType="solid">
        <fgColor rgb="FF990000"/>
        <bgColor rgb="FF990000"/>
      </patternFill>
    </fill>
    <fill>
      <patternFill patternType="solid">
        <fgColor rgb="FFFF9900"/>
        <bgColor rgb="FFFF9900"/>
      </patternFill>
    </fill>
    <fill>
      <patternFill patternType="solid">
        <fgColor rgb="FFDEEAF6"/>
        <bgColor rgb="FFDEEAF6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78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</border>
    <border>
      <left style="medium">
        <color rgb="FF000000"/>
      </left>
    </border>
    <border>
      <right style="medium">
        <color rgb="FF000000"/>
      </right>
    </border>
    <border>
      <left/>
      <right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F4B083"/>
      </left>
      <right/>
      <top style="thin">
        <color rgb="FFF4B083"/>
      </top>
      <bottom style="thin">
        <color rgb="FFF4B083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/>
      <top/>
      <bottom/>
    </border>
    <border>
      <right style="thick">
        <color rgb="FF000000"/>
      </right>
    </border>
    <border>
      <left/>
      <right style="thick">
        <color rgb="FF000000"/>
      </right>
      <top/>
      <bottom/>
    </border>
    <border>
      <left style="thick">
        <color rgb="FF000000"/>
      </left>
    </border>
    <border>
      <left style="thick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medium">
        <color rgb="FFCCCCCC"/>
      </righ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/>
      <bottom/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left style="thin">
        <color rgb="FF000000"/>
      </left>
      <top/>
      <bottom style="thin">
        <color rgb="FF000000"/>
      </bottom>
    </border>
  </borders>
  <cellStyleXfs count="1">
    <xf borderId="0" fillId="0" fontId="0" numFmtId="0" applyAlignment="1" applyFont="1"/>
  </cellStyleXfs>
  <cellXfs count="5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164" xfId="0" applyFont="1" applyNumberFormat="1"/>
    <xf borderId="1" fillId="2" fontId="3" numFmtId="0" xfId="0" applyBorder="1" applyFill="1" applyFont="1"/>
    <xf borderId="1" fillId="3" fontId="4" numFmtId="0" xfId="0" applyBorder="1" applyFill="1" applyFont="1"/>
    <xf borderId="1" fillId="3" fontId="4" numFmtId="164" xfId="0" applyBorder="1" applyFont="1" applyNumberFormat="1"/>
    <xf borderId="2" fillId="4" fontId="4" numFmtId="0" xfId="0" applyAlignment="1" applyBorder="1" applyFill="1" applyFont="1">
      <alignment horizontal="center"/>
    </xf>
    <xf borderId="3" fillId="0" fontId="5" numFmtId="0" xfId="0" applyBorder="1" applyFont="1"/>
    <xf borderId="0" fillId="0" fontId="1" numFmtId="0" xfId="0" applyAlignment="1" applyFont="1">
      <alignment textRotation="255"/>
    </xf>
    <xf borderId="4" fillId="5" fontId="6" numFmtId="0" xfId="0" applyAlignment="1" applyBorder="1" applyFill="1" applyFont="1">
      <alignment horizontal="center" shrinkToFit="0" wrapText="1"/>
    </xf>
    <xf borderId="4" fillId="5" fontId="7" numFmtId="0" xfId="0" applyAlignment="1" applyBorder="1" applyFont="1">
      <alignment horizontal="center" shrinkToFit="0" vertical="center" wrapText="1"/>
    </xf>
    <xf borderId="5" fillId="0" fontId="1" numFmtId="0" xfId="0" applyBorder="1" applyFont="1"/>
    <xf borderId="6" fillId="0" fontId="1" numFmtId="0" xfId="0" applyBorder="1" applyFont="1"/>
    <xf borderId="1" fillId="6" fontId="8" numFmtId="0" xfId="0" applyBorder="1" applyFill="1" applyFont="1"/>
    <xf borderId="1" fillId="6" fontId="9" numFmtId="0" xfId="0" applyBorder="1" applyFont="1"/>
    <xf borderId="1" fillId="2" fontId="9" numFmtId="3" xfId="0" applyAlignment="1" applyBorder="1" applyFont="1" applyNumberFormat="1">
      <alignment horizontal="center"/>
    </xf>
    <xf borderId="7" fillId="0" fontId="5" numFmtId="0" xfId="0" applyBorder="1" applyFont="1"/>
    <xf borderId="8" fillId="4" fontId="4" numFmtId="0" xfId="0" applyBorder="1" applyFont="1"/>
    <xf borderId="9" fillId="4" fontId="4" numFmtId="164" xfId="0" applyBorder="1" applyFont="1" applyNumberFormat="1"/>
    <xf borderId="1" fillId="6" fontId="1" numFmtId="0" xfId="0" applyBorder="1" applyFont="1"/>
    <xf borderId="1" fillId="2" fontId="1" numFmtId="9" xfId="0" applyBorder="1" applyFont="1" applyNumberFormat="1"/>
    <xf borderId="1" fillId="7" fontId="1" numFmtId="0" xfId="0" applyBorder="1" applyFill="1" applyFont="1"/>
    <xf borderId="1" fillId="7" fontId="1" numFmtId="164" xfId="0" applyAlignment="1" applyBorder="1" applyFont="1" applyNumberFormat="1">
      <alignment horizontal="center"/>
    </xf>
    <xf borderId="6" fillId="0" fontId="1" numFmtId="164" xfId="0" applyBorder="1" applyFont="1" applyNumberFormat="1"/>
    <xf borderId="0" fillId="0" fontId="1" numFmtId="0" xfId="0" applyAlignment="1" applyFont="1">
      <alignment horizontal="center"/>
    </xf>
    <xf borderId="1" fillId="5" fontId="10" numFmtId="0" xfId="0" applyBorder="1" applyFont="1"/>
    <xf borderId="1" fillId="5" fontId="4" numFmtId="0" xfId="0" applyAlignment="1" applyBorder="1" applyFont="1">
      <alignment horizontal="center"/>
    </xf>
    <xf borderId="1" fillId="8" fontId="8" numFmtId="0" xfId="0" applyAlignment="1" applyBorder="1" applyFill="1" applyFont="1">
      <alignment shrinkToFit="0" wrapText="1"/>
    </xf>
    <xf borderId="1" fillId="8" fontId="1" numFmtId="0" xfId="0" applyBorder="1" applyFont="1"/>
    <xf borderId="1" fillId="2" fontId="1" numFmtId="164" xfId="0" applyBorder="1" applyFont="1" applyNumberFormat="1"/>
    <xf borderId="1" fillId="9" fontId="1" numFmtId="0" xfId="0" applyBorder="1" applyFill="1" applyFont="1"/>
    <xf borderId="1" fillId="9" fontId="1" numFmtId="164" xfId="0" applyAlignment="1" applyBorder="1" applyFont="1" applyNumberFormat="1">
      <alignment horizontal="center"/>
    </xf>
    <xf borderId="0" fillId="0" fontId="1" numFmtId="0" xfId="0" applyFont="1"/>
    <xf borderId="1" fillId="10" fontId="8" numFmtId="0" xfId="0" applyAlignment="1" applyBorder="1" applyFill="1" applyFont="1">
      <alignment shrinkToFit="0" wrapText="1"/>
    </xf>
    <xf borderId="1" fillId="10" fontId="1" numFmtId="0" xfId="0" applyBorder="1" applyFont="1"/>
    <xf borderId="10" fillId="11" fontId="11" numFmtId="0" xfId="0" applyAlignment="1" applyBorder="1" applyFill="1" applyFont="1">
      <alignment horizontal="center"/>
    </xf>
    <xf borderId="0" fillId="0" fontId="12" numFmtId="0" xfId="0" applyAlignment="1" applyFont="1">
      <alignment horizontal="center"/>
    </xf>
    <xf borderId="0" fillId="0" fontId="1" numFmtId="164" xfId="0" applyFont="1" applyNumberFormat="1"/>
    <xf borderId="1" fillId="12" fontId="4" numFmtId="0" xfId="0" applyAlignment="1" applyBorder="1" applyFill="1" applyFont="1">
      <alignment shrinkToFit="0" wrapText="1"/>
    </xf>
    <xf borderId="1" fillId="12" fontId="1" numFmtId="0" xfId="0" applyBorder="1" applyFont="1"/>
    <xf borderId="1" fillId="2" fontId="4" numFmtId="164" xfId="0" applyBorder="1" applyFont="1" applyNumberFormat="1"/>
    <xf borderId="0" fillId="0" fontId="8" numFmtId="0" xfId="0" applyFont="1"/>
    <xf borderId="0" fillId="0" fontId="8" numFmtId="164" xfId="0" applyFont="1" applyNumberFormat="1"/>
    <xf borderId="11" fillId="0" fontId="1" numFmtId="0" xfId="0" applyAlignment="1" applyBorder="1" applyFont="1">
      <alignment shrinkToFit="0" wrapText="1"/>
    </xf>
    <xf borderId="12" fillId="0" fontId="2" numFmtId="0" xfId="0" applyBorder="1" applyFont="1"/>
    <xf borderId="12" fillId="0" fontId="1" numFmtId="164" xfId="0" applyBorder="1" applyFont="1" applyNumberFormat="1"/>
    <xf borderId="13" fillId="0" fontId="2" numFmtId="0" xfId="0" applyBorder="1" applyFont="1"/>
    <xf borderId="14" fillId="13" fontId="1" numFmtId="0" xfId="0" applyAlignment="1" applyBorder="1" applyFill="1" applyFont="1">
      <alignment shrinkToFit="0" wrapText="1"/>
    </xf>
    <xf borderId="1" fillId="13" fontId="2" numFmtId="0" xfId="0" applyBorder="1" applyFont="1"/>
    <xf borderId="0" fillId="0" fontId="2" numFmtId="164" xfId="0" applyFont="1" applyNumberFormat="1"/>
    <xf borderId="15" fillId="0" fontId="2" numFmtId="164" xfId="0" applyBorder="1" applyFont="1" applyNumberFormat="1"/>
    <xf borderId="14" fillId="14" fontId="1" numFmtId="0" xfId="0" applyAlignment="1" applyBorder="1" applyFill="1" applyFont="1">
      <alignment shrinkToFit="0" wrapText="1"/>
    </xf>
    <xf borderId="1" fillId="14" fontId="2" numFmtId="0" xfId="0" applyBorder="1" applyFont="1"/>
    <xf borderId="1" fillId="14" fontId="1" numFmtId="164" xfId="0" applyBorder="1" applyFont="1" applyNumberFormat="1"/>
    <xf borderId="1" fillId="14" fontId="2" numFmtId="164" xfId="0" applyBorder="1" applyFont="1" applyNumberFormat="1"/>
    <xf borderId="16" fillId="14" fontId="2" numFmtId="164" xfId="0" applyBorder="1" applyFont="1" applyNumberFormat="1"/>
    <xf borderId="17" fillId="0" fontId="1" numFmtId="0" xfId="0" applyAlignment="1" applyBorder="1" applyFont="1">
      <alignment shrinkToFit="0" wrapText="1"/>
    </xf>
    <xf borderId="14" fillId="15" fontId="1" numFmtId="0" xfId="0" applyAlignment="1" applyBorder="1" applyFill="1" applyFont="1">
      <alignment shrinkToFit="0" wrapText="1"/>
    </xf>
    <xf borderId="1" fillId="15" fontId="2" numFmtId="0" xfId="0" applyBorder="1" applyFont="1"/>
    <xf borderId="14" fillId="14" fontId="13" numFmtId="0" xfId="0" applyAlignment="1" applyBorder="1" applyFont="1">
      <alignment shrinkToFit="0" wrapText="1"/>
    </xf>
    <xf borderId="1" fillId="14" fontId="13" numFmtId="0" xfId="0" applyBorder="1" applyFont="1"/>
    <xf borderId="14" fillId="16" fontId="1" numFmtId="0" xfId="0" applyAlignment="1" applyBorder="1" applyFill="1" applyFont="1">
      <alignment shrinkToFit="0" wrapText="1"/>
    </xf>
    <xf borderId="1" fillId="16" fontId="2" numFmtId="0" xfId="0" applyBorder="1" applyFont="1"/>
    <xf borderId="15" fillId="0" fontId="1" numFmtId="164" xfId="0" applyBorder="1" applyFont="1" applyNumberFormat="1"/>
    <xf borderId="14" fillId="17" fontId="13" numFmtId="0" xfId="0" applyAlignment="1" applyBorder="1" applyFill="1" applyFont="1">
      <alignment shrinkToFit="0" wrapText="1"/>
    </xf>
    <xf borderId="1" fillId="17" fontId="13" numFmtId="0" xfId="0" applyBorder="1" applyFont="1"/>
    <xf borderId="18" fillId="2" fontId="1" numFmtId="0" xfId="0" applyAlignment="1" applyBorder="1" applyFont="1">
      <alignment shrinkToFit="0" wrapText="1"/>
    </xf>
    <xf borderId="19" fillId="2" fontId="2" numFmtId="0" xfId="0" applyBorder="1" applyFont="1"/>
    <xf borderId="19" fillId="2" fontId="1" numFmtId="164" xfId="0" applyBorder="1" applyFont="1" applyNumberFormat="1"/>
    <xf borderId="20" fillId="2" fontId="1" numFmtId="164" xfId="0" applyBorder="1" applyFont="1" applyNumberFormat="1"/>
    <xf borderId="21" fillId="2" fontId="10" numFmtId="0" xfId="0" applyBorder="1" applyFont="1"/>
    <xf borderId="21" fillId="2" fontId="10" numFmtId="3" xfId="0" applyBorder="1" applyFont="1" applyNumberFormat="1"/>
    <xf borderId="21" fillId="2" fontId="1" numFmtId="0" xfId="0" applyBorder="1" applyFont="1"/>
    <xf borderId="22" fillId="2" fontId="10" numFmtId="0" xfId="0" applyAlignment="1" applyBorder="1" applyFont="1">
      <alignment horizontal="center"/>
    </xf>
    <xf borderId="23" fillId="0" fontId="5" numFmtId="0" xfId="0" applyBorder="1" applyFont="1"/>
    <xf borderId="21" fillId="2" fontId="10" numFmtId="164" xfId="0" applyBorder="1" applyFont="1" applyNumberFormat="1"/>
    <xf borderId="21" fillId="2" fontId="10" numFmtId="9" xfId="0" applyBorder="1" applyFont="1" applyNumberForma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1" fillId="4" fontId="10" numFmtId="0" xfId="0" applyBorder="1" applyFont="1"/>
    <xf borderId="24" fillId="6" fontId="4" numFmtId="0" xfId="0" applyBorder="1" applyFont="1"/>
    <xf borderId="25" fillId="6" fontId="4" numFmtId="0" xfId="0" applyBorder="1" applyFont="1"/>
    <xf borderId="26" fillId="6" fontId="4" numFmtId="0" xfId="0" applyBorder="1" applyFont="1"/>
    <xf borderId="27" fillId="6" fontId="4" numFmtId="0" xfId="0" applyBorder="1" applyFont="1"/>
    <xf borderId="21" fillId="6" fontId="4" numFmtId="0" xfId="0" applyBorder="1" applyFont="1"/>
    <xf borderId="28" fillId="6" fontId="4" numFmtId="0" xfId="0" applyBorder="1" applyFont="1"/>
    <xf borderId="29" fillId="6" fontId="4" numFmtId="164" xfId="0" applyBorder="1" applyFont="1" applyNumberFormat="1"/>
    <xf borderId="30" fillId="6" fontId="4" numFmtId="164" xfId="0" applyBorder="1" applyFont="1" applyNumberFormat="1"/>
    <xf borderId="31" fillId="6" fontId="4" numFmtId="164" xfId="0" applyBorder="1" applyFont="1" applyNumberFormat="1"/>
    <xf borderId="0" fillId="0" fontId="1" numFmtId="165" xfId="0" applyFont="1" applyNumberFormat="1"/>
    <xf borderId="21" fillId="18" fontId="2" numFmtId="0" xfId="0" applyBorder="1" applyFill="1" applyFont="1"/>
    <xf borderId="21" fillId="18" fontId="2" numFmtId="164" xfId="0" applyBorder="1" applyFont="1" applyNumberFormat="1"/>
    <xf borderId="1" fillId="10" fontId="1" numFmtId="0" xfId="0" applyBorder="1" applyFont="1"/>
    <xf borderId="1" fillId="10" fontId="1" numFmtId="164" xfId="0" applyBorder="1" applyFont="1" applyNumberFormat="1"/>
    <xf borderId="0" fillId="0" fontId="1" numFmtId="3" xfId="0" applyFont="1" applyNumberFormat="1"/>
    <xf borderId="1" fillId="19" fontId="1" numFmtId="0" xfId="0" applyBorder="1" applyFill="1" applyFont="1"/>
    <xf borderId="1" fillId="19" fontId="1" numFmtId="164" xfId="0" applyBorder="1" applyFont="1" applyNumberFormat="1"/>
    <xf borderId="1" fillId="20" fontId="13" numFmtId="0" xfId="0" applyBorder="1" applyFill="1" applyFont="1"/>
    <xf borderId="1" fillId="20" fontId="13" numFmtId="164" xfId="0" applyBorder="1" applyFont="1" applyNumberFormat="1"/>
    <xf borderId="0" fillId="0" fontId="14" numFmtId="0" xfId="0" applyFont="1"/>
    <xf borderId="0" fillId="0" fontId="1" numFmtId="9" xfId="0" applyFont="1" applyNumberFormat="1"/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center"/>
    </xf>
    <xf borderId="32" fillId="0" fontId="17" numFmtId="0" xfId="0" applyAlignment="1" applyBorder="1" applyFont="1">
      <alignment horizontal="center" shrinkToFit="0" wrapText="1"/>
    </xf>
    <xf borderId="32" fillId="0" fontId="17" numFmtId="17" xfId="0" applyAlignment="1" applyBorder="1" applyFont="1" applyNumberFormat="1">
      <alignment horizontal="center" shrinkToFit="0" wrapText="1"/>
    </xf>
    <xf borderId="0" fillId="0" fontId="18" numFmtId="0" xfId="0" applyAlignment="1" applyFont="1">
      <alignment horizontal="left" shrinkToFit="0" wrapText="1"/>
    </xf>
    <xf borderId="0" fillId="0" fontId="19" numFmtId="166" xfId="0" applyAlignment="1" applyFont="1" applyNumberFormat="1">
      <alignment shrinkToFit="0" wrapText="1"/>
    </xf>
    <xf borderId="0" fillId="0" fontId="19" numFmtId="166" xfId="0" applyAlignment="1" applyFont="1" applyNumberFormat="1">
      <alignment horizontal="right" shrinkToFit="0" wrapText="1"/>
    </xf>
    <xf borderId="33" fillId="0" fontId="19" numFmtId="166" xfId="0" applyAlignment="1" applyBorder="1" applyFont="1" applyNumberFormat="1">
      <alignment horizontal="right" shrinkToFit="0" wrapText="1"/>
    </xf>
    <xf borderId="34" fillId="0" fontId="19" numFmtId="4" xfId="0" applyAlignment="1" applyBorder="1" applyFont="1" applyNumberFormat="1">
      <alignment horizontal="right" shrinkToFit="0" wrapText="1"/>
    </xf>
    <xf borderId="35" fillId="0" fontId="18" numFmtId="167" xfId="0" applyAlignment="1" applyBorder="1" applyFont="1" applyNumberFormat="1">
      <alignment horizontal="right" shrinkToFit="0" wrapText="1"/>
    </xf>
    <xf borderId="0" fillId="0" fontId="18" numFmtId="166" xfId="0" applyAlignment="1" applyFont="1" applyNumberFormat="1">
      <alignment horizontal="right" shrinkToFit="0" wrapText="1"/>
    </xf>
    <xf borderId="36" fillId="0" fontId="18" numFmtId="166" xfId="0" applyAlignment="1" applyBorder="1" applyFont="1" applyNumberFormat="1">
      <alignment horizontal="right" shrinkToFit="0" wrapText="1"/>
    </xf>
    <xf borderId="35" fillId="0" fontId="18" numFmtId="166" xfId="0" applyAlignment="1" applyBorder="1" applyFont="1" applyNumberFormat="1">
      <alignment horizontal="right" shrinkToFit="0" wrapText="1"/>
    </xf>
    <xf borderId="0" fillId="0" fontId="1" numFmtId="167" xfId="0" applyFont="1" applyNumberFormat="1"/>
    <xf borderId="0" fillId="0" fontId="1" numFmtId="168" xfId="0" applyFont="1" applyNumberFormat="1"/>
    <xf borderId="0" fillId="0" fontId="1" numFmtId="10" xfId="0" applyFont="1" applyNumberFormat="1"/>
    <xf borderId="0" fillId="0" fontId="1" numFmtId="0" xfId="0" applyAlignment="1" applyFont="1">
      <alignment readingOrder="0"/>
    </xf>
    <xf borderId="0" fillId="0" fontId="20" numFmtId="0" xfId="0" applyFont="1"/>
    <xf borderId="0" fillId="0" fontId="10" numFmtId="0" xfId="0" applyFont="1"/>
    <xf borderId="0" fillId="0" fontId="1" numFmtId="169" xfId="0" applyFont="1" applyNumberFormat="1"/>
    <xf borderId="0" fillId="0" fontId="1" numFmtId="170" xfId="0" applyFont="1" applyNumberFormat="1"/>
    <xf borderId="21" fillId="0" fontId="6" numFmtId="0" xfId="0" applyBorder="1" applyFont="1"/>
    <xf borderId="21" fillId="0" fontId="6" numFmtId="168" xfId="0" applyBorder="1" applyFont="1" applyNumberFormat="1"/>
    <xf borderId="0" fillId="0" fontId="6" numFmtId="0" xfId="0" applyFont="1"/>
    <xf borderId="21" fillId="0" fontId="21" numFmtId="0" xfId="0" applyBorder="1" applyFont="1"/>
    <xf borderId="21" fillId="0" fontId="1" numFmtId="169" xfId="0" applyBorder="1" applyFont="1" applyNumberFormat="1"/>
    <xf borderId="21" fillId="0" fontId="1" numFmtId="0" xfId="0" applyBorder="1" applyFont="1"/>
    <xf borderId="30" fillId="0" fontId="6" numFmtId="0" xfId="0" applyBorder="1" applyFont="1"/>
    <xf borderId="30" fillId="0" fontId="1" numFmtId="0" xfId="0" applyBorder="1" applyFont="1"/>
    <xf borderId="30" fillId="0" fontId="1" numFmtId="168" xfId="0" applyBorder="1" applyFont="1" applyNumberFormat="1"/>
    <xf borderId="37" fillId="0" fontId="21" numFmtId="0" xfId="0" applyBorder="1" applyFont="1"/>
    <xf borderId="37" fillId="0" fontId="1" numFmtId="0" xfId="0" applyBorder="1" applyFont="1"/>
    <xf borderId="37" fillId="0" fontId="1" numFmtId="168" xfId="0" applyBorder="1" applyFont="1" applyNumberFormat="1"/>
    <xf borderId="21" fillId="0" fontId="1" numFmtId="168" xfId="0" applyBorder="1" applyFont="1" applyNumberFormat="1"/>
    <xf borderId="21" fillId="0" fontId="1" numFmtId="170" xfId="0" applyBorder="1" applyFont="1" applyNumberFormat="1"/>
    <xf borderId="21" fillId="0" fontId="1" numFmtId="3" xfId="0" applyAlignment="1" applyBorder="1" applyFont="1" applyNumberFormat="1">
      <alignment readingOrder="0"/>
    </xf>
    <xf borderId="21" fillId="0" fontId="1" numFmtId="0" xfId="0" applyAlignment="1" applyBorder="1" applyFont="1">
      <alignment readingOrder="0"/>
    </xf>
    <xf borderId="0" fillId="0" fontId="20" numFmtId="168" xfId="0" applyFont="1" applyNumberFormat="1"/>
    <xf borderId="0" fillId="0" fontId="20" numFmtId="0" xfId="0" applyAlignment="1" applyFont="1">
      <alignment readingOrder="0"/>
    </xf>
    <xf borderId="0" fillId="0" fontId="20" numFmtId="164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20" numFmtId="9" xfId="0" applyAlignment="1" applyFont="1" applyNumberFormat="1">
      <alignment readingOrder="0"/>
    </xf>
    <xf borderId="0" fillId="0" fontId="20" numFmtId="171" xfId="0" applyAlignment="1" applyFont="1" applyNumberFormat="1">
      <alignment readingOrder="0"/>
    </xf>
    <xf borderId="0" fillId="2" fontId="20" numFmtId="0" xfId="0" applyAlignment="1" applyFont="1">
      <alignment readingOrder="0"/>
    </xf>
    <xf borderId="1" fillId="21" fontId="22" numFmtId="0" xfId="0" applyBorder="1" applyFill="1" applyFont="1"/>
    <xf borderId="1" fillId="21" fontId="23" numFmtId="169" xfId="0" applyAlignment="1" applyBorder="1" applyFont="1" applyNumberFormat="1">
      <alignment readingOrder="0"/>
    </xf>
    <xf borderId="1" fillId="21" fontId="24" numFmtId="168" xfId="0" applyBorder="1" applyFont="1" applyNumberFormat="1"/>
    <xf borderId="1" fillId="21" fontId="25" numFmtId="0" xfId="0" applyAlignment="1" applyBorder="1" applyFont="1">
      <alignment readingOrder="0"/>
    </xf>
    <xf borderId="1" fillId="21" fontId="24" numFmtId="0" xfId="0" applyBorder="1" applyFont="1"/>
    <xf borderId="21" fillId="0" fontId="6" numFmtId="0" xfId="0" applyAlignment="1" applyBorder="1" applyFont="1">
      <alignment readingOrder="0"/>
    </xf>
    <xf borderId="38" fillId="0" fontId="6" numFmtId="0" xfId="0" applyBorder="1" applyFont="1"/>
    <xf borderId="38" fillId="0" fontId="1" numFmtId="168" xfId="0" applyBorder="1" applyFont="1" applyNumberFormat="1"/>
    <xf borderId="21" fillId="13" fontId="6" numFmtId="0" xfId="0" applyAlignment="1" applyBorder="1" applyFont="1">
      <alignment readingOrder="0"/>
    </xf>
    <xf borderId="21" fillId="13" fontId="1" numFmtId="168" xfId="0" applyBorder="1" applyFont="1" applyNumberFormat="1"/>
    <xf borderId="39" fillId="13" fontId="1" numFmtId="168" xfId="0" applyBorder="1" applyFont="1" applyNumberFormat="1"/>
    <xf borderId="21" fillId="13" fontId="21" numFmtId="0" xfId="0" applyAlignment="1" applyBorder="1" applyFont="1">
      <alignment readingOrder="0"/>
    </xf>
    <xf borderId="21" fillId="13" fontId="21" numFmtId="168" xfId="0" applyBorder="1" applyFont="1" applyNumberFormat="1"/>
    <xf borderId="21" fillId="13" fontId="21" numFmtId="0" xfId="0" applyBorder="1" applyFont="1"/>
    <xf borderId="21" fillId="13" fontId="1" numFmtId="0" xfId="0" applyBorder="1" applyFont="1"/>
    <xf borderId="37" fillId="13" fontId="1" numFmtId="168" xfId="0" applyBorder="1" applyFont="1" applyNumberFormat="1"/>
    <xf borderId="21" fillId="13" fontId="1" numFmtId="170" xfId="0" applyBorder="1" applyFont="1" applyNumberFormat="1"/>
    <xf borderId="21" fillId="13" fontId="1" numFmtId="169" xfId="0" applyBorder="1" applyFont="1" applyNumberFormat="1"/>
    <xf borderId="21" fillId="13" fontId="1" numFmtId="170" xfId="0" applyAlignment="1" applyBorder="1" applyFont="1" applyNumberFormat="1">
      <alignment readingOrder="0"/>
    </xf>
    <xf borderId="21" fillId="13" fontId="1" numFmtId="168" xfId="0" applyAlignment="1" applyBorder="1" applyFont="1" applyNumberFormat="1">
      <alignment readingOrder="0"/>
    </xf>
    <xf borderId="21" fillId="13" fontId="1" numFmtId="0" xfId="0" applyAlignment="1" applyBorder="1" applyFont="1">
      <alignment readingOrder="0"/>
    </xf>
    <xf borderId="30" fillId="0" fontId="21" numFmtId="0" xfId="0" applyBorder="1" applyFont="1"/>
    <xf borderId="40" fillId="0" fontId="6" numFmtId="0" xfId="0" applyBorder="1" applyFont="1"/>
    <xf borderId="40" fillId="0" fontId="6" numFmtId="168" xfId="0" applyBorder="1" applyFont="1" applyNumberFormat="1"/>
    <xf borderId="40" fillId="0" fontId="1" numFmtId="0" xfId="0" applyBorder="1" applyFont="1"/>
    <xf borderId="37" fillId="0" fontId="6" numFmtId="168" xfId="0" applyBorder="1" applyFont="1" applyNumberFormat="1"/>
    <xf borderId="41" fillId="0" fontId="21" numFmtId="0" xfId="0" applyBorder="1" applyFont="1"/>
    <xf borderId="42" fillId="0" fontId="6" numFmtId="168" xfId="0" applyBorder="1" applyFont="1" applyNumberFormat="1"/>
    <xf borderId="41" fillId="0" fontId="6" numFmtId="168" xfId="0" applyBorder="1" applyFont="1" applyNumberFormat="1"/>
    <xf borderId="42" fillId="0" fontId="6" numFmtId="0" xfId="0" applyAlignment="1" applyBorder="1" applyFont="1">
      <alignment readingOrder="0"/>
    </xf>
    <xf borderId="37" fillId="0" fontId="6" numFmtId="0" xfId="0" applyAlignment="1" applyBorder="1" applyFont="1">
      <alignment readingOrder="0"/>
    </xf>
    <xf borderId="21" fillId="2" fontId="6" numFmtId="0" xfId="0" applyBorder="1" applyFont="1"/>
    <xf borderId="21" fillId="2" fontId="6" numFmtId="168" xfId="0" applyBorder="1" applyFont="1" applyNumberFormat="1"/>
    <xf borderId="21" fillId="2" fontId="6" numFmtId="168" xfId="0" applyAlignment="1" applyBorder="1" applyFont="1" applyNumberFormat="1">
      <alignment readingOrder="0"/>
    </xf>
    <xf borderId="0" fillId="0" fontId="16" numFmtId="0" xfId="0" applyAlignment="1" applyFont="1">
      <alignment horizontal="center" readingOrder="0"/>
    </xf>
    <xf borderId="0" fillId="0" fontId="19" numFmtId="168" xfId="0" applyAlignment="1" applyFont="1" applyNumberFormat="1">
      <alignment horizontal="right" readingOrder="0" shrinkToFit="0" wrapText="1"/>
    </xf>
    <xf borderId="32" fillId="0" fontId="19" numFmtId="166" xfId="0" applyAlignment="1" applyBorder="1" applyFont="1" applyNumberFormat="1">
      <alignment horizontal="right" shrinkToFit="0" wrapText="1"/>
    </xf>
    <xf borderId="0" fillId="0" fontId="19" numFmtId="166" xfId="0" applyAlignment="1" applyFont="1" applyNumberFormat="1">
      <alignment horizontal="right" readingOrder="0" shrinkToFit="0" wrapText="1"/>
    </xf>
    <xf borderId="0" fillId="0" fontId="19" numFmtId="0" xfId="0" applyAlignment="1" applyFont="1">
      <alignment horizontal="center"/>
    </xf>
    <xf borderId="43" fillId="0" fontId="1" numFmtId="0" xfId="0" applyBorder="1" applyFont="1"/>
    <xf borderId="22" fillId="0" fontId="2" numFmtId="0" xfId="0" applyBorder="1" applyFont="1"/>
    <xf borderId="32" fillId="0" fontId="20" numFmtId="0" xfId="0" applyBorder="1" applyFont="1"/>
    <xf borderId="36" fillId="0" fontId="1" numFmtId="168" xfId="0" applyBorder="1" applyFont="1" applyNumberFormat="1"/>
    <xf borderId="23" fillId="0" fontId="1" numFmtId="168" xfId="0" applyBorder="1" applyFont="1" applyNumberFormat="1"/>
    <xf borderId="43" fillId="0" fontId="1" numFmtId="168" xfId="0" applyBorder="1" applyFont="1" applyNumberFormat="1"/>
    <xf borderId="44" fillId="0" fontId="20" numFmtId="0" xfId="0" applyBorder="1" applyFont="1"/>
    <xf borderId="43" fillId="0" fontId="1" numFmtId="169" xfId="0" applyBorder="1" applyFont="1" applyNumberFormat="1"/>
    <xf borderId="44" fillId="0" fontId="1" numFmtId="0" xfId="0" applyAlignment="1" applyBorder="1" applyFont="1">
      <alignment readingOrder="0"/>
    </xf>
    <xf borderId="0" fillId="0" fontId="1" numFmtId="170" xfId="0" applyAlignment="1" applyFont="1" applyNumberFormat="1">
      <alignment readingOrder="0"/>
    </xf>
    <xf borderId="43" fillId="0" fontId="1" numFmtId="170" xfId="0" applyBorder="1" applyFont="1" applyNumberFormat="1"/>
    <xf borderId="44" fillId="0" fontId="1" numFmtId="0" xfId="0" applyBorder="1" applyFont="1"/>
    <xf borderId="44" fillId="0" fontId="20" numFmtId="0" xfId="0" applyAlignment="1" applyBorder="1" applyFont="1">
      <alignment readingOrder="0"/>
    </xf>
    <xf borderId="35" fillId="0" fontId="1" numFmtId="0" xfId="0" applyBorder="1" applyFont="1"/>
    <xf borderId="35" fillId="0" fontId="1" numFmtId="164" xfId="0" applyBorder="1" applyFont="1" applyNumberFormat="1"/>
    <xf borderId="35" fillId="0" fontId="1" numFmtId="168" xfId="0" applyBorder="1" applyFont="1" applyNumberFormat="1"/>
    <xf borderId="5" fillId="0" fontId="1" numFmtId="168" xfId="0" applyAlignment="1" applyBorder="1" applyFont="1" applyNumberFormat="1">
      <alignment horizontal="left" readingOrder="0"/>
    </xf>
    <xf borderId="6" fillId="0" fontId="20" numFmtId="168" xfId="0" applyAlignment="1" applyBorder="1" applyFont="1" applyNumberFormat="1">
      <alignment readingOrder="0"/>
    </xf>
    <xf borderId="5" fillId="0" fontId="20" numFmtId="0" xfId="0" applyAlignment="1" applyBorder="1" applyFont="1">
      <alignment readingOrder="0"/>
    </xf>
    <xf borderId="44" fillId="0" fontId="2" numFmtId="0" xfId="0" applyBorder="1" applyFont="1"/>
    <xf borderId="45" fillId="0" fontId="20" numFmtId="0" xfId="0" applyBorder="1" applyFont="1"/>
    <xf borderId="46" fillId="0" fontId="20" numFmtId="0" xfId="0" applyBorder="1" applyFont="1"/>
    <xf borderId="24" fillId="22" fontId="1" numFmtId="168" xfId="0" applyAlignment="1" applyBorder="1" applyFill="1" applyFont="1" applyNumberFormat="1">
      <alignment horizontal="left" readingOrder="0"/>
    </xf>
    <xf borderId="26" fillId="22" fontId="20" numFmtId="168" xfId="0" applyAlignment="1" applyBorder="1" applyFont="1" applyNumberFormat="1">
      <alignment readingOrder="0"/>
    </xf>
    <xf borderId="27" fillId="22" fontId="20" numFmtId="0" xfId="0" applyAlignment="1" applyBorder="1" applyFont="1">
      <alignment readingOrder="0"/>
    </xf>
    <xf borderId="28" fillId="22" fontId="20" numFmtId="168" xfId="0" applyAlignment="1" applyBorder="1" applyFont="1" applyNumberFormat="1">
      <alignment readingOrder="0"/>
    </xf>
    <xf borderId="36" fillId="0" fontId="1" numFmtId="0" xfId="0" applyBorder="1" applyFont="1"/>
    <xf borderId="36" fillId="0" fontId="2" numFmtId="0" xfId="0" applyBorder="1" applyFont="1"/>
    <xf borderId="32" fillId="0" fontId="1" numFmtId="0" xfId="0" applyBorder="1" applyFont="1"/>
    <xf borderId="32" fillId="0" fontId="2" numFmtId="0" xfId="0" applyBorder="1" applyFont="1"/>
    <xf borderId="46" fillId="0" fontId="1" numFmtId="168" xfId="0" applyBorder="1" applyFont="1" applyNumberFormat="1"/>
    <xf borderId="47" fillId="0" fontId="2" numFmtId="164" xfId="0" applyAlignment="1" applyBorder="1" applyFont="1" applyNumberFormat="1">
      <alignment vertical="bottom"/>
    </xf>
    <xf borderId="48" fillId="0" fontId="2" numFmtId="164" xfId="0" applyAlignment="1" applyBorder="1" applyFont="1" applyNumberFormat="1">
      <alignment horizontal="right" readingOrder="0" vertical="bottom"/>
    </xf>
    <xf borderId="44" fillId="0" fontId="2" numFmtId="9" xfId="0" applyAlignment="1" applyBorder="1" applyFont="1" applyNumberFormat="1">
      <alignment vertical="bottom"/>
    </xf>
    <xf borderId="43" fillId="0" fontId="2" numFmtId="9" xfId="0" applyAlignment="1" applyBorder="1" applyFont="1" applyNumberFormat="1">
      <alignment horizontal="right" vertical="bottom"/>
    </xf>
    <xf borderId="44" fillId="0" fontId="2" numFmtId="0" xfId="0" applyAlignment="1" applyBorder="1" applyFont="1">
      <alignment vertical="bottom"/>
    </xf>
    <xf borderId="43" fillId="0" fontId="2" numFmtId="168" xfId="0" applyAlignment="1" applyBorder="1" applyFont="1" applyNumberFormat="1">
      <alignment horizontal="right" readingOrder="0" vertical="bottom"/>
    </xf>
    <xf borderId="29" fillId="22" fontId="1" numFmtId="168" xfId="0" applyAlignment="1" applyBorder="1" applyFont="1" applyNumberFormat="1">
      <alignment readingOrder="0"/>
    </xf>
    <xf borderId="31" fillId="22" fontId="20" numFmtId="168" xfId="0" applyAlignment="1" applyBorder="1" applyFont="1" applyNumberFormat="1">
      <alignment readingOrder="0"/>
    </xf>
    <xf borderId="0" fillId="0" fontId="26" numFmtId="0" xfId="0" applyAlignment="1" applyFont="1">
      <alignment horizontal="center"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45" fillId="0" fontId="2" numFmtId="9" xfId="0" applyAlignment="1" applyBorder="1" applyFont="1" applyNumberFormat="1">
      <alignment vertical="bottom"/>
    </xf>
    <xf borderId="46" fillId="0" fontId="2" numFmtId="9" xfId="0" applyAlignment="1" applyBorder="1" applyFont="1" applyNumberFormat="1">
      <alignment horizontal="right" vertical="bottom"/>
    </xf>
    <xf borderId="0" fillId="0" fontId="1" numFmtId="9" xfId="0" applyAlignment="1" applyFont="1" applyNumberFormat="1">
      <alignment readingOrder="0"/>
    </xf>
    <xf borderId="47" fillId="0" fontId="1" numFmtId="168" xfId="0" applyBorder="1" applyFont="1" applyNumberFormat="1"/>
    <xf borderId="48" fillId="0" fontId="2" numFmtId="0" xfId="0" applyBorder="1" applyFont="1"/>
    <xf borderId="44" fillId="0" fontId="1" numFmtId="168" xfId="0" applyBorder="1" applyFont="1" applyNumberFormat="1"/>
    <xf borderId="4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3" fillId="0" fontId="20" numFmtId="0" xfId="0" applyAlignment="1" applyBorder="1" applyFont="1">
      <alignment readingOrder="0"/>
    </xf>
    <xf borderId="43" fillId="0" fontId="20" numFmtId="0" xfId="0" applyBorder="1" applyFont="1"/>
    <xf borderId="0" fillId="0" fontId="28" numFmtId="0" xfId="0" applyAlignment="1" applyFont="1">
      <alignment horizontal="left" readingOrder="0"/>
    </xf>
    <xf borderId="0" fillId="0" fontId="2" numFmtId="9" xfId="0" applyFont="1" applyNumberFormat="1"/>
    <xf borderId="35" fillId="23" fontId="27" numFmtId="0" xfId="0" applyAlignment="1" applyBorder="1" applyFill="1" applyFont="1">
      <alignment readingOrder="0"/>
    </xf>
    <xf borderId="35" fillId="0" fontId="1" numFmtId="170" xfId="0" applyBorder="1" applyFont="1" applyNumberFormat="1"/>
    <xf borderId="49" fillId="23" fontId="2" numFmtId="0" xfId="0" applyAlignment="1" applyBorder="1" applyFont="1">
      <alignment readingOrder="0"/>
    </xf>
    <xf borderId="35" fillId="0" fontId="20" numFmtId="0" xfId="0" applyBorder="1" applyFont="1"/>
    <xf borderId="35" fillId="23" fontId="20" numFmtId="0" xfId="0" applyBorder="1" applyFont="1"/>
    <xf borderId="48" fillId="0" fontId="20" numFmtId="0" xfId="0" applyBorder="1" applyFont="1"/>
    <xf borderId="1" fillId="21" fontId="29" numFmtId="0" xfId="0" applyAlignment="1" applyBorder="1" applyFont="1">
      <alignment readingOrder="0"/>
    </xf>
    <xf borderId="1" fillId="21" fontId="23" numFmtId="169" xfId="0" applyBorder="1" applyFont="1" applyNumberFormat="1"/>
    <xf borderId="1" fillId="21" fontId="25" numFmtId="0" xfId="0" applyBorder="1" applyFont="1"/>
    <xf borderId="43" fillId="24" fontId="24" numFmtId="0" xfId="0" applyBorder="1" applyFill="1" applyFont="1"/>
    <xf borderId="21" fillId="25" fontId="6" numFmtId="168" xfId="0" applyBorder="1" applyFill="1" applyFont="1" applyNumberFormat="1"/>
    <xf borderId="23" fillId="2" fontId="6" numFmtId="168" xfId="0" applyBorder="1" applyFont="1" applyNumberFormat="1"/>
    <xf borderId="21" fillId="19" fontId="6" numFmtId="0" xfId="0" applyBorder="1" applyFont="1"/>
    <xf borderId="21" fillId="25" fontId="6" numFmtId="0" xfId="0" applyBorder="1" applyFont="1"/>
    <xf borderId="23" fillId="0" fontId="6" numFmtId="168" xfId="0" applyBorder="1" applyFont="1" applyNumberFormat="1"/>
    <xf borderId="38" fillId="0" fontId="21" numFmtId="0" xfId="0" applyBorder="1" applyFont="1"/>
    <xf borderId="38" fillId="0" fontId="1" numFmtId="169" xfId="0" applyBorder="1" applyFont="1" applyNumberFormat="1"/>
    <xf borderId="38" fillId="0" fontId="1" numFmtId="169" xfId="0" applyAlignment="1" applyBorder="1" applyFont="1" applyNumberFormat="1">
      <alignment readingOrder="0"/>
    </xf>
    <xf borderId="38" fillId="19" fontId="1" numFmtId="0" xfId="0" applyBorder="1" applyFont="1"/>
    <xf borderId="38" fillId="25" fontId="1" numFmtId="0" xfId="0" applyBorder="1" applyFont="1"/>
    <xf borderId="38" fillId="19" fontId="1" numFmtId="0" xfId="0" applyAlignment="1" applyBorder="1" applyFont="1">
      <alignment readingOrder="0"/>
    </xf>
    <xf borderId="50" fillId="14" fontId="6" numFmtId="0" xfId="0" applyBorder="1" applyFont="1"/>
    <xf borderId="50" fillId="14" fontId="1" numFmtId="168" xfId="0" applyBorder="1" applyFont="1" applyNumberFormat="1"/>
    <xf borderId="50" fillId="14" fontId="1" numFmtId="168" xfId="0" applyAlignment="1" applyBorder="1" applyFont="1" applyNumberFormat="1">
      <alignment readingOrder="0"/>
    </xf>
    <xf borderId="51" fillId="19" fontId="1" numFmtId="168" xfId="0" applyBorder="1" applyFont="1" applyNumberFormat="1"/>
    <xf borderId="51" fillId="25" fontId="1" numFmtId="168" xfId="0" applyBorder="1" applyFont="1" applyNumberFormat="1"/>
    <xf borderId="25" fillId="19" fontId="1" numFmtId="168" xfId="0" applyAlignment="1" applyBorder="1" applyFont="1" applyNumberFormat="1">
      <alignment readingOrder="0"/>
    </xf>
    <xf borderId="21" fillId="14" fontId="6" numFmtId="0" xfId="0" applyBorder="1" applyFont="1"/>
    <xf borderId="21" fillId="14" fontId="1" numFmtId="168" xfId="0" applyBorder="1" applyFont="1" applyNumberFormat="1"/>
    <xf borderId="21" fillId="19" fontId="1" numFmtId="168" xfId="0" applyBorder="1" applyFont="1" applyNumberFormat="1"/>
    <xf borderId="52" fillId="25" fontId="1" numFmtId="168" xfId="0" applyBorder="1" applyFont="1" applyNumberFormat="1"/>
    <xf borderId="30" fillId="14" fontId="30" numFmtId="0" xfId="0" applyBorder="1" applyFont="1"/>
    <xf borderId="30" fillId="14" fontId="21" numFmtId="168" xfId="0" applyBorder="1" applyFont="1" applyNumberFormat="1"/>
    <xf borderId="30" fillId="19" fontId="1" numFmtId="168" xfId="0" applyBorder="1" applyFont="1" applyNumberFormat="1"/>
    <xf borderId="53" fillId="25" fontId="1" numFmtId="168" xfId="0" applyBorder="1" applyFont="1" applyNumberFormat="1"/>
    <xf borderId="30" fillId="14" fontId="1" numFmtId="168" xfId="0" applyBorder="1" applyFont="1" applyNumberFormat="1"/>
    <xf borderId="54" fillId="14" fontId="1" numFmtId="168" xfId="0" applyBorder="1" applyFont="1" applyNumberFormat="1"/>
    <xf borderId="37" fillId="26" fontId="21" numFmtId="0" xfId="0" applyBorder="1" applyFill="1" applyFont="1"/>
    <xf borderId="37" fillId="26" fontId="1" numFmtId="168" xfId="0" applyBorder="1" applyFont="1" applyNumberFormat="1"/>
    <xf borderId="37" fillId="19" fontId="1" numFmtId="168" xfId="0" applyBorder="1" applyFont="1" applyNumberFormat="1"/>
    <xf borderId="37" fillId="25" fontId="1" numFmtId="168" xfId="0" applyBorder="1" applyFont="1" applyNumberFormat="1"/>
    <xf borderId="46" fillId="26" fontId="1" numFmtId="168" xfId="0" applyBorder="1" applyFont="1" applyNumberFormat="1"/>
    <xf borderId="21" fillId="26" fontId="21" numFmtId="0" xfId="0" applyBorder="1" applyFont="1"/>
    <xf borderId="21" fillId="26" fontId="1" numFmtId="168" xfId="0" applyBorder="1" applyFont="1" applyNumberFormat="1"/>
    <xf borderId="21" fillId="25" fontId="1" numFmtId="168" xfId="0" applyBorder="1" applyFont="1" applyNumberFormat="1"/>
    <xf borderId="43" fillId="26" fontId="0" numFmtId="168" xfId="0" applyBorder="1" applyFont="1" applyNumberFormat="1"/>
    <xf borderId="39" fillId="26" fontId="0" numFmtId="168" xfId="0" applyBorder="1" applyFont="1" applyNumberFormat="1"/>
    <xf borderId="21" fillId="26" fontId="21" numFmtId="168" xfId="0" applyBorder="1" applyFont="1" applyNumberFormat="1"/>
    <xf borderId="21" fillId="19" fontId="21" numFmtId="168" xfId="0" applyBorder="1" applyFont="1" applyNumberFormat="1"/>
    <xf borderId="21" fillId="25" fontId="21" numFmtId="168" xfId="0" applyBorder="1" applyFont="1" applyNumberFormat="1"/>
    <xf borderId="21" fillId="25" fontId="21" numFmtId="0" xfId="0" applyBorder="1" applyFont="1"/>
    <xf borderId="23" fillId="26" fontId="21" numFmtId="168" xfId="0" applyBorder="1" applyFont="1" applyNumberFormat="1"/>
    <xf borderId="21" fillId="25" fontId="1" numFmtId="170" xfId="0" applyBorder="1" applyFont="1" applyNumberFormat="1"/>
    <xf borderId="21" fillId="26" fontId="0" numFmtId="168" xfId="0" applyBorder="1" applyFont="1" applyNumberFormat="1"/>
    <xf borderId="21" fillId="26" fontId="0" numFmtId="168" xfId="0" applyAlignment="1" applyBorder="1" applyFont="1" applyNumberFormat="1">
      <alignment readingOrder="0"/>
    </xf>
    <xf borderId="30" fillId="25" fontId="1" numFmtId="168" xfId="0" applyBorder="1" applyFont="1" applyNumberFormat="1"/>
    <xf borderId="54" fillId="0" fontId="1" numFmtId="168" xfId="0" applyBorder="1" applyFont="1" applyNumberFormat="1"/>
    <xf borderId="55" fillId="19" fontId="6" numFmtId="168" xfId="0" applyBorder="1" applyFont="1" applyNumberFormat="1"/>
    <xf borderId="55" fillId="25" fontId="6" numFmtId="168" xfId="0" applyBorder="1" applyFont="1" applyNumberFormat="1"/>
    <xf borderId="56" fillId="0" fontId="6" numFmtId="168" xfId="0" applyBorder="1" applyFont="1" applyNumberFormat="1"/>
    <xf borderId="57" fillId="19" fontId="1" numFmtId="168" xfId="0" applyBorder="1" applyFont="1" applyNumberFormat="1"/>
    <xf borderId="30" fillId="0" fontId="6" numFmtId="168" xfId="0" applyBorder="1" applyFont="1" applyNumberFormat="1"/>
    <xf borderId="54" fillId="0" fontId="6" numFmtId="168" xfId="0" applyBorder="1" applyFont="1" applyNumberFormat="1"/>
    <xf borderId="40" fillId="19" fontId="1" numFmtId="168" xfId="0" applyBorder="1" applyFont="1" applyNumberFormat="1"/>
    <xf borderId="37" fillId="19" fontId="6" numFmtId="168" xfId="0" applyBorder="1" applyFont="1" applyNumberFormat="1"/>
    <xf borderId="37" fillId="25" fontId="6" numFmtId="168" xfId="0" applyBorder="1" applyFont="1" applyNumberFormat="1"/>
    <xf borderId="46" fillId="0" fontId="1" numFmtId="0" xfId="0" applyBorder="1" applyFont="1"/>
    <xf borderId="37" fillId="19" fontId="1" numFmtId="0" xfId="0" applyBorder="1" applyFont="1"/>
    <xf borderId="21" fillId="19" fontId="6" numFmtId="168" xfId="0" applyBorder="1" applyFont="1" applyNumberFormat="1"/>
    <xf borderId="23" fillId="0" fontId="1" numFmtId="0" xfId="0" applyBorder="1" applyFont="1"/>
    <xf borderId="37" fillId="0" fontId="6" numFmtId="168" xfId="0" applyAlignment="1" applyBorder="1" applyFont="1" applyNumberFormat="1">
      <alignment readingOrder="0"/>
    </xf>
    <xf borderId="41" fillId="19" fontId="6" numFmtId="168" xfId="0" applyBorder="1" applyFont="1" applyNumberFormat="1"/>
    <xf borderId="58" fillId="25" fontId="6" numFmtId="168" xfId="0" applyBorder="1" applyFont="1" applyNumberFormat="1"/>
    <xf borderId="38" fillId="0" fontId="1" numFmtId="0" xfId="0" applyBorder="1" applyFont="1"/>
    <xf borderId="39" fillId="19" fontId="6" numFmtId="168" xfId="0" applyBorder="1" applyFont="1" applyNumberFormat="1"/>
    <xf borderId="42" fillId="0" fontId="6" numFmtId="0" xfId="0" applyBorder="1" applyFont="1"/>
    <xf borderId="59" fillId="19" fontId="6" numFmtId="168" xfId="0" applyBorder="1" applyFont="1" applyNumberFormat="1"/>
    <xf borderId="60" fillId="25" fontId="6" numFmtId="168" xfId="0" applyBorder="1" applyFont="1" applyNumberFormat="1"/>
    <xf borderId="61" fillId="27" fontId="31" numFmtId="168" xfId="0" applyBorder="1" applyFill="1" applyFont="1" applyNumberFormat="1"/>
    <xf borderId="62" fillId="27" fontId="31" numFmtId="168" xfId="0" applyBorder="1" applyFont="1" applyNumberFormat="1"/>
    <xf borderId="63" fillId="27" fontId="31" numFmtId="168" xfId="0" applyBorder="1" applyFont="1" applyNumberFormat="1"/>
    <xf borderId="63" fillId="0" fontId="0" numFmtId="0" xfId="0" applyBorder="1" applyFont="1"/>
    <xf borderId="62" fillId="19" fontId="6" numFmtId="168" xfId="0" applyBorder="1" applyFont="1" applyNumberFormat="1"/>
    <xf borderId="37" fillId="0" fontId="6" numFmtId="0" xfId="0" applyBorder="1" applyFont="1"/>
    <xf borderId="64" fillId="19" fontId="6" numFmtId="168" xfId="0" applyBorder="1" applyFont="1" applyNumberFormat="1"/>
    <xf borderId="64" fillId="25" fontId="6" numFmtId="168" xfId="0" applyBorder="1" applyFont="1" applyNumberFormat="1"/>
    <xf borderId="43" fillId="27" fontId="6" numFmtId="168" xfId="0" applyBorder="1" applyFont="1" applyNumberFormat="1"/>
    <xf borderId="39" fillId="27" fontId="6" numFmtId="168" xfId="0" applyBorder="1" applyFont="1" applyNumberFormat="1"/>
    <xf borderId="44" fillId="27" fontId="6" numFmtId="168" xfId="0" applyBorder="1" applyFont="1" applyNumberFormat="1"/>
    <xf borderId="21" fillId="19" fontId="1" numFmtId="0" xfId="0" applyBorder="1" applyFont="1"/>
    <xf borderId="23" fillId="19" fontId="6" numFmtId="168" xfId="0" applyBorder="1" applyFont="1" applyNumberFormat="1"/>
    <xf borderId="0" fillId="7" fontId="16" numFmtId="0" xfId="0" applyAlignment="1" applyFont="1">
      <alignment horizontal="center"/>
    </xf>
    <xf borderId="32" fillId="0" fontId="17" numFmtId="0" xfId="0" applyAlignment="1" applyBorder="1" applyFont="1">
      <alignment horizontal="center" readingOrder="0" shrinkToFit="0" wrapText="1"/>
    </xf>
    <xf borderId="0" fillId="26" fontId="19" numFmtId="166" xfId="0" applyAlignment="1" applyFont="1" applyNumberFormat="1">
      <alignment shrinkToFit="0" wrapText="1"/>
    </xf>
    <xf borderId="0" fillId="7" fontId="19" numFmtId="166" xfId="0" applyAlignment="1" applyFont="1" applyNumberFormat="1">
      <alignment shrinkToFit="0" wrapText="1"/>
    </xf>
    <xf borderId="0" fillId="26" fontId="19" numFmtId="166" xfId="0" applyAlignment="1" applyFont="1" applyNumberFormat="1">
      <alignment horizontal="right" shrinkToFit="0" wrapText="1"/>
    </xf>
    <xf borderId="0" fillId="7" fontId="19" numFmtId="166" xfId="0" applyAlignment="1" applyFont="1" applyNumberFormat="1">
      <alignment horizontal="right" shrinkToFit="0" wrapText="1"/>
    </xf>
    <xf borderId="32" fillId="0" fontId="18" numFmtId="0" xfId="0" applyAlignment="1" applyBorder="1" applyFont="1">
      <alignment horizontal="left" shrinkToFit="0" wrapText="1"/>
    </xf>
    <xf borderId="32" fillId="26" fontId="19" numFmtId="10" xfId="0" applyAlignment="1" applyBorder="1" applyFont="1" applyNumberFormat="1">
      <alignment horizontal="right" shrinkToFit="0" wrapText="1"/>
    </xf>
    <xf borderId="32" fillId="7" fontId="19" numFmtId="10" xfId="0" applyAlignment="1" applyBorder="1" applyFont="1" applyNumberFormat="1">
      <alignment horizontal="right" shrinkToFit="0" wrapText="1"/>
    </xf>
    <xf borderId="0" fillId="7" fontId="19" numFmtId="10" xfId="0" applyAlignment="1" applyFont="1" applyNumberFormat="1">
      <alignment horizontal="right" shrinkToFit="0" wrapText="1"/>
    </xf>
    <xf borderId="0" fillId="26" fontId="18" numFmtId="10" xfId="0" applyAlignment="1" applyFont="1" applyNumberFormat="1">
      <alignment horizontal="right" shrinkToFit="0" wrapText="1"/>
    </xf>
    <xf borderId="35" fillId="7" fontId="18" numFmtId="10" xfId="0" applyAlignment="1" applyBorder="1" applyFont="1" applyNumberFormat="1">
      <alignment horizontal="right" shrinkToFit="0" wrapText="1"/>
    </xf>
    <xf borderId="35" fillId="0" fontId="18" numFmtId="167" xfId="0" applyAlignment="1" applyBorder="1" applyFont="1" applyNumberFormat="1">
      <alignment horizontal="right" readingOrder="0" shrinkToFit="0" wrapText="1"/>
    </xf>
    <xf borderId="0" fillId="0" fontId="20" numFmtId="167" xfId="0" applyFont="1" applyNumberFormat="1"/>
    <xf borderId="0" fillId="7" fontId="18" numFmtId="10" xfId="0" applyAlignment="1" applyFont="1" applyNumberFormat="1">
      <alignment horizontal="right" shrinkToFit="0" wrapText="1"/>
    </xf>
    <xf borderId="0" fillId="26" fontId="19" numFmtId="10" xfId="0" applyAlignment="1" applyFont="1" applyNumberFormat="1">
      <alignment horizontal="right" shrinkToFit="0" wrapText="1"/>
    </xf>
    <xf borderId="0" fillId="7" fontId="19" numFmtId="10" xfId="0" applyAlignment="1" applyFont="1" applyNumberFormat="1">
      <alignment horizontal="right" readingOrder="0" shrinkToFit="0" wrapText="1"/>
    </xf>
    <xf borderId="36" fillId="0" fontId="18" numFmtId="0" xfId="0" applyAlignment="1" applyBorder="1" applyFont="1">
      <alignment horizontal="left" shrinkToFit="0" wrapText="1"/>
    </xf>
    <xf borderId="36" fillId="7" fontId="18" numFmtId="10" xfId="0" applyAlignment="1" applyBorder="1" applyFont="1" applyNumberFormat="1">
      <alignment horizontal="right" shrinkToFit="0" wrapText="1"/>
    </xf>
    <xf borderId="36" fillId="0" fontId="18" numFmtId="167" xfId="0" applyAlignment="1" applyBorder="1" applyFont="1" applyNumberFormat="1">
      <alignment horizontal="right" shrinkToFit="0" wrapText="1"/>
    </xf>
    <xf borderId="35" fillId="26" fontId="18" numFmtId="10" xfId="0" applyAlignment="1" applyBorder="1" applyFont="1" applyNumberFormat="1">
      <alignment horizontal="right" shrinkToFit="0" wrapText="1"/>
    </xf>
    <xf borderId="0" fillId="0" fontId="26" numFmtId="0" xfId="0" applyFont="1"/>
    <xf borderId="0" fillId="0" fontId="18" numFmtId="0" xfId="0" applyAlignment="1" applyFont="1">
      <alignment horizontal="left" readingOrder="0" shrinkToFit="0" wrapText="1"/>
    </xf>
    <xf borderId="0" fillId="0" fontId="19" numFmtId="10" xfId="0" applyAlignment="1" applyFont="1" applyNumberFormat="1">
      <alignment horizontal="right" shrinkToFit="0" wrapText="1"/>
    </xf>
    <xf borderId="0" fillId="26" fontId="19" numFmtId="10" xfId="0" applyAlignment="1" applyFont="1" applyNumberFormat="1">
      <alignment horizontal="right" readingOrder="0" shrinkToFit="0" wrapText="1"/>
    </xf>
    <xf borderId="36" fillId="26" fontId="18" numFmtId="10" xfId="0" applyAlignment="1" applyBorder="1" applyFont="1" applyNumberFormat="1">
      <alignment horizontal="right" shrinkToFit="0" wrapText="1"/>
    </xf>
    <xf borderId="32" fillId="7" fontId="18" numFmtId="10" xfId="0" applyAlignment="1" applyBorder="1" applyFont="1" applyNumberFormat="1">
      <alignment horizontal="right" shrinkToFit="0" wrapText="1"/>
    </xf>
    <xf borderId="0" fillId="0" fontId="19" numFmtId="10" xfId="0" applyAlignment="1" applyFont="1" applyNumberFormat="1">
      <alignment shrinkToFit="0" wrapText="1"/>
    </xf>
    <xf borderId="0" fillId="27" fontId="20" numFmtId="0" xfId="0" applyFont="1"/>
    <xf borderId="0" fillId="27" fontId="32" numFmtId="0" xfId="0" applyAlignment="1" applyFont="1">
      <alignment horizontal="center" readingOrder="0"/>
    </xf>
    <xf borderId="0" fillId="0" fontId="17" numFmtId="0" xfId="0" applyAlignment="1" applyFont="1">
      <alignment horizontal="center" shrinkToFit="0" wrapText="1"/>
    </xf>
    <xf borderId="0" fillId="0" fontId="19" numFmtId="171" xfId="0" applyAlignment="1" applyFont="1" applyNumberFormat="1">
      <alignment horizontal="right" shrinkToFit="0" wrapText="1"/>
    </xf>
    <xf borderId="0" fillId="0" fontId="19" numFmtId="171" xfId="0" applyAlignment="1" applyFont="1" applyNumberFormat="1">
      <alignment horizontal="right" readingOrder="0" shrinkToFit="0" wrapText="1"/>
    </xf>
    <xf borderId="0" fillId="0" fontId="20" numFmtId="0" xfId="0" applyAlignment="1" applyFont="1">
      <alignment horizontal="left" readingOrder="0"/>
    </xf>
    <xf borderId="0" fillId="0" fontId="20" numFmtId="10" xfId="0" applyAlignment="1" applyFont="1" applyNumberFormat="1">
      <alignment horizontal="left"/>
    </xf>
    <xf borderId="32" fillId="0" fontId="2" numFmtId="0" xfId="0" applyBorder="1" applyFont="1"/>
    <xf borderId="32" fillId="0" fontId="27" numFmtId="0" xfId="0" applyAlignment="1" applyBorder="1" applyFont="1">
      <alignment readingOrder="0"/>
    </xf>
    <xf borderId="32" fillId="0" fontId="28" numFmtId="0" xfId="0" applyBorder="1" applyFont="1"/>
    <xf borderId="32" fillId="0" fontId="27" numFmtId="0" xfId="0" applyBorder="1" applyFont="1"/>
    <xf borderId="0" fillId="0" fontId="28" numFmtId="0" xfId="0" applyAlignment="1" applyFont="1">
      <alignment horizontal="center" readingOrder="0"/>
    </xf>
    <xf borderId="0" fillId="0" fontId="6" numFmtId="0" xfId="0" applyAlignment="1" applyFont="1">
      <alignment horizontal="left" shrinkToFit="0" wrapText="1"/>
    </xf>
    <xf borderId="0" fillId="0" fontId="2" numFmtId="168" xfId="0" applyFont="1" applyNumberFormat="1"/>
    <xf borderId="0" fillId="7" fontId="20" numFmtId="0" xfId="0" applyFont="1"/>
    <xf borderId="0" fillId="7" fontId="20" numFmtId="10" xfId="0" applyFont="1" applyNumberFormat="1"/>
    <xf borderId="0" fillId="0" fontId="1" numFmtId="0" xfId="0" applyAlignment="1" applyFont="1">
      <alignment horizontal="left" shrinkToFit="0" wrapText="1"/>
    </xf>
    <xf borderId="0" fillId="7" fontId="20" numFmtId="10" xfId="0" applyAlignment="1" applyFont="1" applyNumberFormat="1">
      <alignment readingOrder="0"/>
    </xf>
    <xf borderId="43" fillId="0" fontId="20" numFmtId="168" xfId="0" applyBorder="1" applyFont="1" applyNumberFormat="1"/>
    <xf borderId="32" fillId="0" fontId="1" numFmtId="0" xfId="0" applyAlignment="1" applyBorder="1" applyFont="1">
      <alignment horizontal="left" shrinkToFit="0" wrapText="1"/>
    </xf>
    <xf borderId="32" fillId="0" fontId="6" numFmtId="0" xfId="0" applyAlignment="1" applyBorder="1" applyFont="1">
      <alignment horizontal="left" shrinkToFit="0" wrapText="1"/>
    </xf>
    <xf borderId="36" fillId="0" fontId="27" numFmtId="168" xfId="0" applyBorder="1" applyFont="1" applyNumberFormat="1"/>
    <xf borderId="36" fillId="7" fontId="26" numFmtId="0" xfId="0" applyBorder="1" applyFont="1"/>
    <xf borderId="36" fillId="0" fontId="26" numFmtId="168" xfId="0" applyBorder="1" applyFont="1" applyNumberFormat="1"/>
    <xf borderId="36" fillId="7" fontId="20" numFmtId="10" xfId="0" applyBorder="1" applyFont="1" applyNumberFormat="1"/>
    <xf borderId="23" fillId="0" fontId="26" numFmtId="168" xfId="0" applyBorder="1" applyFont="1" applyNumberFormat="1"/>
    <xf borderId="36" fillId="0" fontId="6" numFmtId="0" xfId="0" applyAlignment="1" applyBorder="1" applyFont="1">
      <alignment horizontal="left" shrinkToFit="0" wrapText="1"/>
    </xf>
    <xf borderId="32" fillId="0" fontId="27" numFmtId="168" xfId="0" applyBorder="1" applyFont="1" applyNumberFormat="1"/>
    <xf borderId="0" fillId="7" fontId="26" numFmtId="0" xfId="0" applyFont="1"/>
    <xf borderId="32" fillId="0" fontId="26" numFmtId="168" xfId="0" applyBorder="1" applyFont="1" applyNumberFormat="1"/>
    <xf borderId="32" fillId="0" fontId="6" numFmtId="0" xfId="0" applyAlignment="1" applyBorder="1" applyFont="1">
      <alignment horizontal="left" readingOrder="0" shrinkToFit="0" wrapText="1"/>
    </xf>
    <xf borderId="32" fillId="27" fontId="2" numFmtId="10" xfId="0" applyBorder="1" applyFont="1" applyNumberFormat="1"/>
    <xf borderId="36" fillId="7" fontId="2" numFmtId="10" xfId="0" applyBorder="1" applyFont="1" applyNumberFormat="1"/>
    <xf borderId="32" fillId="7" fontId="20" numFmtId="10" xfId="0" applyBorder="1" applyFont="1" applyNumberFormat="1"/>
    <xf borderId="46" fillId="27" fontId="2" numFmtId="10" xfId="0" applyBorder="1" applyFont="1" applyNumberFormat="1"/>
    <xf borderId="0" fillId="0" fontId="27" numFmtId="168" xfId="0" applyFont="1" applyNumberFormat="1"/>
    <xf borderId="0" fillId="0" fontId="26" numFmtId="168" xfId="0" applyFont="1" applyNumberFormat="1"/>
    <xf borderId="43" fillId="0" fontId="26" numFmtId="168" xfId="0" applyBorder="1" applyFont="1" applyNumberFormat="1"/>
    <xf borderId="0" fillId="0" fontId="6" numFmtId="0" xfId="0" applyAlignment="1" applyFont="1">
      <alignment horizontal="left" readingOrder="0" shrinkToFit="0" wrapText="1"/>
    </xf>
    <xf borderId="0" fillId="27" fontId="2" numFmtId="10" xfId="0" applyFont="1" applyNumberFormat="1"/>
    <xf borderId="0" fillId="7" fontId="2" numFmtId="10" xfId="0" applyFont="1" applyNumberFormat="1"/>
    <xf borderId="43" fillId="27" fontId="2" numFmtId="10" xfId="0" applyBorder="1" applyFont="1" applyNumberFormat="1"/>
    <xf borderId="0" fillId="0" fontId="1" numFmtId="168" xfId="0" applyAlignment="1" applyFont="1" applyNumberFormat="1">
      <alignment horizontal="left" readingOrder="0"/>
    </xf>
    <xf borderId="0" fillId="0" fontId="20" numFmtId="168" xfId="0" applyAlignment="1" applyFont="1" applyNumberFormat="1">
      <alignment readingOrder="0"/>
    </xf>
    <xf borderId="0" fillId="22" fontId="20" numFmtId="0" xfId="0" applyAlignment="1" applyFont="1">
      <alignment readingOrder="0"/>
    </xf>
    <xf borderId="65" fillId="22" fontId="1" numFmtId="168" xfId="0" applyAlignment="1" applyBorder="1" applyFont="1" applyNumberFormat="1">
      <alignment horizontal="left" readingOrder="0"/>
    </xf>
    <xf borderId="65" fillId="22" fontId="20" numFmtId="168" xfId="0" applyAlignment="1" applyBorder="1" applyFont="1" applyNumberFormat="1">
      <alignment readingOrder="0"/>
    </xf>
    <xf borderId="36" fillId="22" fontId="20" numFmtId="9" xfId="0" applyAlignment="1" applyBorder="1" applyFont="1" applyNumberFormat="1">
      <alignment readingOrder="0"/>
    </xf>
    <xf borderId="36" fillId="22" fontId="20" numFmtId="168" xfId="0" applyAlignment="1" applyBorder="1" applyFont="1" applyNumberFormat="1">
      <alignment readingOrder="0"/>
    </xf>
    <xf borderId="36" fillId="22" fontId="20" numFmtId="0" xfId="0" applyAlignment="1" applyBorder="1" applyFont="1">
      <alignment readingOrder="0"/>
    </xf>
    <xf borderId="32" fillId="0" fontId="1" numFmtId="168" xfId="0" applyBorder="1" applyFont="1" applyNumberFormat="1"/>
    <xf borderId="0" fillId="0" fontId="2" numFmtId="164" xfId="0" applyAlignment="1" applyFont="1" applyNumberFormat="1">
      <alignment vertical="bottom"/>
    </xf>
    <xf borderId="35" fillId="0" fontId="2" numFmtId="164" xfId="0" applyAlignment="1" applyBorder="1" applyFont="1" applyNumberFormat="1">
      <alignment vertical="bottom"/>
    </xf>
    <xf borderId="35" fillId="0" fontId="2" numFmtId="164" xfId="0" applyAlignment="1" applyBorder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9" xfId="0" applyAlignment="1" applyFont="1" applyNumberFormat="1">
      <alignment vertical="bottom"/>
    </xf>
    <xf borderId="0" fillId="0" fontId="2" numFmtId="9" xfId="0" applyAlignment="1" applyFont="1" applyNumberFormat="1">
      <alignment horizontal="right" vertical="bottom"/>
    </xf>
    <xf borderId="66" fillId="22" fontId="20" numFmtId="0" xfId="0" applyAlignment="1" applyBorder="1" applyFont="1">
      <alignment readingOrder="0"/>
    </xf>
    <xf borderId="35" fillId="22" fontId="20" numFmtId="0" xfId="0" applyAlignment="1" applyBorder="1" applyFont="1">
      <alignment readingOrder="0"/>
    </xf>
    <xf borderId="35" fillId="22" fontId="20" numFmtId="168" xfId="0" applyAlignment="1" applyBorder="1" applyFont="1" applyNumberFormat="1">
      <alignment readingOrder="0"/>
    </xf>
    <xf borderId="67" fillId="22" fontId="20" numFmtId="168" xfId="0" applyAlignment="1" applyBorder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8" xfId="0" applyAlignment="1" applyFont="1" applyNumberFormat="1">
      <alignment horizontal="right" readingOrder="0" vertical="bottom"/>
    </xf>
    <xf borderId="68" fillId="22" fontId="1" numFmtId="168" xfId="0" applyAlignment="1" applyBorder="1" applyFont="1" applyNumberFormat="1">
      <alignment readingOrder="0"/>
    </xf>
    <xf borderId="22" fillId="22" fontId="1" numFmtId="9" xfId="0" applyAlignment="1" applyBorder="1" applyFont="1" applyNumberFormat="1">
      <alignment readingOrder="0"/>
    </xf>
    <xf borderId="23" fillId="22" fontId="20" numFmtId="168" xfId="0" applyAlignment="1" applyBorder="1" applyFont="1" applyNumberFormat="1">
      <alignment readingOrder="0"/>
    </xf>
    <xf borderId="69" fillId="22" fontId="1" numFmtId="168" xfId="0" applyAlignment="1" applyBorder="1" applyFont="1" applyNumberFormat="1">
      <alignment readingOrder="0"/>
    </xf>
    <xf borderId="70" fillId="22" fontId="1" numFmtId="168" xfId="0" applyAlignment="1" applyBorder="1" applyFont="1" applyNumberFormat="1">
      <alignment readingOrder="0"/>
    </xf>
    <xf borderId="70" fillId="22" fontId="20" numFmtId="168" xfId="0" applyAlignment="1" applyBorder="1" applyFont="1" applyNumberFormat="1">
      <alignment readingOrder="0"/>
    </xf>
    <xf borderId="71" fillId="22" fontId="20" numFmtId="168" xfId="0" applyAlignment="1" applyBorder="1" applyFont="1" applyNumberFormat="1">
      <alignment readingOrder="0"/>
    </xf>
    <xf borderId="32" fillId="0" fontId="2" numFmtId="9" xfId="0" applyAlignment="1" applyBorder="1" applyFont="1" applyNumberFormat="1">
      <alignment vertical="bottom"/>
    </xf>
    <xf borderId="32" fillId="0" fontId="2" numFmtId="9" xfId="0" applyAlignment="1" applyBorder="1" applyFont="1" applyNumberFormat="1">
      <alignment horizontal="right" vertical="bottom"/>
    </xf>
    <xf borderId="35" fillId="0" fontId="2" numFmtId="0" xfId="0" applyBorder="1" applyFont="1"/>
    <xf borderId="35" fillId="23" fontId="2" numFmtId="0" xfId="0" applyBorder="1" applyFont="1"/>
    <xf borderId="49" fillId="23" fontId="2" numFmtId="0" xfId="0" applyBorder="1" applyFont="1"/>
    <xf borderId="0" fillId="21" fontId="24" numFmtId="0" xfId="0" applyFont="1"/>
    <xf borderId="0" fillId="24" fontId="24" numFmtId="0" xfId="0" applyFont="1"/>
    <xf borderId="23" fillId="2" fontId="6" numFmtId="0" xfId="0" applyBorder="1" applyFont="1"/>
    <xf borderId="0" fillId="2" fontId="6" numFmtId="0" xfId="0" applyFont="1"/>
    <xf borderId="21" fillId="0" fontId="6" numFmtId="168" xfId="0" applyAlignment="1" applyBorder="1" applyFont="1" applyNumberFormat="1">
      <alignment readingOrder="0"/>
    </xf>
    <xf borderId="21" fillId="19" fontId="6" numFmtId="0" xfId="0" applyAlignment="1" applyBorder="1" applyFont="1">
      <alignment readingOrder="0"/>
    </xf>
    <xf borderId="21" fillId="25" fontId="6" numFmtId="0" xfId="0" applyAlignment="1" applyBorder="1" applyFont="1">
      <alignment readingOrder="0"/>
    </xf>
    <xf borderId="23" fillId="0" fontId="6" numFmtId="168" xfId="0" applyAlignment="1" applyBorder="1" applyFont="1" applyNumberFormat="1">
      <alignment readingOrder="0"/>
    </xf>
    <xf borderId="0" fillId="27" fontId="6" numFmtId="0" xfId="0" applyAlignment="1" applyFont="1">
      <alignment readingOrder="0"/>
    </xf>
    <xf borderId="0" fillId="27" fontId="33" numFmtId="0" xfId="0" applyAlignment="1" applyFont="1">
      <alignment readingOrder="0"/>
    </xf>
    <xf borderId="0" fillId="27" fontId="1" numFmtId="0" xfId="0" applyAlignment="1" applyFont="1">
      <alignment readingOrder="0"/>
    </xf>
    <xf borderId="72" fillId="14" fontId="1" numFmtId="168" xfId="0" applyBorder="1" applyFont="1" applyNumberFormat="1"/>
    <xf borderId="50" fillId="14" fontId="1" numFmtId="10" xfId="0" applyBorder="1" applyFont="1" applyNumberFormat="1"/>
    <xf borderId="73" fillId="14" fontId="1" numFmtId="168" xfId="0" applyAlignment="1" applyBorder="1" applyFont="1" applyNumberFormat="1">
      <alignment readingOrder="0"/>
    </xf>
    <xf borderId="25" fillId="25" fontId="1" numFmtId="168" xfId="0" applyBorder="1" applyFont="1" applyNumberFormat="1"/>
    <xf borderId="50" fillId="25" fontId="1" numFmtId="168" xfId="0" applyBorder="1" applyFont="1" applyNumberFormat="1"/>
    <xf borderId="22" fillId="14" fontId="1" numFmtId="168" xfId="0" applyBorder="1" applyFont="1" applyNumberFormat="1"/>
    <xf borderId="21" fillId="14" fontId="1" numFmtId="10" xfId="0" applyBorder="1" applyFont="1" applyNumberFormat="1"/>
    <xf borderId="23" fillId="14" fontId="1" numFmtId="168" xfId="0" applyBorder="1" applyFont="1" applyNumberFormat="1"/>
    <xf borderId="22" fillId="19" fontId="1" numFmtId="168" xfId="0" applyBorder="1" applyFont="1" applyNumberFormat="1"/>
    <xf borderId="0" fillId="25" fontId="1" numFmtId="168" xfId="0" applyFont="1" applyNumberFormat="1"/>
    <xf borderId="37" fillId="14" fontId="1" numFmtId="168" xfId="0" applyBorder="1" applyFont="1" applyNumberFormat="1"/>
    <xf borderId="30" fillId="13" fontId="21" numFmtId="10" xfId="0" applyBorder="1" applyFont="1" applyNumberFormat="1"/>
    <xf borderId="30" fillId="14" fontId="21" numFmtId="168" xfId="0" applyAlignment="1" applyBorder="1" applyFont="1" applyNumberFormat="1">
      <alignment readingOrder="0"/>
    </xf>
    <xf borderId="37" fillId="13" fontId="1" numFmtId="10" xfId="0" applyBorder="1" applyFont="1" applyNumberFormat="1"/>
    <xf borderId="30" fillId="28" fontId="21" numFmtId="10" xfId="0" applyBorder="1" applyFill="1" applyFont="1" applyNumberFormat="1"/>
    <xf borderId="74" fillId="19" fontId="1" numFmtId="168" xfId="0" applyBorder="1" applyFont="1" applyNumberFormat="1"/>
    <xf borderId="70" fillId="25" fontId="1" numFmtId="168" xfId="0" applyBorder="1" applyFont="1" applyNumberFormat="1"/>
    <xf borderId="39" fillId="14" fontId="1" numFmtId="168" xfId="0" applyBorder="1" applyFont="1" applyNumberFormat="1"/>
    <xf borderId="45" fillId="19" fontId="1" numFmtId="168" xfId="0" applyBorder="1" applyFont="1" applyNumberFormat="1"/>
    <xf borderId="46" fillId="25" fontId="1" numFmtId="168" xfId="0" applyBorder="1" applyFont="1" applyNumberFormat="1"/>
    <xf borderId="43" fillId="25" fontId="1" numFmtId="168" xfId="0" applyBorder="1" applyFont="1" applyNumberFormat="1"/>
    <xf borderId="22" fillId="19" fontId="21" numFmtId="168" xfId="0" applyBorder="1" applyFont="1" applyNumberFormat="1"/>
    <xf borderId="21" fillId="27" fontId="21" numFmtId="168" xfId="0" applyBorder="1" applyFont="1" applyNumberFormat="1"/>
    <xf borderId="23" fillId="25" fontId="21" numFmtId="168" xfId="0" applyBorder="1" applyFont="1" applyNumberFormat="1"/>
    <xf borderId="37" fillId="26" fontId="21" numFmtId="168" xfId="0" applyBorder="1" applyFont="1" applyNumberFormat="1"/>
    <xf borderId="23" fillId="25" fontId="21" numFmtId="0" xfId="0" applyBorder="1" applyFont="1"/>
    <xf borderId="23" fillId="25" fontId="1" numFmtId="168" xfId="0" applyBorder="1" applyFont="1" applyNumberFormat="1"/>
    <xf borderId="23" fillId="25" fontId="1" numFmtId="170" xfId="0" applyBorder="1" applyFont="1" applyNumberFormat="1"/>
    <xf borderId="37" fillId="26" fontId="0" numFmtId="168" xfId="0" applyAlignment="1" applyBorder="1" applyFont="1" applyNumberFormat="1">
      <alignment readingOrder="0"/>
    </xf>
    <xf borderId="30" fillId="0" fontId="1" numFmtId="168" xfId="0" applyAlignment="1" applyBorder="1" applyFont="1" applyNumberFormat="1">
      <alignment readingOrder="0"/>
    </xf>
    <xf borderId="54" fillId="25" fontId="1" numFmtId="168" xfId="0" applyBorder="1" applyFont="1" applyNumberFormat="1"/>
    <xf borderId="39" fillId="0" fontId="1" numFmtId="168" xfId="0" applyBorder="1" applyFont="1" applyNumberFormat="1"/>
    <xf borderId="40" fillId="28" fontId="6" numFmtId="10" xfId="0" applyBorder="1" applyFont="1" applyNumberFormat="1"/>
    <xf borderId="40" fillId="13" fontId="6" numFmtId="10" xfId="0" applyBorder="1" applyFont="1" applyNumberFormat="1"/>
    <xf borderId="40" fillId="0" fontId="6" numFmtId="168" xfId="0" applyAlignment="1" applyBorder="1" applyFont="1" applyNumberFormat="1">
      <alignment readingOrder="0"/>
    </xf>
    <xf borderId="53" fillId="19" fontId="6" numFmtId="168" xfId="0" applyBorder="1" applyFont="1" applyNumberFormat="1"/>
    <xf borderId="56" fillId="25" fontId="6" numFmtId="168" xfId="0" applyBorder="1" applyFont="1" applyNumberFormat="1"/>
    <xf borderId="56" fillId="0" fontId="6" numFmtId="0" xfId="0" applyBorder="1" applyFont="1"/>
    <xf borderId="0" fillId="27" fontId="1" numFmtId="0" xfId="0" applyFont="1"/>
    <xf borderId="0" fillId="27" fontId="1" numFmtId="168" xfId="0" applyFont="1" applyNumberFormat="1"/>
    <xf borderId="0" fillId="0" fontId="6" numFmtId="168" xfId="0" applyFont="1" applyNumberFormat="1"/>
    <xf borderId="45" fillId="19" fontId="6" numFmtId="168" xfId="0" applyBorder="1" applyFont="1" applyNumberFormat="1"/>
    <xf borderId="46" fillId="25" fontId="6" numFmtId="168" xfId="0" applyBorder="1" applyFont="1" applyNumberFormat="1"/>
    <xf borderId="22" fillId="19" fontId="6" numFmtId="168" xfId="0" applyBorder="1" applyFont="1" applyNumberFormat="1"/>
    <xf borderId="0" fillId="27" fontId="6" numFmtId="168" xfId="0" applyFont="1" applyNumberFormat="1"/>
    <xf borderId="23" fillId="25" fontId="6" numFmtId="168" xfId="0" applyBorder="1" applyFont="1" applyNumberFormat="1"/>
    <xf borderId="75" fillId="19" fontId="6" numFmtId="168" xfId="0" applyBorder="1" applyFont="1" applyNumberFormat="1"/>
    <xf borderId="48" fillId="25" fontId="6" numFmtId="168" xfId="0" applyBorder="1" applyFont="1" applyNumberFormat="1"/>
    <xf borderId="39" fillId="0" fontId="1" numFmtId="0" xfId="0" applyBorder="1" applyFont="1"/>
    <xf borderId="42" fillId="0" fontId="6" numFmtId="168" xfId="0" applyAlignment="1" applyBorder="1" applyFont="1" applyNumberFormat="1">
      <alignment readingOrder="0"/>
    </xf>
    <xf borderId="42" fillId="13" fontId="6" numFmtId="10" xfId="0" applyBorder="1" applyFont="1" applyNumberFormat="1"/>
    <xf borderId="42" fillId="28" fontId="6" numFmtId="10" xfId="0" applyBorder="1" applyFont="1" applyNumberFormat="1"/>
    <xf borderId="76" fillId="19" fontId="6" numFmtId="168" xfId="0" applyBorder="1" applyFont="1" applyNumberFormat="1"/>
    <xf borderId="43" fillId="25" fontId="6" numFmtId="168" xfId="0" applyBorder="1" applyFont="1" applyNumberFormat="1"/>
    <xf borderId="61" fillId="27" fontId="31" numFmtId="0" xfId="0" applyBorder="1" applyFont="1"/>
    <xf borderId="62" fillId="27" fontId="31" numFmtId="0" xfId="0" applyBorder="1" applyFont="1"/>
    <xf borderId="63" fillId="27" fontId="31" numFmtId="0" xfId="0" applyBorder="1" applyFont="1"/>
    <xf borderId="0" fillId="27" fontId="6" numFmtId="0" xfId="0" applyFont="1"/>
    <xf borderId="37" fillId="13" fontId="6" numFmtId="10" xfId="0" applyBorder="1" applyFont="1" applyNumberFormat="1"/>
    <xf borderId="37" fillId="28" fontId="6" numFmtId="10" xfId="0" applyBorder="1" applyFont="1" applyNumberFormat="1"/>
    <xf borderId="77" fillId="19" fontId="6" numFmtId="168" xfId="0" applyBorder="1" applyFont="1" applyNumberFormat="1"/>
    <xf borderId="43" fillId="27" fontId="6" numFmtId="0" xfId="0" applyBorder="1" applyFont="1"/>
    <xf borderId="39" fillId="27" fontId="6" numFmtId="0" xfId="0" applyBorder="1" applyFont="1"/>
    <xf borderId="44" fillId="27" fontId="6" numFmtId="0" xfId="0" applyBorder="1" applyFont="1"/>
  </cellXfs>
  <cellStyles count="1">
    <cellStyle xfId="0" name="Normal" builtinId="0"/>
  </cellStyles>
  <dxfs count="13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D7D31"/>
          <bgColor rgb="FFED7D31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13">
    <tableStyle count="4" pivot="0" name="IGNORE-style">
      <tableStyleElement dxfId="2" type="headerRow"/>
      <tableStyleElement dxfId="3" type="firstRowStripe"/>
      <tableStyleElement dxfId="4" type="secondRowStripe"/>
      <tableStyleElement dxfId="5" type="totalRow"/>
    </tableStyle>
    <tableStyle count="3" pivot="0" name="IGNORE1-style">
      <tableStyleElement dxfId="6" type="headerRow"/>
      <tableStyleElement dxfId="4" type="firstRowStripe"/>
      <tableStyleElement dxfId="4" type="secondRowStripe"/>
    </tableStyle>
    <tableStyle count="3" pivot="0" name="IGNORE1-style 2">
      <tableStyleElement dxfId="2" type="headerRow"/>
      <tableStyleElement dxfId="3" type="firstRowStripe"/>
      <tableStyleElement dxfId="4" type="secondRowStripe"/>
    </tableStyle>
    <tableStyle count="3" pivot="0" name="IGNORE1-style 3">
      <tableStyleElement dxfId="7" type="headerRow"/>
      <tableStyleElement dxfId="8" type="firstRowStripe"/>
      <tableStyleElement dxfId="9" type="secondRowStripe"/>
    </tableStyle>
    <tableStyle count="2" pivot="0" name="IGNORE1-style 4">
      <tableStyleElement dxfId="10" type="firstRowStripe"/>
      <tableStyleElement dxfId="11" type="secondRowStripe"/>
    </tableStyle>
    <tableStyle count="2" pivot="0" name="IGNORE1-style 5">
      <tableStyleElement dxfId="4" type="firstRowStripe"/>
      <tableStyleElement dxfId="4" type="secondRowStripe"/>
    </tableStyle>
    <tableStyle count="3" pivot="0" name="IGNORE1-style 6">
      <tableStyleElement dxfId="5" type="headerRow"/>
      <tableStyleElement dxfId="12" type="firstRowStripe"/>
      <tableStyleElement dxfId="4" type="secondRowStripe"/>
    </tableStyle>
    <tableStyle count="3" pivot="0" name="IGNORE3-style">
      <tableStyleElement dxfId="6" type="headerRow"/>
      <tableStyleElement dxfId="4" type="firstRowStripe"/>
      <tableStyleElement dxfId="4" type="secondRowStripe"/>
    </tableStyle>
    <tableStyle count="3" pivot="0" name="IGNORE3-style 2">
      <tableStyleElement dxfId="2" type="headerRow"/>
      <tableStyleElement dxfId="3" type="firstRowStripe"/>
      <tableStyleElement dxfId="4" type="secondRowStripe"/>
    </tableStyle>
    <tableStyle count="3" pivot="0" name="IGNORE3-style 3">
      <tableStyleElement dxfId="7" type="headerRow"/>
      <tableStyleElement dxfId="8" type="firstRowStripe"/>
      <tableStyleElement dxfId="9" type="secondRowStripe"/>
    </tableStyle>
    <tableStyle count="2" pivot="0" name="IGNORE3-style 4">
      <tableStyleElement dxfId="10" type="firstRowStripe"/>
      <tableStyleElement dxfId="11" type="secondRowStripe"/>
    </tableStyle>
    <tableStyle count="2" pivot="0" name="IGNORE3-style 5">
      <tableStyleElement dxfId="4" type="firstRowStripe"/>
      <tableStyleElement dxfId="4" type="secondRowStripe"/>
    </tableStyle>
    <tableStyle count="3" pivot="0" name="IGNORE3-style 6">
      <tableStyleElement dxfId="5" type="headerRow"/>
      <tableStyleElement dxfId="1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Quarterly Gross Revenue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'Profit and Loss'!$A$48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$145.5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$148.6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$230.0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$219.0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$247.5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$200.7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and Loss'!$B$47:$L$47</c:f>
            </c:strRef>
          </c:cat>
          <c:val>
            <c:numRef>
              <c:f>'Profit and Loss'!$B$48:$L$48</c:f>
              <c:numCache/>
            </c:numRef>
          </c:val>
        </c:ser>
        <c:axId val="1512643812"/>
        <c:axId val="1845045258"/>
      </c:barChart>
      <c:catAx>
        <c:axId val="15126438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1845045258"/>
      </c:catAx>
      <c:valAx>
        <c:axId val="1845045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Georgia"/>
                  </a:defRPr>
                </a:pPr>
                <a:r>
                  <a:rPr b="0" sz="1600">
                    <a:solidFill>
                      <a:srgbClr val="000000"/>
                    </a:solidFill>
                    <a:latin typeface="Georgia"/>
                  </a:rPr>
                  <a:t>Revenue ('000s)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15126438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Quarterly Gross Margin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and Loss'!$B$74:$G$74</c:f>
            </c:strRef>
          </c:cat>
          <c:val>
            <c:numRef>
              <c:f>'Profit and Loss'!$B$75:$G$75</c:f>
              <c:numCache/>
            </c:numRef>
          </c:val>
        </c:ser>
        <c:axId val="1642006524"/>
        <c:axId val="110469040"/>
      </c:barChart>
      <c:catAx>
        <c:axId val="1642006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10469040"/>
      </c:catAx>
      <c:valAx>
        <c:axId val="110469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20065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Quarterly Gross Margin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and Loss'!$B$74:$G$74</c:f>
            </c:strRef>
          </c:cat>
          <c:val>
            <c:numRef>
              <c:f>'Profit and Loss'!$B$75:$G$75</c:f>
              <c:numCache/>
            </c:numRef>
          </c:val>
        </c:ser>
        <c:axId val="976222190"/>
        <c:axId val="148387170"/>
      </c:barChart>
      <c:catAx>
        <c:axId val="976222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48387170"/>
      </c:catAx>
      <c:valAx>
        <c:axId val="148387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62221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Quarterly Gross Revenue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'Profit and Loss'!$A$48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$145.5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$148.6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$230.0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$219.0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$247.5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$200.7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and Loss'!$B$47:$L$47</c:f>
            </c:strRef>
          </c:cat>
          <c:val>
            <c:numRef>
              <c:f>'Profit and Loss'!$B$48:$L$48</c:f>
              <c:numCache/>
            </c:numRef>
          </c:val>
        </c:ser>
        <c:axId val="628656683"/>
        <c:axId val="606285296"/>
      </c:barChart>
      <c:catAx>
        <c:axId val="6286566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606285296"/>
      </c:catAx>
      <c:valAx>
        <c:axId val="606285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Georgia"/>
                  </a:defRPr>
                </a:pPr>
                <a:r>
                  <a:rPr b="0" sz="1600">
                    <a:solidFill>
                      <a:srgbClr val="000000"/>
                    </a:solidFill>
                    <a:latin typeface="Georgia"/>
                  </a:rPr>
                  <a:t>Revenue ('000s)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6286566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2</xdr:row>
      <xdr:rowOff>257175</xdr:rowOff>
    </xdr:from>
    <xdr:ext cx="895350" cy="628650"/>
    <xdr:grpSp>
      <xdr:nvGrpSpPr>
        <xdr:cNvPr id="2" name="Shape 2"/>
        <xdr:cNvGrpSpPr/>
      </xdr:nvGrpSpPr>
      <xdr:grpSpPr>
        <a:xfrm>
          <a:off x="4898325" y="3465675"/>
          <a:ext cx="895350" cy="628650"/>
          <a:chOff x="4898325" y="3465675"/>
          <a:chExt cx="895350" cy="628650"/>
        </a:xfrm>
      </xdr:grpSpPr>
      <xdr:grpSp>
        <xdr:nvGrpSpPr>
          <xdr:cNvPr id="3" name="Shape 3" title="Drawing"/>
          <xdr:cNvGrpSpPr/>
        </xdr:nvGrpSpPr>
        <xdr:grpSpPr>
          <a:xfrm>
            <a:off x="4898325" y="3465675"/>
            <a:ext cx="895350" cy="628650"/>
            <a:chOff x="2480200" y="1010075"/>
            <a:chExt cx="1009800" cy="705600"/>
          </a:xfrm>
        </xdr:grpSpPr>
        <xdr:sp>
          <xdr:nvSpPr>
            <xdr:cNvPr id="4" name="Shape 4"/>
            <xdr:cNvSpPr/>
          </xdr:nvSpPr>
          <xdr:spPr>
            <a:xfrm>
              <a:off x="2480200" y="1010075"/>
              <a:ext cx="1009800" cy="705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 rot="10800000">
              <a:off x="2480200" y="1010075"/>
              <a:ext cx="1009800" cy="705600"/>
            </a:xfrm>
            <a:prstGeom prst="rightArrow">
              <a:avLst>
                <a:gd fmla="val 50000" name="adj1"/>
                <a:gd fmla="val 50000" name="adj2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 txBox="1"/>
          </xdr:nvSpPr>
          <xdr:spPr>
            <a:xfrm>
              <a:off x="2666500" y="1162775"/>
              <a:ext cx="8235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Select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</xdr:col>
      <xdr:colOff>381000</xdr:colOff>
      <xdr:row>2</xdr:row>
      <xdr:rowOff>0</xdr:rowOff>
    </xdr:from>
    <xdr:ext cx="628650" cy="476250"/>
    <xdr:grpSp>
      <xdr:nvGrpSpPr>
        <xdr:cNvPr id="2" name="Shape 2"/>
        <xdr:cNvGrpSpPr/>
      </xdr:nvGrpSpPr>
      <xdr:grpSpPr>
        <a:xfrm>
          <a:off x="5028500" y="3540896"/>
          <a:ext cx="635001" cy="478209"/>
          <a:chOff x="5028500" y="3540896"/>
          <a:chExt cx="635001" cy="478209"/>
        </a:xfrm>
      </xdr:grpSpPr>
      <xdr:grpSp>
        <xdr:nvGrpSpPr>
          <xdr:cNvPr id="7" name="Shape 7" title="Drawing"/>
          <xdr:cNvGrpSpPr/>
        </xdr:nvGrpSpPr>
        <xdr:grpSpPr>
          <a:xfrm>
            <a:off x="5028500" y="3540896"/>
            <a:ext cx="635001" cy="478209"/>
            <a:chOff x="2229090" y="882475"/>
            <a:chExt cx="978885" cy="1390076"/>
          </a:xfrm>
        </xdr:grpSpPr>
        <xdr:sp>
          <xdr:nvSpPr>
            <xdr:cNvPr id="4" name="Shape 4"/>
            <xdr:cNvSpPr/>
          </xdr:nvSpPr>
          <xdr:spPr>
            <a:xfrm>
              <a:off x="2229090" y="882475"/>
              <a:ext cx="978875" cy="13900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" name="Shape 8"/>
            <xdr:cNvSpPr/>
          </xdr:nvSpPr>
          <xdr:spPr>
            <a:xfrm>
              <a:off x="2352800" y="882475"/>
              <a:ext cx="696000" cy="774677"/>
            </a:xfrm>
            <a:prstGeom prst="upArrow">
              <a:avLst>
                <a:gd fmla="val 50000" name="adj1"/>
                <a:gd fmla="val 50000" name="adj2"/>
              </a:avLst>
            </a:prstGeom>
            <a:solidFill>
              <a:srgbClr val="FF0000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 txBox="1"/>
          </xdr:nvSpPr>
          <xdr:spPr>
            <a:xfrm>
              <a:off x="2229090" y="1325207"/>
              <a:ext cx="978885" cy="947344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Select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552450</xdr:colOff>
      <xdr:row>49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552450</xdr:colOff>
      <xdr:row>76</xdr:row>
      <xdr:rowOff>47625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266700</xdr:colOff>
      <xdr:row>41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123825</xdr:colOff>
      <xdr:row>41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ref="F14:Q19" displayName="Table_1" id="1">
  <tableColumns count="12">
    <tableColumn totalsRowFunction="custom" name="1" id="1"/>
    <tableColumn totalsRowFunction="custom" name="2" id="2"/>
    <tableColumn totalsRowFunction="custom" name="3" id="3"/>
    <tableColumn totalsRowFunction="custom" name="4" id="4"/>
    <tableColumn totalsRowFunction="custom" name="5" id="5"/>
    <tableColumn totalsRowFunction="custom" name="6" id="6"/>
    <tableColumn totalsRowFunction="custom" name="7" id="7"/>
    <tableColumn totalsRowFunction="custom" name="8" id="8"/>
    <tableColumn totalsRowFunction="custom" name="9" id="9"/>
    <tableColumn totalsRowFunction="custom" name="10" id="10"/>
    <tableColumn totalsRowFunction="custom" name="11" id="11"/>
    <tableColumn totalsRowFunction="custom" name="12" id="12"/>
  </tableColumns>
  <tableStyleInfo name="IGNORE-style" showColumnStripes="0" showFirstColumn="1" showLastColumn="1" showRowStripes="1"/>
</table>
</file>

<file path=xl/tables/table2.xml><?xml version="1.0" encoding="utf-8"?>
<table xmlns="http://schemas.openxmlformats.org/spreadsheetml/2006/main" ref="B5:N11" displayName="Table_2" id="2">
  <tableColumns count="13">
    <tableColumn name="Column1" id="1"/>
    <tableColumn name="1" id="2"/>
    <tableColumn name="2" id="3"/>
    <tableColumn name="3" id="4"/>
    <tableColumn name="4" id="5"/>
    <tableColumn name="5" id="6"/>
    <tableColumn name="6" id="7"/>
    <tableColumn name="7" id="8"/>
    <tableColumn name="8" id="9"/>
    <tableColumn name="9" id="10"/>
    <tableColumn name="10" id="11"/>
    <tableColumn name="11" id="12"/>
    <tableColumn name="12" id="13"/>
  </tableColumns>
  <tableStyleInfo name="IGNORE1-style" showColumnStripes="0" showFirstColumn="1" showLastColumn="1" showRowStripes="1"/>
</table>
</file>

<file path=xl/tables/table3.xml><?xml version="1.0" encoding="utf-8"?>
<table xmlns="http://schemas.openxmlformats.org/spreadsheetml/2006/main" ref="B15:N19" displayName="Table_3" id="3">
  <tableColumns count="13">
    <tableColumn name="Column1" id="1"/>
    <tableColumn name="1" id="2"/>
    <tableColumn name="2" id="3"/>
    <tableColumn name="3" id="4"/>
    <tableColumn name="4" id="5"/>
    <tableColumn name="5" id="6"/>
    <tableColumn name="6" id="7"/>
    <tableColumn name="7" id="8"/>
    <tableColumn name="8" id="9"/>
    <tableColumn name="9" id="10"/>
    <tableColumn name="10" id="11"/>
    <tableColumn name="11" id="12"/>
    <tableColumn name="12" id="13"/>
  </tableColumns>
  <tableStyleInfo name="IGNORE1-style 2" showColumnStripes="0" showFirstColumn="1" showLastColumn="1" showRowStripes="1"/>
</table>
</file>

<file path=xl/tables/table4.xml><?xml version="1.0" encoding="utf-8"?>
<table xmlns="http://schemas.openxmlformats.org/spreadsheetml/2006/main" ref="A22:N25" displayName="Table_4" id="4">
  <tableColumns count="14">
    <tableColumn name="Expense" id="1"/>
    <tableColumn name="Column1" id="2"/>
    <tableColumn name="1" id="3"/>
    <tableColumn name="2" id="4"/>
    <tableColumn name="3" id="5"/>
    <tableColumn name="4" id="6"/>
    <tableColumn name="5" id="7"/>
    <tableColumn name="6" id="8"/>
    <tableColumn name="7" id="9"/>
    <tableColumn name="8" id="10"/>
    <tableColumn name="9" id="11"/>
    <tableColumn name="10" id="12"/>
    <tableColumn name="11" id="13"/>
    <tableColumn name="12" id="14"/>
  </tableColumns>
  <tableStyleInfo name="IGNORE1-style 3" showColumnStripes="0" showFirstColumn="1" showLastColumn="1" showRowStripes="1"/>
</table>
</file>

<file path=xl/tables/table5.xml><?xml version="1.0" encoding="utf-8"?>
<table xmlns="http://schemas.openxmlformats.org/spreadsheetml/2006/main" headerRowCount="0" ref="A26:N35" displayName="Table_5" id="5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IGNORE1-style 4" showColumnStripes="0" showFirstColumn="1" showLastColumn="1" showRowStripes="1"/>
</table>
</file>

<file path=xl/tables/table6.xml><?xml version="1.0" encoding="utf-8"?>
<table xmlns="http://schemas.openxmlformats.org/spreadsheetml/2006/main" headerRowCount="0" ref="A36:C47" displayName="Table_6" id="6">
  <tableColumns count="3">
    <tableColumn name="Column1" id="1"/>
    <tableColumn name="Column2" id="2"/>
    <tableColumn name="Column3" id="3"/>
  </tableColumns>
  <tableStyleInfo name="IGNORE1-style 5" showColumnStripes="0" showFirstColumn="1" showLastColumn="1" showRowStripes="1"/>
</table>
</file>

<file path=xl/tables/table7.xml><?xml version="1.0" encoding="utf-8"?>
<table xmlns="http://schemas.openxmlformats.org/spreadsheetml/2006/main" ref="A55:N60" displayName="Table_7" id="7">
  <tableColumns count="14">
    <tableColumn name="Column1" id="1"/>
    <tableColumn name="Column2" id="2"/>
    <tableColumn name="1" id="3"/>
    <tableColumn name="2" id="4"/>
    <tableColumn name="3" id="5"/>
    <tableColumn name="4" id="6"/>
    <tableColumn name="5" id="7"/>
    <tableColumn name="6" id="8"/>
    <tableColumn name="7" id="9"/>
    <tableColumn name="8" id="10"/>
    <tableColumn name="9" id="11"/>
    <tableColumn name="10" id="12"/>
    <tableColumn name="11" id="13"/>
    <tableColumn name="12" id="14"/>
  </tableColumns>
  <tableStyleInfo name="IGNORE1-style 6" showColumnStripes="0" showFirstColumn="1" showLastColumn="1" showRowStripes="1"/>
</table>
</file>

<file path=xl/tables/table8.xml><?xml version="1.0" encoding="utf-8"?>
<table xmlns="http://schemas.openxmlformats.org/spreadsheetml/2006/main" ref="B5:N11" displayName="Table_8" id="8">
  <tableColumns count="13">
    <tableColumn name="Column1" id="1"/>
    <tableColumn name="1" id="2"/>
    <tableColumn name="2" id="3"/>
    <tableColumn name="3" id="4"/>
    <tableColumn name="4" id="5"/>
    <tableColumn name="5" id="6"/>
    <tableColumn name="6" id="7"/>
    <tableColumn name="7" id="8"/>
    <tableColumn name="8" id="9"/>
    <tableColumn name="9" id="10"/>
    <tableColumn name="10" id="11"/>
    <tableColumn name="11" id="12"/>
    <tableColumn name="12" id="13"/>
  </tableColumns>
  <tableStyleInfo name="IGNORE3-style" showColumnStripes="0" showFirstColumn="1" showLastColumn="1" showRowStripes="1"/>
</table>
</file>

<file path=xl/tables/table9.xml><?xml version="1.0" encoding="utf-8"?>
<table xmlns="http://schemas.openxmlformats.org/spreadsheetml/2006/main" ref="B15:N19" displayName="Table_9" id="9">
  <tableColumns count="13">
    <tableColumn name="Column1" id="1"/>
    <tableColumn name="1" id="2"/>
    <tableColumn name="2" id="3"/>
    <tableColumn name="3" id="4"/>
    <tableColumn name="4" id="5"/>
    <tableColumn name="5" id="6"/>
    <tableColumn name="6" id="7"/>
    <tableColumn name="7" id="8"/>
    <tableColumn name="8" id="9"/>
    <tableColumn name="9" id="10"/>
    <tableColumn name="10" id="11"/>
    <tableColumn name="11" id="12"/>
    <tableColumn name="12" id="13"/>
  </tableColumns>
  <tableStyleInfo name="IGNORE3-style 2" showColumnStripes="0" showFirstColumn="1" showLastColumn="1" showRowStripes="1"/>
</table>
</file>

<file path=xl/tables/table10.xml><?xml version="1.0" encoding="utf-8"?>
<table xmlns="http://schemas.openxmlformats.org/spreadsheetml/2006/main" ref="A22:N25" displayName="Table_10" id="10">
  <tableColumns count="14">
    <tableColumn name="Expense" id="1"/>
    <tableColumn name="Column1" id="2"/>
    <tableColumn name="1" id="3"/>
    <tableColumn name="2" id="4"/>
    <tableColumn name="3" id="5"/>
    <tableColumn name="4" id="6"/>
    <tableColumn name="5" id="7"/>
    <tableColumn name="6" id="8"/>
    <tableColumn name="7" id="9"/>
    <tableColumn name="8" id="10"/>
    <tableColumn name="9" id="11"/>
    <tableColumn name="10" id="12"/>
    <tableColumn name="11" id="13"/>
    <tableColumn name="12" id="14"/>
  </tableColumns>
  <tableStyleInfo name="IGNORE3-style 3" showColumnStripes="0" showFirstColumn="1" showLastColumn="1" showRowStripes="1"/>
</table>
</file>

<file path=xl/tables/table11.xml><?xml version="1.0" encoding="utf-8"?>
<table xmlns="http://schemas.openxmlformats.org/spreadsheetml/2006/main" headerRowCount="0" ref="A26:N35" displayName="Table_11" id="1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IGNORE3-style 4" showColumnStripes="0" showFirstColumn="1" showLastColumn="1" showRowStripes="1"/>
</table>
</file>

<file path=xl/tables/table12.xml><?xml version="1.0" encoding="utf-8"?>
<table xmlns="http://schemas.openxmlformats.org/spreadsheetml/2006/main" headerRowCount="0" ref="A36:C47" displayName="Table_12" id="12">
  <tableColumns count="3">
    <tableColumn name="Column1" id="1"/>
    <tableColumn name="Column2" id="2"/>
    <tableColumn name="Column3" id="3"/>
  </tableColumns>
  <tableStyleInfo name="IGNORE3-style 5" showColumnStripes="0" showFirstColumn="1" showLastColumn="1" showRowStripes="1"/>
</table>
</file>

<file path=xl/tables/table13.xml><?xml version="1.0" encoding="utf-8"?>
<table xmlns="http://schemas.openxmlformats.org/spreadsheetml/2006/main" ref="A55:N60" displayName="Table_13" id="13">
  <tableColumns count="14">
    <tableColumn name="Column1" id="1"/>
    <tableColumn name="Column2" id="2"/>
    <tableColumn name="1" id="3"/>
    <tableColumn name="2" id="4"/>
    <tableColumn name="3" id="5"/>
    <tableColumn name="4" id="6"/>
    <tableColumn name="5" id="7"/>
    <tableColumn name="6" id="8"/>
    <tableColumn name="7" id="9"/>
    <tableColumn name="8" id="10"/>
    <tableColumn name="9" id="11"/>
    <tableColumn name="10" id="12"/>
    <tableColumn name="11" id="13"/>
    <tableColumn name="12" id="14"/>
  </tableColumns>
  <tableStyleInfo name="IGNORE3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13" Type="http://schemas.openxmlformats.org/officeDocument/2006/relationships/table" Target="../tables/table7.xml"/><Relationship Id="rId12" Type="http://schemas.openxmlformats.org/officeDocument/2006/relationships/table" Target="../tables/table6.xml"/><Relationship Id="rId9" Type="http://schemas.openxmlformats.org/officeDocument/2006/relationships/table" Target="../tables/table3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9" Type="http://schemas.openxmlformats.org/officeDocument/2006/relationships/table" Target="../tables/table9.xml"/><Relationship Id="rId8" Type="http://schemas.openxmlformats.org/officeDocument/2006/relationships/table" Target="../tables/table8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5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6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0.57"/>
    <col customWidth="1" min="3" max="3" width="11.14"/>
    <col customWidth="1" min="4" max="4" width="39.14"/>
    <col customWidth="1" min="5" max="5" width="27.86"/>
    <col customWidth="1" min="6" max="6" width="15.43"/>
    <col customWidth="1" min="7" max="7" width="12.0"/>
    <col customWidth="1" min="8" max="8" width="17.14"/>
    <col customWidth="1" min="9" max="9" width="17.71"/>
    <col customWidth="1" min="10" max="10" width="11.43"/>
    <col customWidth="1" min="11" max="11" width="18.0"/>
    <col customWidth="1" min="12" max="12" width="14.29"/>
    <col customWidth="1" min="13" max="13" width="8.57"/>
    <col customWidth="1" min="14" max="16" width="8.71"/>
    <col customWidth="1" min="17" max="17" width="14.29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4" t="s">
        <v>5</v>
      </c>
      <c r="C2" s="3">
        <f>IF(B2="CCM",61,IF(B2="RPM",107,IF(B2="PCM",35,IF(B2="CCM &amp; RPM",127,""))))</f>
        <v>127</v>
      </c>
      <c r="E2" s="5" t="s">
        <v>6</v>
      </c>
      <c r="F2" s="6">
        <f>SUMIF(F18:Q18,"&lt;0")</f>
        <v>-49798.36</v>
      </c>
      <c r="H2" s="7" t="s">
        <v>7</v>
      </c>
      <c r="I2" s="8"/>
      <c r="K2" s="7" t="s">
        <v>8</v>
      </c>
      <c r="L2" s="8"/>
    </row>
    <row r="3" ht="33.75" customHeight="1">
      <c r="A3" s="1"/>
      <c r="B3" s="9"/>
      <c r="E3" s="10" t="s">
        <v>9</v>
      </c>
      <c r="F3" s="11">
        <f>IGNORE1!$C$69</f>
        <v>5</v>
      </c>
      <c r="H3" s="12"/>
      <c r="I3" s="13"/>
      <c r="K3" s="12"/>
      <c r="L3" s="13"/>
    </row>
    <row r="4">
      <c r="A4" s="14" t="s">
        <v>10</v>
      </c>
      <c r="B4" s="15" t="s">
        <v>11</v>
      </c>
      <c r="C4" s="16">
        <v>1.0</v>
      </c>
      <c r="E4" s="17"/>
      <c r="F4" s="17"/>
      <c r="H4" s="18" t="s">
        <v>12</v>
      </c>
      <c r="I4" s="19">
        <f>IGNORE1!$C$72</f>
        <v>73554.04</v>
      </c>
      <c r="K4" s="18" t="s">
        <v>12</v>
      </c>
      <c r="L4" s="19">
        <f>IGNORE1!Q25</f>
        <v>277368</v>
      </c>
    </row>
    <row r="5">
      <c r="A5" s="1"/>
      <c r="B5" s="20" t="s">
        <v>13</v>
      </c>
      <c r="C5" s="21">
        <v>0.7</v>
      </c>
      <c r="E5" s="22" t="s">
        <v>14</v>
      </c>
      <c r="F5" s="23">
        <f>IGNORE1!$C$70</f>
        <v>4273.64</v>
      </c>
      <c r="H5" s="12"/>
      <c r="I5" s="24"/>
      <c r="K5" s="12"/>
      <c r="L5" s="24"/>
    </row>
    <row r="6">
      <c r="A6" s="1"/>
      <c r="C6" s="3"/>
      <c r="D6" s="3"/>
      <c r="F6" s="25"/>
      <c r="H6" s="18" t="s">
        <v>15</v>
      </c>
      <c r="I6" s="19">
        <f>IGNORE1!C73</f>
        <v>-49798.36</v>
      </c>
      <c r="K6" s="18" t="s">
        <v>15</v>
      </c>
      <c r="L6" s="19">
        <f>IGNORE1!Q24</f>
        <v>156102.24</v>
      </c>
    </row>
    <row r="7">
      <c r="A7" s="1"/>
      <c r="C7" s="3"/>
      <c r="D7" s="3"/>
      <c r="E7" s="26" t="s">
        <v>16</v>
      </c>
      <c r="F7" s="27">
        <f>IGNORE1!$C$66</f>
        <v>10</v>
      </c>
      <c r="H7" s="12"/>
      <c r="I7" s="13"/>
      <c r="K7" s="12"/>
      <c r="L7" s="13"/>
    </row>
    <row r="8">
      <c r="A8" s="28" t="s">
        <v>17</v>
      </c>
      <c r="B8" s="29" t="s">
        <v>18</v>
      </c>
      <c r="C8" s="30">
        <v>25.0</v>
      </c>
      <c r="D8" s="3"/>
      <c r="E8" s="31" t="s">
        <v>14</v>
      </c>
      <c r="F8" s="32">
        <f>IGNORE1!$C$67</f>
        <v>3544.72</v>
      </c>
      <c r="H8" s="18" t="s">
        <v>19</v>
      </c>
      <c r="I8" s="19">
        <f>SUM(F18:Q18)</f>
        <v>23755.68</v>
      </c>
      <c r="K8" s="18" t="s">
        <v>20</v>
      </c>
      <c r="L8" s="19">
        <f>IGNORE1!Q19</f>
        <v>121265.76</v>
      </c>
    </row>
    <row r="9">
      <c r="A9" s="1"/>
      <c r="C9" s="3"/>
      <c r="K9" s="33"/>
      <c r="L9" s="33"/>
    </row>
    <row r="10">
      <c r="A10" s="34" t="s">
        <v>21</v>
      </c>
      <c r="B10" s="35" t="s">
        <v>22</v>
      </c>
      <c r="C10" s="30">
        <v>0.0</v>
      </c>
    </row>
    <row r="11">
      <c r="A11" s="1"/>
      <c r="B11" s="35" t="s">
        <v>23</v>
      </c>
      <c r="C11" s="30">
        <v>65.0</v>
      </c>
    </row>
    <row r="12">
      <c r="A12" s="1"/>
      <c r="B12" s="35" t="s">
        <v>24</v>
      </c>
      <c r="C12" s="30">
        <v>3000.0</v>
      </c>
    </row>
    <row r="13">
      <c r="A13" s="1"/>
      <c r="B13" s="35" t="s">
        <v>25</v>
      </c>
      <c r="C13" s="30">
        <v>27.0</v>
      </c>
    </row>
    <row r="14">
      <c r="A14" s="1"/>
      <c r="B14" s="35" t="s">
        <v>26</v>
      </c>
      <c r="C14" s="30">
        <v>18.0</v>
      </c>
      <c r="E14" s="36" t="s">
        <v>27</v>
      </c>
      <c r="F14" s="37" t="s">
        <v>28</v>
      </c>
      <c r="G14" s="37" t="s">
        <v>29</v>
      </c>
      <c r="H14" s="37" t="s">
        <v>30</v>
      </c>
      <c r="I14" s="37" t="s">
        <v>31</v>
      </c>
      <c r="J14" s="37" t="s">
        <v>32</v>
      </c>
      <c r="K14" s="37" t="s">
        <v>33</v>
      </c>
      <c r="L14" s="37" t="s">
        <v>34</v>
      </c>
      <c r="M14" s="37" t="s">
        <v>35</v>
      </c>
      <c r="N14" s="37" t="s">
        <v>36</v>
      </c>
      <c r="O14" s="37" t="s">
        <v>37</v>
      </c>
      <c r="P14" s="37" t="s">
        <v>38</v>
      </c>
      <c r="Q14" s="37" t="s">
        <v>39</v>
      </c>
    </row>
    <row r="15">
      <c r="A15" s="1"/>
      <c r="B15" s="35" t="s">
        <v>40</v>
      </c>
      <c r="C15" s="30">
        <v>18.0</v>
      </c>
      <c r="E15" s="36" t="s">
        <v>12</v>
      </c>
      <c r="F15" s="38" t="str">
        <f>IGNORE1!C16</f>
        <v/>
      </c>
      <c r="G15" s="38">
        <f>IGNORE1!D16</f>
        <v>0</v>
      </c>
      <c r="H15" s="38">
        <f>IGNORE1!E16</f>
        <v>5334</v>
      </c>
      <c r="I15" s="38">
        <f>IGNORE1!F16</f>
        <v>10668</v>
      </c>
      <c r="J15" s="38">
        <f>IGNORE1!G16</f>
        <v>16002</v>
      </c>
      <c r="K15" s="38">
        <f>IGNORE1!H16</f>
        <v>21336</v>
      </c>
      <c r="L15" s="38">
        <f>IGNORE1!I16</f>
        <v>23114</v>
      </c>
      <c r="M15" s="38">
        <f>IGNORE1!J16</f>
        <v>23114</v>
      </c>
      <c r="N15" s="38">
        <f>IGNORE1!K16</f>
        <v>23114</v>
      </c>
      <c r="O15" s="38">
        <f>IGNORE1!L16</f>
        <v>23114</v>
      </c>
      <c r="P15" s="38">
        <f>IGNORE1!M16</f>
        <v>23114</v>
      </c>
      <c r="Q15" s="38">
        <f>IGNORE1!N16</f>
        <v>23114</v>
      </c>
    </row>
    <row r="16">
      <c r="A16" s="1"/>
      <c r="B16" s="35" t="s">
        <v>41</v>
      </c>
      <c r="C16" s="21">
        <v>0.03</v>
      </c>
      <c r="E16" s="36" t="s">
        <v>15</v>
      </c>
      <c r="F16" s="38">
        <f>IGNORE1!C17</f>
        <v>39016</v>
      </c>
      <c r="G16" s="38">
        <f>IGNORE1!D17</f>
        <v>7528</v>
      </c>
      <c r="H16" s="38">
        <f>IGNORE1!E17</f>
        <v>8488.12</v>
      </c>
      <c r="I16" s="38">
        <f>IGNORE1!F17</f>
        <v>10768.24</v>
      </c>
      <c r="J16" s="38">
        <f>IGNORE1!G17</f>
        <v>11728.36</v>
      </c>
      <c r="K16" s="38">
        <f>IGNORE1!H17</f>
        <v>12688.48</v>
      </c>
      <c r="L16" s="38">
        <f>IGNORE1!I17</f>
        <v>13008.52</v>
      </c>
      <c r="M16" s="38">
        <f>IGNORE1!J17</f>
        <v>13008.52</v>
      </c>
      <c r="N16" s="38">
        <f>IGNORE1!K17</f>
        <v>13008.52</v>
      </c>
      <c r="O16" s="38">
        <f>IGNORE1!L17</f>
        <v>13008.52</v>
      </c>
      <c r="P16" s="38">
        <f>IGNORE1!M17</f>
        <v>13008.52</v>
      </c>
      <c r="Q16" s="38">
        <f>IGNORE1!N17</f>
        <v>13008.52</v>
      </c>
    </row>
    <row r="17">
      <c r="A17" s="1"/>
      <c r="B17" s="35" t="s">
        <v>42</v>
      </c>
      <c r="C17" s="21">
        <v>0.15</v>
      </c>
      <c r="E17" s="36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>
      <c r="A18" s="39" t="s">
        <v>43</v>
      </c>
      <c r="B18" s="40" t="s">
        <v>44</v>
      </c>
      <c r="C18" s="30">
        <v>650.0</v>
      </c>
      <c r="E18" s="36" t="s">
        <v>45</v>
      </c>
      <c r="F18" s="38">
        <f>IGNORE1!C19</f>
        <v>-39016</v>
      </c>
      <c r="G18" s="38">
        <f>IGNORE1!D19</f>
        <v>-7528</v>
      </c>
      <c r="H18" s="38">
        <f>IGNORE1!E19</f>
        <v>-3154.12</v>
      </c>
      <c r="I18" s="38">
        <f>IGNORE1!F19</f>
        <v>-100.24</v>
      </c>
      <c r="J18" s="38">
        <f>IGNORE1!G19</f>
        <v>4273.64</v>
      </c>
      <c r="K18" s="38">
        <f>IGNORE1!H19</f>
        <v>8647.52</v>
      </c>
      <c r="L18" s="38">
        <f>IGNORE1!I19</f>
        <v>10105.48</v>
      </c>
      <c r="M18" s="38">
        <f>IGNORE1!J19</f>
        <v>10105.48</v>
      </c>
      <c r="N18" s="38">
        <f>IGNORE1!K19</f>
        <v>10105.48</v>
      </c>
      <c r="O18" s="38">
        <f>IGNORE1!L19</f>
        <v>10105.48</v>
      </c>
      <c r="P18" s="38">
        <f>IGNORE1!M19</f>
        <v>10105.48</v>
      </c>
      <c r="Q18" s="38">
        <f>IGNORE1!N19</f>
        <v>10105.48</v>
      </c>
    </row>
    <row r="19">
      <c r="A19" s="1"/>
      <c r="B19" s="40" t="s">
        <v>46</v>
      </c>
      <c r="C19" s="30">
        <v>150.0</v>
      </c>
      <c r="E19" s="36" t="s">
        <v>47</v>
      </c>
      <c r="F19" s="38">
        <f>IGNORE1!C64</f>
        <v>-39016</v>
      </c>
      <c r="G19" s="38">
        <f>IGNORE1!D64</f>
        <v>-46544</v>
      </c>
      <c r="H19" s="38">
        <f>IGNORE1!E64</f>
        <v>-49698.12</v>
      </c>
      <c r="I19" s="38">
        <f>IGNORE1!F64</f>
        <v>-49798.36</v>
      </c>
      <c r="J19" s="38">
        <f>IGNORE1!G64</f>
        <v>-45524.72</v>
      </c>
      <c r="K19" s="38">
        <f>IGNORE1!H64</f>
        <v>-36877.2</v>
      </c>
      <c r="L19" s="38">
        <f>IGNORE1!I64</f>
        <v>-26771.72</v>
      </c>
      <c r="M19" s="38">
        <f>IGNORE1!J64</f>
        <v>-16666.24</v>
      </c>
      <c r="N19" s="38">
        <f>IGNORE1!K64</f>
        <v>-6560.76</v>
      </c>
      <c r="O19" s="38">
        <f>IGNORE1!L64</f>
        <v>3544.72</v>
      </c>
      <c r="P19" s="38">
        <f>IGNORE1!M64</f>
        <v>13650.2</v>
      </c>
      <c r="Q19" s="41">
        <f>IGNORE1!N64</f>
        <v>23755.68</v>
      </c>
    </row>
    <row r="20">
      <c r="A20" s="1"/>
      <c r="B20" s="40" t="s">
        <v>48</v>
      </c>
      <c r="C20" s="30">
        <v>10.0</v>
      </c>
    </row>
    <row r="21" ht="15.75" customHeight="1">
      <c r="A21" s="1"/>
      <c r="B21" s="40" t="s">
        <v>49</v>
      </c>
      <c r="C21" s="30">
        <v>8.0</v>
      </c>
    </row>
    <row r="22" ht="25.5" customHeight="1">
      <c r="A22" s="1"/>
      <c r="B22" s="40" t="s">
        <v>50</v>
      </c>
      <c r="C22" s="30">
        <v>15.0</v>
      </c>
      <c r="E22" s="42" t="s">
        <v>51</v>
      </c>
      <c r="F22" s="43">
        <f>SUM(F18:Q18)</f>
        <v>23755.68</v>
      </c>
    </row>
    <row r="23" ht="25.5" customHeight="1">
      <c r="A23" s="1"/>
      <c r="B23" s="40" t="s">
        <v>52</v>
      </c>
      <c r="C23" s="30">
        <v>400.0</v>
      </c>
      <c r="E23" s="42" t="s">
        <v>53</v>
      </c>
      <c r="F23" s="43">
        <f>IGNORE1!Q19</f>
        <v>121265.76</v>
      </c>
    </row>
    <row r="24" ht="25.5" customHeight="1">
      <c r="A24" s="1"/>
      <c r="B24" s="40" t="s">
        <v>54</v>
      </c>
      <c r="C24" s="30">
        <v>60.0</v>
      </c>
      <c r="E24" s="42" t="s">
        <v>55</v>
      </c>
      <c r="F24" s="43">
        <f>IGNORE1!R19</f>
        <v>121265.76</v>
      </c>
    </row>
    <row r="25" ht="15.75" customHeight="1">
      <c r="A25" s="1"/>
      <c r="B25" s="40" t="s">
        <v>56</v>
      </c>
      <c r="C25" s="30">
        <v>45.0</v>
      </c>
    </row>
    <row r="26" ht="15.75" customHeight="1">
      <c r="A26" s="1"/>
      <c r="B26" s="40" t="s">
        <v>57</v>
      </c>
      <c r="C26" s="30">
        <v>25.0</v>
      </c>
    </row>
    <row r="27" ht="15.75" customHeight="1">
      <c r="A27" s="1"/>
      <c r="B27" s="40" t="s">
        <v>58</v>
      </c>
      <c r="C27" s="30">
        <v>30000.0</v>
      </c>
    </row>
    <row r="28" ht="15.75" customHeight="1">
      <c r="A28" s="1"/>
      <c r="B28" s="40" t="s">
        <v>59</v>
      </c>
      <c r="C28" s="30">
        <v>125.0</v>
      </c>
    </row>
    <row r="29" ht="15.75" customHeight="1">
      <c r="A29" s="1"/>
      <c r="C29" s="3"/>
      <c r="D29" s="2" t="s">
        <v>60</v>
      </c>
    </row>
    <row r="30" ht="15.75" customHeight="1">
      <c r="A30" s="44"/>
      <c r="B30" s="45"/>
      <c r="C30" s="45" t="s">
        <v>61</v>
      </c>
      <c r="D30" s="46" t="s">
        <v>62</v>
      </c>
      <c r="E30" s="45" t="s">
        <v>63</v>
      </c>
      <c r="F30" s="47" t="s">
        <v>64</v>
      </c>
    </row>
    <row r="31" ht="15.75" customHeight="1">
      <c r="A31" s="48" t="s">
        <v>65</v>
      </c>
      <c r="B31" s="49" t="s">
        <v>66</v>
      </c>
      <c r="C31" s="3">
        <f t="shared" ref="C31:C37" si="1">D31/12</f>
        <v>12500</v>
      </c>
      <c r="D31" s="50">
        <v>150000.0</v>
      </c>
      <c r="E31" s="50">
        <f t="shared" ref="E31:E37" si="2">C31*18</f>
        <v>225000</v>
      </c>
      <c r="F31" s="51">
        <f t="shared" ref="F31:F37" si="3">C31*24</f>
        <v>300000</v>
      </c>
    </row>
    <row r="32" ht="15.75" customHeight="1">
      <c r="A32" s="48"/>
      <c r="B32" s="49" t="s">
        <v>67</v>
      </c>
      <c r="C32" s="3">
        <f t="shared" si="1"/>
        <v>12500</v>
      </c>
      <c r="D32" s="50">
        <v>150000.0</v>
      </c>
      <c r="E32" s="50">
        <f t="shared" si="2"/>
        <v>225000</v>
      </c>
      <c r="F32" s="51">
        <f t="shared" si="3"/>
        <v>300000</v>
      </c>
    </row>
    <row r="33" ht="15.75" customHeight="1">
      <c r="A33" s="48"/>
      <c r="B33" s="49" t="s">
        <v>68</v>
      </c>
      <c r="C33" s="3">
        <f t="shared" si="1"/>
        <v>9166.666667</v>
      </c>
      <c r="D33" s="50">
        <v>110000.0</v>
      </c>
      <c r="E33" s="50">
        <f t="shared" si="2"/>
        <v>165000</v>
      </c>
      <c r="F33" s="51">
        <f t="shared" si="3"/>
        <v>220000</v>
      </c>
    </row>
    <row r="34" ht="15.75" customHeight="1">
      <c r="A34" s="48"/>
      <c r="B34" s="49" t="s">
        <v>69</v>
      </c>
      <c r="C34" s="3">
        <f t="shared" si="1"/>
        <v>4166.666667</v>
      </c>
      <c r="D34" s="50">
        <v>50000.0</v>
      </c>
      <c r="E34" s="50">
        <f t="shared" si="2"/>
        <v>75000</v>
      </c>
      <c r="F34" s="51">
        <f t="shared" si="3"/>
        <v>100000</v>
      </c>
    </row>
    <row r="35" ht="15.75" customHeight="1">
      <c r="A35" s="52"/>
      <c r="B35" s="53" t="s">
        <v>70</v>
      </c>
      <c r="C35" s="54">
        <f t="shared" si="1"/>
        <v>3333.333333</v>
      </c>
      <c r="D35" s="55">
        <v>40000.0</v>
      </c>
      <c r="E35" s="55">
        <f t="shared" si="2"/>
        <v>60000</v>
      </c>
      <c r="F35" s="56">
        <f t="shared" si="3"/>
        <v>80000</v>
      </c>
    </row>
    <row r="36" ht="15.75" customHeight="1">
      <c r="A36" s="48"/>
      <c r="B36" s="49" t="s">
        <v>71</v>
      </c>
      <c r="C36" s="3">
        <f t="shared" si="1"/>
        <v>2500</v>
      </c>
      <c r="D36" s="50">
        <v>30000.0</v>
      </c>
      <c r="E36" s="50">
        <f t="shared" si="2"/>
        <v>45000</v>
      </c>
      <c r="F36" s="51">
        <f t="shared" si="3"/>
        <v>60000</v>
      </c>
    </row>
    <row r="37" ht="15.75" customHeight="1">
      <c r="A37" s="48"/>
      <c r="B37" s="49" t="s">
        <v>72</v>
      </c>
      <c r="C37" s="3">
        <f t="shared" si="1"/>
        <v>1666.666667</v>
      </c>
      <c r="D37" s="50">
        <v>20000.0</v>
      </c>
      <c r="E37" s="50">
        <f t="shared" si="2"/>
        <v>30000</v>
      </c>
      <c r="F37" s="51">
        <f t="shared" si="3"/>
        <v>40000</v>
      </c>
    </row>
    <row r="38" ht="15.75" customHeight="1">
      <c r="A38" s="57"/>
      <c r="C38" s="3"/>
      <c r="D38" s="50"/>
      <c r="E38" s="50"/>
      <c r="F38" s="51"/>
    </row>
    <row r="39" ht="15.75" customHeight="1">
      <c r="A39" s="58" t="s">
        <v>73</v>
      </c>
      <c r="B39" s="59" t="s">
        <v>74</v>
      </c>
      <c r="C39" s="3">
        <f t="shared" ref="C39:C40" si="4">D39/12</f>
        <v>6250</v>
      </c>
      <c r="D39" s="50">
        <v>75000.0</v>
      </c>
      <c r="E39" s="50">
        <f t="shared" ref="E39:E45" si="5">C39*18</f>
        <v>112500</v>
      </c>
      <c r="F39" s="51">
        <f t="shared" ref="F39:F45" si="6">C39*24</f>
        <v>150000</v>
      </c>
    </row>
    <row r="40" ht="15.75" customHeight="1">
      <c r="A40" s="52"/>
      <c r="B40" s="53" t="s">
        <v>75</v>
      </c>
      <c r="C40" s="54">
        <f t="shared" si="4"/>
        <v>6250</v>
      </c>
      <c r="D40" s="55">
        <v>75000.0</v>
      </c>
      <c r="E40" s="55">
        <f t="shared" si="5"/>
        <v>112500</v>
      </c>
      <c r="F40" s="56">
        <f t="shared" si="6"/>
        <v>150000</v>
      </c>
    </row>
    <row r="41" ht="15.75" customHeight="1">
      <c r="A41" s="58"/>
      <c r="B41" s="59" t="s">
        <v>76</v>
      </c>
      <c r="C41" s="3">
        <v>5000.0</v>
      </c>
      <c r="D41" s="50">
        <v>60000.0</v>
      </c>
      <c r="E41" s="50">
        <f t="shared" si="5"/>
        <v>90000</v>
      </c>
      <c r="F41" s="51">
        <f t="shared" si="6"/>
        <v>120000</v>
      </c>
    </row>
    <row r="42" ht="15.75" customHeight="1">
      <c r="A42" s="58"/>
      <c r="B42" s="59" t="s">
        <v>76</v>
      </c>
      <c r="C42" s="3">
        <v>5000.0</v>
      </c>
      <c r="D42" s="50">
        <v>60000.0</v>
      </c>
      <c r="E42" s="50">
        <f t="shared" si="5"/>
        <v>90000</v>
      </c>
      <c r="F42" s="51">
        <f t="shared" si="6"/>
        <v>120000</v>
      </c>
    </row>
    <row r="43" ht="15.75" customHeight="1">
      <c r="A43" s="52"/>
      <c r="B43" s="53" t="s">
        <v>76</v>
      </c>
      <c r="C43" s="54">
        <v>5000.0</v>
      </c>
      <c r="D43" s="55">
        <v>60000.0</v>
      </c>
      <c r="E43" s="55">
        <f t="shared" si="5"/>
        <v>90000</v>
      </c>
      <c r="F43" s="56">
        <f t="shared" si="6"/>
        <v>120000</v>
      </c>
    </row>
    <row r="44" ht="15.75" customHeight="1">
      <c r="A44" s="52"/>
      <c r="B44" s="53" t="s">
        <v>76</v>
      </c>
      <c r="C44" s="54">
        <v>5000.0</v>
      </c>
      <c r="D44" s="55">
        <v>60000.0</v>
      </c>
      <c r="E44" s="55">
        <f t="shared" si="5"/>
        <v>90000</v>
      </c>
      <c r="F44" s="56">
        <f t="shared" si="6"/>
        <v>120000</v>
      </c>
    </row>
    <row r="45" ht="15.75" customHeight="1">
      <c r="A45" s="52"/>
      <c r="B45" s="53" t="s">
        <v>76</v>
      </c>
      <c r="C45" s="54">
        <v>5000.0</v>
      </c>
      <c r="D45" s="55">
        <v>60000.0</v>
      </c>
      <c r="E45" s="55">
        <f t="shared" si="5"/>
        <v>90000</v>
      </c>
      <c r="F45" s="56">
        <f t="shared" si="6"/>
        <v>120000</v>
      </c>
    </row>
    <row r="46" ht="15.75" customHeight="1">
      <c r="A46" s="57"/>
      <c r="C46" s="3"/>
      <c r="D46" s="50"/>
      <c r="E46" s="50"/>
      <c r="F46" s="51"/>
    </row>
    <row r="47" ht="15.75" customHeight="1">
      <c r="A47" s="60" t="s">
        <v>77</v>
      </c>
      <c r="B47" s="61" t="s">
        <v>78</v>
      </c>
      <c r="C47" s="54">
        <v>7500.0</v>
      </c>
      <c r="D47" s="55"/>
      <c r="E47" s="55">
        <f>C47*18</f>
        <v>135000</v>
      </c>
      <c r="F47" s="56">
        <f>C47*24</f>
        <v>180000</v>
      </c>
    </row>
    <row r="48" ht="15.75" customHeight="1">
      <c r="A48" s="57"/>
      <c r="C48" s="3"/>
      <c r="D48" s="50"/>
      <c r="E48" s="50"/>
      <c r="F48" s="51"/>
    </row>
    <row r="49" ht="15.75" customHeight="1">
      <c r="A49" s="62" t="s">
        <v>79</v>
      </c>
      <c r="B49" s="63" t="s">
        <v>80</v>
      </c>
      <c r="C49" s="3">
        <v>110000.0</v>
      </c>
      <c r="D49" s="3">
        <v>110000.0</v>
      </c>
      <c r="E49" s="3">
        <v>110000.0</v>
      </c>
      <c r="F49" s="64">
        <v>110000.0</v>
      </c>
    </row>
    <row r="50" ht="15.75" customHeight="1">
      <c r="A50" s="57"/>
      <c r="C50" s="3"/>
      <c r="D50" s="50"/>
      <c r="E50" s="50"/>
      <c r="F50" s="51"/>
    </row>
    <row r="51" ht="15.75" customHeight="1">
      <c r="A51" s="65" t="s">
        <v>81</v>
      </c>
      <c r="B51" s="66" t="s">
        <v>82</v>
      </c>
      <c r="C51" s="3">
        <f t="shared" ref="C51:C52" si="7">D51/12</f>
        <v>12500</v>
      </c>
      <c r="D51" s="50">
        <v>150000.0</v>
      </c>
      <c r="E51" s="50">
        <f t="shared" ref="E51:E52" si="8">C51*18</f>
        <v>225000</v>
      </c>
      <c r="F51" s="51">
        <f t="shared" ref="F51:F52" si="9">C51*24</f>
        <v>300000</v>
      </c>
    </row>
    <row r="52" ht="15.75" customHeight="1">
      <c r="A52" s="60"/>
      <c r="B52" s="61" t="s">
        <v>83</v>
      </c>
      <c r="C52" s="54">
        <f t="shared" si="7"/>
        <v>5000</v>
      </c>
      <c r="D52" s="55">
        <v>60000.0</v>
      </c>
      <c r="E52" s="55">
        <f t="shared" si="8"/>
        <v>90000</v>
      </c>
      <c r="F52" s="56">
        <f t="shared" si="9"/>
        <v>120000</v>
      </c>
    </row>
    <row r="53" ht="15.75" customHeight="1">
      <c r="A53" s="57"/>
      <c r="C53" s="3"/>
      <c r="D53" s="50"/>
      <c r="E53" s="50"/>
      <c r="F53" s="51"/>
    </row>
    <row r="54" ht="15.75" customHeight="1">
      <c r="A54" s="67" t="s">
        <v>47</v>
      </c>
      <c r="B54" s="68"/>
      <c r="C54" s="69">
        <f t="shared" ref="C54:F54" si="10">SUM(C31:C52)</f>
        <v>218333.3333</v>
      </c>
      <c r="D54" s="69">
        <f t="shared" si="10"/>
        <v>1320000</v>
      </c>
      <c r="E54" s="69">
        <f t="shared" si="10"/>
        <v>2060000</v>
      </c>
      <c r="F54" s="70">
        <f t="shared" si="10"/>
        <v>2710000</v>
      </c>
    </row>
    <row r="55" ht="15.75" customHeight="1">
      <c r="A55" s="1"/>
      <c r="C55" s="3"/>
    </row>
    <row r="56" ht="15.75" customHeight="1">
      <c r="A56" s="1"/>
      <c r="C56" s="3"/>
    </row>
    <row r="57" ht="15.75" customHeight="1">
      <c r="A57" s="1"/>
      <c r="C57" s="3"/>
    </row>
    <row r="58" ht="15.75" customHeight="1">
      <c r="A58" s="1"/>
      <c r="C58" s="3"/>
    </row>
    <row r="59" ht="15.75" customHeight="1">
      <c r="A59" s="1"/>
      <c r="C59" s="3"/>
    </row>
    <row r="60" ht="15.75" customHeight="1">
      <c r="A60" s="1"/>
      <c r="C60" s="3"/>
    </row>
    <row r="61" ht="15.75" customHeight="1">
      <c r="A61" s="1"/>
      <c r="C61" s="3"/>
    </row>
    <row r="62" ht="15.75" customHeight="1">
      <c r="A62" s="1"/>
      <c r="C62" s="3"/>
    </row>
    <row r="63" ht="15.75" customHeight="1">
      <c r="A63" s="1"/>
      <c r="C63" s="3"/>
    </row>
    <row r="64" ht="15.75" customHeight="1">
      <c r="A64" s="1"/>
      <c r="C64" s="3"/>
    </row>
    <row r="65" ht="15.75" customHeight="1">
      <c r="A65" s="1"/>
      <c r="C65" s="3"/>
    </row>
    <row r="66" ht="15.75" customHeight="1">
      <c r="A66" s="1"/>
      <c r="C66" s="3"/>
    </row>
    <row r="67" ht="15.75" customHeight="1">
      <c r="A67" s="1"/>
      <c r="C67" s="3"/>
    </row>
    <row r="68" ht="15.75" customHeight="1">
      <c r="A68" s="1"/>
      <c r="C68" s="3"/>
    </row>
    <row r="69" ht="15.75" customHeight="1">
      <c r="A69" s="1"/>
      <c r="C69" s="3"/>
    </row>
    <row r="70" ht="15.75" customHeight="1">
      <c r="A70" s="1"/>
      <c r="C70" s="3"/>
    </row>
    <row r="71" ht="15.75" customHeight="1">
      <c r="A71" s="1"/>
      <c r="C71" s="3"/>
    </row>
    <row r="72" ht="15.75" customHeight="1">
      <c r="A72" s="1"/>
      <c r="C72" s="3"/>
    </row>
    <row r="73" ht="15.75" customHeight="1">
      <c r="A73" s="1"/>
      <c r="C73" s="3"/>
    </row>
    <row r="74" ht="15.75" customHeight="1">
      <c r="A74" s="1"/>
      <c r="C74" s="3"/>
    </row>
    <row r="75" ht="15.75" customHeight="1">
      <c r="A75" s="1"/>
      <c r="C75" s="3"/>
    </row>
    <row r="76" ht="15.75" customHeight="1">
      <c r="A76" s="1"/>
      <c r="C76" s="3"/>
    </row>
    <row r="77" ht="15.75" customHeight="1">
      <c r="A77" s="1"/>
      <c r="C77" s="3"/>
    </row>
    <row r="78" ht="15.75" customHeight="1">
      <c r="A78" s="1"/>
      <c r="C78" s="3"/>
    </row>
    <row r="79" ht="15.75" customHeight="1">
      <c r="A79" s="1"/>
      <c r="C79" s="3"/>
    </row>
    <row r="80" ht="15.75" customHeight="1">
      <c r="A80" s="1"/>
      <c r="C80" s="3"/>
    </row>
    <row r="81" ht="15.75" customHeight="1">
      <c r="A81" s="1"/>
      <c r="C81" s="3"/>
    </row>
    <row r="82" ht="15.75" customHeight="1">
      <c r="A82" s="1"/>
      <c r="C82" s="3"/>
    </row>
    <row r="83" ht="15.75" customHeight="1">
      <c r="A83" s="1"/>
      <c r="C83" s="3"/>
    </row>
    <row r="84" ht="15.75" customHeight="1">
      <c r="A84" s="1"/>
      <c r="C84" s="3"/>
    </row>
    <row r="85" ht="15.75" customHeight="1">
      <c r="A85" s="1"/>
      <c r="C85" s="3"/>
    </row>
    <row r="86" ht="15.75" customHeight="1">
      <c r="A86" s="1"/>
      <c r="C86" s="3"/>
    </row>
    <row r="87" ht="15.75" customHeight="1">
      <c r="A87" s="1"/>
      <c r="C87" s="3"/>
    </row>
    <row r="88" ht="15.75" customHeight="1">
      <c r="A88" s="1"/>
      <c r="C88" s="3"/>
    </row>
    <row r="89" ht="15.75" customHeight="1">
      <c r="A89" s="1"/>
      <c r="C89" s="3"/>
    </row>
    <row r="90" ht="15.75" customHeight="1">
      <c r="A90" s="1"/>
      <c r="C90" s="3"/>
    </row>
    <row r="91" ht="15.75" customHeight="1">
      <c r="A91" s="1"/>
      <c r="C91" s="3"/>
    </row>
    <row r="92" ht="15.75" customHeight="1">
      <c r="A92" s="1"/>
      <c r="C92" s="3"/>
    </row>
    <row r="93" ht="15.75" customHeight="1">
      <c r="A93" s="1"/>
      <c r="C93" s="3"/>
    </row>
    <row r="94" ht="15.75" customHeight="1">
      <c r="A94" s="1"/>
      <c r="C94" s="3"/>
    </row>
    <row r="95" ht="15.75" customHeight="1">
      <c r="A95" s="1"/>
      <c r="C95" s="3"/>
    </row>
    <row r="96" ht="15.75" customHeight="1">
      <c r="A96" s="1"/>
      <c r="C96" s="3"/>
    </row>
    <row r="97" ht="15.75" customHeight="1">
      <c r="A97" s="1"/>
      <c r="C97" s="3"/>
    </row>
    <row r="98" ht="15.75" customHeight="1">
      <c r="A98" s="1"/>
      <c r="C98" s="3"/>
    </row>
    <row r="99" ht="15.75" customHeight="1">
      <c r="A99" s="1"/>
      <c r="C99" s="3"/>
    </row>
    <row r="100" ht="15.75" customHeight="1">
      <c r="A100" s="1"/>
      <c r="C100" s="3"/>
    </row>
    <row r="101" ht="15.75" customHeight="1">
      <c r="A101" s="1"/>
      <c r="C101" s="3"/>
    </row>
    <row r="102" ht="15.75" customHeight="1">
      <c r="A102" s="1"/>
      <c r="C102" s="3"/>
    </row>
    <row r="103" ht="15.75" customHeight="1">
      <c r="A103" s="1"/>
      <c r="C103" s="3"/>
    </row>
    <row r="104" ht="15.75" customHeight="1">
      <c r="A104" s="1"/>
      <c r="C104" s="3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H2:I2"/>
    <mergeCell ref="K2:L2"/>
    <mergeCell ref="E3:E4"/>
    <mergeCell ref="F3:F4"/>
  </mergeCells>
  <conditionalFormatting sqref="F18:Q19">
    <cfRule type="cellIs" dxfId="0" priority="1" operator="lessThan">
      <formula>0</formula>
    </cfRule>
  </conditionalFormatting>
  <dataValidations>
    <dataValidation type="list" allowBlank="1" showErrorMessage="1" sqref="C5">
      <formula1>IGNORE2!$B$2:$B$6</formula1>
    </dataValidation>
    <dataValidation type="list" allowBlank="1" showErrorMessage="1" sqref="B2">
      <formula1>IGNORE2!$A$2:$A$5</formula1>
    </dataValidation>
  </dataValidations>
  <printOptions/>
  <pageMargins bottom="0.75" footer="0.0" header="0.0" left="0.7" right="0.7" top="0.75"/>
  <pageSetup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8.71"/>
    <col customWidth="1" min="3" max="3" width="11.57"/>
    <col customWidth="1" min="4" max="7" width="11.0"/>
    <col customWidth="1" min="8" max="8" width="12.43"/>
    <col customWidth="1" min="9" max="9" width="11.0"/>
    <col customWidth="1" min="10" max="14" width="12.0"/>
    <col customWidth="1" min="15" max="15" width="8.71"/>
    <col customWidth="1" min="16" max="17" width="13.43"/>
    <col customWidth="1" min="18" max="18" width="12.86"/>
  </cols>
  <sheetData>
    <row r="1">
      <c r="A1" s="71" t="s">
        <v>10</v>
      </c>
      <c r="B1" s="72">
        <f>IGNORE!$C$4</f>
        <v>1</v>
      </c>
      <c r="C1" s="73"/>
      <c r="D1" s="73"/>
      <c r="E1" s="73"/>
      <c r="F1" s="74" t="s">
        <v>22</v>
      </c>
      <c r="G1" s="75"/>
      <c r="H1" s="76">
        <f>IGNORE!$C$10</f>
        <v>0</v>
      </c>
      <c r="I1" s="73"/>
      <c r="J1" s="73"/>
      <c r="K1" s="73"/>
      <c r="L1" s="73"/>
      <c r="M1" s="71" t="str">
        <f>IGNORE!$B$2</f>
        <v>CCM &amp; RPM</v>
      </c>
      <c r="N1" s="76">
        <f>IGNORE!$C$2</f>
        <v>127</v>
      </c>
    </row>
    <row r="2">
      <c r="A2" s="71" t="s">
        <v>13</v>
      </c>
      <c r="B2" s="77">
        <f>IGNORE!$C$5</f>
        <v>0.7</v>
      </c>
      <c r="C2" s="73"/>
      <c r="D2" s="71">
        <f>IF(B2="",N1,N1*B2)</f>
        <v>88.9</v>
      </c>
      <c r="E2" s="73"/>
      <c r="F2" s="74" t="s">
        <v>21</v>
      </c>
      <c r="G2" s="75"/>
      <c r="H2" s="76">
        <f>SUM(C29:C35)</f>
        <v>3128</v>
      </c>
      <c r="I2" s="73"/>
      <c r="J2" s="73"/>
      <c r="K2" s="73"/>
      <c r="L2" s="73"/>
      <c r="M2" s="73"/>
      <c r="N2" s="73"/>
    </row>
    <row r="3">
      <c r="A3" s="71" t="s">
        <v>84</v>
      </c>
      <c r="B3" s="76">
        <f>IGNORE!$C$8</f>
        <v>25</v>
      </c>
      <c r="C3" s="73"/>
      <c r="D3" s="73"/>
      <c r="E3" s="73"/>
      <c r="F3" s="74" t="s">
        <v>85</v>
      </c>
      <c r="G3" s="75"/>
      <c r="H3" s="76">
        <f>SUM(C37:C47)</f>
        <v>31488</v>
      </c>
      <c r="I3" s="73"/>
      <c r="J3" s="73"/>
      <c r="K3" s="73"/>
      <c r="L3" s="73"/>
      <c r="M3" s="73"/>
      <c r="N3" s="73"/>
    </row>
    <row r="5">
      <c r="B5" s="78" t="s">
        <v>86</v>
      </c>
      <c r="C5" s="79" t="s">
        <v>28</v>
      </c>
      <c r="D5" s="79" t="s">
        <v>29</v>
      </c>
      <c r="E5" s="79" t="s">
        <v>30</v>
      </c>
      <c r="F5" s="79" t="s">
        <v>31</v>
      </c>
      <c r="G5" s="79" t="s">
        <v>32</v>
      </c>
      <c r="H5" s="79" t="s">
        <v>33</v>
      </c>
      <c r="I5" s="79" t="s">
        <v>34</v>
      </c>
      <c r="J5" s="79" t="s">
        <v>35</v>
      </c>
      <c r="K5" s="79" t="s">
        <v>36</v>
      </c>
      <c r="L5" s="79" t="s">
        <v>37</v>
      </c>
      <c r="M5" s="79" t="s">
        <v>38</v>
      </c>
      <c r="N5" s="79" t="s">
        <v>39</v>
      </c>
    </row>
    <row r="6">
      <c r="A6" s="80" t="s">
        <v>87</v>
      </c>
      <c r="B6" s="78">
        <v>60.0</v>
      </c>
      <c r="C6" s="78"/>
      <c r="D6" s="78">
        <f>B6*B1</f>
        <v>60</v>
      </c>
      <c r="E6" s="78">
        <f>B6*B1</f>
        <v>60</v>
      </c>
      <c r="F6" s="78">
        <f>B6*B1</f>
        <v>60</v>
      </c>
      <c r="G6" s="78">
        <f>B6*B1</f>
        <v>60</v>
      </c>
      <c r="H6" s="78">
        <f>B6*B1</f>
        <v>60</v>
      </c>
      <c r="I6" s="78">
        <f>B6*B1</f>
        <v>60</v>
      </c>
      <c r="J6" s="78">
        <f>B6*B1</f>
        <v>60</v>
      </c>
      <c r="K6" s="78">
        <f>B6*B1</f>
        <v>60</v>
      </c>
      <c r="L6" s="78">
        <f>B6*B1</f>
        <v>60</v>
      </c>
      <c r="M6" s="78">
        <f>B6*B1</f>
        <v>60</v>
      </c>
      <c r="N6" s="78">
        <f>B6*B1</f>
        <v>60</v>
      </c>
    </row>
    <row r="7">
      <c r="B7" s="78">
        <v>100.0</v>
      </c>
      <c r="C7" s="78"/>
      <c r="D7" s="78"/>
      <c r="E7" s="78">
        <f>B6*B1</f>
        <v>60</v>
      </c>
      <c r="F7" s="78">
        <f>B6*B1</f>
        <v>60</v>
      </c>
      <c r="G7" s="78">
        <f>B6*B1</f>
        <v>60</v>
      </c>
      <c r="H7" s="78">
        <f>B6*B1</f>
        <v>60</v>
      </c>
      <c r="I7" s="78">
        <f>B6*B1</f>
        <v>60</v>
      </c>
      <c r="J7" s="78">
        <f>B6*B1</f>
        <v>60</v>
      </c>
      <c r="K7" s="78">
        <f>B6*B1</f>
        <v>60</v>
      </c>
      <c r="L7" s="78">
        <f>B6*B1</f>
        <v>60</v>
      </c>
      <c r="M7" s="78">
        <f>B6*B1</f>
        <v>60</v>
      </c>
      <c r="N7" s="78">
        <f>B6*B1</f>
        <v>60</v>
      </c>
    </row>
    <row r="8">
      <c r="B8" s="78">
        <v>150.0</v>
      </c>
      <c r="C8" s="78"/>
      <c r="D8" s="78"/>
      <c r="E8" s="78"/>
      <c r="F8" s="78">
        <f>B6*B1</f>
        <v>60</v>
      </c>
      <c r="G8" s="78">
        <f>B6*B1</f>
        <v>60</v>
      </c>
      <c r="H8" s="78">
        <f>B6*B1</f>
        <v>60</v>
      </c>
      <c r="I8" s="78">
        <f>B6*B1</f>
        <v>60</v>
      </c>
      <c r="J8" s="78">
        <f>B6*B1</f>
        <v>60</v>
      </c>
      <c r="K8" s="78">
        <f>B6*B1</f>
        <v>60</v>
      </c>
      <c r="L8" s="78">
        <f>B6*B1</f>
        <v>60</v>
      </c>
      <c r="M8" s="78">
        <f>B6*B1</f>
        <v>60</v>
      </c>
      <c r="N8" s="78">
        <f>B6*B1</f>
        <v>60</v>
      </c>
    </row>
    <row r="9">
      <c r="B9" s="78">
        <v>180.0</v>
      </c>
      <c r="C9" s="78"/>
      <c r="D9" s="78"/>
      <c r="E9" s="78"/>
      <c r="F9" s="78"/>
      <c r="G9" s="78">
        <f>B6*B1</f>
        <v>60</v>
      </c>
      <c r="H9" s="78">
        <f>B6*B1</f>
        <v>60</v>
      </c>
      <c r="I9" s="78">
        <f>B6*B1</f>
        <v>60</v>
      </c>
      <c r="J9" s="78">
        <f>B6*B1</f>
        <v>60</v>
      </c>
      <c r="K9" s="78">
        <f>B6*B1</f>
        <v>60</v>
      </c>
      <c r="L9" s="78">
        <f>B6*B1</f>
        <v>60</v>
      </c>
      <c r="M9" s="78">
        <f>B6*B1</f>
        <v>60</v>
      </c>
      <c r="N9" s="78">
        <f>B6*B1</f>
        <v>60</v>
      </c>
    </row>
    <row r="10">
      <c r="B10" s="81">
        <v>200.0</v>
      </c>
      <c r="C10" s="78"/>
      <c r="D10" s="78"/>
      <c r="E10" s="78"/>
      <c r="F10" s="78"/>
      <c r="G10" s="78"/>
      <c r="H10" s="78">
        <f>20*B1</f>
        <v>20</v>
      </c>
      <c r="I10" s="78">
        <f>20*B1</f>
        <v>20</v>
      </c>
      <c r="J10" s="78">
        <f>20*B1</f>
        <v>20</v>
      </c>
      <c r="K10" s="78">
        <f>20*B1</f>
        <v>20</v>
      </c>
      <c r="L10" s="78">
        <f>20*B1</f>
        <v>20</v>
      </c>
      <c r="M10" s="78">
        <f>20*B1</f>
        <v>20</v>
      </c>
      <c r="N10" s="78">
        <f>20*B1</f>
        <v>20</v>
      </c>
    </row>
    <row r="11">
      <c r="B11" s="78" t="s">
        <v>47</v>
      </c>
      <c r="C11" s="78">
        <f t="shared" ref="C11:N11" si="1">SUM(C6:C10)</f>
        <v>0</v>
      </c>
      <c r="D11" s="78">
        <f t="shared" si="1"/>
        <v>60</v>
      </c>
      <c r="E11" s="78">
        <f t="shared" si="1"/>
        <v>120</v>
      </c>
      <c r="F11" s="78">
        <f t="shared" si="1"/>
        <v>180</v>
      </c>
      <c r="G11" s="78">
        <f t="shared" si="1"/>
        <v>240</v>
      </c>
      <c r="H11" s="78">
        <f t="shared" si="1"/>
        <v>260</v>
      </c>
      <c r="I11" s="78">
        <f t="shared" si="1"/>
        <v>260</v>
      </c>
      <c r="J11" s="78">
        <f t="shared" si="1"/>
        <v>260</v>
      </c>
      <c r="K11" s="78">
        <f t="shared" si="1"/>
        <v>260</v>
      </c>
      <c r="L11" s="78">
        <f t="shared" si="1"/>
        <v>260</v>
      </c>
      <c r="M11" s="78">
        <f t="shared" si="1"/>
        <v>260</v>
      </c>
      <c r="N11" s="78">
        <f t="shared" si="1"/>
        <v>260</v>
      </c>
    </row>
    <row r="15">
      <c r="B15" s="78" t="s">
        <v>86</v>
      </c>
      <c r="C15" s="79" t="s">
        <v>28</v>
      </c>
      <c r="D15" s="79" t="s">
        <v>29</v>
      </c>
      <c r="E15" s="79" t="s">
        <v>30</v>
      </c>
      <c r="F15" s="79" t="s">
        <v>31</v>
      </c>
      <c r="G15" s="79" t="s">
        <v>32</v>
      </c>
      <c r="H15" s="79" t="s">
        <v>33</v>
      </c>
      <c r="I15" s="79" t="s">
        <v>34</v>
      </c>
      <c r="J15" s="79" t="s">
        <v>35</v>
      </c>
      <c r="K15" s="79" t="s">
        <v>36</v>
      </c>
      <c r="L15" s="79" t="s">
        <v>37</v>
      </c>
      <c r="M15" s="79" t="s">
        <v>38</v>
      </c>
      <c r="N15" s="79" t="s">
        <v>39</v>
      </c>
    </row>
    <row r="16">
      <c r="A16" s="2" t="s">
        <v>88</v>
      </c>
      <c r="B16" s="78" t="s">
        <v>89</v>
      </c>
      <c r="C16" s="38"/>
      <c r="D16" s="38">
        <f t="shared" ref="D16:N16" si="2">C11*$D$2</f>
        <v>0</v>
      </c>
      <c r="E16" s="38">
        <f t="shared" si="2"/>
        <v>5334</v>
      </c>
      <c r="F16" s="38">
        <f t="shared" si="2"/>
        <v>10668</v>
      </c>
      <c r="G16" s="38">
        <f t="shared" si="2"/>
        <v>16002</v>
      </c>
      <c r="H16" s="38">
        <f t="shared" si="2"/>
        <v>21336</v>
      </c>
      <c r="I16" s="38">
        <f t="shared" si="2"/>
        <v>23114</v>
      </c>
      <c r="J16" s="38">
        <f t="shared" si="2"/>
        <v>23114</v>
      </c>
      <c r="K16" s="38">
        <f t="shared" si="2"/>
        <v>23114</v>
      </c>
      <c r="L16" s="38">
        <f t="shared" si="2"/>
        <v>23114</v>
      </c>
      <c r="M16" s="38">
        <f t="shared" si="2"/>
        <v>23114</v>
      </c>
      <c r="N16" s="38">
        <f t="shared" si="2"/>
        <v>23114</v>
      </c>
    </row>
    <row r="17">
      <c r="B17" s="78" t="s">
        <v>15</v>
      </c>
      <c r="C17" s="38">
        <f t="shared" ref="C17:N17" si="3">C48</f>
        <v>39016</v>
      </c>
      <c r="D17" s="38">
        <f t="shared" si="3"/>
        <v>7528</v>
      </c>
      <c r="E17" s="38">
        <f t="shared" si="3"/>
        <v>8488.12</v>
      </c>
      <c r="F17" s="38">
        <f t="shared" si="3"/>
        <v>10768.24</v>
      </c>
      <c r="G17" s="38">
        <f t="shared" si="3"/>
        <v>11728.36</v>
      </c>
      <c r="H17" s="38">
        <f t="shared" si="3"/>
        <v>12688.48</v>
      </c>
      <c r="I17" s="38">
        <f t="shared" si="3"/>
        <v>13008.52</v>
      </c>
      <c r="J17" s="38">
        <f t="shared" si="3"/>
        <v>13008.52</v>
      </c>
      <c r="K17" s="38">
        <f t="shared" si="3"/>
        <v>13008.52</v>
      </c>
      <c r="L17" s="38">
        <f t="shared" si="3"/>
        <v>13008.52</v>
      </c>
      <c r="M17" s="38">
        <f t="shared" si="3"/>
        <v>13008.52</v>
      </c>
      <c r="N17" s="38">
        <f t="shared" si="3"/>
        <v>13008.52</v>
      </c>
      <c r="P17" s="82" t="s">
        <v>51</v>
      </c>
      <c r="Q17" s="83" t="s">
        <v>53</v>
      </c>
      <c r="R17" s="84" t="s">
        <v>90</v>
      </c>
    </row>
    <row r="18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P18" s="85"/>
      <c r="Q18" s="86"/>
      <c r="R18" s="87"/>
    </row>
    <row r="19">
      <c r="B19" s="78" t="s">
        <v>91</v>
      </c>
      <c r="C19" s="38">
        <f t="shared" ref="C19:N19" si="4">C16-C17</f>
        <v>-39016</v>
      </c>
      <c r="D19" s="38">
        <f t="shared" si="4"/>
        <v>-7528</v>
      </c>
      <c r="E19" s="38">
        <f t="shared" si="4"/>
        <v>-3154.12</v>
      </c>
      <c r="F19" s="38">
        <f t="shared" si="4"/>
        <v>-100.24</v>
      </c>
      <c r="G19" s="38">
        <f t="shared" si="4"/>
        <v>4273.64</v>
      </c>
      <c r="H19" s="38">
        <f t="shared" si="4"/>
        <v>8647.52</v>
      </c>
      <c r="I19" s="38">
        <f t="shared" si="4"/>
        <v>10105.48</v>
      </c>
      <c r="J19" s="38">
        <f t="shared" si="4"/>
        <v>10105.48</v>
      </c>
      <c r="K19" s="38">
        <f t="shared" si="4"/>
        <v>10105.48</v>
      </c>
      <c r="L19" s="38">
        <f t="shared" si="4"/>
        <v>10105.48</v>
      </c>
      <c r="M19" s="38">
        <f t="shared" si="4"/>
        <v>10105.48</v>
      </c>
      <c r="N19" s="38">
        <f t="shared" si="4"/>
        <v>10105.48</v>
      </c>
      <c r="P19" s="88">
        <f>SUM(C19:N19)</f>
        <v>23755.68</v>
      </c>
      <c r="Q19" s="89">
        <f>SUM(C60:N60)</f>
        <v>121265.76</v>
      </c>
      <c r="R19" s="90">
        <f>SUM(C60:N60)</f>
        <v>121265.76</v>
      </c>
    </row>
    <row r="21" ht="15.75" customHeight="1"/>
    <row r="22" ht="15.75" customHeight="1">
      <c r="A22" s="78" t="s">
        <v>92</v>
      </c>
      <c r="B22" s="78" t="s">
        <v>86</v>
      </c>
      <c r="C22" s="78" t="s">
        <v>28</v>
      </c>
      <c r="D22" s="78" t="s">
        <v>29</v>
      </c>
      <c r="E22" s="78" t="s">
        <v>30</v>
      </c>
      <c r="F22" s="78" t="s">
        <v>31</v>
      </c>
      <c r="G22" s="78" t="s">
        <v>32</v>
      </c>
      <c r="H22" s="78" t="s">
        <v>33</v>
      </c>
      <c r="I22" s="78" t="s">
        <v>34</v>
      </c>
      <c r="J22" s="78" t="s">
        <v>35</v>
      </c>
      <c r="K22" s="78" t="s">
        <v>36</v>
      </c>
      <c r="L22" s="78" t="s">
        <v>37</v>
      </c>
      <c r="M22" s="78" t="s">
        <v>38</v>
      </c>
      <c r="N22" s="78" t="s">
        <v>39</v>
      </c>
    </row>
    <row r="23" ht="15.75" customHeight="1">
      <c r="A23" s="78" t="s">
        <v>93</v>
      </c>
      <c r="B23" s="78" t="s">
        <v>94</v>
      </c>
      <c r="C23" s="38">
        <f t="shared" ref="C23:N23" si="5">22*8*$B$3*$B$1</f>
        <v>4400</v>
      </c>
      <c r="D23" s="38">
        <f t="shared" si="5"/>
        <v>4400</v>
      </c>
      <c r="E23" s="38">
        <f t="shared" si="5"/>
        <v>4400</v>
      </c>
      <c r="F23" s="38">
        <f t="shared" si="5"/>
        <v>4400</v>
      </c>
      <c r="G23" s="38">
        <f t="shared" si="5"/>
        <v>4400</v>
      </c>
      <c r="H23" s="38">
        <f t="shared" si="5"/>
        <v>4400</v>
      </c>
      <c r="I23" s="38">
        <f t="shared" si="5"/>
        <v>4400</v>
      </c>
      <c r="J23" s="38">
        <f t="shared" si="5"/>
        <v>4400</v>
      </c>
      <c r="K23" s="38">
        <f t="shared" si="5"/>
        <v>4400</v>
      </c>
      <c r="L23" s="38">
        <f t="shared" si="5"/>
        <v>4400</v>
      </c>
      <c r="M23" s="38">
        <f t="shared" si="5"/>
        <v>4400</v>
      </c>
      <c r="N23" s="38">
        <f t="shared" si="5"/>
        <v>4400</v>
      </c>
      <c r="P23" s="82" t="s">
        <v>51</v>
      </c>
      <c r="Q23" s="83" t="s">
        <v>53</v>
      </c>
      <c r="R23" s="84" t="s">
        <v>90</v>
      </c>
    </row>
    <row r="24" ht="15.75" customHeight="1">
      <c r="A24" s="78"/>
      <c r="B24" s="78" t="s">
        <v>95</v>
      </c>
      <c r="C24" s="78"/>
      <c r="D24" s="78"/>
      <c r="E24" s="78"/>
      <c r="F24" s="91">
        <f t="shared" ref="F24:N24" si="6">0.3*F23</f>
        <v>1320</v>
      </c>
      <c r="G24" s="91">
        <f t="shared" si="6"/>
        <v>1320</v>
      </c>
      <c r="H24" s="91">
        <f t="shared" si="6"/>
        <v>1320</v>
      </c>
      <c r="I24" s="91">
        <f t="shared" si="6"/>
        <v>1320</v>
      </c>
      <c r="J24" s="91">
        <f t="shared" si="6"/>
        <v>1320</v>
      </c>
      <c r="K24" s="91">
        <f t="shared" si="6"/>
        <v>1320</v>
      </c>
      <c r="L24" s="91">
        <f t="shared" si="6"/>
        <v>1320</v>
      </c>
      <c r="M24" s="91">
        <f t="shared" si="6"/>
        <v>1320</v>
      </c>
      <c r="N24" s="91">
        <f t="shared" si="6"/>
        <v>1320</v>
      </c>
      <c r="P24" s="92"/>
      <c r="Q24" s="93">
        <f>SUM(C58:N58)</f>
        <v>156102.24</v>
      </c>
      <c r="R24" s="92"/>
    </row>
    <row r="25" ht="15.75" customHeight="1">
      <c r="A25" s="78"/>
      <c r="B25" s="78"/>
      <c r="C25" s="78"/>
      <c r="D25" s="78"/>
      <c r="E25" s="78"/>
      <c r="F25" s="91"/>
      <c r="G25" s="91"/>
      <c r="H25" s="91"/>
      <c r="I25" s="91"/>
      <c r="J25" s="91"/>
      <c r="K25" s="91"/>
      <c r="L25" s="91"/>
      <c r="M25" s="91"/>
      <c r="N25" s="91"/>
      <c r="P25" s="92"/>
      <c r="Q25" s="93">
        <f>SUM(C57:N57)</f>
        <v>277368</v>
      </c>
      <c r="R25" s="92"/>
    </row>
    <row r="26" ht="15.75" customHeight="1">
      <c r="A26" s="78"/>
      <c r="B26" s="78"/>
      <c r="C26" s="78" t="s">
        <v>28</v>
      </c>
      <c r="D26" s="78" t="s">
        <v>29</v>
      </c>
      <c r="E26" s="78" t="s">
        <v>30</v>
      </c>
      <c r="F26" s="78" t="s">
        <v>31</v>
      </c>
      <c r="G26" s="78" t="s">
        <v>32</v>
      </c>
      <c r="H26" s="78" t="s">
        <v>33</v>
      </c>
      <c r="I26" s="78" t="s">
        <v>34</v>
      </c>
      <c r="J26" s="78" t="s">
        <v>35</v>
      </c>
      <c r="K26" s="78" t="s">
        <v>36</v>
      </c>
      <c r="L26" s="78" t="s">
        <v>37</v>
      </c>
      <c r="M26" s="78" t="s">
        <v>38</v>
      </c>
      <c r="N26" s="78" t="s">
        <v>39</v>
      </c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</row>
    <row r="28" ht="15.75" customHeight="1">
      <c r="A28" s="94" t="s">
        <v>21</v>
      </c>
      <c r="B28" s="94" t="s">
        <v>22</v>
      </c>
      <c r="C28" s="95">
        <f>IGNORE!$C$10</f>
        <v>0</v>
      </c>
      <c r="D28" s="95">
        <f>IGNORE!$C$10</f>
        <v>0</v>
      </c>
      <c r="E28" s="95">
        <f>IGNORE!$C$10</f>
        <v>0</v>
      </c>
      <c r="F28" s="95">
        <f>IGNORE!$C$10</f>
        <v>0</v>
      </c>
      <c r="G28" s="95">
        <f>IGNORE!$C$10</f>
        <v>0</v>
      </c>
      <c r="H28" s="95">
        <f>IGNORE!$C$10</f>
        <v>0</v>
      </c>
      <c r="I28" s="95">
        <f>IGNORE!$C$10</f>
        <v>0</v>
      </c>
      <c r="J28" s="95">
        <f>IGNORE!$C$10</f>
        <v>0</v>
      </c>
      <c r="K28" s="95">
        <f>IGNORE!$C$10</f>
        <v>0</v>
      </c>
      <c r="L28" s="95">
        <f>IGNORE!$C$10</f>
        <v>0</v>
      </c>
      <c r="M28" s="95">
        <f>IGNORE!$C$10</f>
        <v>0</v>
      </c>
      <c r="N28" s="95">
        <f>IGNORE!$C$10</f>
        <v>0</v>
      </c>
    </row>
    <row r="29" ht="15.75" customHeight="1">
      <c r="A29" s="94"/>
      <c r="B29" s="94" t="s">
        <v>96</v>
      </c>
      <c r="C29" s="95">
        <f>IGNORE!$C$11</f>
        <v>65</v>
      </c>
      <c r="D29" s="95">
        <f>IGNORE!$C$11</f>
        <v>65</v>
      </c>
      <c r="E29" s="95">
        <f>IGNORE!$C$11</f>
        <v>65</v>
      </c>
      <c r="F29" s="95">
        <f>IGNORE!$C$11</f>
        <v>65</v>
      </c>
      <c r="G29" s="95">
        <f>IGNORE!$C$11</f>
        <v>65</v>
      </c>
      <c r="H29" s="95">
        <f>IGNORE!$C$11</f>
        <v>65</v>
      </c>
      <c r="I29" s="95">
        <f>IGNORE!$C$11</f>
        <v>65</v>
      </c>
      <c r="J29" s="95">
        <f>IGNORE!$C$11</f>
        <v>65</v>
      </c>
      <c r="K29" s="95">
        <f>IGNORE!$C$11</f>
        <v>65</v>
      </c>
      <c r="L29" s="95">
        <f>IGNORE!$C$11</f>
        <v>65</v>
      </c>
      <c r="M29" s="95">
        <f>IGNORE!$C$11</f>
        <v>65</v>
      </c>
      <c r="N29" s="95">
        <f>IGNORE!$C$11</f>
        <v>65</v>
      </c>
    </row>
    <row r="30" ht="15.75" customHeight="1">
      <c r="A30" s="94"/>
      <c r="B30" s="94" t="s">
        <v>97</v>
      </c>
      <c r="C30" s="95">
        <f>IGNORE!$C$12</f>
        <v>3000</v>
      </c>
      <c r="D30" s="95">
        <f>IGNORE!$C$12</f>
        <v>3000</v>
      </c>
      <c r="E30" s="95">
        <f>IGNORE!$C$12</f>
        <v>3000</v>
      </c>
      <c r="F30" s="95">
        <f>IGNORE!$C$12</f>
        <v>3000</v>
      </c>
      <c r="G30" s="95">
        <f>IGNORE!$C$12</f>
        <v>3000</v>
      </c>
      <c r="H30" s="95">
        <f>IGNORE!$C$12</f>
        <v>3000</v>
      </c>
      <c r="I30" s="95">
        <f>IGNORE!$C$12</f>
        <v>3000</v>
      </c>
      <c r="J30" s="95">
        <f>IGNORE!$C$12</f>
        <v>3000</v>
      </c>
      <c r="K30" s="95">
        <f>IGNORE!$C$12</f>
        <v>3000</v>
      </c>
      <c r="L30" s="95">
        <f>IGNORE!$C$12</f>
        <v>3000</v>
      </c>
      <c r="M30" s="95">
        <f>IGNORE!$C$12</f>
        <v>3000</v>
      </c>
      <c r="N30" s="95">
        <f>IGNORE!$C$12</f>
        <v>3000</v>
      </c>
    </row>
    <row r="31" ht="15.75" customHeight="1">
      <c r="A31" s="94"/>
      <c r="B31" s="94" t="s">
        <v>25</v>
      </c>
      <c r="C31" s="95">
        <f>IGNORE!$C$13*$B$1</f>
        <v>27</v>
      </c>
      <c r="D31" s="95">
        <f>IGNORE!$C$13*$B$1</f>
        <v>27</v>
      </c>
      <c r="E31" s="95">
        <f>IGNORE!$C$13*$B$1</f>
        <v>27</v>
      </c>
      <c r="F31" s="95">
        <f>IGNORE!$C$13*$B$1</f>
        <v>27</v>
      </c>
      <c r="G31" s="95">
        <f>IGNORE!$C$13*$B$1</f>
        <v>27</v>
      </c>
      <c r="H31" s="95">
        <f>IGNORE!$C$13*$B$1</f>
        <v>27</v>
      </c>
      <c r="I31" s="95">
        <f>IGNORE!$C$13*$B$1</f>
        <v>27</v>
      </c>
      <c r="J31" s="95">
        <f>IGNORE!$C$13*$B$1</f>
        <v>27</v>
      </c>
      <c r="K31" s="95">
        <f>IGNORE!$C$13*$B$1</f>
        <v>27</v>
      </c>
      <c r="L31" s="95">
        <f>IGNORE!$C$13*$B$1</f>
        <v>27</v>
      </c>
      <c r="M31" s="95">
        <f>IGNORE!$C$13*$B$1</f>
        <v>27</v>
      </c>
      <c r="N31" s="95">
        <f>IGNORE!$C$13*$B$1</f>
        <v>27</v>
      </c>
    </row>
    <row r="32" ht="15.75" customHeight="1">
      <c r="A32" s="94"/>
      <c r="B32" s="94" t="s">
        <v>98</v>
      </c>
      <c r="C32" s="95">
        <f>IGNORE!$C$14*$B$1</f>
        <v>18</v>
      </c>
      <c r="D32" s="95">
        <f>IGNORE!$C$14*$B$1</f>
        <v>18</v>
      </c>
      <c r="E32" s="95">
        <f>IGNORE!$C$14*$B$1</f>
        <v>18</v>
      </c>
      <c r="F32" s="95">
        <f>IGNORE!$C$14*$B$1</f>
        <v>18</v>
      </c>
      <c r="G32" s="95">
        <f>IGNORE!$C$14*$B$1</f>
        <v>18</v>
      </c>
      <c r="H32" s="95">
        <f>IGNORE!$C$14*$B$1</f>
        <v>18</v>
      </c>
      <c r="I32" s="95">
        <f>IGNORE!$C$14*$B$1</f>
        <v>18</v>
      </c>
      <c r="J32" s="95">
        <f>IGNORE!$C$14*$B$1</f>
        <v>18</v>
      </c>
      <c r="K32" s="95">
        <f>IGNORE!$C$14*$B$1</f>
        <v>18</v>
      </c>
      <c r="L32" s="95">
        <f>IGNORE!$C$14*$B$1</f>
        <v>18</v>
      </c>
      <c r="M32" s="95">
        <f>IGNORE!$C$14*$B$1</f>
        <v>18</v>
      </c>
      <c r="N32" s="95">
        <f>IGNORE!$C$14*$B$1</f>
        <v>18</v>
      </c>
    </row>
    <row r="33" ht="15.75" customHeight="1">
      <c r="A33" s="94"/>
      <c r="B33" s="94" t="s">
        <v>40</v>
      </c>
      <c r="C33" s="95">
        <f>IGNORE!$C$15*$B$1</f>
        <v>18</v>
      </c>
      <c r="D33" s="95">
        <f>IGNORE!$C$15*$B$1</f>
        <v>18</v>
      </c>
      <c r="E33" s="95">
        <f>IGNORE!$C$15*$B$1</f>
        <v>18</v>
      </c>
      <c r="F33" s="95">
        <f>IGNORE!$C$15*$B$1</f>
        <v>18</v>
      </c>
      <c r="G33" s="95">
        <f>IGNORE!$C$15*$B$1</f>
        <v>18</v>
      </c>
      <c r="H33" s="95">
        <f>IGNORE!$C$15*$B$1</f>
        <v>18</v>
      </c>
      <c r="I33" s="95">
        <f>IGNORE!$C$15*$B$1</f>
        <v>18</v>
      </c>
      <c r="J33" s="95">
        <f>IGNORE!$C$15*$B$1</f>
        <v>18</v>
      </c>
      <c r="K33" s="95">
        <f>IGNORE!$C$15*$B$1</f>
        <v>18</v>
      </c>
      <c r="L33" s="95">
        <f>IGNORE!$C$15*$B$1</f>
        <v>18</v>
      </c>
      <c r="M33" s="95">
        <f>IGNORE!$C$15*$B$1</f>
        <v>18</v>
      </c>
      <c r="N33" s="95">
        <f>IGNORE!$C$15*$B$1</f>
        <v>18</v>
      </c>
    </row>
    <row r="34" ht="15.75" customHeight="1">
      <c r="A34" s="94"/>
      <c r="B34" s="94" t="s">
        <v>99</v>
      </c>
      <c r="C34" s="95">
        <f>IGNORE!$C$16*C16</f>
        <v>0</v>
      </c>
      <c r="D34" s="95">
        <f>IGNORE!$C$16*D16</f>
        <v>0</v>
      </c>
      <c r="E34" s="95">
        <f>IGNORE!$C$16*E16</f>
        <v>160.02</v>
      </c>
      <c r="F34" s="95">
        <f>IGNORE!$C$16*F16</f>
        <v>320.04</v>
      </c>
      <c r="G34" s="95">
        <f>IGNORE!$C$16*G16</f>
        <v>480.06</v>
      </c>
      <c r="H34" s="95">
        <f>IGNORE!$C$16*H16</f>
        <v>640.08</v>
      </c>
      <c r="I34" s="95">
        <f>IGNORE!$C$16*I16</f>
        <v>693.42</v>
      </c>
      <c r="J34" s="95">
        <f>IGNORE!$C$16*J16</f>
        <v>693.42</v>
      </c>
      <c r="K34" s="95">
        <f>IGNORE!$C$16*K16</f>
        <v>693.42</v>
      </c>
      <c r="L34" s="95">
        <f>IGNORE!$C$16*L16</f>
        <v>693.42</v>
      </c>
      <c r="M34" s="95">
        <f>IGNORE!$C$16*M16</f>
        <v>693.42</v>
      </c>
      <c r="N34" s="95">
        <f>IGNORE!$C$16*N16</f>
        <v>693.42</v>
      </c>
    </row>
    <row r="35" ht="15.75" customHeight="1">
      <c r="A35" s="94"/>
      <c r="B35" s="94" t="s">
        <v>100</v>
      </c>
      <c r="C35" s="95">
        <f>IGNORE!$C$17*C16</f>
        <v>0</v>
      </c>
      <c r="D35" s="95">
        <f>IGNORE!$C$17*D16</f>
        <v>0</v>
      </c>
      <c r="E35" s="95">
        <f>IGNORE!$C$17*E16</f>
        <v>800.1</v>
      </c>
      <c r="F35" s="95">
        <f>IGNORE!$C$17*F16</f>
        <v>1600.2</v>
      </c>
      <c r="G35" s="95">
        <f>IGNORE!$C$17*G16</f>
        <v>2400.3</v>
      </c>
      <c r="H35" s="95">
        <f>IGNORE!$C$17*H16</f>
        <v>3200.4</v>
      </c>
      <c r="I35" s="95">
        <f>IGNORE!$C$17*I16</f>
        <v>3467.1</v>
      </c>
      <c r="J35" s="95">
        <f>IGNORE!$C$17*J16</f>
        <v>3467.1</v>
      </c>
      <c r="K35" s="95">
        <f>IGNORE!$C$17*K16</f>
        <v>3467.1</v>
      </c>
      <c r="L35" s="95">
        <f>IGNORE!$C$17*L16</f>
        <v>3467.1</v>
      </c>
      <c r="M35" s="95">
        <f>IGNORE!$C$17*M16</f>
        <v>3467.1</v>
      </c>
      <c r="N35" s="95">
        <f>IGNORE!$C$17*N16</f>
        <v>3467.1</v>
      </c>
    </row>
    <row r="36" ht="15.75" customHeight="1">
      <c r="A36" s="78"/>
      <c r="B36" s="78"/>
      <c r="C36" s="96"/>
    </row>
    <row r="37" ht="15.75" customHeight="1">
      <c r="A37" s="78" t="s">
        <v>43</v>
      </c>
      <c r="B37" s="78" t="s">
        <v>101</v>
      </c>
      <c r="C37" s="96">
        <f>IGNORE!$C$18*$B$1</f>
        <v>650</v>
      </c>
    </row>
    <row r="38" ht="15.75" customHeight="1">
      <c r="A38" s="78"/>
      <c r="B38" s="78" t="s">
        <v>46</v>
      </c>
      <c r="C38" s="96">
        <f>IGNORE!$C$19*$B$1</f>
        <v>150</v>
      </c>
    </row>
    <row r="39" ht="15.75" customHeight="1">
      <c r="A39" s="78"/>
      <c r="B39" s="78" t="s">
        <v>48</v>
      </c>
      <c r="C39" s="96">
        <f>IGNORE!$C$20*$B$1</f>
        <v>10</v>
      </c>
    </row>
    <row r="40" ht="15.75" customHeight="1">
      <c r="A40" s="78"/>
      <c r="B40" s="78" t="s">
        <v>49</v>
      </c>
      <c r="C40" s="96">
        <f>IGNORE!$C$21*$B$1</f>
        <v>8</v>
      </c>
    </row>
    <row r="41" ht="15.75" customHeight="1">
      <c r="A41" s="78"/>
      <c r="B41" s="78" t="s">
        <v>50</v>
      </c>
      <c r="C41" s="96">
        <f>IGNORE!$C$22*$B$1</f>
        <v>15</v>
      </c>
    </row>
    <row r="42" ht="15.75" customHeight="1">
      <c r="A42" s="78"/>
      <c r="B42" s="78" t="s">
        <v>52</v>
      </c>
      <c r="C42" s="96">
        <f>IGNORE!$C$23*$B$1</f>
        <v>400</v>
      </c>
    </row>
    <row r="43" ht="15.75" customHeight="1">
      <c r="A43" s="78"/>
      <c r="B43" s="78" t="s">
        <v>54</v>
      </c>
      <c r="C43" s="96">
        <f>IGNORE!$C$24*$B$1</f>
        <v>60</v>
      </c>
    </row>
    <row r="44" ht="15.75" customHeight="1">
      <c r="A44" s="78"/>
      <c r="B44" s="78" t="s">
        <v>56</v>
      </c>
      <c r="C44" s="96">
        <f>IGNORE!$C$25*$B$1</f>
        <v>45</v>
      </c>
    </row>
    <row r="45" ht="15.75" customHeight="1">
      <c r="A45" s="78"/>
      <c r="B45" s="78" t="s">
        <v>57</v>
      </c>
      <c r="C45" s="96">
        <f>IGNORE!$C$26*$B$1</f>
        <v>25</v>
      </c>
    </row>
    <row r="46" ht="15.75" customHeight="1">
      <c r="A46" s="78"/>
      <c r="B46" s="78" t="s">
        <v>59</v>
      </c>
      <c r="C46" s="96">
        <f>IGNORE!$C$28</f>
        <v>125</v>
      </c>
    </row>
    <row r="47" ht="15.75" customHeight="1">
      <c r="A47" s="78"/>
      <c r="B47" s="78" t="s">
        <v>100</v>
      </c>
      <c r="C47" s="78">
        <f>IGNORE!$C$27*IGNORE1!$B$1</f>
        <v>30000</v>
      </c>
    </row>
    <row r="48" ht="15.75" customHeight="1">
      <c r="A48" s="2" t="s">
        <v>102</v>
      </c>
      <c r="C48" s="3">
        <f>SUM(C23:C47)</f>
        <v>39016</v>
      </c>
      <c r="D48" s="3">
        <f t="shared" ref="D48:N48" si="7">SUM(D23:D46)</f>
        <v>7528</v>
      </c>
      <c r="E48" s="3">
        <f t="shared" si="7"/>
        <v>8488.12</v>
      </c>
      <c r="F48" s="3">
        <f t="shared" si="7"/>
        <v>10768.24</v>
      </c>
      <c r="G48" s="3">
        <f t="shared" si="7"/>
        <v>11728.36</v>
      </c>
      <c r="H48" s="3">
        <f t="shared" si="7"/>
        <v>12688.48</v>
      </c>
      <c r="I48" s="3">
        <f t="shared" si="7"/>
        <v>13008.52</v>
      </c>
      <c r="J48" s="3">
        <f t="shared" si="7"/>
        <v>13008.52</v>
      </c>
      <c r="K48" s="3">
        <f t="shared" si="7"/>
        <v>13008.52</v>
      </c>
      <c r="L48" s="3">
        <f t="shared" si="7"/>
        <v>13008.52</v>
      </c>
      <c r="M48" s="3">
        <f t="shared" si="7"/>
        <v>13008.52</v>
      </c>
      <c r="N48" s="3">
        <f t="shared" si="7"/>
        <v>13008.52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A55" s="97" t="s">
        <v>86</v>
      </c>
      <c r="B55" s="97" t="s">
        <v>103</v>
      </c>
      <c r="C55" s="97" t="s">
        <v>28</v>
      </c>
      <c r="D55" s="97" t="s">
        <v>29</v>
      </c>
      <c r="E55" s="97" t="s">
        <v>30</v>
      </c>
      <c r="F55" s="97" t="s">
        <v>31</v>
      </c>
      <c r="G55" s="97" t="s">
        <v>32</v>
      </c>
      <c r="H55" s="97" t="s">
        <v>33</v>
      </c>
      <c r="I55" s="97" t="s">
        <v>34</v>
      </c>
      <c r="J55" s="97" t="s">
        <v>35</v>
      </c>
      <c r="K55" s="97" t="s">
        <v>36</v>
      </c>
      <c r="L55" s="97" t="s">
        <v>37</v>
      </c>
      <c r="M55" s="97" t="s">
        <v>38</v>
      </c>
      <c r="N55" s="97" t="s">
        <v>39</v>
      </c>
    </row>
    <row r="56" ht="15.75" customHeight="1">
      <c r="A56" s="97" t="s">
        <v>104</v>
      </c>
      <c r="B56" s="97"/>
      <c r="C56" s="97">
        <v>1.0</v>
      </c>
      <c r="D56" s="97">
        <v>2.0</v>
      </c>
      <c r="E56" s="97">
        <v>3.0</v>
      </c>
      <c r="F56" s="97">
        <v>4.0</v>
      </c>
      <c r="G56" s="97">
        <v>5.0</v>
      </c>
      <c r="H56" s="97">
        <v>6.0</v>
      </c>
      <c r="I56" s="97">
        <v>7.0</v>
      </c>
      <c r="J56" s="97">
        <v>8.0</v>
      </c>
      <c r="K56" s="97">
        <v>9.0</v>
      </c>
      <c r="L56" s="97">
        <v>10.0</v>
      </c>
      <c r="M56" s="97">
        <v>11.0</v>
      </c>
      <c r="N56" s="97">
        <v>12.0</v>
      </c>
    </row>
    <row r="57" ht="15.75" customHeight="1">
      <c r="A57" s="97"/>
      <c r="B57" s="97" t="s">
        <v>89</v>
      </c>
      <c r="C57" s="98">
        <f t="shared" ref="C57:N57" si="8">$I$11*$D$2</f>
        <v>23114</v>
      </c>
      <c r="D57" s="98">
        <f t="shared" si="8"/>
        <v>23114</v>
      </c>
      <c r="E57" s="98">
        <f t="shared" si="8"/>
        <v>23114</v>
      </c>
      <c r="F57" s="98">
        <f t="shared" si="8"/>
        <v>23114</v>
      </c>
      <c r="G57" s="98">
        <f t="shared" si="8"/>
        <v>23114</v>
      </c>
      <c r="H57" s="98">
        <f t="shared" si="8"/>
        <v>23114</v>
      </c>
      <c r="I57" s="98">
        <f t="shared" si="8"/>
        <v>23114</v>
      </c>
      <c r="J57" s="98">
        <f t="shared" si="8"/>
        <v>23114</v>
      </c>
      <c r="K57" s="98">
        <f t="shared" si="8"/>
        <v>23114</v>
      </c>
      <c r="L57" s="98">
        <f t="shared" si="8"/>
        <v>23114</v>
      </c>
      <c r="M57" s="98">
        <f t="shared" si="8"/>
        <v>23114</v>
      </c>
      <c r="N57" s="98">
        <f t="shared" si="8"/>
        <v>23114</v>
      </c>
    </row>
    <row r="58" ht="15.75" customHeight="1">
      <c r="A58" s="97"/>
      <c r="B58" s="97" t="s">
        <v>15</v>
      </c>
      <c r="C58" s="98">
        <f t="shared" ref="C58:G58" si="9">$J$48</f>
        <v>13008.52</v>
      </c>
      <c r="D58" s="98">
        <f t="shared" si="9"/>
        <v>13008.52</v>
      </c>
      <c r="E58" s="98">
        <f t="shared" si="9"/>
        <v>13008.52</v>
      </c>
      <c r="F58" s="98">
        <f t="shared" si="9"/>
        <v>13008.52</v>
      </c>
      <c r="G58" s="98">
        <f t="shared" si="9"/>
        <v>13008.52</v>
      </c>
      <c r="H58" s="98">
        <f>$N$48</f>
        <v>13008.52</v>
      </c>
      <c r="I58" s="98">
        <f t="shared" ref="I58:M58" si="10">$J$48</f>
        <v>13008.52</v>
      </c>
      <c r="J58" s="98">
        <f t="shared" si="10"/>
        <v>13008.52</v>
      </c>
      <c r="K58" s="98">
        <f t="shared" si="10"/>
        <v>13008.52</v>
      </c>
      <c r="L58" s="98">
        <f t="shared" si="10"/>
        <v>13008.52</v>
      </c>
      <c r="M58" s="98">
        <f t="shared" si="10"/>
        <v>13008.52</v>
      </c>
      <c r="N58" s="98">
        <f>$N$48</f>
        <v>13008.52</v>
      </c>
    </row>
    <row r="59" ht="15.75" customHeight="1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</row>
    <row r="60" ht="15.75" customHeight="1">
      <c r="A60" s="97"/>
      <c r="B60" s="97" t="s">
        <v>91</v>
      </c>
      <c r="C60" s="98">
        <f t="shared" ref="C60:N60" si="11">C57-C58</f>
        <v>10105.48</v>
      </c>
      <c r="D60" s="98">
        <f t="shared" si="11"/>
        <v>10105.48</v>
      </c>
      <c r="E60" s="98">
        <f t="shared" si="11"/>
        <v>10105.48</v>
      </c>
      <c r="F60" s="98">
        <f t="shared" si="11"/>
        <v>10105.48</v>
      </c>
      <c r="G60" s="98">
        <f t="shared" si="11"/>
        <v>10105.48</v>
      </c>
      <c r="H60" s="98">
        <f t="shared" si="11"/>
        <v>10105.48</v>
      </c>
      <c r="I60" s="98">
        <f t="shared" si="11"/>
        <v>10105.48</v>
      </c>
      <c r="J60" s="98">
        <f t="shared" si="11"/>
        <v>10105.48</v>
      </c>
      <c r="K60" s="98">
        <f t="shared" si="11"/>
        <v>10105.48</v>
      </c>
      <c r="L60" s="98">
        <f t="shared" si="11"/>
        <v>10105.48</v>
      </c>
      <c r="M60" s="98">
        <f t="shared" si="11"/>
        <v>10105.48</v>
      </c>
      <c r="N60" s="98">
        <f t="shared" si="11"/>
        <v>10105.48</v>
      </c>
    </row>
    <row r="61" ht="15.75" customHeight="1"/>
    <row r="62" ht="15.75" customHeight="1">
      <c r="B62" s="2" t="s">
        <v>27</v>
      </c>
      <c r="C62" s="99">
        <v>1.0</v>
      </c>
      <c r="D62" s="99">
        <v>2.0</v>
      </c>
      <c r="E62" s="99">
        <v>3.0</v>
      </c>
      <c r="F62" s="99">
        <v>4.0</v>
      </c>
      <c r="G62" s="99">
        <v>5.0</v>
      </c>
      <c r="H62" s="99">
        <v>6.0</v>
      </c>
      <c r="I62" s="99">
        <v>7.0</v>
      </c>
      <c r="J62" s="99">
        <v>8.0</v>
      </c>
      <c r="K62" s="99">
        <v>9.0</v>
      </c>
      <c r="L62" s="99">
        <v>10.0</v>
      </c>
      <c r="M62" s="99">
        <v>11.0</v>
      </c>
      <c r="N62" s="99">
        <v>12.0</v>
      </c>
    </row>
    <row r="63" ht="15.75" customHeight="1">
      <c r="A63" s="2" t="s">
        <v>105</v>
      </c>
      <c r="C63" s="100">
        <f t="shared" ref="C63:N63" si="12">C19</f>
        <v>-39016</v>
      </c>
      <c r="D63" s="100">
        <f t="shared" si="12"/>
        <v>-7528</v>
      </c>
      <c r="E63" s="100">
        <f t="shared" si="12"/>
        <v>-3154.12</v>
      </c>
      <c r="F63" s="100">
        <f t="shared" si="12"/>
        <v>-100.24</v>
      </c>
      <c r="G63" s="100">
        <f t="shared" si="12"/>
        <v>4273.64</v>
      </c>
      <c r="H63" s="100">
        <f t="shared" si="12"/>
        <v>8647.52</v>
      </c>
      <c r="I63" s="100">
        <f t="shared" si="12"/>
        <v>10105.48</v>
      </c>
      <c r="J63" s="100">
        <f t="shared" si="12"/>
        <v>10105.48</v>
      </c>
      <c r="K63" s="100">
        <f t="shared" si="12"/>
        <v>10105.48</v>
      </c>
      <c r="L63" s="100">
        <f t="shared" si="12"/>
        <v>10105.48</v>
      </c>
      <c r="M63" s="100">
        <f t="shared" si="12"/>
        <v>10105.48</v>
      </c>
      <c r="N63" s="100">
        <f t="shared" si="12"/>
        <v>10105.48</v>
      </c>
    </row>
    <row r="64" ht="15.75" customHeight="1">
      <c r="B64" s="2" t="s">
        <v>106</v>
      </c>
      <c r="C64" s="100">
        <f t="shared" ref="C64:N64" si="13">SUM($C$63:C$63)</f>
        <v>-39016</v>
      </c>
      <c r="D64" s="100">
        <f t="shared" si="13"/>
        <v>-46544</v>
      </c>
      <c r="E64" s="100">
        <f t="shared" si="13"/>
        <v>-49698.12</v>
      </c>
      <c r="F64" s="100">
        <f t="shared" si="13"/>
        <v>-49798.36</v>
      </c>
      <c r="G64" s="100">
        <f t="shared" si="13"/>
        <v>-45524.72</v>
      </c>
      <c r="H64" s="100">
        <f t="shared" si="13"/>
        <v>-36877.2</v>
      </c>
      <c r="I64" s="100">
        <f t="shared" si="13"/>
        <v>-26771.72</v>
      </c>
      <c r="J64" s="100">
        <f t="shared" si="13"/>
        <v>-16666.24</v>
      </c>
      <c r="K64" s="100">
        <f t="shared" si="13"/>
        <v>-6560.76</v>
      </c>
      <c r="L64" s="100">
        <f t="shared" si="13"/>
        <v>3544.72</v>
      </c>
      <c r="M64" s="100">
        <f t="shared" si="13"/>
        <v>13650.2</v>
      </c>
      <c r="N64" s="100">
        <f t="shared" si="13"/>
        <v>23755.68</v>
      </c>
    </row>
    <row r="65" ht="15.75" customHeight="1">
      <c r="B65" s="2" t="s">
        <v>107</v>
      </c>
      <c r="C65" s="3">
        <f t="array" ref="C65">INDEX(C64:N64,MATCH(TRUE,C64:N64&lt;0))</f>
        <v>23755.68</v>
      </c>
      <c r="D65" s="2" t="str">
        <f t="array" ref="D65">INDEX(D63:O63,MATCH(TRUE,D63:O63&lt;0))</f>
        <v/>
      </c>
      <c r="E65" s="2" t="str">
        <f t="array" ref="E65">INDEX(E63:P63,MATCH(TRUE,E63:P63&lt;0))</f>
        <v/>
      </c>
      <c r="F65" s="2" t="str">
        <f t="array" ref="F65">INDEX(F63:Q63,MATCH(TRUE,F63:Q63&lt;0))</f>
        <v/>
      </c>
      <c r="G65" s="2" t="str">
        <f t="array" ref="G65">INDEX(G63:R63,MATCH(TRUE,G63:R63&lt;0))</f>
        <v/>
      </c>
      <c r="H65" s="2" t="str">
        <f t="array" ref="H65">INDEX(H63:S63,MATCH(TRUE,H63:S63&lt;0))</f>
        <v/>
      </c>
      <c r="I65" s="2" t="str">
        <f t="array" ref="I65">INDEX(I63:T63,MATCH(TRUE,I63:T63&lt;0))</f>
        <v/>
      </c>
      <c r="J65" s="2" t="str">
        <f t="array" ref="J65">INDEX(J63:U63,MATCH(TRUE,J63:U63&lt;0))</f>
        <v/>
      </c>
      <c r="K65" s="2" t="str">
        <f t="array" ref="K65">INDEX(K63:V63,MATCH(TRUE,K63:V63&lt;0))</f>
        <v/>
      </c>
      <c r="L65" s="2" t="str">
        <f t="array" ref="L65">INDEX(L63:W63,MATCH(TRUE,L63:W63&lt;0))</f>
        <v/>
      </c>
      <c r="M65" s="2" t="str">
        <f t="array" ref="M65">INDEX(M63:X63,MATCH(TRUE,M63:X63&lt;0))</f>
        <v/>
      </c>
      <c r="N65" s="2" t="str">
        <f t="array" ref="N65">INDEX(N63:Y63,MATCH(TRUE,N63:Y63&lt;0))</f>
        <v/>
      </c>
    </row>
    <row r="66" ht="15.75" customHeight="1">
      <c r="B66" s="2" t="s">
        <v>108</v>
      </c>
      <c r="C66" s="101">
        <f t="array" ref="C66">INDEX(C62:N62,MATCH(TRUE,C64:N64&gt;0,0))</f>
        <v>10</v>
      </c>
    </row>
    <row r="67" ht="15.75" customHeight="1">
      <c r="B67" s="2" t="s">
        <v>109</v>
      </c>
      <c r="C67" s="3">
        <f t="array" ref="C67">INDEX(C64:N64,MATCH(TRUE,C64:N64&gt;0,0))</f>
        <v>3544.72</v>
      </c>
    </row>
    <row r="68" ht="15.75" customHeight="1"/>
    <row r="69" ht="15.75" customHeight="1">
      <c r="B69" s="2" t="s">
        <v>110</v>
      </c>
      <c r="C69" s="2">
        <f t="array" ref="C69">INDEX(C62:N62,MATCH(TRUE,C63:N63&gt;0,0))</f>
        <v>5</v>
      </c>
    </row>
    <row r="70" ht="15.75" customHeight="1">
      <c r="B70" s="2" t="s">
        <v>111</v>
      </c>
      <c r="C70" s="50">
        <f t="array" ref="C70">INDEX(C63:N63,MATCH(TRUE,C63:N63&gt;0,0))</f>
        <v>4273.64</v>
      </c>
    </row>
    <row r="71" ht="15.75" customHeight="1"/>
    <row r="72" ht="15.75" customHeight="1">
      <c r="B72" s="2" t="s">
        <v>12</v>
      </c>
      <c r="C72" s="3">
        <f>SUMIF(C63:N63,"&gt;0",C63:N63)</f>
        <v>73554.04</v>
      </c>
    </row>
    <row r="73" ht="15.75" customHeight="1">
      <c r="B73" s="2" t="s">
        <v>112</v>
      </c>
      <c r="C73" s="3">
        <f>SUMIF(C63:N63,"&lt;0",C63:N63)</f>
        <v>-49798.36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1:G1"/>
    <mergeCell ref="F2:G2"/>
    <mergeCell ref="F3:G3"/>
    <mergeCell ref="A6:A7"/>
  </mergeCells>
  <conditionalFormatting sqref="C19:N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6" width="8.71"/>
  </cols>
  <sheetData>
    <row r="1">
      <c r="A1" s="2" t="s">
        <v>113</v>
      </c>
      <c r="B1" s="2" t="s">
        <v>114</v>
      </c>
    </row>
    <row r="2">
      <c r="A2" s="2" t="s">
        <v>115</v>
      </c>
      <c r="B2" s="102">
        <v>1.0</v>
      </c>
      <c r="D2" s="2" t="s">
        <v>116</v>
      </c>
    </row>
    <row r="3">
      <c r="A3" s="2" t="s">
        <v>117</v>
      </c>
      <c r="B3" s="102">
        <v>0.8</v>
      </c>
      <c r="D3" s="2" t="s">
        <v>118</v>
      </c>
    </row>
    <row r="4">
      <c r="A4" s="2" t="s">
        <v>119</v>
      </c>
      <c r="B4" s="102">
        <v>0.7</v>
      </c>
      <c r="D4" s="2" t="s">
        <v>120</v>
      </c>
    </row>
    <row r="5">
      <c r="A5" s="2" t="s">
        <v>5</v>
      </c>
      <c r="B5" s="102">
        <v>0.6</v>
      </c>
      <c r="D5" s="2" t="s">
        <v>121</v>
      </c>
    </row>
    <row r="6">
      <c r="B6" s="102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5.86"/>
    <col customWidth="1" min="2" max="3" width="10.43"/>
    <col customWidth="1" min="4" max="8" width="9.43"/>
    <col customWidth="1" min="9" max="9" width="10.43"/>
    <col customWidth="1" min="10" max="10" width="9.43"/>
    <col customWidth="1" min="11" max="11" width="10.43"/>
    <col customWidth="1" min="12" max="12" width="9.43"/>
    <col customWidth="1" min="13" max="13" width="11.14"/>
    <col customWidth="1" min="14" max="16" width="9.43"/>
    <col customWidth="1" min="17" max="17" width="10.43"/>
    <col customWidth="1" min="18" max="19" width="9.43"/>
    <col customWidth="1" min="20" max="20" width="10.43"/>
    <col customWidth="1" min="21" max="21" width="11.14"/>
    <col customWidth="1" min="22" max="24" width="9.43"/>
    <col customWidth="1" min="25" max="26" width="10.43"/>
    <col customWidth="1" min="27" max="27" width="11.14"/>
    <col customWidth="1" min="28" max="30" width="12.0"/>
    <col customWidth="1" min="31" max="38" width="12.57"/>
    <col customWidth="1" min="39" max="39" width="15.43"/>
    <col customWidth="1" min="40" max="43" width="9.43"/>
    <col customWidth="1" min="44" max="44" width="12.0"/>
  </cols>
  <sheetData>
    <row r="1">
      <c r="A1" s="103" t="s">
        <v>122</v>
      </c>
    </row>
    <row r="2">
      <c r="A2" s="103" t="s">
        <v>123</v>
      </c>
    </row>
    <row r="3">
      <c r="A3" s="104" t="s">
        <v>124</v>
      </c>
    </row>
    <row r="4">
      <c r="A4" s="1"/>
      <c r="B4" s="105" t="s">
        <v>125</v>
      </c>
      <c r="C4" s="105" t="s">
        <v>126</v>
      </c>
      <c r="D4" s="105" t="s">
        <v>127</v>
      </c>
      <c r="E4" s="105" t="s">
        <v>128</v>
      </c>
      <c r="F4" s="105" t="s">
        <v>129</v>
      </c>
      <c r="G4" s="105" t="s">
        <v>130</v>
      </c>
      <c r="H4" s="105" t="s">
        <v>131</v>
      </c>
      <c r="I4" s="105" t="s">
        <v>132</v>
      </c>
      <c r="J4" s="105" t="s">
        <v>133</v>
      </c>
      <c r="K4" s="105" t="s">
        <v>134</v>
      </c>
      <c r="L4" s="105" t="s">
        <v>135</v>
      </c>
      <c r="M4" s="105" t="s">
        <v>136</v>
      </c>
      <c r="N4" s="105" t="s">
        <v>137</v>
      </c>
      <c r="O4" s="105" t="s">
        <v>138</v>
      </c>
      <c r="P4" s="105" t="s">
        <v>139</v>
      </c>
      <c r="Q4" s="105" t="s">
        <v>140</v>
      </c>
      <c r="R4" s="105" t="s">
        <v>141</v>
      </c>
      <c r="S4" s="105" t="s">
        <v>142</v>
      </c>
      <c r="T4" s="105" t="s">
        <v>143</v>
      </c>
      <c r="U4" s="105" t="s">
        <v>144</v>
      </c>
      <c r="V4" s="105" t="s">
        <v>145</v>
      </c>
      <c r="W4" s="105" t="s">
        <v>146</v>
      </c>
      <c r="X4" s="105" t="s">
        <v>147</v>
      </c>
      <c r="Y4" s="105" t="s">
        <v>148</v>
      </c>
      <c r="Z4" s="105" t="s">
        <v>47</v>
      </c>
      <c r="AA4" s="105" t="s">
        <v>149</v>
      </c>
      <c r="AB4" s="105" t="s">
        <v>150</v>
      </c>
      <c r="AC4" s="105" t="s">
        <v>151</v>
      </c>
      <c r="AD4" s="105" t="s">
        <v>152</v>
      </c>
      <c r="AE4" s="106">
        <v>45047.0</v>
      </c>
      <c r="AF4" s="106">
        <v>45078.0</v>
      </c>
      <c r="AG4" s="106">
        <v>45108.0</v>
      </c>
      <c r="AH4" s="106">
        <v>45139.0</v>
      </c>
      <c r="AI4" s="106">
        <v>45170.0</v>
      </c>
      <c r="AJ4" s="106">
        <v>45200.0</v>
      </c>
      <c r="AK4" s="106">
        <v>45231.0</v>
      </c>
      <c r="AL4" s="106">
        <v>45261.0</v>
      </c>
      <c r="AM4" s="106" t="s">
        <v>47</v>
      </c>
      <c r="AN4" s="106">
        <v>45292.0</v>
      </c>
      <c r="AO4" s="106">
        <v>45323.0</v>
      </c>
      <c r="AP4" s="106">
        <v>45352.0</v>
      </c>
      <c r="AQ4" s="106">
        <v>45383.0</v>
      </c>
      <c r="AR4" s="105" t="s">
        <v>47</v>
      </c>
    </row>
    <row r="5">
      <c r="A5" s="107" t="s">
        <v>153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</row>
    <row r="6" hidden="1">
      <c r="A6" s="107" t="s">
        <v>154</v>
      </c>
      <c r="B6" s="109">
        <f t="shared" ref="B6:D6" si="1">0</f>
        <v>0</v>
      </c>
      <c r="C6" s="109">
        <f t="shared" si="1"/>
        <v>0</v>
      </c>
      <c r="D6" s="109">
        <f t="shared" si="1"/>
        <v>0</v>
      </c>
      <c r="E6" s="109">
        <f>-3875.75</f>
        <v>-3875.75</v>
      </c>
      <c r="F6" s="109">
        <f t="shared" ref="F6:N6" si="2">0</f>
        <v>0</v>
      </c>
      <c r="G6" s="109">
        <f t="shared" si="2"/>
        <v>0</v>
      </c>
      <c r="H6" s="109">
        <f t="shared" si="2"/>
        <v>0</v>
      </c>
      <c r="I6" s="109">
        <f t="shared" si="2"/>
        <v>0</v>
      </c>
      <c r="J6" s="109">
        <f t="shared" si="2"/>
        <v>0</v>
      </c>
      <c r="K6" s="109">
        <f t="shared" si="2"/>
        <v>0</v>
      </c>
      <c r="L6" s="109">
        <f t="shared" si="2"/>
        <v>0</v>
      </c>
      <c r="M6" s="109">
        <f t="shared" si="2"/>
        <v>0</v>
      </c>
      <c r="N6" s="109">
        <f t="shared" si="2"/>
        <v>0</v>
      </c>
      <c r="O6" s="109">
        <f>-87.47</f>
        <v>-87.47</v>
      </c>
      <c r="P6" s="109">
        <f>-116.92</f>
        <v>-116.92</v>
      </c>
      <c r="Q6" s="109">
        <f t="shared" ref="Q6:T6" si="3">0</f>
        <v>0</v>
      </c>
      <c r="R6" s="109">
        <f t="shared" si="3"/>
        <v>0</v>
      </c>
      <c r="S6" s="109">
        <f t="shared" si="3"/>
        <v>0</v>
      </c>
      <c r="T6" s="109">
        <f t="shared" si="3"/>
        <v>0</v>
      </c>
      <c r="U6" s="109">
        <f>-1</f>
        <v>-1</v>
      </c>
      <c r="V6" s="109">
        <f t="shared" ref="V6:X6" si="4">0</f>
        <v>0</v>
      </c>
      <c r="W6" s="109">
        <f t="shared" si="4"/>
        <v>0</v>
      </c>
      <c r="X6" s="109">
        <f t="shared" si="4"/>
        <v>0</v>
      </c>
      <c r="Y6" s="109">
        <f>-574.73</f>
        <v>-574.73</v>
      </c>
      <c r="Z6" s="109"/>
      <c r="AA6" s="109">
        <f t="shared" ref="AA6:AB6" si="5">0</f>
        <v>0</v>
      </c>
      <c r="AB6" s="109">
        <f t="shared" si="5"/>
        <v>0</v>
      </c>
      <c r="AC6" s="109">
        <f>1000</f>
        <v>1000</v>
      </c>
      <c r="AD6" s="109">
        <f>0</f>
        <v>0</v>
      </c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>
        <f t="shared" ref="AR6:AR8" si="6">(((((((((((((((((((((((((((B6)+(C6))+(D6))+(E6))+(F6))+(G6))+(H6))+(I6))+(J6))+(K6))+(L6))+(M6))+(N6))+(O6))+(P6))+(Q6))+(R6))+(S6))+(T6))+(U6))+(V6))+(W6))+(X6))+(Y6))+(AA6))+(AB6))+(AC6))+(AD6)</f>
        <v>-3655.87</v>
      </c>
    </row>
    <row r="7">
      <c r="A7" s="107" t="s">
        <v>155</v>
      </c>
      <c r="B7" s="109">
        <f>0</f>
        <v>0</v>
      </c>
      <c r="C7" s="109">
        <f>4378</f>
        <v>4378</v>
      </c>
      <c r="D7" s="109">
        <f>14585.63</f>
        <v>14585.63</v>
      </c>
      <c r="E7" s="109">
        <f>29972.89</f>
        <v>29972.89</v>
      </c>
      <c r="F7" s="109">
        <f>26791.73</f>
        <v>26791.73</v>
      </c>
      <c r="G7" s="109">
        <f>32353</f>
        <v>32353</v>
      </c>
      <c r="H7" s="109">
        <f>38457.27</f>
        <v>38457.27</v>
      </c>
      <c r="I7" s="109">
        <f>39411.11</f>
        <v>39411.11</v>
      </c>
      <c r="J7" s="109">
        <f>47849.11</f>
        <v>47849.11</v>
      </c>
      <c r="K7" s="109">
        <f>40235.69</f>
        <v>40235.69</v>
      </c>
      <c r="L7" s="109">
        <f>47279.61</f>
        <v>47279.61</v>
      </c>
      <c r="M7" s="109">
        <f>48336.29</f>
        <v>48336.29</v>
      </c>
      <c r="N7" s="109">
        <f>47701.8</f>
        <v>47701.8</v>
      </c>
      <c r="O7" s="109">
        <f>51892.59</f>
        <v>51892.59</v>
      </c>
      <c r="P7" s="109">
        <f>45904.68</f>
        <v>45904.68</v>
      </c>
      <c r="Q7" s="109">
        <f>48863.99</f>
        <v>48863.99</v>
      </c>
      <c r="R7" s="109">
        <f>50279.58</f>
        <v>50279.58</v>
      </c>
      <c r="S7" s="109">
        <f>49432.86</f>
        <v>49432.86</v>
      </c>
      <c r="T7" s="109">
        <f>101170.02</f>
        <v>101170.02</v>
      </c>
      <c r="U7" s="109">
        <f>49204.45</f>
        <v>49204.45</v>
      </c>
      <c r="V7" s="109">
        <f>79677.43</f>
        <v>79677.43</v>
      </c>
      <c r="W7" s="109">
        <f>74487.1</f>
        <v>74487.1</v>
      </c>
      <c r="X7" s="109">
        <f>66263.49</f>
        <v>66263.49</v>
      </c>
      <c r="Y7" s="109">
        <f>156480.3</f>
        <v>156480.3</v>
      </c>
      <c r="Z7" s="110">
        <f t="shared" ref="Z7:Z8" si="8">SUM(N7:Y7)</f>
        <v>821358.29</v>
      </c>
      <c r="AA7" s="111">
        <v>79861.18</v>
      </c>
      <c r="AB7" s="111">
        <v>89149.99</v>
      </c>
      <c r="AC7" s="111">
        <v>77500.7</v>
      </c>
      <c r="AD7" s="109">
        <f>76120.72</f>
        <v>76120.72</v>
      </c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>
        <f t="shared" si="6"/>
        <v>1513641.21</v>
      </c>
    </row>
    <row r="8">
      <c r="A8" s="107" t="s">
        <v>156</v>
      </c>
      <c r="B8" s="112">
        <f t="shared" ref="B8:Y8" si="7">(B6)+(B7)</f>
        <v>0</v>
      </c>
      <c r="C8" s="112">
        <f t="shared" si="7"/>
        <v>4378</v>
      </c>
      <c r="D8" s="112">
        <f t="shared" si="7"/>
        <v>14585.63</v>
      </c>
      <c r="E8" s="112">
        <f t="shared" si="7"/>
        <v>26097.14</v>
      </c>
      <c r="F8" s="112">
        <f t="shared" si="7"/>
        <v>26791.73</v>
      </c>
      <c r="G8" s="112">
        <f t="shared" si="7"/>
        <v>32353</v>
      </c>
      <c r="H8" s="112">
        <f t="shared" si="7"/>
        <v>38457.27</v>
      </c>
      <c r="I8" s="112">
        <f t="shared" si="7"/>
        <v>39411.11</v>
      </c>
      <c r="J8" s="112">
        <f t="shared" si="7"/>
        <v>47849.11</v>
      </c>
      <c r="K8" s="112">
        <f t="shared" si="7"/>
        <v>40235.69</v>
      </c>
      <c r="L8" s="112">
        <f t="shared" si="7"/>
        <v>47279.61</v>
      </c>
      <c r="M8" s="112">
        <f t="shared" si="7"/>
        <v>48336.29</v>
      </c>
      <c r="N8" s="112">
        <f t="shared" si="7"/>
        <v>47701.8</v>
      </c>
      <c r="O8" s="112">
        <f t="shared" si="7"/>
        <v>51805.12</v>
      </c>
      <c r="P8" s="112">
        <f t="shared" si="7"/>
        <v>45787.76</v>
      </c>
      <c r="Q8" s="112">
        <f t="shared" si="7"/>
        <v>48863.99</v>
      </c>
      <c r="R8" s="112">
        <f t="shared" si="7"/>
        <v>50279.58</v>
      </c>
      <c r="S8" s="112">
        <f t="shared" si="7"/>
        <v>49432.86</v>
      </c>
      <c r="T8" s="112">
        <f t="shared" si="7"/>
        <v>101170.02</v>
      </c>
      <c r="U8" s="112">
        <f t="shared" si="7"/>
        <v>49203.45</v>
      </c>
      <c r="V8" s="112">
        <f t="shared" si="7"/>
        <v>79677.43</v>
      </c>
      <c r="W8" s="112">
        <f t="shared" si="7"/>
        <v>74487.1</v>
      </c>
      <c r="X8" s="112">
        <f t="shared" si="7"/>
        <v>66263.49</v>
      </c>
      <c r="Y8" s="112">
        <f t="shared" si="7"/>
        <v>155905.57</v>
      </c>
      <c r="Z8" s="113">
        <f t="shared" si="8"/>
        <v>820578.17</v>
      </c>
      <c r="AA8" s="112">
        <f t="shared" ref="AA8:AD8" si="9">(AA6)+(AA7)</f>
        <v>79861.18</v>
      </c>
      <c r="AB8" s="112">
        <f t="shared" si="9"/>
        <v>89149.99</v>
      </c>
      <c r="AC8" s="112">
        <f t="shared" si="9"/>
        <v>78500.7</v>
      </c>
      <c r="AD8" s="112">
        <f t="shared" si="9"/>
        <v>76120.72</v>
      </c>
      <c r="AE8" s="112">
        <f t="shared" ref="AE8:AL8" si="10">AD8+(AD8*0.1)</f>
        <v>83732.792</v>
      </c>
      <c r="AF8" s="112">
        <f t="shared" si="10"/>
        <v>92106.0712</v>
      </c>
      <c r="AG8" s="112">
        <f t="shared" si="10"/>
        <v>101316.6783</v>
      </c>
      <c r="AH8" s="112">
        <f t="shared" si="10"/>
        <v>111448.3462</v>
      </c>
      <c r="AI8" s="112">
        <f t="shared" si="10"/>
        <v>122593.1808</v>
      </c>
      <c r="AJ8" s="112">
        <f t="shared" si="10"/>
        <v>134852.4988</v>
      </c>
      <c r="AK8" s="112">
        <f t="shared" si="10"/>
        <v>148337.7487</v>
      </c>
      <c r="AL8" s="112">
        <f t="shared" si="10"/>
        <v>163171.5236</v>
      </c>
      <c r="AM8" s="112">
        <f>SUM(AA8:AL8)</f>
        <v>1281191.43</v>
      </c>
      <c r="AN8" s="112"/>
      <c r="AO8" s="112"/>
      <c r="AP8" s="112"/>
      <c r="AQ8" s="112"/>
      <c r="AR8" s="112">
        <f t="shared" si="6"/>
        <v>1509985.34</v>
      </c>
    </row>
    <row r="9">
      <c r="A9" s="107" t="s">
        <v>157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9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12"/>
      <c r="AN9" s="108"/>
      <c r="AO9" s="108"/>
      <c r="AP9" s="108"/>
      <c r="AQ9" s="108"/>
      <c r="AR9" s="108"/>
    </row>
    <row r="10" hidden="1">
      <c r="A10" s="107" t="s">
        <v>158</v>
      </c>
      <c r="B10" s="109">
        <f t="shared" ref="B10:D10" si="11">0</f>
        <v>0</v>
      </c>
      <c r="C10" s="109">
        <f t="shared" si="11"/>
        <v>0</v>
      </c>
      <c r="D10" s="109">
        <f t="shared" si="11"/>
        <v>0</v>
      </c>
      <c r="E10" s="109">
        <f>2057.4</f>
        <v>2057.4</v>
      </c>
      <c r="F10" s="109">
        <f>-159.75</f>
        <v>-159.75</v>
      </c>
      <c r="G10" s="109">
        <f>3090.18</f>
        <v>3090.18</v>
      </c>
      <c r="H10" s="109">
        <f>7266.38</f>
        <v>7266.38</v>
      </c>
      <c r="I10" s="109">
        <f>11708.11</f>
        <v>11708.11</v>
      </c>
      <c r="J10" s="109">
        <f>14282.57</f>
        <v>14282.57</v>
      </c>
      <c r="K10" s="109">
        <f>11557.98</f>
        <v>11557.98</v>
      </c>
      <c r="L10" s="109">
        <f>0</f>
        <v>0</v>
      </c>
      <c r="M10" s="109">
        <f>27405.81</f>
        <v>27405.81</v>
      </c>
      <c r="N10" s="109">
        <f>1353.5</f>
        <v>1353.5</v>
      </c>
      <c r="O10" s="109">
        <f>0</f>
        <v>0</v>
      </c>
      <c r="P10" s="109">
        <f>182.3</f>
        <v>182.3</v>
      </c>
      <c r="Q10" s="109">
        <f>16336</f>
        <v>16336</v>
      </c>
      <c r="R10" s="109">
        <f>0</f>
        <v>0</v>
      </c>
      <c r="S10" s="109">
        <f>8925</f>
        <v>8925</v>
      </c>
      <c r="T10" s="109">
        <f>0</f>
        <v>0</v>
      </c>
      <c r="U10" s="109">
        <f>31360</f>
        <v>31360</v>
      </c>
      <c r="V10" s="109">
        <f>19425</f>
        <v>19425</v>
      </c>
      <c r="W10" s="109">
        <f>18335</f>
        <v>18335</v>
      </c>
      <c r="X10" s="109">
        <f>13025</f>
        <v>13025</v>
      </c>
      <c r="Y10" s="109">
        <f>11425</f>
        <v>11425</v>
      </c>
      <c r="Z10" s="109">
        <f t="shared" ref="Z10:Z14" si="12">SUM(N10:Y10)</f>
        <v>120366.8</v>
      </c>
      <c r="AA10" s="109">
        <f t="shared" ref="AA10:AA11" si="13">0</f>
        <v>0</v>
      </c>
      <c r="AB10" s="109">
        <f>15750</f>
        <v>15750</v>
      </c>
      <c r="AC10" s="109">
        <f>35098</f>
        <v>35098</v>
      </c>
      <c r="AD10" s="109">
        <f>4015</f>
        <v>4015</v>
      </c>
      <c r="AE10" s="109"/>
      <c r="AF10" s="109"/>
      <c r="AG10" s="109"/>
      <c r="AH10" s="109"/>
      <c r="AI10" s="109"/>
      <c r="AJ10" s="109"/>
      <c r="AK10" s="109"/>
      <c r="AL10" s="109"/>
      <c r="AM10" s="112">
        <f t="shared" ref="AM10:AM14" si="15">SUM(AA10:AL10)</f>
        <v>54863</v>
      </c>
      <c r="AN10" s="109"/>
      <c r="AO10" s="109"/>
      <c r="AP10" s="109"/>
      <c r="AQ10" s="109"/>
      <c r="AR10" s="109">
        <f t="shared" ref="AR10:AR14" si="16">(((((((((((((((((((((((((((B10)+(C10))+(D10))+(E10))+(F10))+(G10))+(H10))+(I10))+(J10))+(K10))+(L10))+(M10))+(N10))+(O10))+(P10))+(Q10))+(R10))+(S10))+(T10))+(U10))+(V10))+(W10))+(X10))+(Y10))+(AA10))+(AB10))+(AC10))+(AD10)</f>
        <v>252438.48</v>
      </c>
    </row>
    <row r="11" hidden="1">
      <c r="A11" s="107" t="s">
        <v>159</v>
      </c>
      <c r="B11" s="109">
        <f>181.19</f>
        <v>181.19</v>
      </c>
      <c r="C11" s="109">
        <f>81.87</f>
        <v>81.87</v>
      </c>
      <c r="D11" s="109">
        <f>87.99</f>
        <v>87.99</v>
      </c>
      <c r="E11" s="109">
        <f>102.73</f>
        <v>102.73</v>
      </c>
      <c r="F11" s="109">
        <f>0</f>
        <v>0</v>
      </c>
      <c r="G11" s="109">
        <f>34.26</f>
        <v>34.26</v>
      </c>
      <c r="H11" s="109">
        <f>78.38</f>
        <v>78.38</v>
      </c>
      <c r="I11" s="109">
        <f>83.86</f>
        <v>83.86</v>
      </c>
      <c r="J11" s="109">
        <f>87.16</f>
        <v>87.16</v>
      </c>
      <c r="K11" s="109">
        <f>120.32</f>
        <v>120.32</v>
      </c>
      <c r="L11" s="109">
        <f>89.34</f>
        <v>89.34</v>
      </c>
      <c r="M11" s="109">
        <f>81.67</f>
        <v>81.67</v>
      </c>
      <c r="N11" s="109">
        <f>373.39</f>
        <v>373.39</v>
      </c>
      <c r="O11" s="109">
        <f>81.67</f>
        <v>81.67</v>
      </c>
      <c r="P11" s="109">
        <f>83.86</f>
        <v>83.86</v>
      </c>
      <c r="Q11" s="109">
        <f>124.09</f>
        <v>124.09</v>
      </c>
      <c r="R11" s="109">
        <f>90.02</f>
        <v>90.02</v>
      </c>
      <c r="S11" s="109">
        <f>91.18</f>
        <v>91.18</v>
      </c>
      <c r="T11" s="109">
        <f>85.38</f>
        <v>85.38</v>
      </c>
      <c r="U11" s="109">
        <f>86.54</f>
        <v>86.54</v>
      </c>
      <c r="V11" s="109">
        <f>132.13</f>
        <v>132.13</v>
      </c>
      <c r="W11" s="109">
        <f>84.22</f>
        <v>84.22</v>
      </c>
      <c r="X11" s="109">
        <f>148.97</f>
        <v>148.97</v>
      </c>
      <c r="Y11" s="109">
        <f>151.29</f>
        <v>151.29</v>
      </c>
      <c r="Z11" s="109">
        <f t="shared" si="12"/>
        <v>1532.74</v>
      </c>
      <c r="AA11" s="109">
        <f t="shared" si="13"/>
        <v>0</v>
      </c>
      <c r="AB11" s="109">
        <f t="shared" ref="AB11:AD11" si="14">0</f>
        <v>0</v>
      </c>
      <c r="AC11" s="109">
        <f t="shared" si="14"/>
        <v>0</v>
      </c>
      <c r="AD11" s="109">
        <f t="shared" si="14"/>
        <v>0</v>
      </c>
      <c r="AE11" s="109"/>
      <c r="AF11" s="109"/>
      <c r="AG11" s="109"/>
      <c r="AH11" s="109"/>
      <c r="AI11" s="109"/>
      <c r="AJ11" s="109"/>
      <c r="AK11" s="109"/>
      <c r="AL11" s="109"/>
      <c r="AM11" s="112">
        <f t="shared" si="15"/>
        <v>0</v>
      </c>
      <c r="AN11" s="109"/>
      <c r="AO11" s="109"/>
      <c r="AP11" s="109"/>
      <c r="AQ11" s="109"/>
      <c r="AR11" s="109">
        <f t="shared" si="16"/>
        <v>2561.51</v>
      </c>
    </row>
    <row r="12" hidden="1">
      <c r="A12" s="107" t="s">
        <v>160</v>
      </c>
      <c r="B12" s="109">
        <f>4361.04</f>
        <v>4361.04</v>
      </c>
      <c r="C12" s="109">
        <f>7487.24</f>
        <v>7487.24</v>
      </c>
      <c r="D12" s="109">
        <f>8760.85</f>
        <v>8760.85</v>
      </c>
      <c r="E12" s="109">
        <f>10634.65</f>
        <v>10634.65</v>
      </c>
      <c r="F12" s="109">
        <f>14435.39</f>
        <v>14435.39</v>
      </c>
      <c r="G12" s="109">
        <f>13796.35</f>
        <v>13796.35</v>
      </c>
      <c r="H12" s="109">
        <f>20734.7</f>
        <v>20734.7</v>
      </c>
      <c r="I12" s="109">
        <f>19238.92</f>
        <v>19238.92</v>
      </c>
      <c r="J12" s="109">
        <f>17967.3</f>
        <v>17967.3</v>
      </c>
      <c r="K12" s="109">
        <f>18033.67</f>
        <v>18033.67</v>
      </c>
      <c r="L12" s="109">
        <f>27125.83</f>
        <v>27125.83</v>
      </c>
      <c r="M12" s="109">
        <f>33336</f>
        <v>33336</v>
      </c>
      <c r="N12" s="109">
        <f>15761.64</f>
        <v>15761.64</v>
      </c>
      <c r="O12" s="109">
        <f>22397.21</f>
        <v>22397.21</v>
      </c>
      <c r="P12" s="109">
        <f>21011.1</f>
        <v>21011.1</v>
      </c>
      <c r="Q12" s="109">
        <f>24084.28</f>
        <v>24084.28</v>
      </c>
      <c r="R12" s="109">
        <f>26329.36</f>
        <v>26329.36</v>
      </c>
      <c r="S12" s="109">
        <f>22979.88</f>
        <v>22979.88</v>
      </c>
      <c r="T12" s="109">
        <f>41588.29</f>
        <v>41588.29</v>
      </c>
      <c r="U12" s="109">
        <f>24627.26</f>
        <v>24627.26</v>
      </c>
      <c r="V12" s="109">
        <f>27740.33</f>
        <v>27740.33</v>
      </c>
      <c r="W12" s="109">
        <f>28184.93</f>
        <v>28184.93</v>
      </c>
      <c r="X12" s="109">
        <f>28625.81</f>
        <v>28625.81</v>
      </c>
      <c r="Y12" s="109">
        <f>48646.84</f>
        <v>48646.84</v>
      </c>
      <c r="Z12" s="109">
        <f t="shared" si="12"/>
        <v>331976.93</v>
      </c>
      <c r="AA12" s="109">
        <f>32020.75</f>
        <v>32020.75</v>
      </c>
      <c r="AB12" s="109">
        <f>31848.77</f>
        <v>31848.77</v>
      </c>
      <c r="AC12" s="109">
        <f>32762.06</f>
        <v>32762.06</v>
      </c>
      <c r="AD12" s="109">
        <f>0</f>
        <v>0</v>
      </c>
      <c r="AE12" s="109"/>
      <c r="AF12" s="109"/>
      <c r="AG12" s="109"/>
      <c r="AH12" s="109"/>
      <c r="AI12" s="109"/>
      <c r="AJ12" s="109"/>
      <c r="AK12" s="109"/>
      <c r="AL12" s="109"/>
      <c r="AM12" s="112">
        <f t="shared" si="15"/>
        <v>96631.58</v>
      </c>
      <c r="AN12" s="109"/>
      <c r="AO12" s="109"/>
      <c r="AP12" s="109"/>
      <c r="AQ12" s="109"/>
      <c r="AR12" s="109">
        <f t="shared" si="16"/>
        <v>624520.45</v>
      </c>
    </row>
    <row r="13">
      <c r="A13" s="107" t="s">
        <v>161</v>
      </c>
      <c r="B13" s="112">
        <f t="shared" ref="B13:Y13" si="17">((B10)+(B11))+(B12)</f>
        <v>4542.23</v>
      </c>
      <c r="C13" s="112">
        <f t="shared" si="17"/>
        <v>7569.11</v>
      </c>
      <c r="D13" s="112">
        <f t="shared" si="17"/>
        <v>8848.84</v>
      </c>
      <c r="E13" s="112">
        <f t="shared" si="17"/>
        <v>12794.78</v>
      </c>
      <c r="F13" s="112">
        <f t="shared" si="17"/>
        <v>14275.64</v>
      </c>
      <c r="G13" s="112">
        <f t="shared" si="17"/>
        <v>16920.79</v>
      </c>
      <c r="H13" s="112">
        <f t="shared" si="17"/>
        <v>28079.46</v>
      </c>
      <c r="I13" s="112">
        <f t="shared" si="17"/>
        <v>31030.89</v>
      </c>
      <c r="J13" s="112">
        <f t="shared" si="17"/>
        <v>32337.03</v>
      </c>
      <c r="K13" s="112">
        <f t="shared" si="17"/>
        <v>29711.97</v>
      </c>
      <c r="L13" s="112">
        <f t="shared" si="17"/>
        <v>27215.17</v>
      </c>
      <c r="M13" s="112">
        <f t="shared" si="17"/>
        <v>60823.48</v>
      </c>
      <c r="N13" s="112">
        <f t="shared" si="17"/>
        <v>17488.53</v>
      </c>
      <c r="O13" s="112">
        <f t="shared" si="17"/>
        <v>22478.88</v>
      </c>
      <c r="P13" s="112">
        <f t="shared" si="17"/>
        <v>21277.26</v>
      </c>
      <c r="Q13" s="112">
        <f t="shared" si="17"/>
        <v>40544.37</v>
      </c>
      <c r="R13" s="112">
        <f t="shared" si="17"/>
        <v>26419.38</v>
      </c>
      <c r="S13" s="112">
        <f t="shared" si="17"/>
        <v>31996.06</v>
      </c>
      <c r="T13" s="112">
        <f t="shared" si="17"/>
        <v>41673.67</v>
      </c>
      <c r="U13" s="112">
        <f t="shared" si="17"/>
        <v>56073.8</v>
      </c>
      <c r="V13" s="112">
        <f t="shared" si="17"/>
        <v>47297.46</v>
      </c>
      <c r="W13" s="112">
        <f t="shared" si="17"/>
        <v>46604.15</v>
      </c>
      <c r="X13" s="112">
        <f t="shared" si="17"/>
        <v>41799.78</v>
      </c>
      <c r="Y13" s="112">
        <f t="shared" si="17"/>
        <v>60223.13</v>
      </c>
      <c r="Z13" s="114">
        <f t="shared" si="12"/>
        <v>453876.47</v>
      </c>
      <c r="AA13" s="112">
        <f t="shared" ref="AA13:AC13" si="18">((AA10)+(AA11))+(AA12)</f>
        <v>32020.75</v>
      </c>
      <c r="AB13" s="112">
        <f t="shared" si="18"/>
        <v>47598.77</v>
      </c>
      <c r="AC13" s="112">
        <f t="shared" si="18"/>
        <v>67860.06</v>
      </c>
      <c r="AD13" s="112">
        <v>42000.0</v>
      </c>
      <c r="AE13" s="112">
        <v>42000.0</v>
      </c>
      <c r="AF13" s="112">
        <v>42000.0</v>
      </c>
      <c r="AG13" s="112">
        <v>42000.0</v>
      </c>
      <c r="AH13" s="112">
        <v>42000.0</v>
      </c>
      <c r="AI13" s="112">
        <v>42000.0</v>
      </c>
      <c r="AJ13" s="112">
        <v>42000.0</v>
      </c>
      <c r="AK13" s="112">
        <v>42000.0</v>
      </c>
      <c r="AL13" s="112">
        <v>42000.0</v>
      </c>
      <c r="AM13" s="112">
        <f t="shared" si="15"/>
        <v>525479.58</v>
      </c>
      <c r="AN13" s="112"/>
      <c r="AO13" s="112"/>
      <c r="AP13" s="112"/>
      <c r="AQ13" s="112"/>
      <c r="AR13" s="112">
        <f t="shared" si="16"/>
        <v>917505.44</v>
      </c>
    </row>
    <row r="14">
      <c r="A14" s="107" t="s">
        <v>162</v>
      </c>
      <c r="B14" s="112">
        <f t="shared" ref="B14:Y14" si="19">(B8)-(B13)</f>
        <v>-4542.23</v>
      </c>
      <c r="C14" s="112">
        <f t="shared" si="19"/>
        <v>-3191.11</v>
      </c>
      <c r="D14" s="112">
        <f t="shared" si="19"/>
        <v>5736.79</v>
      </c>
      <c r="E14" s="112">
        <f t="shared" si="19"/>
        <v>13302.36</v>
      </c>
      <c r="F14" s="112">
        <f t="shared" si="19"/>
        <v>12516.09</v>
      </c>
      <c r="G14" s="112">
        <f t="shared" si="19"/>
        <v>15432.21</v>
      </c>
      <c r="H14" s="112">
        <f t="shared" si="19"/>
        <v>10377.81</v>
      </c>
      <c r="I14" s="112">
        <f t="shared" si="19"/>
        <v>8380.22</v>
      </c>
      <c r="J14" s="112">
        <f t="shared" si="19"/>
        <v>15512.08</v>
      </c>
      <c r="K14" s="112">
        <f t="shared" si="19"/>
        <v>10523.72</v>
      </c>
      <c r="L14" s="112">
        <f t="shared" si="19"/>
        <v>20064.44</v>
      </c>
      <c r="M14" s="112">
        <f t="shared" si="19"/>
        <v>-12487.19</v>
      </c>
      <c r="N14" s="112">
        <f t="shared" si="19"/>
        <v>30213.27</v>
      </c>
      <c r="O14" s="112">
        <f t="shared" si="19"/>
        <v>29326.24</v>
      </c>
      <c r="P14" s="112">
        <f t="shared" si="19"/>
        <v>24510.5</v>
      </c>
      <c r="Q14" s="112">
        <f t="shared" si="19"/>
        <v>8319.62</v>
      </c>
      <c r="R14" s="112">
        <f t="shared" si="19"/>
        <v>23860.2</v>
      </c>
      <c r="S14" s="112">
        <f t="shared" si="19"/>
        <v>17436.8</v>
      </c>
      <c r="T14" s="112">
        <f t="shared" si="19"/>
        <v>59496.35</v>
      </c>
      <c r="U14" s="112">
        <f t="shared" si="19"/>
        <v>-6870.35</v>
      </c>
      <c r="V14" s="112">
        <f t="shared" si="19"/>
        <v>32379.97</v>
      </c>
      <c r="W14" s="112">
        <f t="shared" si="19"/>
        <v>27882.95</v>
      </c>
      <c r="X14" s="112">
        <f t="shared" si="19"/>
        <v>24463.71</v>
      </c>
      <c r="Y14" s="112">
        <f t="shared" si="19"/>
        <v>95682.44</v>
      </c>
      <c r="Z14" s="113">
        <f t="shared" si="12"/>
        <v>366701.7</v>
      </c>
      <c r="AA14" s="112">
        <f t="shared" ref="AA14:AD14" si="20">(AA8)-(AA13)</f>
        <v>47840.43</v>
      </c>
      <c r="AB14" s="112">
        <f t="shared" si="20"/>
        <v>41551.22</v>
      </c>
      <c r="AC14" s="112">
        <f t="shared" si="20"/>
        <v>10640.64</v>
      </c>
      <c r="AD14" s="112">
        <f t="shared" si="20"/>
        <v>34120.72</v>
      </c>
      <c r="AE14" s="112">
        <f t="shared" ref="AE14:AL14" si="21">AE8-AE13</f>
        <v>41732.792</v>
      </c>
      <c r="AF14" s="112">
        <f t="shared" si="21"/>
        <v>50106.0712</v>
      </c>
      <c r="AG14" s="112">
        <f t="shared" si="21"/>
        <v>59316.67832</v>
      </c>
      <c r="AH14" s="112">
        <f t="shared" si="21"/>
        <v>69448.34615</v>
      </c>
      <c r="AI14" s="112">
        <f t="shared" si="21"/>
        <v>80593.18077</v>
      </c>
      <c r="AJ14" s="112">
        <f t="shared" si="21"/>
        <v>92852.49884</v>
      </c>
      <c r="AK14" s="112">
        <f t="shared" si="21"/>
        <v>106337.7487</v>
      </c>
      <c r="AL14" s="112">
        <f t="shared" si="21"/>
        <v>121171.5236</v>
      </c>
      <c r="AM14" s="112">
        <f t="shared" si="15"/>
        <v>755711.8496</v>
      </c>
      <c r="AN14" s="112"/>
      <c r="AO14" s="112"/>
      <c r="AP14" s="112"/>
      <c r="AQ14" s="112"/>
      <c r="AR14" s="112">
        <f t="shared" si="16"/>
        <v>592479.9</v>
      </c>
    </row>
    <row r="15">
      <c r="A15" s="107" t="s">
        <v>15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9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12"/>
      <c r="AN15" s="108"/>
      <c r="AO15" s="108"/>
      <c r="AP15" s="108"/>
      <c r="AQ15" s="108"/>
      <c r="AR15" s="108"/>
    </row>
    <row r="16" hidden="1">
      <c r="A16" s="107" t="s">
        <v>163</v>
      </c>
      <c r="B16" s="109">
        <f>329.6</f>
        <v>329.6</v>
      </c>
      <c r="C16" s="109">
        <f>64.28</f>
        <v>64.28</v>
      </c>
      <c r="D16" s="109">
        <f>502.81</f>
        <v>502.81</v>
      </c>
      <c r="E16" s="109">
        <f>195.83</f>
        <v>195.83</v>
      </c>
      <c r="F16" s="109">
        <f>277.92</f>
        <v>277.92</v>
      </c>
      <c r="G16" s="109">
        <f>611.34</f>
        <v>611.34</v>
      </c>
      <c r="H16" s="109">
        <f t="shared" ref="H16:H17" si="24">0</f>
        <v>0</v>
      </c>
      <c r="I16" s="109">
        <f>149.59</f>
        <v>149.59</v>
      </c>
      <c r="J16" s="109">
        <f>176.91</f>
        <v>176.91</v>
      </c>
      <c r="K16" s="109">
        <f>998.32</f>
        <v>998.32</v>
      </c>
      <c r="L16" s="109">
        <f>721</f>
        <v>721</v>
      </c>
      <c r="M16" s="109">
        <f>787</f>
        <v>787</v>
      </c>
      <c r="N16" s="109">
        <f>395</f>
        <v>395</v>
      </c>
      <c r="O16" s="109">
        <f>30</f>
        <v>30</v>
      </c>
      <c r="P16" s="109">
        <f>99.86</f>
        <v>99.86</v>
      </c>
      <c r="Q16" s="109">
        <f>154.45</f>
        <v>154.45</v>
      </c>
      <c r="R16" s="109">
        <f>25.78</f>
        <v>25.78</v>
      </c>
      <c r="S16" s="109">
        <f>27</f>
        <v>27</v>
      </c>
      <c r="T16" s="109">
        <f t="shared" ref="T16:U16" si="22">30</f>
        <v>30</v>
      </c>
      <c r="U16" s="109">
        <f t="shared" si="22"/>
        <v>30</v>
      </c>
      <c r="V16" s="109">
        <f>96.07</f>
        <v>96.07</v>
      </c>
      <c r="W16" s="109">
        <f>103.56</f>
        <v>103.56</v>
      </c>
      <c r="X16" s="109">
        <f>30</f>
        <v>30</v>
      </c>
      <c r="Y16" s="109">
        <f>1126.96</f>
        <v>1126.96</v>
      </c>
      <c r="Z16" s="109">
        <f t="shared" ref="Z16:Z39" si="26">SUM(N16:Y16)</f>
        <v>2148.68</v>
      </c>
      <c r="AA16" s="109">
        <f>68.44</f>
        <v>68.44</v>
      </c>
      <c r="AB16" s="109">
        <f>70.48</f>
        <v>70.48</v>
      </c>
      <c r="AC16" s="109">
        <f>172.87</f>
        <v>172.87</v>
      </c>
      <c r="AD16" s="109">
        <f>131.68</f>
        <v>131.68</v>
      </c>
      <c r="AE16" s="109"/>
      <c r="AF16" s="109"/>
      <c r="AG16" s="109"/>
      <c r="AH16" s="109"/>
      <c r="AI16" s="109"/>
      <c r="AJ16" s="109"/>
      <c r="AK16" s="109"/>
      <c r="AL16" s="109"/>
      <c r="AM16" s="112">
        <f t="shared" ref="AM16:AM39" si="28">SUM(AA16:AL16)</f>
        <v>443.47</v>
      </c>
      <c r="AN16" s="109"/>
      <c r="AO16" s="109"/>
      <c r="AP16" s="109"/>
      <c r="AQ16" s="109"/>
      <c r="AR16" s="109">
        <f t="shared" ref="AR16:AR39" si="29">(((((((((((((((((((((((((((B16)+(C16))+(D16))+(E16))+(F16))+(G16))+(H16))+(I16))+(J16))+(K16))+(L16))+(M16))+(N16))+(O16))+(P16))+(Q16))+(R16))+(S16))+(T16))+(U16))+(V16))+(W16))+(X16))+(Y16))+(AA16))+(AB16))+(AC16))+(AD16)</f>
        <v>7406.75</v>
      </c>
    </row>
    <row r="17" hidden="1">
      <c r="A17" s="107" t="s">
        <v>164</v>
      </c>
      <c r="B17" s="109">
        <f t="shared" ref="B17:E17" si="23">0</f>
        <v>0</v>
      </c>
      <c r="C17" s="109">
        <f t="shared" si="23"/>
        <v>0</v>
      </c>
      <c r="D17" s="109">
        <f t="shared" si="23"/>
        <v>0</v>
      </c>
      <c r="E17" s="109">
        <f t="shared" si="23"/>
        <v>0</v>
      </c>
      <c r="F17" s="109">
        <f>376</f>
        <v>376</v>
      </c>
      <c r="G17" s="109">
        <f>1754.75</f>
        <v>1754.75</v>
      </c>
      <c r="H17" s="109">
        <f t="shared" si="24"/>
        <v>0</v>
      </c>
      <c r="I17" s="109">
        <f>2323</f>
        <v>2323</v>
      </c>
      <c r="J17" s="109">
        <f>3142</f>
        <v>3142</v>
      </c>
      <c r="K17" s="109">
        <f>4194.5</f>
        <v>4194.5</v>
      </c>
      <c r="L17" s="109">
        <f>0</f>
        <v>0</v>
      </c>
      <c r="M17" s="109">
        <f>1175</f>
        <v>1175</v>
      </c>
      <c r="N17" s="109">
        <f>0</f>
        <v>0</v>
      </c>
      <c r="O17" s="109">
        <f>671.5</f>
        <v>671.5</v>
      </c>
      <c r="P17" s="109">
        <f t="shared" ref="P17:X17" si="25">0</f>
        <v>0</v>
      </c>
      <c r="Q17" s="109">
        <f t="shared" si="25"/>
        <v>0</v>
      </c>
      <c r="R17" s="109">
        <f t="shared" si="25"/>
        <v>0</v>
      </c>
      <c r="S17" s="109">
        <f t="shared" si="25"/>
        <v>0</v>
      </c>
      <c r="T17" s="109">
        <f t="shared" si="25"/>
        <v>0</v>
      </c>
      <c r="U17" s="109">
        <f t="shared" si="25"/>
        <v>0</v>
      </c>
      <c r="V17" s="109">
        <f t="shared" si="25"/>
        <v>0</v>
      </c>
      <c r="W17" s="109">
        <f t="shared" si="25"/>
        <v>0</v>
      </c>
      <c r="X17" s="109">
        <f t="shared" si="25"/>
        <v>0</v>
      </c>
      <c r="Y17" s="109">
        <f>14035.42</f>
        <v>14035.42</v>
      </c>
      <c r="Z17" s="109">
        <f t="shared" si="26"/>
        <v>14706.92</v>
      </c>
      <c r="AA17" s="109">
        <f t="shared" ref="AA17:AD17" si="27">0</f>
        <v>0</v>
      </c>
      <c r="AB17" s="109">
        <f t="shared" si="27"/>
        <v>0</v>
      </c>
      <c r="AC17" s="109">
        <f t="shared" si="27"/>
        <v>0</v>
      </c>
      <c r="AD17" s="109">
        <f t="shared" si="27"/>
        <v>0</v>
      </c>
      <c r="AE17" s="109"/>
      <c r="AF17" s="109"/>
      <c r="AG17" s="109"/>
      <c r="AH17" s="109"/>
      <c r="AI17" s="109"/>
      <c r="AJ17" s="109"/>
      <c r="AK17" s="109"/>
      <c r="AL17" s="109"/>
      <c r="AM17" s="112">
        <f t="shared" si="28"/>
        <v>0</v>
      </c>
      <c r="AN17" s="109"/>
      <c r="AO17" s="109"/>
      <c r="AP17" s="109"/>
      <c r="AQ17" s="109"/>
      <c r="AR17" s="109">
        <f t="shared" si="29"/>
        <v>27672.17</v>
      </c>
    </row>
    <row r="18" hidden="1">
      <c r="A18" s="107" t="s">
        <v>165</v>
      </c>
      <c r="B18" s="109">
        <f>-28.81</f>
        <v>-28.81</v>
      </c>
      <c r="C18" s="109">
        <f>12.3</f>
        <v>12.3</v>
      </c>
      <c r="D18" s="109">
        <f>10.27</f>
        <v>10.27</v>
      </c>
      <c r="E18" s="109">
        <f>9.95</f>
        <v>9.95</v>
      </c>
      <c r="F18" s="109">
        <f>10.94</f>
        <v>10.94</v>
      </c>
      <c r="G18" s="109">
        <f>17.95</f>
        <v>17.95</v>
      </c>
      <c r="H18" s="109">
        <f>14.95</f>
        <v>14.95</v>
      </c>
      <c r="I18" s="109">
        <f t="shared" ref="I18:J18" si="30">-7.87</f>
        <v>-7.87</v>
      </c>
      <c r="J18" s="109">
        <f t="shared" si="30"/>
        <v>-7.87</v>
      </c>
      <c r="K18" s="109">
        <f>272.16</f>
        <v>272.16</v>
      </c>
      <c r="L18" s="109">
        <f>9.95</f>
        <v>9.95</v>
      </c>
      <c r="M18" s="109">
        <f>10.95</f>
        <v>10.95</v>
      </c>
      <c r="N18" s="109">
        <f>24.95</f>
        <v>24.95</v>
      </c>
      <c r="O18" s="109">
        <f>25.71</f>
        <v>25.71</v>
      </c>
      <c r="P18" s="109">
        <f>5.4</f>
        <v>5.4</v>
      </c>
      <c r="Q18" s="109">
        <f>285.31</f>
        <v>285.31</v>
      </c>
      <c r="R18" s="109">
        <f>279.88</f>
        <v>279.88</v>
      </c>
      <c r="S18" s="109">
        <f>268.6</f>
        <v>268.6</v>
      </c>
      <c r="T18" s="109">
        <f>435.83</f>
        <v>435.83</v>
      </c>
      <c r="U18" s="109">
        <f>30.95</f>
        <v>30.95</v>
      </c>
      <c r="V18" s="109">
        <f>233.3</f>
        <v>233.3</v>
      </c>
      <c r="W18" s="109">
        <f>253.56</f>
        <v>253.56</v>
      </c>
      <c r="X18" s="109">
        <f>272.27</f>
        <v>272.27</v>
      </c>
      <c r="Y18" s="109">
        <f>288.07</f>
        <v>288.07</v>
      </c>
      <c r="Z18" s="109">
        <f t="shared" si="26"/>
        <v>2403.83</v>
      </c>
      <c r="AA18" s="109">
        <f>55.37</f>
        <v>55.37</v>
      </c>
      <c r="AB18" s="109">
        <f>298.4</f>
        <v>298.4</v>
      </c>
      <c r="AC18" s="109">
        <f>80.89</f>
        <v>80.89</v>
      </c>
      <c r="AD18" s="109">
        <f>34.95</f>
        <v>34.95</v>
      </c>
      <c r="AE18" s="109"/>
      <c r="AF18" s="109"/>
      <c r="AG18" s="109"/>
      <c r="AH18" s="109"/>
      <c r="AI18" s="109"/>
      <c r="AJ18" s="109"/>
      <c r="AK18" s="109"/>
      <c r="AL18" s="109"/>
      <c r="AM18" s="112">
        <f t="shared" si="28"/>
        <v>469.61</v>
      </c>
      <c r="AN18" s="109"/>
      <c r="AO18" s="109"/>
      <c r="AP18" s="109"/>
      <c r="AQ18" s="109"/>
      <c r="AR18" s="109">
        <f t="shared" si="29"/>
        <v>3198.31</v>
      </c>
    </row>
    <row r="19" hidden="1">
      <c r="A19" s="107" t="s">
        <v>166</v>
      </c>
      <c r="B19" s="109">
        <f t="shared" ref="B19:G19" si="31">0</f>
        <v>0</v>
      </c>
      <c r="C19" s="109">
        <f t="shared" si="31"/>
        <v>0</v>
      </c>
      <c r="D19" s="109">
        <f t="shared" si="31"/>
        <v>0</v>
      </c>
      <c r="E19" s="109">
        <f t="shared" si="31"/>
        <v>0</v>
      </c>
      <c r="F19" s="109">
        <f t="shared" si="31"/>
        <v>0</v>
      </c>
      <c r="G19" s="109">
        <f t="shared" si="31"/>
        <v>0</v>
      </c>
      <c r="H19" s="109">
        <f>17.72</f>
        <v>17.72</v>
      </c>
      <c r="I19" s="109">
        <f t="shared" ref="I19:J19" si="32">0</f>
        <v>0</v>
      </c>
      <c r="J19" s="109">
        <f t="shared" si="32"/>
        <v>0</v>
      </c>
      <c r="K19" s="109">
        <f>173.89</f>
        <v>173.89</v>
      </c>
      <c r="L19" s="109">
        <f>23.27</f>
        <v>23.27</v>
      </c>
      <c r="M19" s="109">
        <f>0</f>
        <v>0</v>
      </c>
      <c r="N19" s="109">
        <f>15.71</f>
        <v>15.71</v>
      </c>
      <c r="O19" s="109">
        <f>0</f>
        <v>0</v>
      </c>
      <c r="P19" s="109">
        <f>10.05</f>
        <v>10.05</v>
      </c>
      <c r="Q19" s="109">
        <f>5.6</f>
        <v>5.6</v>
      </c>
      <c r="R19" s="109">
        <f>20.43</f>
        <v>20.43</v>
      </c>
      <c r="S19" s="109">
        <f t="shared" ref="S19:U19" si="33">0</f>
        <v>0</v>
      </c>
      <c r="T19" s="109">
        <f t="shared" si="33"/>
        <v>0</v>
      </c>
      <c r="U19" s="109">
        <f t="shared" si="33"/>
        <v>0</v>
      </c>
      <c r="V19" s="109">
        <f>1</f>
        <v>1</v>
      </c>
      <c r="W19" s="109">
        <f>148.57</f>
        <v>148.57</v>
      </c>
      <c r="X19" s="109">
        <f>33.27</f>
        <v>33.27</v>
      </c>
      <c r="Y19" s="109">
        <f>243.6</f>
        <v>243.6</v>
      </c>
      <c r="Z19" s="109">
        <f t="shared" si="26"/>
        <v>478.23</v>
      </c>
      <c r="AA19" s="109">
        <f>332.03</f>
        <v>332.03</v>
      </c>
      <c r="AB19" s="109">
        <f>1.75</f>
        <v>1.75</v>
      </c>
      <c r="AC19" s="109">
        <f>1213</f>
        <v>1213</v>
      </c>
      <c r="AD19" s="109">
        <f>0</f>
        <v>0</v>
      </c>
      <c r="AE19" s="109"/>
      <c r="AF19" s="109"/>
      <c r="AG19" s="109"/>
      <c r="AH19" s="109"/>
      <c r="AI19" s="109"/>
      <c r="AJ19" s="109"/>
      <c r="AK19" s="109"/>
      <c r="AL19" s="109"/>
      <c r="AM19" s="112">
        <f t="shared" si="28"/>
        <v>1546.78</v>
      </c>
      <c r="AN19" s="109"/>
      <c r="AO19" s="109"/>
      <c r="AP19" s="109"/>
      <c r="AQ19" s="109"/>
      <c r="AR19" s="109">
        <f t="shared" si="29"/>
        <v>2239.89</v>
      </c>
    </row>
    <row r="20" hidden="1">
      <c r="A20" s="107" t="s">
        <v>167</v>
      </c>
      <c r="B20" s="109">
        <f>40.75</f>
        <v>40.75</v>
      </c>
      <c r="C20" s="109">
        <f>96</f>
        <v>96</v>
      </c>
      <c r="D20" s="109">
        <f>65.75</f>
        <v>65.75</v>
      </c>
      <c r="E20" s="109">
        <f>58.75</f>
        <v>58.75</v>
      </c>
      <c r="F20" s="109">
        <f>23.1</f>
        <v>23.1</v>
      </c>
      <c r="G20" s="109">
        <f>51.48</f>
        <v>51.48</v>
      </c>
      <c r="H20" s="109">
        <f>0</f>
        <v>0</v>
      </c>
      <c r="I20" s="109">
        <f>62.03</f>
        <v>62.03</v>
      </c>
      <c r="J20" s="109">
        <f>7.28</f>
        <v>7.28</v>
      </c>
      <c r="K20" s="109">
        <f>14</f>
        <v>14</v>
      </c>
      <c r="L20" s="109">
        <f t="shared" ref="L20:O20" si="34">0</f>
        <v>0</v>
      </c>
      <c r="M20" s="109">
        <f t="shared" si="34"/>
        <v>0</v>
      </c>
      <c r="N20" s="109">
        <f t="shared" si="34"/>
        <v>0</v>
      </c>
      <c r="O20" s="109">
        <f t="shared" si="34"/>
        <v>0</v>
      </c>
      <c r="P20" s="109">
        <f t="shared" ref="P20:Q20" si="35">250</f>
        <v>250</v>
      </c>
      <c r="Q20" s="109">
        <f t="shared" si="35"/>
        <v>250</v>
      </c>
      <c r="R20" s="109">
        <f>381.82</f>
        <v>381.82</v>
      </c>
      <c r="S20" s="109">
        <f>224.81</f>
        <v>224.81</v>
      </c>
      <c r="T20" s="109">
        <f>263.75</f>
        <v>263.75</v>
      </c>
      <c r="U20" s="109">
        <f>0</f>
        <v>0</v>
      </c>
      <c r="V20" s="109">
        <f>1236.81</f>
        <v>1236.81</v>
      </c>
      <c r="W20" s="109">
        <f>0</f>
        <v>0</v>
      </c>
      <c r="X20" s="109">
        <f>225.32</f>
        <v>225.32</v>
      </c>
      <c r="Y20" s="109">
        <f>1060</f>
        <v>1060</v>
      </c>
      <c r="Z20" s="109">
        <f t="shared" si="26"/>
        <v>3892.51</v>
      </c>
      <c r="AA20" s="109">
        <f>0</f>
        <v>0</v>
      </c>
      <c r="AB20" s="109">
        <f>1000</f>
        <v>1000</v>
      </c>
      <c r="AC20" s="109">
        <f t="shared" ref="AC20:AD20" si="36">0</f>
        <v>0</v>
      </c>
      <c r="AD20" s="109">
        <f t="shared" si="36"/>
        <v>0</v>
      </c>
      <c r="AE20" s="109"/>
      <c r="AF20" s="109"/>
      <c r="AG20" s="109"/>
      <c r="AH20" s="109"/>
      <c r="AI20" s="109"/>
      <c r="AJ20" s="109"/>
      <c r="AK20" s="109"/>
      <c r="AL20" s="109"/>
      <c r="AM20" s="112">
        <f t="shared" si="28"/>
        <v>1000</v>
      </c>
      <c r="AN20" s="109"/>
      <c r="AO20" s="109"/>
      <c r="AP20" s="109"/>
      <c r="AQ20" s="109"/>
      <c r="AR20" s="109">
        <f t="shared" si="29"/>
        <v>5311.65</v>
      </c>
    </row>
    <row r="21" ht="15.75" hidden="1" customHeight="1">
      <c r="A21" s="107" t="s">
        <v>168</v>
      </c>
      <c r="B21" s="109">
        <f t="shared" ref="B21:J21" si="37">0</f>
        <v>0</v>
      </c>
      <c r="C21" s="109">
        <f t="shared" si="37"/>
        <v>0</v>
      </c>
      <c r="D21" s="109">
        <f t="shared" si="37"/>
        <v>0</v>
      </c>
      <c r="E21" s="109">
        <f t="shared" si="37"/>
        <v>0</v>
      </c>
      <c r="F21" s="109">
        <f t="shared" si="37"/>
        <v>0</v>
      </c>
      <c r="G21" s="109">
        <f t="shared" si="37"/>
        <v>0</v>
      </c>
      <c r="H21" s="109">
        <f t="shared" si="37"/>
        <v>0</v>
      </c>
      <c r="I21" s="109">
        <f t="shared" si="37"/>
        <v>0</v>
      </c>
      <c r="J21" s="109">
        <f t="shared" si="37"/>
        <v>0</v>
      </c>
      <c r="K21" s="109">
        <f>20</f>
        <v>20</v>
      </c>
      <c r="L21" s="109">
        <f t="shared" ref="L21:P21" si="38">0</f>
        <v>0</v>
      </c>
      <c r="M21" s="109">
        <f t="shared" si="38"/>
        <v>0</v>
      </c>
      <c r="N21" s="109">
        <f t="shared" si="38"/>
        <v>0</v>
      </c>
      <c r="O21" s="109">
        <f t="shared" si="38"/>
        <v>0</v>
      </c>
      <c r="P21" s="109">
        <f t="shared" si="38"/>
        <v>0</v>
      </c>
      <c r="Q21" s="109">
        <f>30</f>
        <v>30</v>
      </c>
      <c r="R21" s="109">
        <f>12</f>
        <v>12</v>
      </c>
      <c r="S21" s="109">
        <f>0</f>
        <v>0</v>
      </c>
      <c r="T21" s="109">
        <f t="shared" ref="T21:U21" si="39">20</f>
        <v>20</v>
      </c>
      <c r="U21" s="109">
        <f t="shared" si="39"/>
        <v>20</v>
      </c>
      <c r="V21" s="109">
        <f>40</f>
        <v>40</v>
      </c>
      <c r="W21" s="109">
        <f>20</f>
        <v>20</v>
      </c>
      <c r="X21" s="109">
        <f>0</f>
        <v>0</v>
      </c>
      <c r="Y21" s="109">
        <f>40</f>
        <v>40</v>
      </c>
      <c r="Z21" s="109">
        <f t="shared" si="26"/>
        <v>182</v>
      </c>
      <c r="AA21" s="109">
        <f t="shared" ref="AA21:AB21" si="40">20</f>
        <v>20</v>
      </c>
      <c r="AB21" s="109">
        <f t="shared" si="40"/>
        <v>20</v>
      </c>
      <c r="AC21" s="109">
        <f>60</f>
        <v>60</v>
      </c>
      <c r="AD21" s="109">
        <f>77.9</f>
        <v>77.9</v>
      </c>
      <c r="AE21" s="109"/>
      <c r="AF21" s="109"/>
      <c r="AG21" s="109"/>
      <c r="AH21" s="109"/>
      <c r="AI21" s="109"/>
      <c r="AJ21" s="109"/>
      <c r="AK21" s="109"/>
      <c r="AL21" s="109"/>
      <c r="AM21" s="112">
        <f t="shared" si="28"/>
        <v>177.9</v>
      </c>
      <c r="AN21" s="109"/>
      <c r="AO21" s="109"/>
      <c r="AP21" s="109"/>
      <c r="AQ21" s="109"/>
      <c r="AR21" s="109">
        <f t="shared" si="29"/>
        <v>379.9</v>
      </c>
    </row>
    <row r="22" ht="15.75" hidden="1" customHeight="1">
      <c r="A22" s="107" t="s">
        <v>169</v>
      </c>
      <c r="B22" s="109">
        <f t="shared" ref="B22:J22" si="41">0</f>
        <v>0</v>
      </c>
      <c r="C22" s="109">
        <f t="shared" si="41"/>
        <v>0</v>
      </c>
      <c r="D22" s="109">
        <f t="shared" si="41"/>
        <v>0</v>
      </c>
      <c r="E22" s="109">
        <f t="shared" si="41"/>
        <v>0</v>
      </c>
      <c r="F22" s="109">
        <f t="shared" si="41"/>
        <v>0</v>
      </c>
      <c r="G22" s="109">
        <f t="shared" si="41"/>
        <v>0</v>
      </c>
      <c r="H22" s="109">
        <f t="shared" si="41"/>
        <v>0</v>
      </c>
      <c r="I22" s="109">
        <f t="shared" si="41"/>
        <v>0</v>
      </c>
      <c r="J22" s="109">
        <f t="shared" si="41"/>
        <v>0</v>
      </c>
      <c r="K22" s="109">
        <f t="shared" ref="K22:N22" si="42">299</f>
        <v>299</v>
      </c>
      <c r="L22" s="109">
        <f t="shared" si="42"/>
        <v>299</v>
      </c>
      <c r="M22" s="109">
        <f t="shared" si="42"/>
        <v>299</v>
      </c>
      <c r="N22" s="109">
        <f t="shared" si="42"/>
        <v>299</v>
      </c>
      <c r="O22" s="109">
        <f>-299</f>
        <v>-299</v>
      </c>
      <c r="P22" s="109">
        <f t="shared" ref="P22:Y22" si="43">0</f>
        <v>0</v>
      </c>
      <c r="Q22" s="109">
        <f t="shared" si="43"/>
        <v>0</v>
      </c>
      <c r="R22" s="109">
        <f t="shared" si="43"/>
        <v>0</v>
      </c>
      <c r="S22" s="109">
        <f t="shared" si="43"/>
        <v>0</v>
      </c>
      <c r="T22" s="109">
        <f t="shared" si="43"/>
        <v>0</v>
      </c>
      <c r="U22" s="109">
        <f t="shared" si="43"/>
        <v>0</v>
      </c>
      <c r="V22" s="109">
        <f t="shared" si="43"/>
        <v>0</v>
      </c>
      <c r="W22" s="109">
        <f t="shared" si="43"/>
        <v>0</v>
      </c>
      <c r="X22" s="109">
        <f t="shared" si="43"/>
        <v>0</v>
      </c>
      <c r="Y22" s="109">
        <f t="shared" si="43"/>
        <v>0</v>
      </c>
      <c r="Z22" s="109">
        <f t="shared" si="26"/>
        <v>0</v>
      </c>
      <c r="AA22" s="109">
        <f>0</f>
        <v>0</v>
      </c>
      <c r="AB22" s="109">
        <f>26.68</f>
        <v>26.68</v>
      </c>
      <c r="AC22" s="109">
        <f>78.87</f>
        <v>78.87</v>
      </c>
      <c r="AD22" s="109">
        <f>0</f>
        <v>0</v>
      </c>
      <c r="AE22" s="109"/>
      <c r="AF22" s="109"/>
      <c r="AG22" s="109"/>
      <c r="AH22" s="109"/>
      <c r="AI22" s="109"/>
      <c r="AJ22" s="109"/>
      <c r="AK22" s="109"/>
      <c r="AL22" s="109"/>
      <c r="AM22" s="112">
        <f t="shared" si="28"/>
        <v>105.55</v>
      </c>
      <c r="AN22" s="109"/>
      <c r="AO22" s="109"/>
      <c r="AP22" s="109"/>
      <c r="AQ22" s="109"/>
      <c r="AR22" s="109">
        <f t="shared" si="29"/>
        <v>1002.55</v>
      </c>
    </row>
    <row r="23" ht="15.75" hidden="1" customHeight="1">
      <c r="A23" s="107" t="s">
        <v>170</v>
      </c>
      <c r="B23" s="109">
        <f t="shared" ref="B23:Y23" si="44">0</f>
        <v>0</v>
      </c>
      <c r="C23" s="109">
        <f t="shared" si="44"/>
        <v>0</v>
      </c>
      <c r="D23" s="109">
        <f t="shared" si="44"/>
        <v>0</v>
      </c>
      <c r="E23" s="109">
        <f t="shared" si="44"/>
        <v>0</v>
      </c>
      <c r="F23" s="109">
        <f t="shared" si="44"/>
        <v>0</v>
      </c>
      <c r="G23" s="109">
        <f t="shared" si="44"/>
        <v>0</v>
      </c>
      <c r="H23" s="109">
        <f t="shared" si="44"/>
        <v>0</v>
      </c>
      <c r="I23" s="109">
        <f t="shared" si="44"/>
        <v>0</v>
      </c>
      <c r="J23" s="109">
        <f t="shared" si="44"/>
        <v>0</v>
      </c>
      <c r="K23" s="109">
        <f t="shared" si="44"/>
        <v>0</v>
      </c>
      <c r="L23" s="109">
        <f t="shared" si="44"/>
        <v>0</v>
      </c>
      <c r="M23" s="109">
        <f t="shared" si="44"/>
        <v>0</v>
      </c>
      <c r="N23" s="109">
        <f t="shared" si="44"/>
        <v>0</v>
      </c>
      <c r="O23" s="109">
        <f t="shared" si="44"/>
        <v>0</v>
      </c>
      <c r="P23" s="109">
        <f t="shared" si="44"/>
        <v>0</v>
      </c>
      <c r="Q23" s="109">
        <f t="shared" si="44"/>
        <v>0</v>
      </c>
      <c r="R23" s="109">
        <f t="shared" si="44"/>
        <v>0</v>
      </c>
      <c r="S23" s="109">
        <f t="shared" si="44"/>
        <v>0</v>
      </c>
      <c r="T23" s="109">
        <f t="shared" si="44"/>
        <v>0</v>
      </c>
      <c r="U23" s="109">
        <f t="shared" si="44"/>
        <v>0</v>
      </c>
      <c r="V23" s="109">
        <f t="shared" si="44"/>
        <v>0</v>
      </c>
      <c r="W23" s="109">
        <f t="shared" si="44"/>
        <v>0</v>
      </c>
      <c r="X23" s="109">
        <f t="shared" si="44"/>
        <v>0</v>
      </c>
      <c r="Y23" s="109">
        <f t="shared" si="44"/>
        <v>0</v>
      </c>
      <c r="Z23" s="109">
        <f t="shared" si="26"/>
        <v>0</v>
      </c>
      <c r="AA23" s="109">
        <f>121.72</f>
        <v>121.72</v>
      </c>
      <c r="AB23" s="109">
        <f>31.61</f>
        <v>31.61</v>
      </c>
      <c r="AC23" s="109">
        <f t="shared" ref="AC23:AD23" si="45">0</f>
        <v>0</v>
      </c>
      <c r="AD23" s="109">
        <f t="shared" si="45"/>
        <v>0</v>
      </c>
      <c r="AE23" s="109"/>
      <c r="AF23" s="109"/>
      <c r="AG23" s="109"/>
      <c r="AH23" s="109"/>
      <c r="AI23" s="109"/>
      <c r="AJ23" s="109"/>
      <c r="AK23" s="109"/>
      <c r="AL23" s="109"/>
      <c r="AM23" s="112">
        <f t="shared" si="28"/>
        <v>153.33</v>
      </c>
      <c r="AN23" s="109"/>
      <c r="AO23" s="109"/>
      <c r="AP23" s="109"/>
      <c r="AQ23" s="109"/>
      <c r="AR23" s="109">
        <f t="shared" si="29"/>
        <v>153.33</v>
      </c>
    </row>
    <row r="24" ht="15.75" hidden="1" customHeight="1">
      <c r="A24" s="107" t="s">
        <v>171</v>
      </c>
      <c r="B24" s="109">
        <f t="shared" ref="B24:H24" si="46">0</f>
        <v>0</v>
      </c>
      <c r="C24" s="109">
        <f t="shared" si="46"/>
        <v>0</v>
      </c>
      <c r="D24" s="109">
        <f t="shared" si="46"/>
        <v>0</v>
      </c>
      <c r="E24" s="109">
        <f t="shared" si="46"/>
        <v>0</v>
      </c>
      <c r="F24" s="109">
        <f t="shared" si="46"/>
        <v>0</v>
      </c>
      <c r="G24" s="109">
        <f t="shared" si="46"/>
        <v>0</v>
      </c>
      <c r="H24" s="109">
        <f t="shared" si="46"/>
        <v>0</v>
      </c>
      <c r="I24" s="109">
        <f>500</f>
        <v>500</v>
      </c>
      <c r="J24" s="109">
        <f t="shared" ref="J24:Y24" si="47">0</f>
        <v>0</v>
      </c>
      <c r="K24" s="109">
        <f t="shared" si="47"/>
        <v>0</v>
      </c>
      <c r="L24" s="109">
        <f t="shared" si="47"/>
        <v>0</v>
      </c>
      <c r="M24" s="109">
        <f t="shared" si="47"/>
        <v>0</v>
      </c>
      <c r="N24" s="109">
        <f t="shared" si="47"/>
        <v>0</v>
      </c>
      <c r="O24" s="109">
        <f t="shared" si="47"/>
        <v>0</v>
      </c>
      <c r="P24" s="109">
        <f t="shared" si="47"/>
        <v>0</v>
      </c>
      <c r="Q24" s="109">
        <f t="shared" si="47"/>
        <v>0</v>
      </c>
      <c r="R24" s="109">
        <f t="shared" si="47"/>
        <v>0</v>
      </c>
      <c r="S24" s="109">
        <f t="shared" si="47"/>
        <v>0</v>
      </c>
      <c r="T24" s="109">
        <f t="shared" si="47"/>
        <v>0</v>
      </c>
      <c r="U24" s="109">
        <f t="shared" si="47"/>
        <v>0</v>
      </c>
      <c r="V24" s="109">
        <f t="shared" si="47"/>
        <v>0</v>
      </c>
      <c r="W24" s="109">
        <f t="shared" si="47"/>
        <v>0</v>
      </c>
      <c r="X24" s="109">
        <f t="shared" si="47"/>
        <v>0</v>
      </c>
      <c r="Y24" s="109">
        <f t="shared" si="47"/>
        <v>0</v>
      </c>
      <c r="Z24" s="109">
        <f t="shared" si="26"/>
        <v>0</v>
      </c>
      <c r="AA24" s="109">
        <f t="shared" ref="AA24:AD24" si="48">0</f>
        <v>0</v>
      </c>
      <c r="AB24" s="109">
        <f t="shared" si="48"/>
        <v>0</v>
      </c>
      <c r="AC24" s="109">
        <f t="shared" si="48"/>
        <v>0</v>
      </c>
      <c r="AD24" s="109">
        <f t="shared" si="48"/>
        <v>0</v>
      </c>
      <c r="AE24" s="109"/>
      <c r="AF24" s="109"/>
      <c r="AG24" s="109"/>
      <c r="AH24" s="109"/>
      <c r="AI24" s="109"/>
      <c r="AJ24" s="109"/>
      <c r="AK24" s="109"/>
      <c r="AL24" s="109"/>
      <c r="AM24" s="112">
        <f t="shared" si="28"/>
        <v>0</v>
      </c>
      <c r="AN24" s="109"/>
      <c r="AO24" s="109"/>
      <c r="AP24" s="109"/>
      <c r="AQ24" s="109"/>
      <c r="AR24" s="109">
        <f t="shared" si="29"/>
        <v>500</v>
      </c>
    </row>
    <row r="25" ht="15.75" hidden="1" customHeight="1">
      <c r="A25" s="107" t="s">
        <v>172</v>
      </c>
      <c r="B25" s="109">
        <f t="shared" ref="B25:G25" si="49">0</f>
        <v>0</v>
      </c>
      <c r="C25" s="109">
        <f t="shared" si="49"/>
        <v>0</v>
      </c>
      <c r="D25" s="109">
        <f t="shared" si="49"/>
        <v>0</v>
      </c>
      <c r="E25" s="109">
        <f t="shared" si="49"/>
        <v>0</v>
      </c>
      <c r="F25" s="109">
        <f t="shared" si="49"/>
        <v>0</v>
      </c>
      <c r="G25" s="109">
        <f t="shared" si="49"/>
        <v>0</v>
      </c>
      <c r="H25" s="109">
        <f>14.74</f>
        <v>14.74</v>
      </c>
      <c r="I25" s="109">
        <f>155.08</f>
        <v>155.08</v>
      </c>
      <c r="J25" s="109">
        <f>166.76</f>
        <v>166.76</v>
      </c>
      <c r="K25" s="109">
        <f>226.43</f>
        <v>226.43</v>
      </c>
      <c r="L25" s="109">
        <f>188.62</f>
        <v>188.62</v>
      </c>
      <c r="M25" s="109">
        <f>20</f>
        <v>20</v>
      </c>
      <c r="N25" s="109">
        <f>49.72</f>
        <v>49.72</v>
      </c>
      <c r="O25" s="109">
        <f>50</f>
        <v>50</v>
      </c>
      <c r="P25" s="109">
        <f>171.92</f>
        <v>171.92</v>
      </c>
      <c r="Q25" s="109">
        <f>372.88</f>
        <v>372.88</v>
      </c>
      <c r="R25" s="109">
        <f>181.9</f>
        <v>181.9</v>
      </c>
      <c r="S25" s="109">
        <f>20.98</f>
        <v>20.98</v>
      </c>
      <c r="T25" s="109">
        <f>100.38</f>
        <v>100.38</v>
      </c>
      <c r="U25" s="109">
        <f>80.26</f>
        <v>80.26</v>
      </c>
      <c r="V25" s="109">
        <f>284.78</f>
        <v>284.78</v>
      </c>
      <c r="W25" s="109">
        <f>763.77</f>
        <v>763.77</v>
      </c>
      <c r="X25" s="109">
        <f>39.86</f>
        <v>39.86</v>
      </c>
      <c r="Y25" s="109">
        <f>577.37</f>
        <v>577.37</v>
      </c>
      <c r="Z25" s="109">
        <f t="shared" si="26"/>
        <v>2693.82</v>
      </c>
      <c r="AA25" s="109">
        <f>274.43</f>
        <v>274.43</v>
      </c>
      <c r="AB25" s="109">
        <f>96.45</f>
        <v>96.45</v>
      </c>
      <c r="AC25" s="109">
        <f>206.29</f>
        <v>206.29</v>
      </c>
      <c r="AD25" s="109">
        <f>0</f>
        <v>0</v>
      </c>
      <c r="AE25" s="109"/>
      <c r="AF25" s="109"/>
      <c r="AG25" s="109"/>
      <c r="AH25" s="109"/>
      <c r="AI25" s="109"/>
      <c r="AJ25" s="109"/>
      <c r="AK25" s="109"/>
      <c r="AL25" s="109"/>
      <c r="AM25" s="112">
        <f t="shared" si="28"/>
        <v>577.17</v>
      </c>
      <c r="AN25" s="109"/>
      <c r="AO25" s="109"/>
      <c r="AP25" s="109"/>
      <c r="AQ25" s="109"/>
      <c r="AR25" s="109">
        <f t="shared" si="29"/>
        <v>4042.62</v>
      </c>
    </row>
    <row r="26" ht="15.75" hidden="1" customHeight="1">
      <c r="A26" s="107" t="s">
        <v>173</v>
      </c>
      <c r="B26" s="109">
        <f>235.27</f>
        <v>235.27</v>
      </c>
      <c r="C26" s="109">
        <f>470.14</f>
        <v>470.14</v>
      </c>
      <c r="D26" s="109">
        <f>199.98</f>
        <v>199.98</v>
      </c>
      <c r="E26" s="109">
        <f>199.01</f>
        <v>199.01</v>
      </c>
      <c r="F26" s="109">
        <f>217.08</f>
        <v>217.08</v>
      </c>
      <c r="G26" s="109">
        <f>264.43</f>
        <v>264.43</v>
      </c>
      <c r="H26" s="109">
        <f>211.79</f>
        <v>211.79</v>
      </c>
      <c r="I26" s="109">
        <f>219.68</f>
        <v>219.68</v>
      </c>
      <c r="J26" s="109">
        <f>367.05</f>
        <v>367.05</v>
      </c>
      <c r="K26" s="109">
        <f>285.81</f>
        <v>285.81</v>
      </c>
      <c r="L26" s="109">
        <f>446.26</f>
        <v>446.26</v>
      </c>
      <c r="M26" s="109">
        <f>272.39</f>
        <v>272.39</v>
      </c>
      <c r="N26" s="109">
        <f>361</f>
        <v>361</v>
      </c>
      <c r="O26" s="109">
        <f>722.92</f>
        <v>722.92</v>
      </c>
      <c r="P26" s="109">
        <f>283.38</f>
        <v>283.38</v>
      </c>
      <c r="Q26" s="109">
        <f>391.11</f>
        <v>391.11</v>
      </c>
      <c r="R26" s="109">
        <f>248.18</f>
        <v>248.18</v>
      </c>
      <c r="S26" s="109">
        <f>759.33</f>
        <v>759.33</v>
      </c>
      <c r="T26" s="109">
        <f>550.49</f>
        <v>550.49</v>
      </c>
      <c r="U26" s="109">
        <f>305.11</f>
        <v>305.11</v>
      </c>
      <c r="V26" s="109">
        <f>838.38</f>
        <v>838.38</v>
      </c>
      <c r="W26" s="109">
        <f>2008.87</f>
        <v>2008.87</v>
      </c>
      <c r="X26" s="109">
        <f>1616.27</f>
        <v>1616.27</v>
      </c>
      <c r="Y26" s="109">
        <f>488.22</f>
        <v>488.22</v>
      </c>
      <c r="Z26" s="109">
        <f t="shared" si="26"/>
        <v>8573.26</v>
      </c>
      <c r="AA26" s="109">
        <f>998.5</f>
        <v>998.5</v>
      </c>
      <c r="AB26" s="109">
        <f>900.51</f>
        <v>900.51</v>
      </c>
      <c r="AC26" s="109">
        <f>958.31</f>
        <v>958.31</v>
      </c>
      <c r="AD26" s="109">
        <f>270.78</f>
        <v>270.78</v>
      </c>
      <c r="AE26" s="109"/>
      <c r="AF26" s="109"/>
      <c r="AG26" s="109"/>
      <c r="AH26" s="109"/>
      <c r="AI26" s="109"/>
      <c r="AJ26" s="109"/>
      <c r="AK26" s="109"/>
      <c r="AL26" s="109"/>
      <c r="AM26" s="112">
        <f t="shared" si="28"/>
        <v>3128.1</v>
      </c>
      <c r="AN26" s="109"/>
      <c r="AO26" s="109"/>
      <c r="AP26" s="109"/>
      <c r="AQ26" s="109"/>
      <c r="AR26" s="109">
        <f t="shared" si="29"/>
        <v>15090.25</v>
      </c>
    </row>
    <row r="27" ht="15.75" hidden="1" customHeight="1">
      <c r="A27" s="107" t="s">
        <v>174</v>
      </c>
      <c r="B27" s="109">
        <f t="shared" ref="B27:Y27" si="50">0</f>
        <v>0</v>
      </c>
      <c r="C27" s="109">
        <f t="shared" si="50"/>
        <v>0</v>
      </c>
      <c r="D27" s="109">
        <f t="shared" si="50"/>
        <v>0</v>
      </c>
      <c r="E27" s="109">
        <f t="shared" si="50"/>
        <v>0</v>
      </c>
      <c r="F27" s="109">
        <f t="shared" si="50"/>
        <v>0</v>
      </c>
      <c r="G27" s="109">
        <f t="shared" si="50"/>
        <v>0</v>
      </c>
      <c r="H27" s="109">
        <f t="shared" si="50"/>
        <v>0</v>
      </c>
      <c r="I27" s="109">
        <f t="shared" si="50"/>
        <v>0</v>
      </c>
      <c r="J27" s="109">
        <f t="shared" si="50"/>
        <v>0</v>
      </c>
      <c r="K27" s="109">
        <f t="shared" si="50"/>
        <v>0</v>
      </c>
      <c r="L27" s="109">
        <f t="shared" si="50"/>
        <v>0</v>
      </c>
      <c r="M27" s="109">
        <f t="shared" si="50"/>
        <v>0</v>
      </c>
      <c r="N27" s="109">
        <f t="shared" si="50"/>
        <v>0</v>
      </c>
      <c r="O27" s="109">
        <f t="shared" si="50"/>
        <v>0</v>
      </c>
      <c r="P27" s="109">
        <f t="shared" si="50"/>
        <v>0</v>
      </c>
      <c r="Q27" s="109">
        <f t="shared" si="50"/>
        <v>0</v>
      </c>
      <c r="R27" s="109">
        <f t="shared" si="50"/>
        <v>0</v>
      </c>
      <c r="S27" s="109">
        <f t="shared" si="50"/>
        <v>0</v>
      </c>
      <c r="T27" s="109">
        <f t="shared" si="50"/>
        <v>0</v>
      </c>
      <c r="U27" s="109">
        <f t="shared" si="50"/>
        <v>0</v>
      </c>
      <c r="V27" s="109">
        <f t="shared" si="50"/>
        <v>0</v>
      </c>
      <c r="W27" s="109">
        <f t="shared" si="50"/>
        <v>0</v>
      </c>
      <c r="X27" s="109">
        <f t="shared" si="50"/>
        <v>0</v>
      </c>
      <c r="Y27" s="109">
        <f t="shared" si="50"/>
        <v>0</v>
      </c>
      <c r="Z27" s="109">
        <f t="shared" si="26"/>
        <v>0</v>
      </c>
      <c r="AA27" s="109">
        <f t="shared" ref="AA27:AD27" si="51">0</f>
        <v>0</v>
      </c>
      <c r="AB27" s="109">
        <f t="shared" si="51"/>
        <v>0</v>
      </c>
      <c r="AC27" s="109">
        <f t="shared" si="51"/>
        <v>0</v>
      </c>
      <c r="AD27" s="109">
        <f t="shared" si="51"/>
        <v>0</v>
      </c>
      <c r="AE27" s="109"/>
      <c r="AF27" s="109"/>
      <c r="AG27" s="109"/>
      <c r="AH27" s="109"/>
      <c r="AI27" s="109"/>
      <c r="AJ27" s="109"/>
      <c r="AK27" s="109"/>
      <c r="AL27" s="109"/>
      <c r="AM27" s="112">
        <f t="shared" si="28"/>
        <v>0</v>
      </c>
      <c r="AN27" s="109"/>
      <c r="AO27" s="109"/>
      <c r="AP27" s="109"/>
      <c r="AQ27" s="109"/>
      <c r="AR27" s="109">
        <f t="shared" si="29"/>
        <v>0</v>
      </c>
    </row>
    <row r="28" ht="15.75" hidden="1" customHeight="1">
      <c r="A28" s="107" t="s">
        <v>175</v>
      </c>
      <c r="B28" s="109">
        <f t="shared" ref="B28:Y28" si="52">0</f>
        <v>0</v>
      </c>
      <c r="C28" s="109">
        <f t="shared" si="52"/>
        <v>0</v>
      </c>
      <c r="D28" s="109">
        <f t="shared" si="52"/>
        <v>0</v>
      </c>
      <c r="E28" s="109">
        <f t="shared" si="52"/>
        <v>0</v>
      </c>
      <c r="F28" s="109">
        <f t="shared" si="52"/>
        <v>0</v>
      </c>
      <c r="G28" s="109">
        <f t="shared" si="52"/>
        <v>0</v>
      </c>
      <c r="H28" s="109">
        <f t="shared" si="52"/>
        <v>0</v>
      </c>
      <c r="I28" s="109">
        <f t="shared" si="52"/>
        <v>0</v>
      </c>
      <c r="J28" s="109">
        <f t="shared" si="52"/>
        <v>0</v>
      </c>
      <c r="K28" s="109">
        <f t="shared" si="52"/>
        <v>0</v>
      </c>
      <c r="L28" s="109">
        <f t="shared" si="52"/>
        <v>0</v>
      </c>
      <c r="M28" s="109">
        <f t="shared" si="52"/>
        <v>0</v>
      </c>
      <c r="N28" s="109">
        <f t="shared" si="52"/>
        <v>0</v>
      </c>
      <c r="O28" s="109">
        <f t="shared" si="52"/>
        <v>0</v>
      </c>
      <c r="P28" s="109">
        <f t="shared" si="52"/>
        <v>0</v>
      </c>
      <c r="Q28" s="109">
        <f t="shared" si="52"/>
        <v>0</v>
      </c>
      <c r="R28" s="109">
        <f t="shared" si="52"/>
        <v>0</v>
      </c>
      <c r="S28" s="109">
        <f t="shared" si="52"/>
        <v>0</v>
      </c>
      <c r="T28" s="109">
        <f t="shared" si="52"/>
        <v>0</v>
      </c>
      <c r="U28" s="109">
        <f t="shared" si="52"/>
        <v>0</v>
      </c>
      <c r="V28" s="109">
        <f t="shared" si="52"/>
        <v>0</v>
      </c>
      <c r="W28" s="109">
        <f t="shared" si="52"/>
        <v>0</v>
      </c>
      <c r="X28" s="109">
        <f t="shared" si="52"/>
        <v>0</v>
      </c>
      <c r="Y28" s="109">
        <f t="shared" si="52"/>
        <v>0</v>
      </c>
      <c r="Z28" s="109">
        <f t="shared" si="26"/>
        <v>0</v>
      </c>
      <c r="AA28" s="109">
        <f>306.86</f>
        <v>306.86</v>
      </c>
      <c r="AB28" s="109">
        <f t="shared" ref="AB28:AD28" si="53">0</f>
        <v>0</v>
      </c>
      <c r="AC28" s="109">
        <f t="shared" si="53"/>
        <v>0</v>
      </c>
      <c r="AD28" s="109">
        <f t="shared" si="53"/>
        <v>0</v>
      </c>
      <c r="AE28" s="109"/>
      <c r="AF28" s="109"/>
      <c r="AG28" s="109"/>
      <c r="AH28" s="109"/>
      <c r="AI28" s="109"/>
      <c r="AJ28" s="109"/>
      <c r="AK28" s="109"/>
      <c r="AL28" s="109"/>
      <c r="AM28" s="112">
        <f t="shared" si="28"/>
        <v>306.86</v>
      </c>
      <c r="AN28" s="109"/>
      <c r="AO28" s="109"/>
      <c r="AP28" s="109"/>
      <c r="AQ28" s="109"/>
      <c r="AR28" s="109">
        <f t="shared" si="29"/>
        <v>306.86</v>
      </c>
    </row>
    <row r="29" ht="15.75" hidden="1" customHeight="1">
      <c r="A29" s="107" t="s">
        <v>176</v>
      </c>
      <c r="B29" s="109">
        <f>77.98</f>
        <v>77.98</v>
      </c>
      <c r="C29" s="109">
        <f>315.7</f>
        <v>315.7</v>
      </c>
      <c r="D29" s="109">
        <f>279.98</f>
        <v>279.98</v>
      </c>
      <c r="E29" s="109">
        <f>346.32</f>
        <v>346.32</v>
      </c>
      <c r="F29" s="109">
        <f>320.39</f>
        <v>320.39</v>
      </c>
      <c r="G29" s="109">
        <f>377.77</f>
        <v>377.77</v>
      </c>
      <c r="H29" s="109">
        <f>303.37</f>
        <v>303.37</v>
      </c>
      <c r="I29" s="109">
        <f>384.99</f>
        <v>384.99</v>
      </c>
      <c r="J29" s="109">
        <f>370.83</f>
        <v>370.83</v>
      </c>
      <c r="K29" s="109">
        <f>360.93</f>
        <v>360.93</v>
      </c>
      <c r="L29" s="109">
        <f>360.99</f>
        <v>360.99</v>
      </c>
      <c r="M29" s="109">
        <f>383.77</f>
        <v>383.77</v>
      </c>
      <c r="N29" s="109">
        <f>325.62</f>
        <v>325.62</v>
      </c>
      <c r="O29" s="109">
        <f>313.06</f>
        <v>313.06</v>
      </c>
      <c r="P29" s="109">
        <f>338.74</f>
        <v>338.74</v>
      </c>
      <c r="Q29" s="109">
        <f>352.07</f>
        <v>352.07</v>
      </c>
      <c r="R29" s="109">
        <f>380.36</f>
        <v>380.36</v>
      </c>
      <c r="S29" s="109">
        <f>403.55</f>
        <v>403.55</v>
      </c>
      <c r="T29" s="109">
        <f>382.36</f>
        <v>382.36</v>
      </c>
      <c r="U29" s="109">
        <f>400.29</f>
        <v>400.29</v>
      </c>
      <c r="V29" s="109">
        <f>338.41</f>
        <v>338.41</v>
      </c>
      <c r="W29" s="109">
        <f>313.29</f>
        <v>313.29</v>
      </c>
      <c r="X29" s="109">
        <f>379.44</f>
        <v>379.44</v>
      </c>
      <c r="Y29" s="109">
        <f>417.67</f>
        <v>417.67</v>
      </c>
      <c r="Z29" s="109">
        <f t="shared" si="26"/>
        <v>4344.86</v>
      </c>
      <c r="AA29" s="109">
        <f>421.1</f>
        <v>421.1</v>
      </c>
      <c r="AB29" s="109">
        <f>420.43</f>
        <v>420.43</v>
      </c>
      <c r="AC29" s="109">
        <f>419.97</f>
        <v>419.97</v>
      </c>
      <c r="AD29" s="109">
        <f>0</f>
        <v>0</v>
      </c>
      <c r="AE29" s="109"/>
      <c r="AF29" s="109"/>
      <c r="AG29" s="109"/>
      <c r="AH29" s="109"/>
      <c r="AI29" s="109"/>
      <c r="AJ29" s="109"/>
      <c r="AK29" s="109"/>
      <c r="AL29" s="109"/>
      <c r="AM29" s="112">
        <f t="shared" si="28"/>
        <v>1261.5</v>
      </c>
      <c r="AN29" s="109"/>
      <c r="AO29" s="109"/>
      <c r="AP29" s="109"/>
      <c r="AQ29" s="109"/>
      <c r="AR29" s="109">
        <f t="shared" si="29"/>
        <v>9489.38</v>
      </c>
    </row>
    <row r="30" ht="15.75" hidden="1" customHeight="1">
      <c r="A30" s="107" t="s">
        <v>177</v>
      </c>
      <c r="B30" s="109">
        <f t="shared" ref="B30:X30" si="54">0</f>
        <v>0</v>
      </c>
      <c r="C30" s="109">
        <f t="shared" si="54"/>
        <v>0</v>
      </c>
      <c r="D30" s="109">
        <f t="shared" si="54"/>
        <v>0</v>
      </c>
      <c r="E30" s="109">
        <f t="shared" si="54"/>
        <v>0</v>
      </c>
      <c r="F30" s="109">
        <f t="shared" si="54"/>
        <v>0</v>
      </c>
      <c r="G30" s="109">
        <f t="shared" si="54"/>
        <v>0</v>
      </c>
      <c r="H30" s="109">
        <f t="shared" si="54"/>
        <v>0</v>
      </c>
      <c r="I30" s="109">
        <f t="shared" si="54"/>
        <v>0</v>
      </c>
      <c r="J30" s="109">
        <f t="shared" si="54"/>
        <v>0</v>
      </c>
      <c r="K30" s="109">
        <f t="shared" si="54"/>
        <v>0</v>
      </c>
      <c r="L30" s="109">
        <f t="shared" si="54"/>
        <v>0</v>
      </c>
      <c r="M30" s="109">
        <f t="shared" si="54"/>
        <v>0</v>
      </c>
      <c r="N30" s="109">
        <f t="shared" si="54"/>
        <v>0</v>
      </c>
      <c r="O30" s="109">
        <f t="shared" si="54"/>
        <v>0</v>
      </c>
      <c r="P30" s="109">
        <f t="shared" si="54"/>
        <v>0</v>
      </c>
      <c r="Q30" s="109">
        <f t="shared" si="54"/>
        <v>0</v>
      </c>
      <c r="R30" s="109">
        <f t="shared" si="54"/>
        <v>0</v>
      </c>
      <c r="S30" s="109">
        <f t="shared" si="54"/>
        <v>0</v>
      </c>
      <c r="T30" s="109">
        <f t="shared" si="54"/>
        <v>0</v>
      </c>
      <c r="U30" s="109">
        <f t="shared" si="54"/>
        <v>0</v>
      </c>
      <c r="V30" s="109">
        <f t="shared" si="54"/>
        <v>0</v>
      </c>
      <c r="W30" s="109">
        <f t="shared" si="54"/>
        <v>0</v>
      </c>
      <c r="X30" s="109">
        <f t="shared" si="54"/>
        <v>0</v>
      </c>
      <c r="Y30" s="109">
        <f>259.39</f>
        <v>259.39</v>
      </c>
      <c r="Z30" s="109">
        <f t="shared" si="26"/>
        <v>259.39</v>
      </c>
      <c r="AA30" s="109">
        <f>5</f>
        <v>5</v>
      </c>
      <c r="AB30" s="109">
        <f t="shared" ref="AB30:AD30" si="55">0</f>
        <v>0</v>
      </c>
      <c r="AC30" s="109">
        <f t="shared" si="55"/>
        <v>0</v>
      </c>
      <c r="AD30" s="109">
        <f t="shared" si="55"/>
        <v>0</v>
      </c>
      <c r="AE30" s="109"/>
      <c r="AF30" s="109"/>
      <c r="AG30" s="109"/>
      <c r="AH30" s="109"/>
      <c r="AI30" s="109"/>
      <c r="AJ30" s="109"/>
      <c r="AK30" s="109"/>
      <c r="AL30" s="109"/>
      <c r="AM30" s="112">
        <f t="shared" si="28"/>
        <v>5</v>
      </c>
      <c r="AN30" s="109"/>
      <c r="AO30" s="109"/>
      <c r="AP30" s="109"/>
      <c r="AQ30" s="109"/>
      <c r="AR30" s="109">
        <f t="shared" si="29"/>
        <v>264.39</v>
      </c>
    </row>
    <row r="31" ht="15.75" hidden="1" customHeight="1">
      <c r="A31" s="107" t="s">
        <v>178</v>
      </c>
      <c r="B31" s="109">
        <f t="shared" ref="B31:Y31" si="56">0</f>
        <v>0</v>
      </c>
      <c r="C31" s="109">
        <f t="shared" si="56"/>
        <v>0</v>
      </c>
      <c r="D31" s="109">
        <f t="shared" si="56"/>
        <v>0</v>
      </c>
      <c r="E31" s="109">
        <f t="shared" si="56"/>
        <v>0</v>
      </c>
      <c r="F31" s="109">
        <f t="shared" si="56"/>
        <v>0</v>
      </c>
      <c r="G31" s="109">
        <f t="shared" si="56"/>
        <v>0</v>
      </c>
      <c r="H31" s="109">
        <f t="shared" si="56"/>
        <v>0</v>
      </c>
      <c r="I31" s="109">
        <f t="shared" si="56"/>
        <v>0</v>
      </c>
      <c r="J31" s="109">
        <f t="shared" si="56"/>
        <v>0</v>
      </c>
      <c r="K31" s="109">
        <f t="shared" si="56"/>
        <v>0</v>
      </c>
      <c r="L31" s="109">
        <f t="shared" si="56"/>
        <v>0</v>
      </c>
      <c r="M31" s="109">
        <f t="shared" si="56"/>
        <v>0</v>
      </c>
      <c r="N31" s="109">
        <f t="shared" si="56"/>
        <v>0</v>
      </c>
      <c r="O31" s="109">
        <f t="shared" si="56"/>
        <v>0</v>
      </c>
      <c r="P31" s="109">
        <f t="shared" si="56"/>
        <v>0</v>
      </c>
      <c r="Q31" s="109">
        <f t="shared" si="56"/>
        <v>0</v>
      </c>
      <c r="R31" s="109">
        <f t="shared" si="56"/>
        <v>0</v>
      </c>
      <c r="S31" s="109">
        <f t="shared" si="56"/>
        <v>0</v>
      </c>
      <c r="T31" s="109">
        <f t="shared" si="56"/>
        <v>0</v>
      </c>
      <c r="U31" s="109">
        <f t="shared" si="56"/>
        <v>0</v>
      </c>
      <c r="V31" s="109">
        <f t="shared" si="56"/>
        <v>0</v>
      </c>
      <c r="W31" s="109">
        <f t="shared" si="56"/>
        <v>0</v>
      </c>
      <c r="X31" s="109">
        <f t="shared" si="56"/>
        <v>0</v>
      </c>
      <c r="Y31" s="109">
        <f t="shared" si="56"/>
        <v>0</v>
      </c>
      <c r="Z31" s="109">
        <f t="shared" si="26"/>
        <v>0</v>
      </c>
      <c r="AA31" s="109">
        <f>0</f>
        <v>0</v>
      </c>
      <c r="AB31" s="109">
        <f>150</f>
        <v>150</v>
      </c>
      <c r="AC31" s="109">
        <f>175</f>
        <v>175</v>
      </c>
      <c r="AD31" s="109">
        <f>250</f>
        <v>250</v>
      </c>
      <c r="AE31" s="109"/>
      <c r="AF31" s="109"/>
      <c r="AG31" s="109"/>
      <c r="AH31" s="109"/>
      <c r="AI31" s="109"/>
      <c r="AJ31" s="109"/>
      <c r="AK31" s="109"/>
      <c r="AL31" s="109"/>
      <c r="AM31" s="112">
        <f t="shared" si="28"/>
        <v>575</v>
      </c>
      <c r="AN31" s="109"/>
      <c r="AO31" s="109"/>
      <c r="AP31" s="109"/>
      <c r="AQ31" s="109"/>
      <c r="AR31" s="109">
        <f t="shared" si="29"/>
        <v>575</v>
      </c>
    </row>
    <row r="32" ht="15.75" hidden="1" customHeight="1">
      <c r="A32" s="107" t="s">
        <v>179</v>
      </c>
      <c r="B32" s="109">
        <f>1453.68</f>
        <v>1453.68</v>
      </c>
      <c r="C32" s="109">
        <f>2495.75</f>
        <v>2495.75</v>
      </c>
      <c r="D32" s="109">
        <f>2920.27</f>
        <v>2920.27</v>
      </c>
      <c r="E32" s="109">
        <f>3544.89</f>
        <v>3544.89</v>
      </c>
      <c r="F32" s="109">
        <f>4811.8</f>
        <v>4811.8</v>
      </c>
      <c r="G32" s="109">
        <f>4542.12</f>
        <v>4542.12</v>
      </c>
      <c r="H32" s="109">
        <f>6911.57</f>
        <v>6911.57</v>
      </c>
      <c r="I32" s="109">
        <f>5538.14</f>
        <v>5538.14</v>
      </c>
      <c r="J32" s="109">
        <f>5899.43</f>
        <v>5899.43</v>
      </c>
      <c r="K32" s="109">
        <f>5956.23</f>
        <v>5956.23</v>
      </c>
      <c r="L32" s="109">
        <f>8991.94</f>
        <v>8991.94</v>
      </c>
      <c r="M32" s="109">
        <f>11028.66</f>
        <v>11028.66</v>
      </c>
      <c r="N32" s="109">
        <f>5253.87</f>
        <v>5253.87</v>
      </c>
      <c r="O32" s="109">
        <f>7465.73</f>
        <v>7465.73</v>
      </c>
      <c r="P32" s="109">
        <f>6953.69</f>
        <v>6953.69</v>
      </c>
      <c r="Q32" s="109">
        <f>8028.09</f>
        <v>8028.09</v>
      </c>
      <c r="R32" s="109">
        <f>8776.46</f>
        <v>8776.46</v>
      </c>
      <c r="S32" s="109">
        <f>7659.95</f>
        <v>7659.95</v>
      </c>
      <c r="T32" s="109">
        <f>13862.76</f>
        <v>13862.76</v>
      </c>
      <c r="U32" s="109">
        <f>8670.61</f>
        <v>8670.61</v>
      </c>
      <c r="V32" s="109">
        <f>8627.85</f>
        <v>8627.85</v>
      </c>
      <c r="W32" s="109">
        <f>9394.96</f>
        <v>9394.96</v>
      </c>
      <c r="X32" s="109">
        <f>9541.93</f>
        <v>9541.93</v>
      </c>
      <c r="Y32" s="109">
        <f>14717.95</f>
        <v>14717.95</v>
      </c>
      <c r="Z32" s="109">
        <f t="shared" si="26"/>
        <v>108953.85</v>
      </c>
      <c r="AA32" s="109">
        <f>10673.57</f>
        <v>10673.57</v>
      </c>
      <c r="AB32" s="109">
        <f>10616.25</f>
        <v>10616.25</v>
      </c>
      <c r="AC32" s="109">
        <f>11320.68</f>
        <v>11320.68</v>
      </c>
      <c r="AD32" s="109">
        <f>0</f>
        <v>0</v>
      </c>
      <c r="AE32" s="109"/>
      <c r="AF32" s="109"/>
      <c r="AG32" s="109"/>
      <c r="AH32" s="109"/>
      <c r="AI32" s="109"/>
      <c r="AJ32" s="109"/>
      <c r="AK32" s="109"/>
      <c r="AL32" s="109"/>
      <c r="AM32" s="112">
        <f t="shared" si="28"/>
        <v>32610.5</v>
      </c>
      <c r="AN32" s="109"/>
      <c r="AO32" s="109"/>
      <c r="AP32" s="109"/>
      <c r="AQ32" s="109"/>
      <c r="AR32" s="109">
        <f t="shared" si="29"/>
        <v>205658.83</v>
      </c>
    </row>
    <row r="33" ht="15.75" hidden="1" customHeight="1">
      <c r="A33" s="107" t="s">
        <v>180</v>
      </c>
      <c r="B33" s="109">
        <f t="shared" ref="B33:B34" si="63">0</f>
        <v>0</v>
      </c>
      <c r="C33" s="109">
        <f>81</f>
        <v>81</v>
      </c>
      <c r="D33" s="109">
        <f t="shared" ref="D33:G33" si="57">0</f>
        <v>0</v>
      </c>
      <c r="E33" s="109">
        <f t="shared" si="57"/>
        <v>0</v>
      </c>
      <c r="F33" s="109">
        <f t="shared" si="57"/>
        <v>0</v>
      </c>
      <c r="G33" s="109">
        <f t="shared" si="57"/>
        <v>0</v>
      </c>
      <c r="H33" s="109">
        <f>120.25</f>
        <v>120.25</v>
      </c>
      <c r="I33" s="109">
        <f t="shared" ref="I33:J33" si="58">0</f>
        <v>0</v>
      </c>
      <c r="J33" s="109">
        <f t="shared" si="58"/>
        <v>0</v>
      </c>
      <c r="K33" s="109">
        <f>43.2</f>
        <v>43.2</v>
      </c>
      <c r="L33" s="109">
        <f t="shared" ref="L33:M33" si="59">0</f>
        <v>0</v>
      </c>
      <c r="M33" s="109">
        <f t="shared" si="59"/>
        <v>0</v>
      </c>
      <c r="N33" s="109">
        <f>109.95</f>
        <v>109.95</v>
      </c>
      <c r="O33" s="109">
        <f>23.2</f>
        <v>23.2</v>
      </c>
      <c r="P33" s="109">
        <f t="shared" ref="P33:Q33" si="60">0</f>
        <v>0</v>
      </c>
      <c r="Q33" s="109">
        <f t="shared" si="60"/>
        <v>0</v>
      </c>
      <c r="R33" s="109">
        <f>11.6</f>
        <v>11.6</v>
      </c>
      <c r="S33" s="109">
        <f>0</f>
        <v>0</v>
      </c>
      <c r="T33" s="109">
        <f>115.55</f>
        <v>115.55</v>
      </c>
      <c r="U33" s="109">
        <f>1.52</f>
        <v>1.52</v>
      </c>
      <c r="V33" s="109">
        <f>0</f>
        <v>0</v>
      </c>
      <c r="W33" s="109">
        <f>48.6</f>
        <v>48.6</v>
      </c>
      <c r="X33" s="109">
        <f t="shared" ref="X33:Y33" si="61">0</f>
        <v>0</v>
      </c>
      <c r="Y33" s="109">
        <f t="shared" si="61"/>
        <v>0</v>
      </c>
      <c r="Z33" s="109">
        <f t="shared" si="26"/>
        <v>310.42</v>
      </c>
      <c r="AA33" s="109">
        <f>90</f>
        <v>90</v>
      </c>
      <c r="AB33" s="109">
        <f t="shared" ref="AB33:AD33" si="62">0</f>
        <v>0</v>
      </c>
      <c r="AC33" s="109">
        <f t="shared" si="62"/>
        <v>0</v>
      </c>
      <c r="AD33" s="109">
        <f t="shared" si="62"/>
        <v>0</v>
      </c>
      <c r="AE33" s="109"/>
      <c r="AF33" s="109"/>
      <c r="AG33" s="109"/>
      <c r="AH33" s="109"/>
      <c r="AI33" s="109"/>
      <c r="AJ33" s="109"/>
      <c r="AK33" s="109"/>
      <c r="AL33" s="109"/>
      <c r="AM33" s="112">
        <f t="shared" si="28"/>
        <v>90</v>
      </c>
      <c r="AN33" s="109"/>
      <c r="AO33" s="109"/>
      <c r="AP33" s="109"/>
      <c r="AQ33" s="109"/>
      <c r="AR33" s="109">
        <f t="shared" si="29"/>
        <v>644.87</v>
      </c>
    </row>
    <row r="34" ht="15.75" hidden="1" customHeight="1">
      <c r="A34" s="107" t="s">
        <v>181</v>
      </c>
      <c r="B34" s="109">
        <f t="shared" si="63"/>
        <v>0</v>
      </c>
      <c r="C34" s="109">
        <f t="shared" ref="C34:C35" si="65">0</f>
        <v>0</v>
      </c>
      <c r="D34" s="109">
        <f>277.5</f>
        <v>277.5</v>
      </c>
      <c r="E34" s="109">
        <f t="shared" ref="E34:M34" si="64">0</f>
        <v>0</v>
      </c>
      <c r="F34" s="109">
        <f t="shared" si="64"/>
        <v>0</v>
      </c>
      <c r="G34" s="109">
        <f t="shared" si="64"/>
        <v>0</v>
      </c>
      <c r="H34" s="109">
        <f t="shared" si="64"/>
        <v>0</v>
      </c>
      <c r="I34" s="109">
        <f t="shared" si="64"/>
        <v>0</v>
      </c>
      <c r="J34" s="109">
        <f t="shared" si="64"/>
        <v>0</v>
      </c>
      <c r="K34" s="109">
        <f t="shared" si="64"/>
        <v>0</v>
      </c>
      <c r="L34" s="109">
        <f t="shared" si="64"/>
        <v>0</v>
      </c>
      <c r="M34" s="109">
        <f t="shared" si="64"/>
        <v>0</v>
      </c>
      <c r="N34" s="109">
        <f>51.51</f>
        <v>51.51</v>
      </c>
      <c r="O34" s="109">
        <f>1114.85</f>
        <v>1114.85</v>
      </c>
      <c r="P34" s="109">
        <f>1390.96</f>
        <v>1390.96</v>
      </c>
      <c r="Q34" s="109">
        <f>2727.41</f>
        <v>2727.41</v>
      </c>
      <c r="R34" s="109">
        <f>3948.81</f>
        <v>3948.81</v>
      </c>
      <c r="S34" s="109">
        <f>2591.91</f>
        <v>2591.91</v>
      </c>
      <c r="T34" s="109">
        <f>6196.44</f>
        <v>6196.44</v>
      </c>
      <c r="U34" s="109">
        <f>4432.85</f>
        <v>4432.85</v>
      </c>
      <c r="V34" s="109">
        <f>4159.68</f>
        <v>4159.68</v>
      </c>
      <c r="W34" s="109">
        <f>4055.76</f>
        <v>4055.76</v>
      </c>
      <c r="X34" s="109">
        <f>4273.58</f>
        <v>4273.58</v>
      </c>
      <c r="Y34" s="109">
        <f>1665.19</f>
        <v>1665.19</v>
      </c>
      <c r="Z34" s="109">
        <f t="shared" si="26"/>
        <v>36608.95</v>
      </c>
      <c r="AA34" s="109">
        <f>4385.45</f>
        <v>4385.45</v>
      </c>
      <c r="AB34" s="109">
        <f>4694.04</f>
        <v>4694.04</v>
      </c>
      <c r="AC34" s="109">
        <f>3942.38</f>
        <v>3942.38</v>
      </c>
      <c r="AD34" s="109">
        <f t="shared" ref="AD34:AD35" si="67">0</f>
        <v>0</v>
      </c>
      <c r="AE34" s="109"/>
      <c r="AF34" s="109"/>
      <c r="AG34" s="109"/>
      <c r="AH34" s="109"/>
      <c r="AI34" s="109"/>
      <c r="AJ34" s="109"/>
      <c r="AK34" s="109"/>
      <c r="AL34" s="109"/>
      <c r="AM34" s="112">
        <f t="shared" si="28"/>
        <v>13021.87</v>
      </c>
      <c r="AN34" s="109"/>
      <c r="AO34" s="109"/>
      <c r="AP34" s="109"/>
      <c r="AQ34" s="109"/>
      <c r="AR34" s="109">
        <f t="shared" si="29"/>
        <v>49908.32</v>
      </c>
    </row>
    <row r="35" ht="15.75" hidden="1" customHeight="1">
      <c r="A35" s="107" t="s">
        <v>182</v>
      </c>
      <c r="B35" s="109">
        <f>65.25</f>
        <v>65.25</v>
      </c>
      <c r="C35" s="109">
        <f t="shared" si="65"/>
        <v>0</v>
      </c>
      <c r="D35" s="109">
        <f t="shared" ref="D35:H35" si="66">0</f>
        <v>0</v>
      </c>
      <c r="E35" s="109">
        <f t="shared" si="66"/>
        <v>0</v>
      </c>
      <c r="F35" s="109">
        <f t="shared" si="66"/>
        <v>0</v>
      </c>
      <c r="G35" s="109">
        <f t="shared" si="66"/>
        <v>0</v>
      </c>
      <c r="H35" s="109">
        <f t="shared" si="66"/>
        <v>0</v>
      </c>
      <c r="I35" s="109">
        <f>85.18</f>
        <v>85.18</v>
      </c>
      <c r="J35" s="109">
        <f>0</f>
        <v>0</v>
      </c>
      <c r="K35" s="109">
        <f>90.89</f>
        <v>90.89</v>
      </c>
      <c r="L35" s="109">
        <f>0</f>
        <v>0</v>
      </c>
      <c r="M35" s="109">
        <f>89.6</f>
        <v>89.6</v>
      </c>
      <c r="N35" s="109">
        <f>114.77</f>
        <v>114.77</v>
      </c>
      <c r="O35" s="109">
        <f>0</f>
        <v>0</v>
      </c>
      <c r="P35" s="109">
        <f>105</f>
        <v>105</v>
      </c>
      <c r="Q35" s="109">
        <f>1.92</f>
        <v>1.92</v>
      </c>
      <c r="R35" s="109">
        <f>223.16</f>
        <v>223.16</v>
      </c>
      <c r="S35" s="109">
        <f>234.51</f>
        <v>234.51</v>
      </c>
      <c r="T35" s="109">
        <f>122.25</f>
        <v>122.25</v>
      </c>
      <c r="U35" s="109">
        <f>74.36</f>
        <v>74.36</v>
      </c>
      <c r="V35" s="109">
        <f>114.47</f>
        <v>114.47</v>
      </c>
      <c r="W35" s="109">
        <f>419.5</f>
        <v>419.5</v>
      </c>
      <c r="X35" s="109">
        <f>0</f>
        <v>0</v>
      </c>
      <c r="Y35" s="109">
        <f>218.87</f>
        <v>218.87</v>
      </c>
      <c r="Z35" s="109">
        <f t="shared" si="26"/>
        <v>1628.81</v>
      </c>
      <c r="AA35" s="109">
        <f t="shared" ref="AA35:AA36" si="69">0</f>
        <v>0</v>
      </c>
      <c r="AB35" s="109">
        <f>18.01</f>
        <v>18.01</v>
      </c>
      <c r="AC35" s="109">
        <f>245.42</f>
        <v>245.42</v>
      </c>
      <c r="AD35" s="109">
        <f t="shared" si="67"/>
        <v>0</v>
      </c>
      <c r="AE35" s="109"/>
      <c r="AF35" s="109"/>
      <c r="AG35" s="109"/>
      <c r="AH35" s="109"/>
      <c r="AI35" s="109"/>
      <c r="AJ35" s="109"/>
      <c r="AK35" s="109"/>
      <c r="AL35" s="109"/>
      <c r="AM35" s="112">
        <f t="shared" si="28"/>
        <v>263.43</v>
      </c>
      <c r="AN35" s="109"/>
      <c r="AO35" s="109"/>
      <c r="AP35" s="109"/>
      <c r="AQ35" s="109"/>
      <c r="AR35" s="109">
        <f t="shared" si="29"/>
        <v>2223.16</v>
      </c>
    </row>
    <row r="36" ht="15.75" hidden="1" customHeight="1">
      <c r="A36" s="107" t="s">
        <v>183</v>
      </c>
      <c r="B36" s="109">
        <f t="shared" ref="B36:U36" si="68">0</f>
        <v>0</v>
      </c>
      <c r="C36" s="109">
        <f t="shared" si="68"/>
        <v>0</v>
      </c>
      <c r="D36" s="109">
        <f t="shared" si="68"/>
        <v>0</v>
      </c>
      <c r="E36" s="109">
        <f t="shared" si="68"/>
        <v>0</v>
      </c>
      <c r="F36" s="109">
        <f t="shared" si="68"/>
        <v>0</v>
      </c>
      <c r="G36" s="109">
        <f t="shared" si="68"/>
        <v>0</v>
      </c>
      <c r="H36" s="109">
        <f t="shared" si="68"/>
        <v>0</v>
      </c>
      <c r="I36" s="109">
        <f t="shared" si="68"/>
        <v>0</v>
      </c>
      <c r="J36" s="109">
        <f t="shared" si="68"/>
        <v>0</v>
      </c>
      <c r="K36" s="109">
        <f t="shared" si="68"/>
        <v>0</v>
      </c>
      <c r="L36" s="109">
        <f t="shared" si="68"/>
        <v>0</v>
      </c>
      <c r="M36" s="109">
        <f t="shared" si="68"/>
        <v>0</v>
      </c>
      <c r="N36" s="109">
        <f t="shared" si="68"/>
        <v>0</v>
      </c>
      <c r="O36" s="109">
        <f t="shared" si="68"/>
        <v>0</v>
      </c>
      <c r="P36" s="109">
        <f t="shared" si="68"/>
        <v>0</v>
      </c>
      <c r="Q36" s="109">
        <f t="shared" si="68"/>
        <v>0</v>
      </c>
      <c r="R36" s="109">
        <f t="shared" si="68"/>
        <v>0</v>
      </c>
      <c r="S36" s="109">
        <f t="shared" si="68"/>
        <v>0</v>
      </c>
      <c r="T36" s="109">
        <f t="shared" si="68"/>
        <v>0</v>
      </c>
      <c r="U36" s="109">
        <f t="shared" si="68"/>
        <v>0</v>
      </c>
      <c r="V36" s="109">
        <f>21.38</f>
        <v>21.38</v>
      </c>
      <c r="W36" s="109">
        <f>0</f>
        <v>0</v>
      </c>
      <c r="X36" s="109">
        <f>10.69</f>
        <v>10.69</v>
      </c>
      <c r="Y36" s="109">
        <f>0</f>
        <v>0</v>
      </c>
      <c r="Z36" s="109">
        <f t="shared" si="26"/>
        <v>32.07</v>
      </c>
      <c r="AA36" s="109">
        <f t="shared" si="69"/>
        <v>0</v>
      </c>
      <c r="AB36" s="109">
        <f t="shared" ref="AB36:AD36" si="70">0</f>
        <v>0</v>
      </c>
      <c r="AC36" s="109">
        <f t="shared" si="70"/>
        <v>0</v>
      </c>
      <c r="AD36" s="109">
        <f t="shared" si="70"/>
        <v>0</v>
      </c>
      <c r="AE36" s="109"/>
      <c r="AF36" s="109"/>
      <c r="AG36" s="109"/>
      <c r="AH36" s="109"/>
      <c r="AI36" s="109"/>
      <c r="AJ36" s="109"/>
      <c r="AK36" s="109"/>
      <c r="AL36" s="109"/>
      <c r="AM36" s="112">
        <f t="shared" si="28"/>
        <v>0</v>
      </c>
      <c r="AN36" s="109"/>
      <c r="AO36" s="109"/>
      <c r="AP36" s="109"/>
      <c r="AQ36" s="109"/>
      <c r="AR36" s="109">
        <f t="shared" si="29"/>
        <v>32.07</v>
      </c>
    </row>
    <row r="37" ht="15.75" customHeight="1">
      <c r="A37" s="107" t="s">
        <v>184</v>
      </c>
      <c r="B37" s="112">
        <f t="shared" ref="B37:Y37" si="71">((((((((((((((((((((B16)+(B17))+(B18))+(B19))+(B20))+(B21))+(B22))+(B23))+(B24))+(B25))+(B26))+(B27))+(B28))+(B29))+(B30))+(B31))+(B32))+(B33))+(B34))+(B35))+(B36)</f>
        <v>2173.72</v>
      </c>
      <c r="C37" s="112">
        <f t="shared" si="71"/>
        <v>3535.17</v>
      </c>
      <c r="D37" s="112">
        <f t="shared" si="71"/>
        <v>4256.56</v>
      </c>
      <c r="E37" s="112">
        <f t="shared" si="71"/>
        <v>4354.75</v>
      </c>
      <c r="F37" s="112">
        <f t="shared" si="71"/>
        <v>6037.23</v>
      </c>
      <c r="G37" s="112">
        <f t="shared" si="71"/>
        <v>7619.84</v>
      </c>
      <c r="H37" s="112">
        <f t="shared" si="71"/>
        <v>7594.39</v>
      </c>
      <c r="I37" s="112">
        <f t="shared" si="71"/>
        <v>9409.82</v>
      </c>
      <c r="J37" s="112">
        <f t="shared" si="71"/>
        <v>10122.39</v>
      </c>
      <c r="K37" s="112">
        <f t="shared" si="71"/>
        <v>12935.36</v>
      </c>
      <c r="L37" s="112">
        <f t="shared" si="71"/>
        <v>11041.03</v>
      </c>
      <c r="M37" s="112">
        <f t="shared" si="71"/>
        <v>14066.37</v>
      </c>
      <c r="N37" s="112">
        <f t="shared" si="71"/>
        <v>7001.1</v>
      </c>
      <c r="O37" s="112">
        <f t="shared" si="71"/>
        <v>10117.97</v>
      </c>
      <c r="P37" s="112">
        <f t="shared" si="71"/>
        <v>9609</v>
      </c>
      <c r="Q37" s="112">
        <f t="shared" si="71"/>
        <v>12598.84</v>
      </c>
      <c r="R37" s="112">
        <f t="shared" si="71"/>
        <v>14490.38</v>
      </c>
      <c r="S37" s="112">
        <f t="shared" si="71"/>
        <v>12190.64</v>
      </c>
      <c r="T37" s="112">
        <f t="shared" si="71"/>
        <v>22079.81</v>
      </c>
      <c r="U37" s="112">
        <f t="shared" si="71"/>
        <v>14045.95</v>
      </c>
      <c r="V37" s="112">
        <f t="shared" si="71"/>
        <v>15992.13</v>
      </c>
      <c r="W37" s="112">
        <f t="shared" si="71"/>
        <v>17530.44</v>
      </c>
      <c r="X37" s="112">
        <f t="shared" si="71"/>
        <v>16422.63</v>
      </c>
      <c r="Y37" s="112">
        <f t="shared" si="71"/>
        <v>35138.71</v>
      </c>
      <c r="Z37" s="115">
        <f t="shared" si="26"/>
        <v>187217.6</v>
      </c>
      <c r="AA37" s="112">
        <f t="shared" ref="AA37:AC37" si="72">((((((((((((((((((((AA16)+(AA17))+(AA18))+(AA19))+(AA20))+(AA21))+(AA22))+(AA23))+(AA24))+(AA25))+(AA26))+(AA27))+(AA28))+(AA29))+(AA30))+(AA31))+(AA32))+(AA33))+(AA34))+(AA35))+(AA36)</f>
        <v>17752.47</v>
      </c>
      <c r="AB37" s="112">
        <f t="shared" si="72"/>
        <v>18344.61</v>
      </c>
      <c r="AC37" s="112">
        <f t="shared" si="72"/>
        <v>18873.68</v>
      </c>
      <c r="AD37" s="112">
        <v>17000.0</v>
      </c>
      <c r="AE37" s="112">
        <v>17000.0</v>
      </c>
      <c r="AF37" s="112">
        <v>17000.0</v>
      </c>
      <c r="AG37" s="112">
        <v>17000.0</v>
      </c>
      <c r="AH37" s="112">
        <v>17000.0</v>
      </c>
      <c r="AI37" s="112">
        <v>17000.0</v>
      </c>
      <c r="AJ37" s="112">
        <v>17000.0</v>
      </c>
      <c r="AK37" s="112">
        <v>17000.0</v>
      </c>
      <c r="AL37" s="112">
        <v>17000.0</v>
      </c>
      <c r="AM37" s="112">
        <f t="shared" si="28"/>
        <v>207970.76</v>
      </c>
      <c r="AN37" s="112"/>
      <c r="AO37" s="112"/>
      <c r="AP37" s="112"/>
      <c r="AQ37" s="112"/>
      <c r="AR37" s="112">
        <f t="shared" si="29"/>
        <v>352334.99</v>
      </c>
    </row>
    <row r="38" ht="15.75" customHeight="1">
      <c r="A38" s="107" t="s">
        <v>185</v>
      </c>
      <c r="B38" s="112">
        <f t="shared" ref="B38:Y38" si="73">(B14)-(B37)</f>
        <v>-6715.95</v>
      </c>
      <c r="C38" s="112">
        <f t="shared" si="73"/>
        <v>-6726.28</v>
      </c>
      <c r="D38" s="112">
        <f t="shared" si="73"/>
        <v>1480.23</v>
      </c>
      <c r="E38" s="112">
        <f t="shared" si="73"/>
        <v>8947.61</v>
      </c>
      <c r="F38" s="112">
        <f t="shared" si="73"/>
        <v>6478.86</v>
      </c>
      <c r="G38" s="112">
        <f t="shared" si="73"/>
        <v>7812.37</v>
      </c>
      <c r="H38" s="112">
        <f t="shared" si="73"/>
        <v>2783.42</v>
      </c>
      <c r="I38" s="112">
        <f t="shared" si="73"/>
        <v>-1029.6</v>
      </c>
      <c r="J38" s="112">
        <f t="shared" si="73"/>
        <v>5389.69</v>
      </c>
      <c r="K38" s="112">
        <f t="shared" si="73"/>
        <v>-2411.64</v>
      </c>
      <c r="L38" s="112">
        <f t="shared" si="73"/>
        <v>9023.41</v>
      </c>
      <c r="M38" s="112">
        <f t="shared" si="73"/>
        <v>-26553.56</v>
      </c>
      <c r="N38" s="112">
        <f t="shared" si="73"/>
        <v>23212.17</v>
      </c>
      <c r="O38" s="112">
        <f t="shared" si="73"/>
        <v>19208.27</v>
      </c>
      <c r="P38" s="112">
        <f t="shared" si="73"/>
        <v>14901.5</v>
      </c>
      <c r="Q38" s="112">
        <f t="shared" si="73"/>
        <v>-4279.22</v>
      </c>
      <c r="R38" s="112">
        <f t="shared" si="73"/>
        <v>9369.82</v>
      </c>
      <c r="S38" s="112">
        <f t="shared" si="73"/>
        <v>5246.16</v>
      </c>
      <c r="T38" s="112">
        <f t="shared" si="73"/>
        <v>37416.54</v>
      </c>
      <c r="U38" s="112">
        <f t="shared" si="73"/>
        <v>-20916.3</v>
      </c>
      <c r="V38" s="112">
        <f t="shared" si="73"/>
        <v>16387.84</v>
      </c>
      <c r="W38" s="112">
        <f t="shared" si="73"/>
        <v>10352.51</v>
      </c>
      <c r="X38" s="112">
        <f t="shared" si="73"/>
        <v>8041.08</v>
      </c>
      <c r="Y38" s="112">
        <f t="shared" si="73"/>
        <v>60543.73</v>
      </c>
      <c r="Z38" s="115">
        <f t="shared" si="26"/>
        <v>179484.1</v>
      </c>
      <c r="AA38" s="112">
        <f t="shared" ref="AA38:AL38" si="74">(AA14)-(AA37)</f>
        <v>30087.96</v>
      </c>
      <c r="AB38" s="112">
        <f t="shared" si="74"/>
        <v>23206.61</v>
      </c>
      <c r="AC38" s="112">
        <f t="shared" si="74"/>
        <v>-8233.04</v>
      </c>
      <c r="AD38" s="112">
        <f t="shared" si="74"/>
        <v>17120.72</v>
      </c>
      <c r="AE38" s="112">
        <f t="shared" si="74"/>
        <v>24732.792</v>
      </c>
      <c r="AF38" s="112">
        <f t="shared" si="74"/>
        <v>33106.0712</v>
      </c>
      <c r="AG38" s="112">
        <f t="shared" si="74"/>
        <v>42316.67832</v>
      </c>
      <c r="AH38" s="112">
        <f t="shared" si="74"/>
        <v>52448.34615</v>
      </c>
      <c r="AI38" s="112">
        <f t="shared" si="74"/>
        <v>63593.18077</v>
      </c>
      <c r="AJ38" s="112">
        <f t="shared" si="74"/>
        <v>75852.49884</v>
      </c>
      <c r="AK38" s="112">
        <f t="shared" si="74"/>
        <v>89337.74873</v>
      </c>
      <c r="AL38" s="112">
        <f t="shared" si="74"/>
        <v>104171.5236</v>
      </c>
      <c r="AM38" s="112">
        <f t="shared" si="28"/>
        <v>547741.0896</v>
      </c>
      <c r="AN38" s="112"/>
      <c r="AO38" s="112"/>
      <c r="AP38" s="112"/>
      <c r="AQ38" s="112"/>
      <c r="AR38" s="112">
        <f t="shared" si="29"/>
        <v>240144.91</v>
      </c>
    </row>
    <row r="39" ht="15.75" customHeight="1">
      <c r="A39" s="107" t="s">
        <v>186</v>
      </c>
      <c r="B39" s="112">
        <f t="shared" ref="B39:Y39" si="75">(B38)+(0)</f>
        <v>-6715.95</v>
      </c>
      <c r="C39" s="112">
        <f t="shared" si="75"/>
        <v>-6726.28</v>
      </c>
      <c r="D39" s="112">
        <f t="shared" si="75"/>
        <v>1480.23</v>
      </c>
      <c r="E39" s="112">
        <f t="shared" si="75"/>
        <v>8947.61</v>
      </c>
      <c r="F39" s="112">
        <f t="shared" si="75"/>
        <v>6478.86</v>
      </c>
      <c r="G39" s="112">
        <f t="shared" si="75"/>
        <v>7812.37</v>
      </c>
      <c r="H39" s="112">
        <f t="shared" si="75"/>
        <v>2783.42</v>
      </c>
      <c r="I39" s="112">
        <f t="shared" si="75"/>
        <v>-1029.6</v>
      </c>
      <c r="J39" s="112">
        <f t="shared" si="75"/>
        <v>5389.69</v>
      </c>
      <c r="K39" s="112">
        <f t="shared" si="75"/>
        <v>-2411.64</v>
      </c>
      <c r="L39" s="112">
        <f t="shared" si="75"/>
        <v>9023.41</v>
      </c>
      <c r="M39" s="112">
        <f t="shared" si="75"/>
        <v>-26553.56</v>
      </c>
      <c r="N39" s="112">
        <f t="shared" si="75"/>
        <v>23212.17</v>
      </c>
      <c r="O39" s="112">
        <f t="shared" si="75"/>
        <v>19208.27</v>
      </c>
      <c r="P39" s="112">
        <f t="shared" si="75"/>
        <v>14901.5</v>
      </c>
      <c r="Q39" s="112">
        <f t="shared" si="75"/>
        <v>-4279.22</v>
      </c>
      <c r="R39" s="112">
        <f t="shared" si="75"/>
        <v>9369.82</v>
      </c>
      <c r="S39" s="112">
        <f t="shared" si="75"/>
        <v>5246.16</v>
      </c>
      <c r="T39" s="112">
        <f t="shared" si="75"/>
        <v>37416.54</v>
      </c>
      <c r="U39" s="112">
        <f t="shared" si="75"/>
        <v>-20916.3</v>
      </c>
      <c r="V39" s="112">
        <f t="shared" si="75"/>
        <v>16387.84</v>
      </c>
      <c r="W39" s="112">
        <f t="shared" si="75"/>
        <v>10352.51</v>
      </c>
      <c r="X39" s="112">
        <f t="shared" si="75"/>
        <v>8041.08</v>
      </c>
      <c r="Y39" s="112">
        <f t="shared" si="75"/>
        <v>60543.73</v>
      </c>
      <c r="Z39" s="115">
        <f t="shared" si="26"/>
        <v>179484.1</v>
      </c>
      <c r="AA39" s="112">
        <f t="shared" ref="AA39:AL39" si="76">(AA38)+(0)</f>
        <v>30087.96</v>
      </c>
      <c r="AB39" s="112">
        <f t="shared" si="76"/>
        <v>23206.61</v>
      </c>
      <c r="AC39" s="112">
        <f t="shared" si="76"/>
        <v>-8233.04</v>
      </c>
      <c r="AD39" s="112">
        <f t="shared" si="76"/>
        <v>17120.72</v>
      </c>
      <c r="AE39" s="112">
        <f t="shared" si="76"/>
        <v>24732.792</v>
      </c>
      <c r="AF39" s="112">
        <f t="shared" si="76"/>
        <v>33106.0712</v>
      </c>
      <c r="AG39" s="112">
        <f t="shared" si="76"/>
        <v>42316.67832</v>
      </c>
      <c r="AH39" s="112">
        <f t="shared" si="76"/>
        <v>52448.34615</v>
      </c>
      <c r="AI39" s="112">
        <f t="shared" si="76"/>
        <v>63593.18077</v>
      </c>
      <c r="AJ39" s="112">
        <f t="shared" si="76"/>
        <v>75852.49884</v>
      </c>
      <c r="AK39" s="112">
        <f t="shared" si="76"/>
        <v>89337.74873</v>
      </c>
      <c r="AL39" s="112">
        <f t="shared" si="76"/>
        <v>104171.5236</v>
      </c>
      <c r="AM39" s="112">
        <f t="shared" si="28"/>
        <v>547741.0896</v>
      </c>
      <c r="AN39" s="112"/>
      <c r="AO39" s="112"/>
      <c r="AP39" s="112"/>
      <c r="AQ39" s="112"/>
      <c r="AR39" s="112">
        <f t="shared" si="29"/>
        <v>240144.91</v>
      </c>
    </row>
    <row r="40" ht="15.75" customHeight="1">
      <c r="A40" s="107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</row>
    <row r="42" ht="15.75" customHeight="1">
      <c r="A42" s="33"/>
      <c r="B42" s="33" t="s">
        <v>187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105" t="s">
        <v>149</v>
      </c>
      <c r="AB42" s="105" t="s">
        <v>150</v>
      </c>
      <c r="AC42" s="105" t="s">
        <v>151</v>
      </c>
      <c r="AD42" s="105" t="s">
        <v>152</v>
      </c>
      <c r="AE42" s="106">
        <v>45047.0</v>
      </c>
      <c r="AF42" s="106">
        <v>45078.0</v>
      </c>
      <c r="AG42" s="106">
        <v>45108.0</v>
      </c>
      <c r="AH42" s="106">
        <v>45139.0</v>
      </c>
      <c r="AI42" s="106">
        <v>45170.0</v>
      </c>
      <c r="AJ42" s="106">
        <v>45200.0</v>
      </c>
      <c r="AK42" s="106">
        <v>45231.0</v>
      </c>
      <c r="AL42" s="106">
        <v>45261.0</v>
      </c>
      <c r="AM42" s="106" t="s">
        <v>47</v>
      </c>
      <c r="AN42" s="33"/>
      <c r="AO42" s="33"/>
      <c r="AP42" s="33"/>
      <c r="AQ42" s="33"/>
      <c r="AR42" s="33"/>
    </row>
    <row r="43" ht="15.75" customHeight="1">
      <c r="A43" s="107" t="s">
        <v>156</v>
      </c>
      <c r="B43" s="33">
        <v>0.19713559484117613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116">
        <f t="shared" ref="AA43:AD43" si="77">AA8</f>
        <v>79861.18</v>
      </c>
      <c r="AB43" s="116">
        <f t="shared" si="77"/>
        <v>89149.99</v>
      </c>
      <c r="AC43" s="116">
        <f t="shared" si="77"/>
        <v>78500.7</v>
      </c>
      <c r="AD43" s="116">
        <f t="shared" si="77"/>
        <v>76120.72</v>
      </c>
      <c r="AE43" s="117">
        <f>AE8+IGNORE1!C16</f>
        <v>83732.792</v>
      </c>
      <c r="AF43" s="117">
        <f>AF8+IGNORE1!D16</f>
        <v>92106.0712</v>
      </c>
      <c r="AG43" s="117">
        <f>AG8+IGNORE1!E16</f>
        <v>106650.6783</v>
      </c>
      <c r="AH43" s="117">
        <f>AH8+IGNORE1!F16</f>
        <v>122116.3462</v>
      </c>
      <c r="AI43" s="117">
        <f>AI8+IGNORE1!G16</f>
        <v>138595.1808</v>
      </c>
      <c r="AJ43" s="117">
        <f>AJ8+IGNORE1!H16</f>
        <v>156188.4988</v>
      </c>
      <c r="AK43" s="117">
        <f>AK8+IGNORE1!I16</f>
        <v>171451.7487</v>
      </c>
      <c r="AL43" s="117">
        <f>AL8+IGNORE1!J16</f>
        <v>186285.5236</v>
      </c>
      <c r="AM43" s="116">
        <f t="shared" ref="AM43:AM46" si="79">SUM(AA43:AL43)</f>
        <v>1380759.43</v>
      </c>
      <c r="AN43" s="33"/>
      <c r="AO43" s="33"/>
      <c r="AP43" s="33"/>
      <c r="AQ43" s="33"/>
      <c r="AR43" s="33"/>
    </row>
    <row r="44" ht="15.75" customHeight="1">
      <c r="A44" s="107" t="s">
        <v>161</v>
      </c>
      <c r="B44" s="33">
        <v>0.09184561421923361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116">
        <f t="shared" ref="AA44:AD44" si="78">AA13</f>
        <v>32020.75</v>
      </c>
      <c r="AB44" s="116">
        <f t="shared" si="78"/>
        <v>47598.77</v>
      </c>
      <c r="AC44" s="116">
        <f t="shared" si="78"/>
        <v>67860.06</v>
      </c>
      <c r="AD44" s="116">
        <f t="shared" si="78"/>
        <v>42000</v>
      </c>
      <c r="AE44" s="117">
        <f>AE13+IGNORE!F16</f>
        <v>81016</v>
      </c>
      <c r="AF44" s="117">
        <f>AF13+IGNORE!G16</f>
        <v>49528</v>
      </c>
      <c r="AG44" s="117">
        <f>AG13+IGNORE!H16</f>
        <v>50488.12</v>
      </c>
      <c r="AH44" s="117">
        <f>AH13+IGNORE!I16</f>
        <v>52768.24</v>
      </c>
      <c r="AI44" s="117">
        <f>AI13+IGNORE!J16</f>
        <v>53728.36</v>
      </c>
      <c r="AJ44" s="117">
        <f>AJ13+IGNORE!K16</f>
        <v>54688.48</v>
      </c>
      <c r="AK44" s="117">
        <f>AK13+IGNORE!L16</f>
        <v>55008.52</v>
      </c>
      <c r="AL44" s="117">
        <f>AL13+IGNORE!M16</f>
        <v>55008.52</v>
      </c>
      <c r="AM44" s="116">
        <f t="shared" si="79"/>
        <v>641713.82</v>
      </c>
      <c r="AN44" s="33"/>
      <c r="AO44" s="33"/>
      <c r="AP44" s="33"/>
      <c r="AQ44" s="33"/>
      <c r="AR44" s="33"/>
    </row>
    <row r="45" ht="15.75" customHeight="1">
      <c r="A45" s="107" t="s">
        <v>184</v>
      </c>
      <c r="B45" s="33">
        <v>0.1628127722878152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116">
        <f t="shared" ref="AA45:AL45" si="80">AA37</f>
        <v>17752.47</v>
      </c>
      <c r="AB45" s="116">
        <f t="shared" si="80"/>
        <v>18344.61</v>
      </c>
      <c r="AC45" s="116">
        <f t="shared" si="80"/>
        <v>18873.68</v>
      </c>
      <c r="AD45" s="116">
        <f t="shared" si="80"/>
        <v>17000</v>
      </c>
      <c r="AE45" s="116">
        <f t="shared" si="80"/>
        <v>17000</v>
      </c>
      <c r="AF45" s="116">
        <f t="shared" si="80"/>
        <v>17000</v>
      </c>
      <c r="AG45" s="116">
        <f t="shared" si="80"/>
        <v>17000</v>
      </c>
      <c r="AH45" s="116">
        <f t="shared" si="80"/>
        <v>17000</v>
      </c>
      <c r="AI45" s="116">
        <f t="shared" si="80"/>
        <v>17000</v>
      </c>
      <c r="AJ45" s="116">
        <f t="shared" si="80"/>
        <v>17000</v>
      </c>
      <c r="AK45" s="116">
        <f t="shared" si="80"/>
        <v>17000</v>
      </c>
      <c r="AL45" s="116">
        <f t="shared" si="80"/>
        <v>17000</v>
      </c>
      <c r="AM45" s="116">
        <f t="shared" si="79"/>
        <v>207970.76</v>
      </c>
      <c r="AN45" s="33"/>
      <c r="AO45" s="33"/>
      <c r="AP45" s="33"/>
      <c r="AQ45" s="33"/>
      <c r="AR45" s="33"/>
    </row>
    <row r="46" ht="15.75" customHeight="1">
      <c r="A46" s="107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117">
        <f t="shared" ref="AA46:AL46" si="81">AA43-AA44-AA45</f>
        <v>30087.96</v>
      </c>
      <c r="AB46" s="117">
        <f t="shared" si="81"/>
        <v>23206.61</v>
      </c>
      <c r="AC46" s="117">
        <f t="shared" si="81"/>
        <v>-8233.04</v>
      </c>
      <c r="AD46" s="117">
        <f t="shared" si="81"/>
        <v>17120.72</v>
      </c>
      <c r="AE46" s="117">
        <f t="shared" si="81"/>
        <v>-14283.208</v>
      </c>
      <c r="AF46" s="117">
        <f t="shared" si="81"/>
        <v>25578.0712</v>
      </c>
      <c r="AG46" s="117">
        <f t="shared" si="81"/>
        <v>39162.55832</v>
      </c>
      <c r="AH46" s="117">
        <f t="shared" si="81"/>
        <v>52348.10615</v>
      </c>
      <c r="AI46" s="117">
        <f t="shared" si="81"/>
        <v>67866.82077</v>
      </c>
      <c r="AJ46" s="117">
        <f t="shared" si="81"/>
        <v>84500.01884</v>
      </c>
      <c r="AK46" s="117">
        <f t="shared" si="81"/>
        <v>99443.22873</v>
      </c>
      <c r="AL46" s="117">
        <f t="shared" si="81"/>
        <v>114277.0036</v>
      </c>
      <c r="AM46" s="116">
        <f t="shared" si="79"/>
        <v>531074.8496</v>
      </c>
      <c r="AN46" s="33"/>
      <c r="AO46" s="33"/>
      <c r="AP46" s="33"/>
      <c r="AQ46" s="33"/>
      <c r="AR46" s="33"/>
    </row>
    <row r="47" ht="15.75" customHeight="1">
      <c r="A47" s="107"/>
      <c r="B47" s="33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</row>
    <row r="49" ht="15.75" customHeight="1">
      <c r="A49" s="119"/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</row>
    <row r="50" ht="15.75" customHeight="1">
      <c r="A50" s="119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</row>
  </sheetData>
  <mergeCells count="3">
    <mergeCell ref="A1:AR1"/>
    <mergeCell ref="A2:AR2"/>
    <mergeCell ref="A3:AR3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8.71"/>
    <col customWidth="1" min="3" max="3" width="11.57"/>
    <col customWidth="1" min="4" max="7" width="11.0"/>
    <col customWidth="1" min="8" max="8" width="12.43"/>
    <col customWidth="1" min="9" max="9" width="11.0"/>
    <col customWidth="1" min="10" max="14" width="12.0"/>
    <col customWidth="1" min="15" max="15" width="8.71"/>
    <col customWidth="1" min="16" max="17" width="13.43"/>
    <col customWidth="1" min="18" max="18" width="12.86"/>
  </cols>
  <sheetData>
    <row r="1">
      <c r="A1" s="71" t="s">
        <v>10</v>
      </c>
      <c r="B1" s="72">
        <v>8.0</v>
      </c>
      <c r="C1" s="73"/>
      <c r="D1" s="73"/>
      <c r="E1" s="73"/>
      <c r="F1" s="74" t="s">
        <v>22</v>
      </c>
      <c r="G1" s="75"/>
      <c r="H1" s="76">
        <v>0.0</v>
      </c>
      <c r="I1" s="73"/>
      <c r="J1" s="73"/>
      <c r="K1" s="73"/>
      <c r="L1" s="73"/>
      <c r="M1" s="71" t="s">
        <v>5</v>
      </c>
      <c r="N1" s="76">
        <v>127.0</v>
      </c>
    </row>
    <row r="2">
      <c r="A2" s="71" t="s">
        <v>13</v>
      </c>
      <c r="B2" s="77">
        <v>0.7</v>
      </c>
      <c r="C2" s="73"/>
      <c r="D2" s="71">
        <v>88.89999999999999</v>
      </c>
      <c r="E2" s="73"/>
      <c r="F2" s="74" t="s">
        <v>21</v>
      </c>
      <c r="G2" s="75"/>
      <c r="H2" s="76">
        <v>3569.0</v>
      </c>
      <c r="I2" s="73"/>
      <c r="J2" s="73"/>
      <c r="K2" s="73"/>
      <c r="L2" s="73"/>
      <c r="M2" s="73"/>
      <c r="N2" s="73"/>
    </row>
    <row r="3">
      <c r="A3" s="71" t="s">
        <v>84</v>
      </c>
      <c r="B3" s="76">
        <v>25.0</v>
      </c>
      <c r="C3" s="73"/>
      <c r="D3" s="73"/>
      <c r="E3" s="73"/>
      <c r="F3" s="74" t="s">
        <v>85</v>
      </c>
      <c r="G3" s="75"/>
      <c r="H3" s="76">
        <v>251029.0</v>
      </c>
      <c r="I3" s="73"/>
      <c r="J3" s="73"/>
      <c r="K3" s="73"/>
      <c r="L3" s="73"/>
      <c r="M3" s="73"/>
      <c r="N3" s="73"/>
    </row>
    <row r="5">
      <c r="B5" s="78" t="s">
        <v>86</v>
      </c>
      <c r="C5" s="79" t="s">
        <v>28</v>
      </c>
      <c r="D5" s="79" t="s">
        <v>29</v>
      </c>
      <c r="E5" s="79" t="s">
        <v>30</v>
      </c>
      <c r="F5" s="79" t="s">
        <v>31</v>
      </c>
      <c r="G5" s="79" t="s">
        <v>32</v>
      </c>
      <c r="H5" s="79" t="s">
        <v>33</v>
      </c>
      <c r="I5" s="79" t="s">
        <v>34</v>
      </c>
      <c r="J5" s="79" t="s">
        <v>35</v>
      </c>
      <c r="K5" s="79" t="s">
        <v>36</v>
      </c>
      <c r="L5" s="79" t="s">
        <v>37</v>
      </c>
      <c r="M5" s="79" t="s">
        <v>38</v>
      </c>
      <c r="N5" s="79" t="s">
        <v>39</v>
      </c>
    </row>
    <row r="6">
      <c r="A6" s="80" t="s">
        <v>87</v>
      </c>
      <c r="B6" s="78">
        <v>60.0</v>
      </c>
      <c r="C6" s="78"/>
      <c r="D6" s="78">
        <v>480.0</v>
      </c>
      <c r="E6" s="78">
        <v>480.0</v>
      </c>
      <c r="F6" s="78">
        <v>480.0</v>
      </c>
      <c r="G6" s="78">
        <v>480.0</v>
      </c>
      <c r="H6" s="78">
        <v>480.0</v>
      </c>
      <c r="I6" s="78">
        <v>480.0</v>
      </c>
      <c r="J6" s="78">
        <v>480.0</v>
      </c>
      <c r="K6" s="78">
        <v>480.0</v>
      </c>
      <c r="L6" s="78">
        <v>480.0</v>
      </c>
      <c r="M6" s="78">
        <v>480.0</v>
      </c>
      <c r="N6" s="78">
        <v>480.0</v>
      </c>
    </row>
    <row r="7">
      <c r="B7" s="78">
        <v>100.0</v>
      </c>
      <c r="C7" s="78"/>
      <c r="D7" s="78"/>
      <c r="E7" s="78">
        <v>480.0</v>
      </c>
      <c r="F7" s="78">
        <v>480.0</v>
      </c>
      <c r="G7" s="78">
        <v>480.0</v>
      </c>
      <c r="H7" s="78">
        <v>480.0</v>
      </c>
      <c r="I7" s="78">
        <v>480.0</v>
      </c>
      <c r="J7" s="78">
        <v>480.0</v>
      </c>
      <c r="K7" s="78">
        <v>480.0</v>
      </c>
      <c r="L7" s="78">
        <v>480.0</v>
      </c>
      <c r="M7" s="78">
        <v>480.0</v>
      </c>
      <c r="N7" s="78">
        <v>480.0</v>
      </c>
    </row>
    <row r="8">
      <c r="B8" s="78">
        <v>150.0</v>
      </c>
      <c r="C8" s="78"/>
      <c r="D8" s="78"/>
      <c r="E8" s="78"/>
      <c r="F8" s="78">
        <v>480.0</v>
      </c>
      <c r="G8" s="78">
        <v>480.0</v>
      </c>
      <c r="H8" s="78">
        <v>480.0</v>
      </c>
      <c r="I8" s="78">
        <v>480.0</v>
      </c>
      <c r="J8" s="78">
        <v>480.0</v>
      </c>
      <c r="K8" s="78">
        <v>480.0</v>
      </c>
      <c r="L8" s="78">
        <v>480.0</v>
      </c>
      <c r="M8" s="78">
        <v>480.0</v>
      </c>
      <c r="N8" s="78">
        <v>480.0</v>
      </c>
    </row>
    <row r="9">
      <c r="B9" s="78">
        <v>180.0</v>
      </c>
      <c r="C9" s="78"/>
      <c r="D9" s="78"/>
      <c r="E9" s="78"/>
      <c r="F9" s="78"/>
      <c r="G9" s="78">
        <v>480.0</v>
      </c>
      <c r="H9" s="78">
        <v>480.0</v>
      </c>
      <c r="I9" s="78">
        <v>480.0</v>
      </c>
      <c r="J9" s="78">
        <v>480.0</v>
      </c>
      <c r="K9" s="78">
        <v>480.0</v>
      </c>
      <c r="L9" s="78">
        <v>480.0</v>
      </c>
      <c r="M9" s="78">
        <v>480.0</v>
      </c>
      <c r="N9" s="78">
        <v>480.0</v>
      </c>
    </row>
    <row r="10">
      <c r="B10" s="81">
        <v>200.0</v>
      </c>
      <c r="C10" s="78"/>
      <c r="D10" s="78"/>
      <c r="E10" s="78"/>
      <c r="F10" s="78"/>
      <c r="G10" s="78"/>
      <c r="H10" s="78">
        <v>160.0</v>
      </c>
      <c r="I10" s="78">
        <v>160.0</v>
      </c>
      <c r="J10" s="78">
        <v>160.0</v>
      </c>
      <c r="K10" s="78">
        <v>160.0</v>
      </c>
      <c r="L10" s="78">
        <v>160.0</v>
      </c>
      <c r="M10" s="78">
        <v>160.0</v>
      </c>
      <c r="N10" s="78">
        <v>160.0</v>
      </c>
    </row>
    <row r="11">
      <c r="B11" s="78" t="s">
        <v>47</v>
      </c>
      <c r="C11" s="78">
        <v>0.0</v>
      </c>
      <c r="D11" s="78">
        <v>480.0</v>
      </c>
      <c r="E11" s="78">
        <v>960.0</v>
      </c>
      <c r="F11" s="78">
        <v>1440.0</v>
      </c>
      <c r="G11" s="78">
        <v>1920.0</v>
      </c>
      <c r="H11" s="78">
        <v>2080.0</v>
      </c>
      <c r="I11" s="78">
        <v>2080.0</v>
      </c>
      <c r="J11" s="78">
        <v>2080.0</v>
      </c>
      <c r="K11" s="78">
        <v>2080.0</v>
      </c>
      <c r="L11" s="78">
        <v>2080.0</v>
      </c>
      <c r="M11" s="78">
        <v>2080.0</v>
      </c>
      <c r="N11" s="78">
        <v>2080.0</v>
      </c>
    </row>
    <row r="15">
      <c r="B15" s="78" t="s">
        <v>86</v>
      </c>
      <c r="C15" s="79" t="s">
        <v>28</v>
      </c>
      <c r="D15" s="79" t="s">
        <v>29</v>
      </c>
      <c r="E15" s="79" t="s">
        <v>30</v>
      </c>
      <c r="F15" s="79" t="s">
        <v>31</v>
      </c>
      <c r="G15" s="79" t="s">
        <v>32</v>
      </c>
      <c r="H15" s="79" t="s">
        <v>33</v>
      </c>
      <c r="I15" s="79" t="s">
        <v>34</v>
      </c>
      <c r="J15" s="79" t="s">
        <v>35</v>
      </c>
      <c r="K15" s="79" t="s">
        <v>36</v>
      </c>
      <c r="L15" s="79" t="s">
        <v>37</v>
      </c>
      <c r="M15" s="79" t="s">
        <v>38</v>
      </c>
      <c r="N15" s="79" t="s">
        <v>39</v>
      </c>
    </row>
    <row r="16">
      <c r="A16" s="2" t="s">
        <v>88</v>
      </c>
      <c r="B16" s="78" t="s">
        <v>89</v>
      </c>
      <c r="C16" s="38"/>
      <c r="D16" s="38">
        <v>0.0</v>
      </c>
      <c r="E16" s="38">
        <v>42671.99999999999</v>
      </c>
      <c r="F16" s="38">
        <v>85343.99999999999</v>
      </c>
      <c r="G16" s="38">
        <v>128015.99999999999</v>
      </c>
      <c r="H16" s="38">
        <v>170687.99999999997</v>
      </c>
      <c r="I16" s="38">
        <v>184911.99999999997</v>
      </c>
      <c r="J16" s="38">
        <v>184911.99999999997</v>
      </c>
      <c r="K16" s="38">
        <v>184911.99999999997</v>
      </c>
      <c r="L16" s="38">
        <v>184911.99999999997</v>
      </c>
      <c r="M16" s="38">
        <v>184911.99999999997</v>
      </c>
      <c r="N16" s="38">
        <v>184911.99999999997</v>
      </c>
    </row>
    <row r="17">
      <c r="B17" s="78" t="s">
        <v>15</v>
      </c>
      <c r="C17" s="38">
        <v>289798.0</v>
      </c>
      <c r="D17" s="38">
        <v>38769.0</v>
      </c>
      <c r="E17" s="38">
        <v>46449.95999999999</v>
      </c>
      <c r="F17" s="38">
        <v>64690.92</v>
      </c>
      <c r="G17" s="38">
        <v>72371.87999999999</v>
      </c>
      <c r="H17" s="38">
        <v>80052.84</v>
      </c>
      <c r="I17" s="38">
        <v>82613.16</v>
      </c>
      <c r="J17" s="38">
        <v>82613.16</v>
      </c>
      <c r="K17" s="38">
        <v>82613.16</v>
      </c>
      <c r="L17" s="38">
        <v>82613.16</v>
      </c>
      <c r="M17" s="38">
        <v>82613.16</v>
      </c>
      <c r="N17" s="38">
        <v>82613.16</v>
      </c>
      <c r="P17" s="82" t="s">
        <v>51</v>
      </c>
      <c r="Q17" s="83" t="s">
        <v>53</v>
      </c>
      <c r="R17" s="84" t="s">
        <v>90</v>
      </c>
    </row>
    <row r="18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P18" s="85"/>
      <c r="Q18" s="86"/>
      <c r="R18" s="87"/>
    </row>
    <row r="19">
      <c r="B19" s="78" t="s">
        <v>91</v>
      </c>
      <c r="C19" s="38">
        <v>-289798.0</v>
      </c>
      <c r="D19" s="38">
        <v>-38769.0</v>
      </c>
      <c r="E19" s="38">
        <v>-3777.959999999999</v>
      </c>
      <c r="F19" s="38">
        <v>20653.079999999987</v>
      </c>
      <c r="G19" s="38">
        <v>55644.119999999995</v>
      </c>
      <c r="H19" s="38">
        <v>90635.15999999997</v>
      </c>
      <c r="I19" s="38">
        <v>102298.83999999997</v>
      </c>
      <c r="J19" s="38">
        <v>102298.83999999997</v>
      </c>
      <c r="K19" s="38">
        <v>102298.83999999997</v>
      </c>
      <c r="L19" s="38">
        <v>102298.83999999997</v>
      </c>
      <c r="M19" s="38">
        <v>102298.83999999997</v>
      </c>
      <c r="N19" s="38">
        <v>102298.83999999997</v>
      </c>
      <c r="P19" s="88">
        <v>448380.43999999977</v>
      </c>
      <c r="Q19" s="89">
        <v>1227586.0799999996</v>
      </c>
      <c r="R19" s="90">
        <v>1227586.0799999996</v>
      </c>
    </row>
    <row r="21" ht="15.75" customHeight="1"/>
    <row r="22" ht="15.75" customHeight="1">
      <c r="A22" s="78" t="s">
        <v>92</v>
      </c>
      <c r="B22" s="78" t="s">
        <v>86</v>
      </c>
      <c r="C22" s="78" t="s">
        <v>28</v>
      </c>
      <c r="D22" s="78" t="s">
        <v>29</v>
      </c>
      <c r="E22" s="78" t="s">
        <v>30</v>
      </c>
      <c r="F22" s="78" t="s">
        <v>31</v>
      </c>
      <c r="G22" s="78" t="s">
        <v>32</v>
      </c>
      <c r="H22" s="78" t="s">
        <v>33</v>
      </c>
      <c r="I22" s="78" t="s">
        <v>34</v>
      </c>
      <c r="J22" s="78" t="s">
        <v>35</v>
      </c>
      <c r="K22" s="78" t="s">
        <v>36</v>
      </c>
      <c r="L22" s="78" t="s">
        <v>37</v>
      </c>
      <c r="M22" s="78" t="s">
        <v>38</v>
      </c>
      <c r="N22" s="78" t="s">
        <v>39</v>
      </c>
    </row>
    <row r="23" ht="15.75" customHeight="1">
      <c r="A23" s="78" t="s">
        <v>93</v>
      </c>
      <c r="B23" s="78" t="s">
        <v>94</v>
      </c>
      <c r="C23" s="38">
        <v>35200.0</v>
      </c>
      <c r="D23" s="38">
        <v>35200.0</v>
      </c>
      <c r="E23" s="38">
        <v>35200.0</v>
      </c>
      <c r="F23" s="38">
        <v>35200.0</v>
      </c>
      <c r="G23" s="38">
        <v>35200.0</v>
      </c>
      <c r="H23" s="38">
        <v>35200.0</v>
      </c>
      <c r="I23" s="38">
        <v>35200.0</v>
      </c>
      <c r="J23" s="38">
        <v>35200.0</v>
      </c>
      <c r="K23" s="38">
        <v>35200.0</v>
      </c>
      <c r="L23" s="38">
        <v>35200.0</v>
      </c>
      <c r="M23" s="38">
        <v>35200.0</v>
      </c>
      <c r="N23" s="38">
        <v>35200.0</v>
      </c>
      <c r="P23" s="82" t="s">
        <v>51</v>
      </c>
      <c r="Q23" s="83" t="s">
        <v>53</v>
      </c>
      <c r="R23" s="84" t="s">
        <v>90</v>
      </c>
    </row>
    <row r="24" ht="15.75" customHeight="1">
      <c r="A24" s="78"/>
      <c r="B24" s="78" t="s">
        <v>95</v>
      </c>
      <c r="C24" s="78"/>
      <c r="D24" s="78"/>
      <c r="E24" s="78"/>
      <c r="F24" s="91">
        <v>10560.0</v>
      </c>
      <c r="G24" s="91">
        <v>10560.0</v>
      </c>
      <c r="H24" s="91">
        <v>10560.0</v>
      </c>
      <c r="I24" s="91">
        <v>10560.0</v>
      </c>
      <c r="J24" s="91">
        <v>10560.0</v>
      </c>
      <c r="K24" s="91">
        <v>10560.0</v>
      </c>
      <c r="L24" s="91">
        <v>10560.0</v>
      </c>
      <c r="M24" s="91">
        <v>10560.0</v>
      </c>
      <c r="N24" s="91">
        <v>10560.0</v>
      </c>
      <c r="P24" s="92"/>
      <c r="Q24" s="93">
        <v>991357.9200000003</v>
      </c>
      <c r="R24" s="92"/>
    </row>
    <row r="25" ht="15.75" customHeight="1">
      <c r="A25" s="78"/>
      <c r="B25" s="78"/>
      <c r="C25" s="78"/>
      <c r="D25" s="78"/>
      <c r="E25" s="78"/>
      <c r="F25" s="91"/>
      <c r="G25" s="91"/>
      <c r="H25" s="91"/>
      <c r="I25" s="91"/>
      <c r="J25" s="91"/>
      <c r="K25" s="91"/>
      <c r="L25" s="91"/>
      <c r="M25" s="91"/>
      <c r="N25" s="91"/>
      <c r="P25" s="92"/>
      <c r="Q25" s="93">
        <v>2218943.9999999995</v>
      </c>
      <c r="R25" s="92"/>
    </row>
    <row r="26" ht="15.75" customHeight="1">
      <c r="A26" s="78"/>
      <c r="B26" s="78"/>
      <c r="C26" s="78" t="s">
        <v>28</v>
      </c>
      <c r="D26" s="78" t="s">
        <v>29</v>
      </c>
      <c r="E26" s="78" t="s">
        <v>30</v>
      </c>
      <c r="F26" s="78" t="s">
        <v>31</v>
      </c>
      <c r="G26" s="78" t="s">
        <v>32</v>
      </c>
      <c r="H26" s="78" t="s">
        <v>33</v>
      </c>
      <c r="I26" s="78" t="s">
        <v>34</v>
      </c>
      <c r="J26" s="78" t="s">
        <v>35</v>
      </c>
      <c r="K26" s="78" t="s">
        <v>36</v>
      </c>
      <c r="L26" s="78" t="s">
        <v>37</v>
      </c>
      <c r="M26" s="78" t="s">
        <v>38</v>
      </c>
      <c r="N26" s="78" t="s">
        <v>39</v>
      </c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</row>
    <row r="28" ht="15.75" customHeight="1">
      <c r="A28" s="94" t="s">
        <v>21</v>
      </c>
      <c r="B28" s="94" t="s">
        <v>22</v>
      </c>
      <c r="C28" s="95">
        <v>0.0</v>
      </c>
      <c r="D28" s="95">
        <v>0.0</v>
      </c>
      <c r="E28" s="95">
        <v>0.0</v>
      </c>
      <c r="F28" s="95">
        <v>0.0</v>
      </c>
      <c r="G28" s="95">
        <v>0.0</v>
      </c>
      <c r="H28" s="95">
        <v>0.0</v>
      </c>
      <c r="I28" s="95">
        <v>0.0</v>
      </c>
      <c r="J28" s="95">
        <v>0.0</v>
      </c>
      <c r="K28" s="95">
        <v>0.0</v>
      </c>
      <c r="L28" s="95">
        <v>0.0</v>
      </c>
      <c r="M28" s="95">
        <v>0.0</v>
      </c>
      <c r="N28" s="95">
        <v>0.0</v>
      </c>
    </row>
    <row r="29" ht="15.75" customHeight="1">
      <c r="A29" s="94"/>
      <c r="B29" s="94" t="s">
        <v>96</v>
      </c>
      <c r="C29" s="95">
        <v>65.0</v>
      </c>
      <c r="D29" s="95">
        <v>65.0</v>
      </c>
      <c r="E29" s="95">
        <v>65.0</v>
      </c>
      <c r="F29" s="95">
        <v>65.0</v>
      </c>
      <c r="G29" s="95">
        <v>65.0</v>
      </c>
      <c r="H29" s="95">
        <v>65.0</v>
      </c>
      <c r="I29" s="95">
        <v>65.0</v>
      </c>
      <c r="J29" s="95">
        <v>65.0</v>
      </c>
      <c r="K29" s="95">
        <v>65.0</v>
      </c>
      <c r="L29" s="95">
        <v>65.0</v>
      </c>
      <c r="M29" s="95">
        <v>65.0</v>
      </c>
      <c r="N29" s="95">
        <v>65.0</v>
      </c>
    </row>
    <row r="30" ht="15.75" customHeight="1">
      <c r="A30" s="94"/>
      <c r="B30" s="94" t="s">
        <v>97</v>
      </c>
      <c r="C30" s="95">
        <v>3000.0</v>
      </c>
      <c r="D30" s="95">
        <v>3000.0</v>
      </c>
      <c r="E30" s="95">
        <v>3000.0</v>
      </c>
      <c r="F30" s="95">
        <v>3000.0</v>
      </c>
      <c r="G30" s="95">
        <v>3000.0</v>
      </c>
      <c r="H30" s="95">
        <v>3000.0</v>
      </c>
      <c r="I30" s="95">
        <v>3000.0</v>
      </c>
      <c r="J30" s="95">
        <v>3000.0</v>
      </c>
      <c r="K30" s="95">
        <v>3000.0</v>
      </c>
      <c r="L30" s="95">
        <v>3000.0</v>
      </c>
      <c r="M30" s="95">
        <v>3000.0</v>
      </c>
      <c r="N30" s="95">
        <v>3000.0</v>
      </c>
    </row>
    <row r="31" ht="15.75" customHeight="1">
      <c r="A31" s="94"/>
      <c r="B31" s="94" t="s">
        <v>25</v>
      </c>
      <c r="C31" s="95">
        <v>216.0</v>
      </c>
      <c r="D31" s="95">
        <v>216.0</v>
      </c>
      <c r="E31" s="95">
        <v>216.0</v>
      </c>
      <c r="F31" s="95">
        <v>216.0</v>
      </c>
      <c r="G31" s="95">
        <v>216.0</v>
      </c>
      <c r="H31" s="95">
        <v>216.0</v>
      </c>
      <c r="I31" s="95">
        <v>216.0</v>
      </c>
      <c r="J31" s="95">
        <v>216.0</v>
      </c>
      <c r="K31" s="95">
        <v>216.0</v>
      </c>
      <c r="L31" s="95">
        <v>216.0</v>
      </c>
      <c r="M31" s="95">
        <v>216.0</v>
      </c>
      <c r="N31" s="95">
        <v>216.0</v>
      </c>
    </row>
    <row r="32" ht="15.75" customHeight="1">
      <c r="A32" s="94"/>
      <c r="B32" s="94" t="s">
        <v>98</v>
      </c>
      <c r="C32" s="95">
        <v>144.0</v>
      </c>
      <c r="D32" s="95">
        <v>144.0</v>
      </c>
      <c r="E32" s="95">
        <v>144.0</v>
      </c>
      <c r="F32" s="95">
        <v>144.0</v>
      </c>
      <c r="G32" s="95">
        <v>144.0</v>
      </c>
      <c r="H32" s="95">
        <v>144.0</v>
      </c>
      <c r="I32" s="95">
        <v>144.0</v>
      </c>
      <c r="J32" s="95">
        <v>144.0</v>
      </c>
      <c r="K32" s="95">
        <v>144.0</v>
      </c>
      <c r="L32" s="95">
        <v>144.0</v>
      </c>
      <c r="M32" s="95">
        <v>144.0</v>
      </c>
      <c r="N32" s="95">
        <v>144.0</v>
      </c>
    </row>
    <row r="33" ht="15.75" customHeight="1">
      <c r="A33" s="94"/>
      <c r="B33" s="94" t="s">
        <v>40</v>
      </c>
      <c r="C33" s="95">
        <v>144.0</v>
      </c>
      <c r="D33" s="95">
        <v>144.0</v>
      </c>
      <c r="E33" s="95">
        <v>144.0</v>
      </c>
      <c r="F33" s="95">
        <v>144.0</v>
      </c>
      <c r="G33" s="95">
        <v>144.0</v>
      </c>
      <c r="H33" s="95">
        <v>144.0</v>
      </c>
      <c r="I33" s="95">
        <v>144.0</v>
      </c>
      <c r="J33" s="95">
        <v>144.0</v>
      </c>
      <c r="K33" s="95">
        <v>144.0</v>
      </c>
      <c r="L33" s="95">
        <v>144.0</v>
      </c>
      <c r="M33" s="95">
        <v>144.0</v>
      </c>
      <c r="N33" s="95">
        <v>144.0</v>
      </c>
    </row>
    <row r="34" ht="15.75" customHeight="1">
      <c r="A34" s="94"/>
      <c r="B34" s="94" t="s">
        <v>99</v>
      </c>
      <c r="C34" s="95">
        <v>0.0</v>
      </c>
      <c r="D34" s="95">
        <v>0.0</v>
      </c>
      <c r="E34" s="95">
        <v>1280.1599999999996</v>
      </c>
      <c r="F34" s="95">
        <v>2560.3199999999993</v>
      </c>
      <c r="G34" s="95">
        <v>3840.4799999999996</v>
      </c>
      <c r="H34" s="95">
        <v>5120.6399999999985</v>
      </c>
      <c r="I34" s="95">
        <v>5547.359999999999</v>
      </c>
      <c r="J34" s="95">
        <v>5547.359999999999</v>
      </c>
      <c r="K34" s="95">
        <v>5547.359999999999</v>
      </c>
      <c r="L34" s="95">
        <v>5547.359999999999</v>
      </c>
      <c r="M34" s="95">
        <v>5547.359999999999</v>
      </c>
      <c r="N34" s="95">
        <v>5547.359999999999</v>
      </c>
    </row>
    <row r="35" ht="15.75" customHeight="1">
      <c r="A35" s="94"/>
      <c r="B35" s="94" t="s">
        <v>100</v>
      </c>
      <c r="C35" s="95">
        <v>0.0</v>
      </c>
      <c r="D35" s="95">
        <v>0.0</v>
      </c>
      <c r="E35" s="95">
        <v>6400.799999999998</v>
      </c>
      <c r="F35" s="95">
        <v>12801.599999999997</v>
      </c>
      <c r="G35" s="95">
        <v>19202.399999999998</v>
      </c>
      <c r="H35" s="95">
        <v>25603.199999999993</v>
      </c>
      <c r="I35" s="95">
        <v>27736.799999999996</v>
      </c>
      <c r="J35" s="95">
        <v>27736.799999999996</v>
      </c>
      <c r="K35" s="95">
        <v>27736.799999999996</v>
      </c>
      <c r="L35" s="95">
        <v>27736.799999999996</v>
      </c>
      <c r="M35" s="95">
        <v>27736.799999999996</v>
      </c>
      <c r="N35" s="95">
        <v>27736.799999999996</v>
      </c>
    </row>
    <row r="36" ht="15.75" customHeight="1">
      <c r="A36" s="78"/>
      <c r="B36" s="78"/>
      <c r="C36" s="96"/>
    </row>
    <row r="37" ht="15.75" customHeight="1">
      <c r="A37" s="78" t="s">
        <v>43</v>
      </c>
      <c r="B37" s="78" t="s">
        <v>101</v>
      </c>
      <c r="C37" s="96">
        <v>5200.0</v>
      </c>
    </row>
    <row r="38" ht="15.75" customHeight="1">
      <c r="A38" s="78"/>
      <c r="B38" s="78" t="s">
        <v>46</v>
      </c>
      <c r="C38" s="96">
        <v>1200.0</v>
      </c>
    </row>
    <row r="39" ht="15.75" customHeight="1">
      <c r="A39" s="78"/>
      <c r="B39" s="78" t="s">
        <v>48</v>
      </c>
      <c r="C39" s="96">
        <v>80.0</v>
      </c>
    </row>
    <row r="40" ht="15.75" customHeight="1">
      <c r="A40" s="78"/>
      <c r="B40" s="78" t="s">
        <v>49</v>
      </c>
      <c r="C40" s="96">
        <v>64.0</v>
      </c>
    </row>
    <row r="41" ht="15.75" customHeight="1">
      <c r="A41" s="78"/>
      <c r="B41" s="78" t="s">
        <v>50</v>
      </c>
      <c r="C41" s="96">
        <v>120.0</v>
      </c>
    </row>
    <row r="42" ht="15.75" customHeight="1">
      <c r="A42" s="78"/>
      <c r="B42" s="78" t="s">
        <v>52</v>
      </c>
      <c r="C42" s="96">
        <v>3200.0</v>
      </c>
    </row>
    <row r="43" ht="15.75" customHeight="1">
      <c r="A43" s="78"/>
      <c r="B43" s="78" t="s">
        <v>54</v>
      </c>
      <c r="C43" s="96">
        <v>480.0</v>
      </c>
    </row>
    <row r="44" ht="15.75" customHeight="1">
      <c r="A44" s="78"/>
      <c r="B44" s="78" t="s">
        <v>56</v>
      </c>
      <c r="C44" s="96">
        <v>360.0</v>
      </c>
    </row>
    <row r="45" ht="15.75" customHeight="1">
      <c r="A45" s="78"/>
      <c r="B45" s="78" t="s">
        <v>57</v>
      </c>
      <c r="C45" s="96">
        <v>200.0</v>
      </c>
    </row>
    <row r="46" ht="15.75" customHeight="1">
      <c r="A46" s="78"/>
      <c r="B46" s="78" t="s">
        <v>59</v>
      </c>
      <c r="C46" s="96">
        <v>125.0</v>
      </c>
    </row>
    <row r="47" ht="15.75" customHeight="1">
      <c r="A47" s="78"/>
      <c r="B47" s="78" t="s">
        <v>100</v>
      </c>
      <c r="C47" s="78">
        <v>240000.0</v>
      </c>
    </row>
    <row r="48" ht="15.75" customHeight="1">
      <c r="A48" s="2" t="s">
        <v>102</v>
      </c>
      <c r="C48" s="3">
        <v>289798.0</v>
      </c>
      <c r="D48" s="3">
        <v>38769.0</v>
      </c>
      <c r="E48" s="3">
        <v>46449.95999999999</v>
      </c>
      <c r="F48" s="3">
        <v>64690.92</v>
      </c>
      <c r="G48" s="3">
        <v>72371.87999999999</v>
      </c>
      <c r="H48" s="3">
        <v>80052.84</v>
      </c>
      <c r="I48" s="3">
        <v>82613.16</v>
      </c>
      <c r="J48" s="3">
        <v>82613.16</v>
      </c>
      <c r="K48" s="3">
        <v>82613.16</v>
      </c>
      <c r="L48" s="3">
        <v>82613.16</v>
      </c>
      <c r="M48" s="3">
        <v>82613.16</v>
      </c>
      <c r="N48" s="3">
        <v>82613.16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A55" s="97" t="s">
        <v>86</v>
      </c>
      <c r="B55" s="97" t="s">
        <v>103</v>
      </c>
      <c r="C55" s="97" t="s">
        <v>28</v>
      </c>
      <c r="D55" s="97" t="s">
        <v>29</v>
      </c>
      <c r="E55" s="97" t="s">
        <v>30</v>
      </c>
      <c r="F55" s="97" t="s">
        <v>31</v>
      </c>
      <c r="G55" s="97" t="s">
        <v>32</v>
      </c>
      <c r="H55" s="97" t="s">
        <v>33</v>
      </c>
      <c r="I55" s="97" t="s">
        <v>34</v>
      </c>
      <c r="J55" s="97" t="s">
        <v>35</v>
      </c>
      <c r="K55" s="97" t="s">
        <v>36</v>
      </c>
      <c r="L55" s="97" t="s">
        <v>37</v>
      </c>
      <c r="M55" s="97" t="s">
        <v>38</v>
      </c>
      <c r="N55" s="97" t="s">
        <v>39</v>
      </c>
    </row>
    <row r="56" ht="15.75" customHeight="1">
      <c r="A56" s="97" t="s">
        <v>104</v>
      </c>
      <c r="B56" s="97"/>
      <c r="C56" s="97">
        <v>1.0</v>
      </c>
      <c r="D56" s="97">
        <v>2.0</v>
      </c>
      <c r="E56" s="97">
        <v>3.0</v>
      </c>
      <c r="F56" s="97">
        <v>4.0</v>
      </c>
      <c r="G56" s="97">
        <v>5.0</v>
      </c>
      <c r="H56" s="97">
        <v>6.0</v>
      </c>
      <c r="I56" s="97">
        <v>7.0</v>
      </c>
      <c r="J56" s="97">
        <v>8.0</v>
      </c>
      <c r="K56" s="97">
        <v>9.0</v>
      </c>
      <c r="L56" s="97">
        <v>10.0</v>
      </c>
      <c r="M56" s="97">
        <v>11.0</v>
      </c>
      <c r="N56" s="97">
        <v>12.0</v>
      </c>
    </row>
    <row r="57" ht="15.75" customHeight="1">
      <c r="A57" s="97"/>
      <c r="B57" s="97" t="s">
        <v>89</v>
      </c>
      <c r="C57" s="98">
        <v>184911.99999999997</v>
      </c>
      <c r="D57" s="98">
        <v>184911.99999999997</v>
      </c>
      <c r="E57" s="98">
        <v>184911.99999999997</v>
      </c>
      <c r="F57" s="98">
        <v>184911.99999999997</v>
      </c>
      <c r="G57" s="98">
        <v>184911.99999999997</v>
      </c>
      <c r="H57" s="98">
        <v>184911.99999999997</v>
      </c>
      <c r="I57" s="98">
        <v>184911.99999999997</v>
      </c>
      <c r="J57" s="98">
        <v>184911.99999999997</v>
      </c>
      <c r="K57" s="98">
        <v>184911.99999999997</v>
      </c>
      <c r="L57" s="98">
        <v>184911.99999999997</v>
      </c>
      <c r="M57" s="98">
        <v>184911.99999999997</v>
      </c>
      <c r="N57" s="98">
        <v>184911.99999999997</v>
      </c>
    </row>
    <row r="58" ht="15.75" customHeight="1">
      <c r="A58" s="97"/>
      <c r="B58" s="97" t="s">
        <v>15</v>
      </c>
      <c r="C58" s="98">
        <v>82613.16</v>
      </c>
      <c r="D58" s="98">
        <v>82613.16</v>
      </c>
      <c r="E58" s="98">
        <v>82613.16</v>
      </c>
      <c r="F58" s="98">
        <v>82613.16</v>
      </c>
      <c r="G58" s="98">
        <v>82613.16</v>
      </c>
      <c r="H58" s="98">
        <v>82613.16</v>
      </c>
      <c r="I58" s="98">
        <v>82613.16</v>
      </c>
      <c r="J58" s="98">
        <v>82613.16</v>
      </c>
      <c r="K58" s="98">
        <v>82613.16</v>
      </c>
      <c r="L58" s="98">
        <v>82613.16</v>
      </c>
      <c r="M58" s="98">
        <v>82613.16</v>
      </c>
      <c r="N58" s="98">
        <v>82613.16</v>
      </c>
    </row>
    <row r="59" ht="15.75" customHeight="1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</row>
    <row r="60" ht="15.75" customHeight="1">
      <c r="A60" s="97"/>
      <c r="B60" s="97" t="s">
        <v>91</v>
      </c>
      <c r="C60" s="98">
        <v>102298.83999999997</v>
      </c>
      <c r="D60" s="98">
        <v>102298.83999999997</v>
      </c>
      <c r="E60" s="98">
        <v>102298.83999999997</v>
      </c>
      <c r="F60" s="98">
        <v>102298.83999999997</v>
      </c>
      <c r="G60" s="98">
        <v>102298.83999999997</v>
      </c>
      <c r="H60" s="98">
        <v>102298.83999999997</v>
      </c>
      <c r="I60" s="98">
        <v>102298.83999999997</v>
      </c>
      <c r="J60" s="98">
        <v>102298.83999999997</v>
      </c>
      <c r="K60" s="98">
        <v>102298.83999999997</v>
      </c>
      <c r="L60" s="98">
        <v>102298.83999999997</v>
      </c>
      <c r="M60" s="98">
        <v>102298.83999999997</v>
      </c>
      <c r="N60" s="98">
        <v>102298.83999999997</v>
      </c>
    </row>
    <row r="61" ht="15.75" customHeight="1"/>
    <row r="62" ht="15.75" customHeight="1">
      <c r="B62" s="2" t="s">
        <v>27</v>
      </c>
      <c r="C62" s="99">
        <v>1.0</v>
      </c>
      <c r="D62" s="99">
        <v>2.0</v>
      </c>
      <c r="E62" s="99">
        <v>3.0</v>
      </c>
      <c r="F62" s="99">
        <v>4.0</v>
      </c>
      <c r="G62" s="99">
        <v>5.0</v>
      </c>
      <c r="H62" s="99">
        <v>6.0</v>
      </c>
      <c r="I62" s="99">
        <v>7.0</v>
      </c>
      <c r="J62" s="99">
        <v>8.0</v>
      </c>
      <c r="K62" s="99">
        <v>9.0</v>
      </c>
      <c r="L62" s="99">
        <v>10.0</v>
      </c>
      <c r="M62" s="99">
        <v>11.0</v>
      </c>
      <c r="N62" s="99">
        <v>12.0</v>
      </c>
    </row>
    <row r="63" ht="15.75" customHeight="1">
      <c r="A63" s="2" t="s">
        <v>105</v>
      </c>
      <c r="C63" s="100">
        <v>-289798.0</v>
      </c>
      <c r="D63" s="100">
        <v>-38769.0</v>
      </c>
      <c r="E63" s="100">
        <v>-3777.959999999999</v>
      </c>
      <c r="F63" s="100">
        <v>20653.079999999987</v>
      </c>
      <c r="G63" s="100">
        <v>55644.119999999995</v>
      </c>
      <c r="H63" s="100">
        <v>90635.15999999997</v>
      </c>
      <c r="I63" s="100">
        <v>102298.83999999997</v>
      </c>
      <c r="J63" s="100">
        <v>102298.83999999997</v>
      </c>
      <c r="K63" s="100">
        <v>102298.83999999997</v>
      </c>
      <c r="L63" s="100">
        <v>102298.83999999997</v>
      </c>
      <c r="M63" s="100">
        <v>102298.83999999997</v>
      </c>
      <c r="N63" s="100">
        <v>102298.83999999997</v>
      </c>
    </row>
    <row r="64" ht="15.75" customHeight="1">
      <c r="B64" s="2" t="s">
        <v>106</v>
      </c>
      <c r="C64" s="100">
        <v>-289798.0</v>
      </c>
      <c r="D64" s="100">
        <v>-328567.0</v>
      </c>
      <c r="E64" s="100">
        <v>-332344.96</v>
      </c>
      <c r="F64" s="100">
        <v>-311691.88</v>
      </c>
      <c r="G64" s="100">
        <v>-256047.76</v>
      </c>
      <c r="H64" s="100">
        <v>-165412.60000000003</v>
      </c>
      <c r="I64" s="100">
        <v>-63113.76000000007</v>
      </c>
      <c r="J64" s="100">
        <v>39185.0799999999</v>
      </c>
      <c r="K64" s="100">
        <v>141483.91999999987</v>
      </c>
      <c r="L64" s="100">
        <v>243782.75999999983</v>
      </c>
      <c r="M64" s="100">
        <v>346081.5999999998</v>
      </c>
      <c r="N64" s="100">
        <v>448380.43999999977</v>
      </c>
    </row>
    <row r="65" ht="15.75" customHeight="1">
      <c r="B65" s="2" t="s">
        <v>107</v>
      </c>
      <c r="C65" s="3">
        <v>-63113.76000000007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</row>
    <row r="66" ht="15.75" customHeight="1">
      <c r="B66" s="2" t="s">
        <v>108</v>
      </c>
      <c r="C66" s="101">
        <v>8.0</v>
      </c>
    </row>
    <row r="67" ht="15.75" customHeight="1">
      <c r="B67" s="2" t="s">
        <v>109</v>
      </c>
      <c r="C67" s="3">
        <v>39185.0799999999</v>
      </c>
    </row>
    <row r="68" ht="15.75" customHeight="1"/>
    <row r="69" ht="15.75" customHeight="1">
      <c r="B69" s="2" t="s">
        <v>110</v>
      </c>
      <c r="C69" s="2">
        <v>4.0</v>
      </c>
    </row>
    <row r="70" ht="15.75" customHeight="1">
      <c r="B70" s="2" t="s">
        <v>111</v>
      </c>
      <c r="C70" s="50">
        <v>20653.079999999987</v>
      </c>
    </row>
    <row r="71" ht="15.75" customHeight="1"/>
    <row r="72" ht="15.75" customHeight="1">
      <c r="B72" s="2" t="s">
        <v>12</v>
      </c>
      <c r="C72" s="3">
        <v>780725.3999999998</v>
      </c>
    </row>
    <row r="73" ht="15.75" customHeight="1">
      <c r="B73" s="2" t="s">
        <v>112</v>
      </c>
      <c r="C73" s="3">
        <v>-332344.96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1:G1"/>
    <mergeCell ref="F2:G2"/>
    <mergeCell ref="F3:G3"/>
    <mergeCell ref="A6:A7"/>
  </mergeCells>
  <conditionalFormatting sqref="C19:N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57"/>
    <col customWidth="1" min="3" max="3" width="12.57"/>
    <col customWidth="1" min="4" max="4" width="14.29"/>
    <col customWidth="1" min="5" max="5" width="26.57"/>
    <col customWidth="1" min="6" max="6" width="14.29"/>
    <col customWidth="1" min="7" max="10" width="13.43"/>
    <col customWidth="1" min="11" max="11" width="12.29"/>
    <col customWidth="1" min="12" max="12" width="12.57"/>
    <col customWidth="1" min="13" max="15" width="11.57"/>
    <col customWidth="1" min="16" max="17" width="12.57"/>
    <col customWidth="1" min="18" max="26" width="8.71"/>
  </cols>
  <sheetData>
    <row r="1">
      <c r="A1" s="120" t="s">
        <v>0</v>
      </c>
      <c r="B1" s="120" t="s">
        <v>1</v>
      </c>
      <c r="C1" s="120" t="s">
        <v>2</v>
      </c>
      <c r="D1" s="120" t="s">
        <v>3</v>
      </c>
    </row>
    <row r="2">
      <c r="A2" s="33" t="s">
        <v>4</v>
      </c>
      <c r="B2" s="3" t="s">
        <v>5</v>
      </c>
      <c r="C2" s="117">
        <v>127.0</v>
      </c>
      <c r="E2" s="120" t="s">
        <v>6</v>
      </c>
      <c r="F2" s="117">
        <v>-130454.36</v>
      </c>
      <c r="H2" s="120" t="s">
        <v>7</v>
      </c>
      <c r="K2" s="120" t="s">
        <v>8</v>
      </c>
    </row>
    <row r="3">
      <c r="B3" s="3"/>
      <c r="E3" s="120" t="s">
        <v>9</v>
      </c>
      <c r="F3" s="120">
        <v>4.0</v>
      </c>
    </row>
    <row r="4">
      <c r="A4" s="33" t="s">
        <v>10</v>
      </c>
      <c r="B4" s="3" t="s">
        <v>11</v>
      </c>
      <c r="C4" s="120">
        <v>3.0</v>
      </c>
      <c r="H4" s="120" t="s">
        <v>12</v>
      </c>
      <c r="I4" s="117">
        <v>275531.4</v>
      </c>
      <c r="K4" s="120" t="s">
        <v>12</v>
      </c>
      <c r="L4" s="117">
        <v>832104.0</v>
      </c>
    </row>
    <row r="5">
      <c r="A5" s="33"/>
      <c r="B5" s="3" t="s">
        <v>13</v>
      </c>
      <c r="C5" s="120">
        <v>0.7</v>
      </c>
      <c r="E5" s="120" t="s">
        <v>14</v>
      </c>
      <c r="F5" s="117">
        <v>5829.279999999999</v>
      </c>
      <c r="I5" s="117"/>
      <c r="L5" s="117"/>
    </row>
    <row r="6">
      <c r="A6" s="33"/>
      <c r="B6" s="3"/>
      <c r="H6" s="120" t="s">
        <v>15</v>
      </c>
      <c r="I6" s="117">
        <v>-130454.36</v>
      </c>
      <c r="K6" s="120" t="s">
        <v>15</v>
      </c>
      <c r="L6" s="117">
        <v>394746.72</v>
      </c>
    </row>
    <row r="7">
      <c r="A7" s="33"/>
      <c r="B7" s="3"/>
      <c r="E7" s="120" t="s">
        <v>16</v>
      </c>
      <c r="F7" s="120">
        <v>9.0</v>
      </c>
      <c r="I7" s="117"/>
      <c r="L7" s="117"/>
    </row>
    <row r="8">
      <c r="A8" s="33" t="s">
        <v>17</v>
      </c>
      <c r="B8" s="3" t="s">
        <v>18</v>
      </c>
      <c r="C8" s="117">
        <v>25.0</v>
      </c>
      <c r="E8" s="120" t="s">
        <v>14</v>
      </c>
      <c r="F8" s="117">
        <v>35737.72</v>
      </c>
      <c r="H8" s="120" t="s">
        <v>19</v>
      </c>
      <c r="I8" s="117">
        <v>145077.04</v>
      </c>
      <c r="K8" s="120" t="s">
        <v>20</v>
      </c>
      <c r="L8" s="117">
        <v>437357.28</v>
      </c>
    </row>
    <row r="9">
      <c r="A9" s="33"/>
      <c r="B9" s="3"/>
      <c r="C9" s="117"/>
    </row>
    <row r="10">
      <c r="A10" s="33" t="s">
        <v>21</v>
      </c>
      <c r="B10" s="102" t="s">
        <v>22</v>
      </c>
      <c r="C10" s="117">
        <v>0.0</v>
      </c>
    </row>
    <row r="11">
      <c r="A11" s="33"/>
      <c r="B11" s="102" t="s">
        <v>23</v>
      </c>
      <c r="C11" s="117">
        <v>65.0</v>
      </c>
    </row>
    <row r="12">
      <c r="A12" s="33"/>
      <c r="B12" s="3" t="s">
        <v>24</v>
      </c>
      <c r="C12" s="117">
        <v>3000.0</v>
      </c>
    </row>
    <row r="13">
      <c r="A13" s="33"/>
      <c r="B13" s="3" t="s">
        <v>25</v>
      </c>
      <c r="C13" s="117">
        <v>27.0</v>
      </c>
    </row>
    <row r="14">
      <c r="A14" s="33"/>
      <c r="B14" s="3" t="s">
        <v>26</v>
      </c>
      <c r="C14" s="117">
        <v>18.0</v>
      </c>
      <c r="E14" s="120" t="s">
        <v>27</v>
      </c>
      <c r="F14" s="120" t="s">
        <v>28</v>
      </c>
      <c r="G14" s="120" t="s">
        <v>29</v>
      </c>
      <c r="H14" s="120" t="s">
        <v>30</v>
      </c>
      <c r="I14" s="120" t="s">
        <v>31</v>
      </c>
      <c r="J14" s="120" t="s">
        <v>32</v>
      </c>
      <c r="K14" s="120" t="s">
        <v>33</v>
      </c>
      <c r="L14" s="120" t="s">
        <v>34</v>
      </c>
      <c r="M14" s="120" t="s">
        <v>35</v>
      </c>
      <c r="N14" s="120" t="s">
        <v>36</v>
      </c>
      <c r="O14" s="120" t="s">
        <v>37</v>
      </c>
      <c r="P14" s="120" t="s">
        <v>38</v>
      </c>
      <c r="Q14" s="120" t="s">
        <v>39</v>
      </c>
    </row>
    <row r="15">
      <c r="A15" s="33"/>
      <c r="B15" s="3" t="s">
        <v>40</v>
      </c>
      <c r="C15" s="117">
        <v>18.0</v>
      </c>
      <c r="E15" s="120" t="s">
        <v>12</v>
      </c>
      <c r="F15" s="117">
        <v>0.0</v>
      </c>
      <c r="G15" s="117">
        <v>0.0</v>
      </c>
      <c r="H15" s="117">
        <v>16001.999999999998</v>
      </c>
      <c r="I15" s="117">
        <v>32003.999999999996</v>
      </c>
      <c r="J15" s="117">
        <v>48005.99999999999</v>
      </c>
      <c r="K15" s="117">
        <v>64007.99999999999</v>
      </c>
      <c r="L15" s="117">
        <v>69342.0</v>
      </c>
      <c r="M15" s="117">
        <v>69342.0</v>
      </c>
      <c r="N15" s="117">
        <v>69342.0</v>
      </c>
      <c r="O15" s="117">
        <v>69342.0</v>
      </c>
      <c r="P15" s="117">
        <v>69342.0</v>
      </c>
      <c r="Q15" s="117">
        <v>69342.0</v>
      </c>
    </row>
    <row r="16">
      <c r="A16" s="33"/>
      <c r="B16" s="3" t="s">
        <v>41</v>
      </c>
      <c r="C16" s="117">
        <v>0.03</v>
      </c>
      <c r="E16" s="120" t="s">
        <v>15</v>
      </c>
      <c r="F16" s="117">
        <v>110668.0</v>
      </c>
      <c r="G16" s="117">
        <v>16454.0</v>
      </c>
      <c r="H16" s="117">
        <v>19334.36</v>
      </c>
      <c r="I16" s="117">
        <v>26174.719999999998</v>
      </c>
      <c r="J16" s="117">
        <v>29055.079999999998</v>
      </c>
      <c r="K16" s="117">
        <v>31935.439999999995</v>
      </c>
      <c r="L16" s="117">
        <v>32895.56</v>
      </c>
      <c r="M16" s="117">
        <v>32895.56</v>
      </c>
      <c r="N16" s="117">
        <v>32895.56</v>
      </c>
      <c r="O16" s="117">
        <v>32895.56</v>
      </c>
      <c r="P16" s="117">
        <v>32895.56</v>
      </c>
      <c r="Q16" s="117">
        <v>32895.56</v>
      </c>
    </row>
    <row r="17">
      <c r="A17" s="33"/>
      <c r="B17" s="3" t="s">
        <v>42</v>
      </c>
      <c r="C17" s="117">
        <v>0.15</v>
      </c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</row>
    <row r="18">
      <c r="A18" s="33" t="s">
        <v>43</v>
      </c>
      <c r="B18" s="3" t="s">
        <v>44</v>
      </c>
      <c r="C18" s="117">
        <v>650.0</v>
      </c>
      <c r="E18" s="120" t="s">
        <v>45</v>
      </c>
      <c r="F18" s="117">
        <v>-110668.0</v>
      </c>
      <c r="G18" s="117">
        <v>-16454.0</v>
      </c>
      <c r="H18" s="117">
        <v>-3332.3600000000024</v>
      </c>
      <c r="I18" s="117">
        <v>5829.279999999999</v>
      </c>
      <c r="J18" s="117">
        <v>18950.919999999995</v>
      </c>
      <c r="K18" s="117">
        <v>32072.559999999998</v>
      </c>
      <c r="L18" s="117">
        <v>36446.44</v>
      </c>
      <c r="M18" s="117">
        <v>36446.44</v>
      </c>
      <c r="N18" s="117">
        <v>36446.44</v>
      </c>
      <c r="O18" s="117">
        <v>36446.44</v>
      </c>
      <c r="P18" s="117">
        <v>36446.44</v>
      </c>
      <c r="Q18" s="117">
        <v>36446.44</v>
      </c>
    </row>
    <row r="19">
      <c r="A19" s="33"/>
      <c r="B19" s="3" t="s">
        <v>46</v>
      </c>
      <c r="C19" s="117">
        <v>150.0</v>
      </c>
      <c r="E19" s="120" t="s">
        <v>47</v>
      </c>
      <c r="F19" s="117">
        <v>-110668.0</v>
      </c>
      <c r="G19" s="117">
        <v>-127122.0</v>
      </c>
      <c r="H19" s="117">
        <v>-130454.36</v>
      </c>
      <c r="I19" s="117">
        <v>-124625.08</v>
      </c>
      <c r="J19" s="117">
        <v>-105674.16</v>
      </c>
      <c r="K19" s="117">
        <v>-73601.6</v>
      </c>
      <c r="L19" s="117">
        <v>-37155.16</v>
      </c>
      <c r="M19" s="117">
        <v>-708.7200000000012</v>
      </c>
      <c r="N19" s="117">
        <v>35737.72</v>
      </c>
      <c r="O19" s="117">
        <v>72184.16</v>
      </c>
      <c r="P19" s="117">
        <v>108630.6</v>
      </c>
      <c r="Q19" s="117">
        <v>145077.04</v>
      </c>
    </row>
    <row r="20">
      <c r="A20" s="33"/>
      <c r="B20" s="3" t="s">
        <v>48</v>
      </c>
      <c r="C20" s="117">
        <v>10.0</v>
      </c>
    </row>
    <row r="21" ht="15.75" customHeight="1">
      <c r="A21" s="33"/>
      <c r="B21" s="3" t="s">
        <v>49</v>
      </c>
      <c r="C21" s="117">
        <v>8.0</v>
      </c>
    </row>
    <row r="22" ht="15.75" customHeight="1">
      <c r="A22" s="33"/>
      <c r="B22" s="3" t="s">
        <v>50</v>
      </c>
      <c r="C22" s="117">
        <v>15.0</v>
      </c>
      <c r="E22" s="120" t="s">
        <v>51</v>
      </c>
      <c r="F22" s="117">
        <v>145077.04</v>
      </c>
    </row>
    <row r="23" ht="15.75" customHeight="1">
      <c r="B23" s="120" t="s">
        <v>52</v>
      </c>
      <c r="C23" s="117">
        <v>400.0</v>
      </c>
      <c r="E23" s="120" t="s">
        <v>53</v>
      </c>
      <c r="F23" s="117">
        <v>437357.28</v>
      </c>
    </row>
    <row r="24" ht="15.75" customHeight="1">
      <c r="B24" s="120" t="s">
        <v>54</v>
      </c>
      <c r="C24" s="117">
        <v>60.0</v>
      </c>
      <c r="E24" s="120" t="s">
        <v>55</v>
      </c>
      <c r="F24" s="117">
        <v>437357.28</v>
      </c>
    </row>
    <row r="25" ht="15.75" customHeight="1">
      <c r="B25" s="120" t="s">
        <v>56</v>
      </c>
      <c r="C25" s="117">
        <v>45.0</v>
      </c>
    </row>
    <row r="26" ht="15.75" customHeight="1">
      <c r="B26" s="120" t="s">
        <v>57</v>
      </c>
      <c r="C26" s="117">
        <v>25.0</v>
      </c>
    </row>
    <row r="27" ht="15.75" customHeight="1">
      <c r="B27" s="120" t="s">
        <v>58</v>
      </c>
      <c r="C27" s="117">
        <v>30000.0</v>
      </c>
    </row>
    <row r="28" ht="15.75" customHeight="1">
      <c r="B28" s="120" t="s">
        <v>59</v>
      </c>
      <c r="C28" s="117">
        <v>125.0</v>
      </c>
    </row>
    <row r="29" ht="15.75" customHeight="1">
      <c r="D29" s="120" t="s">
        <v>60</v>
      </c>
    </row>
    <row r="30" ht="15.75" customHeight="1">
      <c r="C30" s="120" t="s">
        <v>61</v>
      </c>
      <c r="D30" s="120" t="s">
        <v>62</v>
      </c>
      <c r="E30" s="120" t="s">
        <v>63</v>
      </c>
      <c r="F30" s="120" t="s">
        <v>64</v>
      </c>
    </row>
    <row r="31" ht="15.75" customHeight="1">
      <c r="A31" s="120" t="s">
        <v>65</v>
      </c>
      <c r="B31" s="120" t="s">
        <v>66</v>
      </c>
      <c r="C31" s="117">
        <v>12500.0</v>
      </c>
      <c r="D31" s="117">
        <v>150000.0</v>
      </c>
      <c r="E31" s="117">
        <v>225000.0</v>
      </c>
      <c r="F31" s="117">
        <v>300000.0</v>
      </c>
    </row>
    <row r="32" ht="15.75" customHeight="1">
      <c r="B32" s="120" t="s">
        <v>67</v>
      </c>
      <c r="C32" s="117">
        <v>12500.0</v>
      </c>
      <c r="D32" s="117">
        <v>150000.0</v>
      </c>
      <c r="E32" s="117">
        <v>225000.0</v>
      </c>
      <c r="F32" s="117">
        <v>300000.0</v>
      </c>
    </row>
    <row r="33" ht="15.75" customHeight="1">
      <c r="B33" s="120" t="s">
        <v>68</v>
      </c>
      <c r="C33" s="117">
        <v>9166.666666666666</v>
      </c>
      <c r="D33" s="117">
        <v>110000.0</v>
      </c>
      <c r="E33" s="117">
        <v>165000.0</v>
      </c>
      <c r="F33" s="117">
        <v>220000.0</v>
      </c>
    </row>
    <row r="34" ht="15.75" customHeight="1">
      <c r="B34" s="120" t="s">
        <v>69</v>
      </c>
      <c r="C34" s="117">
        <v>4166.666666666667</v>
      </c>
      <c r="D34" s="117">
        <v>50000.0</v>
      </c>
      <c r="E34" s="117">
        <v>75000.0</v>
      </c>
      <c r="F34" s="117">
        <v>100000.0</v>
      </c>
    </row>
    <row r="35" ht="15.75" customHeight="1">
      <c r="B35" s="120" t="s">
        <v>70</v>
      </c>
      <c r="C35" s="117">
        <v>3333.3333333333335</v>
      </c>
      <c r="D35" s="117">
        <v>40000.0</v>
      </c>
      <c r="E35" s="117">
        <v>60000.0</v>
      </c>
      <c r="F35" s="117">
        <v>80000.0</v>
      </c>
    </row>
    <row r="36" ht="15.75" customHeight="1">
      <c r="B36" s="120" t="s">
        <v>71</v>
      </c>
      <c r="C36" s="117">
        <v>2500.0</v>
      </c>
      <c r="D36" s="117">
        <v>30000.0</v>
      </c>
      <c r="E36" s="117">
        <v>45000.0</v>
      </c>
      <c r="F36" s="117">
        <v>60000.0</v>
      </c>
    </row>
    <row r="37" ht="15.75" customHeight="1">
      <c r="B37" s="120" t="s">
        <v>72</v>
      </c>
      <c r="C37" s="117">
        <v>1666.6666666666667</v>
      </c>
      <c r="D37" s="117">
        <v>20000.0</v>
      </c>
      <c r="E37" s="117">
        <v>30000.0</v>
      </c>
      <c r="F37" s="117">
        <v>40000.0</v>
      </c>
    </row>
    <row r="38" ht="15.75" customHeight="1">
      <c r="C38" s="117"/>
      <c r="D38" s="117"/>
      <c r="E38" s="117"/>
      <c r="F38" s="117"/>
    </row>
    <row r="39" ht="15.75" customHeight="1">
      <c r="A39" s="120" t="s">
        <v>73</v>
      </c>
      <c r="B39" s="120" t="s">
        <v>74</v>
      </c>
      <c r="C39" s="117">
        <v>6250.0</v>
      </c>
      <c r="D39" s="117">
        <v>75000.0</v>
      </c>
      <c r="E39" s="117">
        <v>112500.0</v>
      </c>
      <c r="F39" s="117">
        <v>150000.0</v>
      </c>
    </row>
    <row r="40" ht="15.75" customHeight="1">
      <c r="B40" s="120" t="s">
        <v>75</v>
      </c>
      <c r="C40" s="117">
        <v>6250.0</v>
      </c>
      <c r="D40" s="117">
        <v>75000.0</v>
      </c>
      <c r="E40" s="117">
        <v>112500.0</v>
      </c>
      <c r="F40" s="117">
        <v>150000.0</v>
      </c>
    </row>
    <row r="41" ht="15.75" customHeight="1">
      <c r="B41" s="120" t="s">
        <v>76</v>
      </c>
      <c r="C41" s="117">
        <v>5000.0</v>
      </c>
      <c r="D41" s="117">
        <v>60000.0</v>
      </c>
      <c r="E41" s="117">
        <v>90000.0</v>
      </c>
      <c r="F41" s="117">
        <v>120000.0</v>
      </c>
    </row>
    <row r="42" ht="15.75" customHeight="1">
      <c r="B42" s="120" t="s">
        <v>76</v>
      </c>
      <c r="C42" s="117">
        <v>5000.0</v>
      </c>
      <c r="D42" s="117">
        <v>60000.0</v>
      </c>
      <c r="E42" s="117">
        <v>90000.0</v>
      </c>
      <c r="F42" s="117">
        <v>120000.0</v>
      </c>
    </row>
    <row r="43" ht="15.75" customHeight="1">
      <c r="B43" s="120" t="s">
        <v>76</v>
      </c>
      <c r="C43" s="117">
        <v>5000.0</v>
      </c>
      <c r="D43" s="117">
        <v>60000.0</v>
      </c>
      <c r="E43" s="117">
        <v>90000.0</v>
      </c>
      <c r="F43" s="117">
        <v>120000.0</v>
      </c>
    </row>
    <row r="44" ht="15.75" customHeight="1">
      <c r="B44" s="120" t="s">
        <v>76</v>
      </c>
      <c r="C44" s="117">
        <v>5000.0</v>
      </c>
      <c r="D44" s="117">
        <v>60000.0</v>
      </c>
      <c r="E44" s="117">
        <v>90000.0</v>
      </c>
      <c r="F44" s="117">
        <v>120000.0</v>
      </c>
    </row>
    <row r="45" ht="15.75" customHeight="1">
      <c r="B45" s="120" t="s">
        <v>76</v>
      </c>
      <c r="C45" s="117">
        <v>5000.0</v>
      </c>
      <c r="D45" s="117">
        <v>60000.0</v>
      </c>
      <c r="E45" s="117">
        <v>90000.0</v>
      </c>
      <c r="F45" s="117">
        <v>120000.0</v>
      </c>
    </row>
    <row r="46" ht="15.75" customHeight="1">
      <c r="C46" s="117"/>
      <c r="D46" s="117"/>
      <c r="E46" s="117"/>
      <c r="F46" s="117"/>
    </row>
    <row r="47" ht="15.75" customHeight="1">
      <c r="A47" s="120" t="s">
        <v>77</v>
      </c>
      <c r="B47" s="120" t="s">
        <v>78</v>
      </c>
      <c r="C47" s="117">
        <v>7500.0</v>
      </c>
      <c r="D47" s="117"/>
      <c r="E47" s="117">
        <v>135000.0</v>
      </c>
      <c r="F47" s="117">
        <v>180000.0</v>
      </c>
    </row>
    <row r="48" ht="15.75" customHeight="1">
      <c r="C48" s="117"/>
      <c r="D48" s="117"/>
      <c r="E48" s="117"/>
      <c r="F48" s="117"/>
    </row>
    <row r="49" ht="15.75" customHeight="1">
      <c r="A49" s="120" t="s">
        <v>79</v>
      </c>
      <c r="B49" s="120" t="s">
        <v>80</v>
      </c>
      <c r="C49" s="117">
        <v>110000.0</v>
      </c>
      <c r="D49" s="117">
        <v>110000.0</v>
      </c>
      <c r="E49" s="117">
        <v>110000.0</v>
      </c>
      <c r="F49" s="117">
        <v>110000.0</v>
      </c>
    </row>
    <row r="50" ht="15.75" customHeight="1">
      <c r="C50" s="117"/>
      <c r="D50" s="117"/>
      <c r="E50" s="117"/>
      <c r="F50" s="117"/>
    </row>
    <row r="51" ht="15.75" customHeight="1">
      <c r="A51" s="120" t="s">
        <v>81</v>
      </c>
      <c r="B51" s="120" t="s">
        <v>82</v>
      </c>
      <c r="C51" s="117">
        <v>12500.0</v>
      </c>
      <c r="D51" s="117">
        <v>150000.0</v>
      </c>
      <c r="E51" s="117">
        <v>225000.0</v>
      </c>
      <c r="F51" s="117">
        <v>300000.0</v>
      </c>
    </row>
    <row r="52" ht="15.75" customHeight="1">
      <c r="B52" s="120" t="s">
        <v>83</v>
      </c>
      <c r="C52" s="117">
        <v>5000.0</v>
      </c>
      <c r="D52" s="117">
        <v>60000.0</v>
      </c>
      <c r="E52" s="117">
        <v>90000.0</v>
      </c>
      <c r="F52" s="117">
        <v>120000.0</v>
      </c>
    </row>
    <row r="53" ht="15.75" customHeight="1">
      <c r="C53" s="117"/>
      <c r="D53" s="117"/>
      <c r="E53" s="117"/>
      <c r="F53" s="117"/>
    </row>
    <row r="54" ht="15.75" customHeight="1">
      <c r="A54" s="120" t="s">
        <v>47</v>
      </c>
      <c r="C54" s="117">
        <v>218333.3333333333</v>
      </c>
      <c r="D54" s="117">
        <v>1320000.0</v>
      </c>
      <c r="E54" s="117">
        <v>2060000.0</v>
      </c>
      <c r="F54" s="117">
        <v>2710000.0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6.57"/>
    <col customWidth="1" min="3" max="3" width="15.14"/>
    <col customWidth="1" min="4" max="4" width="14.29"/>
    <col customWidth="1" min="5" max="5" width="15.71"/>
    <col customWidth="1" min="6" max="6" width="14.29"/>
    <col customWidth="1" min="7" max="8" width="13.43"/>
    <col customWidth="1" min="9" max="10" width="15.0"/>
    <col customWidth="1" min="11" max="16" width="14.29"/>
    <col customWidth="1" min="17" max="18" width="12.57"/>
    <col customWidth="1" min="19" max="21" width="11.57"/>
    <col customWidth="1" min="22" max="26" width="8.71"/>
  </cols>
  <sheetData>
    <row r="1" ht="19.5" customHeight="1">
      <c r="A1" s="121" t="s">
        <v>93</v>
      </c>
      <c r="B1" s="3"/>
    </row>
    <row r="2">
      <c r="A2" s="33" t="s">
        <v>188</v>
      </c>
      <c r="B2" s="3"/>
      <c r="C2" s="117">
        <v>4500.0</v>
      </c>
      <c r="F2" s="117"/>
      <c r="I2" s="117"/>
      <c r="L2" s="117"/>
    </row>
    <row r="3">
      <c r="A3" s="33" t="s">
        <v>21</v>
      </c>
      <c r="B3" s="102" t="s">
        <v>23</v>
      </c>
      <c r="C3" s="117">
        <v>65.0</v>
      </c>
    </row>
    <row r="4">
      <c r="A4" s="33"/>
      <c r="B4" s="3" t="s">
        <v>25</v>
      </c>
      <c r="C4" s="117">
        <v>27.0</v>
      </c>
    </row>
    <row r="5">
      <c r="A5" s="33"/>
      <c r="B5" s="3" t="s">
        <v>26</v>
      </c>
      <c r="C5" s="117">
        <v>18.0</v>
      </c>
    </row>
    <row r="6">
      <c r="A6" s="33"/>
      <c r="B6" s="3" t="s">
        <v>40</v>
      </c>
      <c r="C6" s="117">
        <v>18.0</v>
      </c>
    </row>
    <row r="7">
      <c r="A7" s="33" t="s">
        <v>43</v>
      </c>
      <c r="B7" s="3" t="s">
        <v>44</v>
      </c>
      <c r="C7" s="117">
        <v>650.0</v>
      </c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</row>
    <row r="8">
      <c r="A8" s="33"/>
      <c r="B8" s="3" t="s">
        <v>46</v>
      </c>
      <c r="C8" s="117">
        <v>150.0</v>
      </c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</row>
    <row r="9">
      <c r="A9" s="33"/>
      <c r="B9" s="3" t="s">
        <v>48</v>
      </c>
      <c r="C9" s="117">
        <v>10.0</v>
      </c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</row>
    <row r="10">
      <c r="A10" s="33"/>
      <c r="B10" s="3" t="s">
        <v>49</v>
      </c>
      <c r="C10" s="117">
        <v>8.0</v>
      </c>
    </row>
    <row r="11">
      <c r="A11" s="33"/>
      <c r="B11" s="3" t="s">
        <v>50</v>
      </c>
      <c r="C11" s="117">
        <v>15.0</v>
      </c>
    </row>
    <row r="12">
      <c r="B12" s="120" t="s">
        <v>52</v>
      </c>
      <c r="C12" s="117">
        <v>400.0</v>
      </c>
      <c r="F12" s="117"/>
    </row>
    <row r="13">
      <c r="B13" s="120" t="s">
        <v>54</v>
      </c>
      <c r="C13" s="117">
        <v>60.0</v>
      </c>
      <c r="F13" s="117"/>
    </row>
    <row r="14">
      <c r="B14" s="120" t="s">
        <v>56</v>
      </c>
      <c r="C14" s="117">
        <v>45.0</v>
      </c>
      <c r="F14" s="117"/>
    </row>
    <row r="15">
      <c r="B15" s="120" t="s">
        <v>57</v>
      </c>
      <c r="C15" s="117">
        <v>25.0</v>
      </c>
    </row>
    <row r="16">
      <c r="B16" s="120" t="s">
        <v>59</v>
      </c>
      <c r="C16" s="117">
        <v>125.0</v>
      </c>
    </row>
    <row r="17">
      <c r="B17" s="120" t="s">
        <v>189</v>
      </c>
      <c r="C17" s="117">
        <f>SUM(C2:C16)</f>
        <v>6116</v>
      </c>
    </row>
    <row r="18">
      <c r="B18" s="120" t="s">
        <v>190</v>
      </c>
      <c r="C18" s="117">
        <f>SUM(C2:C6)</f>
        <v>4628</v>
      </c>
    </row>
    <row r="19" ht="15.75" customHeight="1">
      <c r="C19" s="117"/>
    </row>
    <row r="20" ht="15.75" customHeight="1">
      <c r="C20" s="117"/>
    </row>
    <row r="21" ht="15.75" customHeight="1">
      <c r="A21" s="120" t="s">
        <v>191</v>
      </c>
      <c r="C21" s="117">
        <f>C17+(C18*7)</f>
        <v>38512</v>
      </c>
      <c r="D21" s="117">
        <f>C21*2</f>
        <v>77024</v>
      </c>
      <c r="E21" s="117"/>
      <c r="F21" s="117"/>
    </row>
    <row r="22" ht="15.75" customHeight="1">
      <c r="C22" s="117"/>
      <c r="D22" s="117"/>
      <c r="E22" s="117"/>
      <c r="F22" s="117"/>
    </row>
    <row r="23" ht="15.75" customHeight="1">
      <c r="C23" s="117" t="s">
        <v>192</v>
      </c>
      <c r="D23" s="122">
        <v>250.0</v>
      </c>
      <c r="E23" s="122">
        <v>500.0</v>
      </c>
      <c r="F23" s="117"/>
    </row>
    <row r="24" ht="15.75" customHeight="1">
      <c r="A24" s="119" t="s">
        <v>193</v>
      </c>
      <c r="B24" s="123">
        <v>7.0</v>
      </c>
      <c r="C24" s="123">
        <f>B24*7</f>
        <v>49</v>
      </c>
      <c r="D24" s="117">
        <f>C24*$D$23+$C$21</f>
        <v>50762</v>
      </c>
      <c r="E24" s="117">
        <f>$E$23*C24+$D$21</f>
        <v>101524</v>
      </c>
      <c r="F24" s="117"/>
    </row>
    <row r="25" ht="15.75" customHeight="1">
      <c r="A25" s="33" t="s">
        <v>194</v>
      </c>
      <c r="B25" s="123">
        <f>'P&amp;L w Investment'!J31</f>
        <v>70</v>
      </c>
      <c r="C25" s="123">
        <v>115.0</v>
      </c>
      <c r="D25" s="117">
        <f t="shared" ref="D25:D26" si="1">C25*$D$23</f>
        <v>28750</v>
      </c>
      <c r="E25" s="117">
        <f t="shared" ref="E25:E27" si="2">$E$23*C25</f>
        <v>57500</v>
      </c>
      <c r="F25" s="117"/>
    </row>
    <row r="26" ht="15.75" customHeight="1">
      <c r="A26" s="33" t="s">
        <v>195</v>
      </c>
      <c r="B26" s="123">
        <v>230.0</v>
      </c>
      <c r="C26" s="123">
        <v>230.0</v>
      </c>
      <c r="D26" s="117">
        <f t="shared" si="1"/>
        <v>57500</v>
      </c>
      <c r="E26" s="117">
        <f t="shared" si="2"/>
        <v>115000</v>
      </c>
      <c r="F26" s="117"/>
    </row>
    <row r="27" ht="15.75" customHeight="1">
      <c r="C27" s="123"/>
      <c r="D27" s="117"/>
      <c r="E27" s="117">
        <f t="shared" si="2"/>
        <v>0</v>
      </c>
      <c r="F27" s="117"/>
    </row>
    <row r="28" ht="15.75" customHeight="1">
      <c r="A28" s="33" t="s">
        <v>196</v>
      </c>
      <c r="B28" s="123">
        <v>25.0</v>
      </c>
      <c r="C28" s="123">
        <f t="shared" ref="C28:C30" si="3">B28*7</f>
        <v>175</v>
      </c>
      <c r="D28" s="117">
        <f t="shared" ref="D28:D30" si="4">C28*$D$23+$C$21</f>
        <v>82262</v>
      </c>
      <c r="E28" s="117">
        <f t="shared" ref="E28:E30" si="5">$E$23*C28+$D$21</f>
        <v>164524</v>
      </c>
      <c r="F28" s="117"/>
    </row>
    <row r="29" ht="15.75" customHeight="1">
      <c r="A29" s="33" t="s">
        <v>197</v>
      </c>
      <c r="B29" s="123">
        <v>35.0</v>
      </c>
      <c r="C29" s="123">
        <f t="shared" si="3"/>
        <v>245</v>
      </c>
      <c r="D29" s="117">
        <f t="shared" si="4"/>
        <v>99762</v>
      </c>
      <c r="E29" s="117">
        <f t="shared" si="5"/>
        <v>199524</v>
      </c>
      <c r="F29" s="117"/>
    </row>
    <row r="30" ht="15.75" customHeight="1">
      <c r="A30" s="33" t="s">
        <v>198</v>
      </c>
      <c r="B30" s="123">
        <v>45.0</v>
      </c>
      <c r="C30" s="123">
        <f t="shared" si="3"/>
        <v>315</v>
      </c>
      <c r="D30" s="117">
        <f t="shared" si="4"/>
        <v>117262</v>
      </c>
      <c r="E30" s="117">
        <f t="shared" si="5"/>
        <v>234524</v>
      </c>
      <c r="F30" s="117"/>
    </row>
    <row r="31" ht="15.75" customHeight="1">
      <c r="C31" s="117"/>
      <c r="D31" s="117"/>
      <c r="E31" s="117"/>
      <c r="F31" s="117"/>
    </row>
    <row r="32" ht="15.75" customHeight="1">
      <c r="A32" s="120" t="s">
        <v>199</v>
      </c>
      <c r="B32" s="123">
        <v>80.0</v>
      </c>
      <c r="C32" s="117">
        <f t="shared" ref="C32:C33" si="6">B32*7</f>
        <v>560</v>
      </c>
      <c r="D32" s="117">
        <f>C32*D23</f>
        <v>140000</v>
      </c>
      <c r="E32" s="117"/>
      <c r="F32" s="117"/>
    </row>
    <row r="33" ht="15.75" customHeight="1">
      <c r="A33" s="120" t="s">
        <v>10</v>
      </c>
      <c r="B33" s="122">
        <f>'P&amp;L w Investment'!B35</f>
        <v>10</v>
      </c>
      <c r="C33" s="117">
        <f t="shared" si="6"/>
        <v>70</v>
      </c>
      <c r="D33" s="117"/>
      <c r="E33" s="117"/>
      <c r="F33" s="117"/>
    </row>
    <row r="34" ht="15.75" customHeight="1">
      <c r="A34" s="124"/>
      <c r="B34" s="124" t="s">
        <v>200</v>
      </c>
      <c r="C34" s="125" t="s">
        <v>201</v>
      </c>
      <c r="D34" s="125" t="s">
        <v>202</v>
      </c>
      <c r="E34" s="125" t="s">
        <v>203</v>
      </c>
      <c r="F34" s="125" t="s">
        <v>204</v>
      </c>
      <c r="G34" s="125" t="s">
        <v>205</v>
      </c>
      <c r="H34" s="125" t="s">
        <v>206</v>
      </c>
      <c r="I34" s="124"/>
      <c r="J34" s="125" t="s">
        <v>207</v>
      </c>
      <c r="K34" s="125" t="s">
        <v>208</v>
      </c>
      <c r="L34" s="125" t="s">
        <v>209</v>
      </c>
      <c r="M34" s="125" t="s">
        <v>210</v>
      </c>
      <c r="N34" s="125" t="s">
        <v>211</v>
      </c>
      <c r="O34" s="124" t="s">
        <v>212</v>
      </c>
      <c r="P34" s="124"/>
      <c r="Q34" s="125" t="s">
        <v>201</v>
      </c>
      <c r="R34" s="124"/>
      <c r="S34" s="124"/>
      <c r="T34" s="124"/>
      <c r="U34" s="124"/>
      <c r="V34" s="126"/>
      <c r="W34" s="126"/>
      <c r="X34" s="126"/>
      <c r="Y34" s="126"/>
      <c r="Z34" s="126"/>
    </row>
    <row r="35" ht="15.75" customHeight="1">
      <c r="A35" s="127" t="s">
        <v>213</v>
      </c>
      <c r="B35" s="128">
        <v>0.0</v>
      </c>
      <c r="C35" s="128">
        <f>60*B33</f>
        <v>600</v>
      </c>
      <c r="D35" s="128">
        <f>120*B33</f>
        <v>1200</v>
      </c>
      <c r="E35" s="128">
        <f>180*B33</f>
        <v>1800</v>
      </c>
      <c r="F35" s="128">
        <f>240*B33</f>
        <v>2400</v>
      </c>
      <c r="G35" s="128">
        <f t="shared" ref="G35:H35" si="7">260*$B$33</f>
        <v>2600</v>
      </c>
      <c r="H35" s="128">
        <f t="shared" si="7"/>
        <v>2600</v>
      </c>
      <c r="I35" s="129" t="s">
        <v>214</v>
      </c>
      <c r="J35" s="128">
        <f t="shared" ref="J35:O35" si="8">260*$B$33</f>
        <v>2600</v>
      </c>
      <c r="K35" s="128">
        <f t="shared" si="8"/>
        <v>2600</v>
      </c>
      <c r="L35" s="128">
        <f t="shared" si="8"/>
        <v>2600</v>
      </c>
      <c r="M35" s="128">
        <f t="shared" si="8"/>
        <v>2600</v>
      </c>
      <c r="N35" s="128">
        <f t="shared" si="8"/>
        <v>2600</v>
      </c>
      <c r="O35" s="128">
        <f t="shared" si="8"/>
        <v>2600</v>
      </c>
      <c r="P35" s="129"/>
      <c r="Q35" s="129">
        <v>260.0</v>
      </c>
      <c r="R35" s="129">
        <v>260.0</v>
      </c>
      <c r="S35" s="129">
        <v>260.0</v>
      </c>
      <c r="T35" s="129">
        <v>260.0</v>
      </c>
      <c r="U35" s="129">
        <v>260.0</v>
      </c>
    </row>
    <row r="36" ht="15.75" customHeight="1">
      <c r="A36" s="130" t="s">
        <v>12</v>
      </c>
      <c r="B36" s="131"/>
      <c r="C36" s="132"/>
      <c r="D36" s="132"/>
      <c r="E36" s="132">
        <f t="shared" ref="E36:H36" si="9">C35*80</f>
        <v>48000</v>
      </c>
      <c r="F36" s="132">
        <f t="shared" si="9"/>
        <v>96000</v>
      </c>
      <c r="G36" s="132">
        <f t="shared" si="9"/>
        <v>144000</v>
      </c>
      <c r="H36" s="132">
        <f t="shared" si="9"/>
        <v>192000</v>
      </c>
      <c r="I36" s="132">
        <f>SUM(E36:H36)</f>
        <v>480000</v>
      </c>
      <c r="J36" s="132">
        <f t="shared" ref="J36:K36" si="10">G35*80</f>
        <v>208000</v>
      </c>
      <c r="K36" s="132">
        <f t="shared" si="10"/>
        <v>208000</v>
      </c>
      <c r="L36" s="132">
        <f t="shared" ref="L36:O36" si="11">J35*80</f>
        <v>208000</v>
      </c>
      <c r="M36" s="132">
        <f t="shared" si="11"/>
        <v>208000</v>
      </c>
      <c r="N36" s="132">
        <f t="shared" si="11"/>
        <v>208000</v>
      </c>
      <c r="O36" s="132">
        <f t="shared" si="11"/>
        <v>208000</v>
      </c>
      <c r="P36" s="132">
        <f t="shared" ref="P36:P37" si="15">SUM(I36:O36)</f>
        <v>1728000</v>
      </c>
      <c r="Q36" s="132">
        <f t="shared" ref="Q36:U36" si="12">Q35*80</f>
        <v>20800</v>
      </c>
      <c r="R36" s="132">
        <f t="shared" si="12"/>
        <v>20800</v>
      </c>
      <c r="S36" s="132">
        <f t="shared" si="12"/>
        <v>20800</v>
      </c>
      <c r="T36" s="132">
        <f t="shared" si="12"/>
        <v>20800</v>
      </c>
      <c r="U36" s="132">
        <f t="shared" si="12"/>
        <v>20800</v>
      </c>
    </row>
    <row r="37" ht="15.75" customHeight="1">
      <c r="A37" s="133" t="s">
        <v>215</v>
      </c>
      <c r="B37" s="134"/>
      <c r="C37" s="135">
        <f t="shared" ref="C37:H37" si="13">$B$24*C35</f>
        <v>4200</v>
      </c>
      <c r="D37" s="135">
        <f t="shared" si="13"/>
        <v>8400</v>
      </c>
      <c r="E37" s="135">
        <f t="shared" si="13"/>
        <v>12600</v>
      </c>
      <c r="F37" s="135">
        <f t="shared" si="13"/>
        <v>16800</v>
      </c>
      <c r="G37" s="135">
        <f t="shared" si="13"/>
        <v>18200</v>
      </c>
      <c r="H37" s="135">
        <f t="shared" si="13"/>
        <v>18200</v>
      </c>
      <c r="I37" s="135">
        <f>SUM(C37:H37)</f>
        <v>78400</v>
      </c>
      <c r="J37" s="135">
        <f t="shared" ref="J37:O37" si="14">$B$24*J35</f>
        <v>18200</v>
      </c>
      <c r="K37" s="135">
        <f t="shared" si="14"/>
        <v>18200</v>
      </c>
      <c r="L37" s="135">
        <f t="shared" si="14"/>
        <v>18200</v>
      </c>
      <c r="M37" s="135">
        <f t="shared" si="14"/>
        <v>18200</v>
      </c>
      <c r="N37" s="135">
        <f t="shared" si="14"/>
        <v>18200</v>
      </c>
      <c r="O37" s="135">
        <f t="shared" si="14"/>
        <v>18200</v>
      </c>
      <c r="P37" s="135">
        <f t="shared" si="15"/>
        <v>187600</v>
      </c>
      <c r="Q37" s="135">
        <f t="shared" ref="Q37:U37" si="16">$B$24*Q35</f>
        <v>1820</v>
      </c>
      <c r="R37" s="135">
        <f t="shared" si="16"/>
        <v>1820</v>
      </c>
      <c r="S37" s="135">
        <f t="shared" si="16"/>
        <v>1820</v>
      </c>
      <c r="T37" s="135">
        <f t="shared" si="16"/>
        <v>1820</v>
      </c>
      <c r="U37" s="135">
        <f t="shared" si="16"/>
        <v>1820</v>
      </c>
    </row>
    <row r="38" ht="15.75" customHeight="1">
      <c r="A38" s="127" t="s">
        <v>216</v>
      </c>
      <c r="B38" s="129"/>
      <c r="C38" s="136"/>
      <c r="D38" s="136"/>
      <c r="E38" s="136"/>
      <c r="F38" s="136"/>
      <c r="G38" s="129"/>
      <c r="H38" s="129"/>
      <c r="I38" s="137">
        <f>H35*B25</f>
        <v>182000</v>
      </c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</row>
    <row r="39" ht="15.75" customHeight="1">
      <c r="A39" s="127" t="s">
        <v>217</v>
      </c>
      <c r="B39" s="129"/>
      <c r="C39" s="136"/>
      <c r="D39" s="136"/>
      <c r="E39" s="136"/>
      <c r="F39" s="136"/>
      <c r="G39" s="129"/>
      <c r="H39" s="129"/>
      <c r="I39" s="136">
        <f>C21*B33</f>
        <v>385120</v>
      </c>
      <c r="J39" s="128">
        <f t="shared" ref="J39:O39" si="17">4500*$B$33</f>
        <v>45000</v>
      </c>
      <c r="K39" s="128">
        <f t="shared" si="17"/>
        <v>45000</v>
      </c>
      <c r="L39" s="128">
        <f t="shared" si="17"/>
        <v>45000</v>
      </c>
      <c r="M39" s="128">
        <f t="shared" si="17"/>
        <v>45000</v>
      </c>
      <c r="N39" s="128">
        <f t="shared" si="17"/>
        <v>45000</v>
      </c>
      <c r="O39" s="128">
        <f t="shared" si="17"/>
        <v>45000</v>
      </c>
      <c r="P39" s="136">
        <f>SUM(I39:O39)</f>
        <v>655120</v>
      </c>
      <c r="Q39" s="129">
        <v>4504.0</v>
      </c>
      <c r="R39" s="129">
        <v>4505.0</v>
      </c>
      <c r="S39" s="129">
        <v>4506.0</v>
      </c>
      <c r="T39" s="129">
        <v>4507.0</v>
      </c>
      <c r="U39" s="129">
        <v>4508.0</v>
      </c>
    </row>
    <row r="40" ht="15.75" customHeight="1">
      <c r="A40" s="127" t="s">
        <v>218</v>
      </c>
      <c r="B40" s="129"/>
      <c r="C40" s="136"/>
      <c r="D40" s="136"/>
      <c r="E40" s="136"/>
      <c r="F40" s="136"/>
      <c r="G40" s="129"/>
      <c r="H40" s="129"/>
      <c r="I40" s="136">
        <f>27*H35</f>
        <v>70200</v>
      </c>
      <c r="J40" s="129"/>
      <c r="K40" s="129"/>
      <c r="L40" s="129"/>
      <c r="M40" s="129"/>
      <c r="N40" s="129"/>
      <c r="O40" s="129"/>
      <c r="P40" s="136"/>
      <c r="Q40" s="129"/>
      <c r="R40" s="129"/>
      <c r="S40" s="129"/>
      <c r="T40" s="129"/>
      <c r="U40" s="129"/>
    </row>
    <row r="41" ht="15.75" customHeight="1">
      <c r="A41" s="130" t="s">
        <v>219</v>
      </c>
      <c r="B41" s="131"/>
      <c r="C41" s="132"/>
      <c r="D41" s="132"/>
      <c r="E41" s="132"/>
      <c r="F41" s="132"/>
      <c r="G41" s="131"/>
      <c r="H41" s="131"/>
      <c r="I41" s="132">
        <f>SUM(I37:I40)</f>
        <v>715720</v>
      </c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</row>
    <row r="42" ht="15.75" customHeight="1">
      <c r="A42" s="124" t="s">
        <v>220</v>
      </c>
      <c r="B42" s="129"/>
      <c r="C42" s="136"/>
      <c r="D42" s="136"/>
      <c r="E42" s="136"/>
      <c r="F42" s="136"/>
      <c r="G42" s="129"/>
      <c r="H42" s="129"/>
      <c r="I42" s="136">
        <f>I36-I41</f>
        <v>-235720</v>
      </c>
      <c r="J42" s="136">
        <f t="shared" ref="J42:O42" si="18">J36-J39-J37+I42</f>
        <v>-90920</v>
      </c>
      <c r="K42" s="136">
        <f t="shared" si="18"/>
        <v>53880</v>
      </c>
      <c r="L42" s="136">
        <f t="shared" si="18"/>
        <v>198680</v>
      </c>
      <c r="M42" s="136">
        <f t="shared" si="18"/>
        <v>343480</v>
      </c>
      <c r="N42" s="136">
        <f t="shared" si="18"/>
        <v>488280</v>
      </c>
      <c r="O42" s="136">
        <f t="shared" si="18"/>
        <v>633080</v>
      </c>
      <c r="P42" s="136">
        <f t="shared" ref="P42:U42" si="19">P36-P37-P38-P39</f>
        <v>885280</v>
      </c>
      <c r="Q42" s="136">
        <f t="shared" si="19"/>
        <v>14476</v>
      </c>
      <c r="R42" s="136">
        <f t="shared" si="19"/>
        <v>14475</v>
      </c>
      <c r="S42" s="136">
        <f t="shared" si="19"/>
        <v>14474</v>
      </c>
      <c r="T42" s="136">
        <f t="shared" si="19"/>
        <v>14473</v>
      </c>
      <c r="U42" s="136">
        <f t="shared" si="19"/>
        <v>14472</v>
      </c>
    </row>
    <row r="43" ht="15.75" customHeight="1">
      <c r="A43" s="120" t="s">
        <v>10</v>
      </c>
      <c r="B43" s="129"/>
      <c r="C43" s="136"/>
      <c r="D43" s="136"/>
      <c r="E43" s="136"/>
      <c r="F43" s="136"/>
      <c r="G43" s="136"/>
      <c r="H43" s="136"/>
      <c r="I43" s="136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</row>
    <row r="44" ht="15.75" customHeight="1">
      <c r="A44" s="127" t="s">
        <v>213</v>
      </c>
      <c r="B44" s="129"/>
      <c r="C44" s="138">
        <v>60.0</v>
      </c>
      <c r="D44" s="138">
        <v>120.0</v>
      </c>
      <c r="E44" s="138">
        <v>180.0</v>
      </c>
      <c r="F44" s="138">
        <v>240.0</v>
      </c>
      <c r="G44" s="139">
        <v>260.0</v>
      </c>
      <c r="H44" s="139">
        <v>260.0</v>
      </c>
      <c r="I44" s="139">
        <v>260.0</v>
      </c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</row>
    <row r="45" ht="15.75" customHeight="1">
      <c r="A45" s="130" t="s">
        <v>12</v>
      </c>
      <c r="B45" s="129"/>
      <c r="C45" s="136"/>
      <c r="D45" s="136"/>
      <c r="E45" s="136">
        <f t="shared" ref="E45:I45" si="20">80*C44</f>
        <v>4800</v>
      </c>
      <c r="F45" s="136">
        <f t="shared" si="20"/>
        <v>9600</v>
      </c>
      <c r="G45" s="136">
        <f t="shared" si="20"/>
        <v>14400</v>
      </c>
      <c r="H45" s="136">
        <f t="shared" si="20"/>
        <v>19200</v>
      </c>
      <c r="I45" s="136">
        <f t="shared" si="20"/>
        <v>20800</v>
      </c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</row>
    <row r="46" ht="15.75" customHeight="1">
      <c r="A46" s="133" t="s">
        <v>215</v>
      </c>
      <c r="B46" s="129"/>
      <c r="C46" s="129">
        <f t="shared" ref="C46:I46" si="21">C44*-7</f>
        <v>-420</v>
      </c>
      <c r="D46" s="129">
        <f t="shared" si="21"/>
        <v>-840</v>
      </c>
      <c r="E46" s="129">
        <f t="shared" si="21"/>
        <v>-1260</v>
      </c>
      <c r="F46" s="129">
        <f t="shared" si="21"/>
        <v>-1680</v>
      </c>
      <c r="G46" s="129">
        <f t="shared" si="21"/>
        <v>-1820</v>
      </c>
      <c r="H46" s="129">
        <f t="shared" si="21"/>
        <v>-1820</v>
      </c>
      <c r="I46" s="129">
        <f t="shared" si="21"/>
        <v>-1820</v>
      </c>
      <c r="J46" s="129"/>
      <c r="K46" s="129"/>
      <c r="L46" s="129"/>
      <c r="M46" s="129"/>
      <c r="N46" s="129"/>
      <c r="O46" s="129"/>
      <c r="P46" s="136"/>
      <c r="Q46" s="136"/>
      <c r="R46" s="129"/>
      <c r="S46" s="129"/>
      <c r="T46" s="129"/>
      <c r="U46" s="129"/>
    </row>
    <row r="47" ht="15.75" customHeight="1">
      <c r="A47" s="127" t="s">
        <v>216</v>
      </c>
      <c r="B47" s="129"/>
      <c r="C47" s="129">
        <f>G44*-115</f>
        <v>-29900</v>
      </c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36"/>
      <c r="Q47" s="136"/>
      <c r="R47" s="129"/>
      <c r="S47" s="129"/>
      <c r="T47" s="129"/>
      <c r="U47" s="129"/>
    </row>
    <row r="48" ht="15.75" customHeight="1">
      <c r="A48" s="127" t="s">
        <v>217</v>
      </c>
      <c r="C48" s="140">
        <f>-C17</f>
        <v>-6116</v>
      </c>
      <c r="D48" s="140">
        <f t="shared" ref="D48:I48" si="22">-$C$18</f>
        <v>-4628</v>
      </c>
      <c r="E48" s="140">
        <f t="shared" si="22"/>
        <v>-4628</v>
      </c>
      <c r="F48" s="140">
        <f t="shared" si="22"/>
        <v>-4628</v>
      </c>
      <c r="G48" s="140">
        <f t="shared" si="22"/>
        <v>-4628</v>
      </c>
      <c r="H48" s="140">
        <f t="shared" si="22"/>
        <v>-4628</v>
      </c>
      <c r="I48" s="140">
        <f t="shared" si="22"/>
        <v>-4628</v>
      </c>
    </row>
    <row r="49" ht="15.75" customHeight="1">
      <c r="A49" s="127" t="s">
        <v>218</v>
      </c>
      <c r="C49" s="120">
        <f>-G44*27</f>
        <v>-7020</v>
      </c>
    </row>
    <row r="50" ht="15.75" customHeight="1">
      <c r="C50" s="140">
        <f t="shared" ref="C50:I50" si="23">SUM(C45:C49)</f>
        <v>-43456</v>
      </c>
      <c r="D50" s="140">
        <f t="shared" si="23"/>
        <v>-5468</v>
      </c>
      <c r="E50" s="140">
        <f t="shared" si="23"/>
        <v>-1088</v>
      </c>
      <c r="F50" s="140">
        <f t="shared" si="23"/>
        <v>3292</v>
      </c>
      <c r="G50" s="140">
        <f t="shared" si="23"/>
        <v>7952</v>
      </c>
      <c r="H50" s="140">
        <f t="shared" si="23"/>
        <v>12752</v>
      </c>
      <c r="I50" s="140">
        <f t="shared" si="23"/>
        <v>14352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0"/>
    <col customWidth="1" min="2" max="2" width="17.14"/>
    <col customWidth="1" min="3" max="3" width="20.86"/>
    <col customWidth="1" min="4" max="8" width="17.14"/>
    <col customWidth="1" min="9" max="9" width="23.0"/>
    <col customWidth="1" min="10" max="14" width="17.14"/>
    <col customWidth="1" min="15" max="17" width="15.0"/>
    <col customWidth="1" min="18" max="21" width="14.29"/>
    <col customWidth="1" min="22" max="26" width="11.57"/>
  </cols>
  <sheetData>
    <row r="1" ht="19.5" customHeight="1">
      <c r="A1" s="121" t="s">
        <v>93</v>
      </c>
      <c r="B1" s="3"/>
    </row>
    <row r="2">
      <c r="A2" s="33" t="s">
        <v>188</v>
      </c>
      <c r="B2" s="3"/>
      <c r="C2" s="117">
        <f>180*D2</f>
        <v>4500</v>
      </c>
      <c r="D2" s="141">
        <v>25.0</v>
      </c>
      <c r="F2" s="117"/>
      <c r="I2" s="117"/>
      <c r="L2" s="117"/>
    </row>
    <row r="3">
      <c r="A3" s="33" t="s">
        <v>21</v>
      </c>
      <c r="B3" s="102" t="s">
        <v>23</v>
      </c>
      <c r="C3" s="117">
        <v>65.0</v>
      </c>
    </row>
    <row r="4">
      <c r="A4" s="33"/>
      <c r="B4" s="3" t="s">
        <v>25</v>
      </c>
      <c r="C4" s="117">
        <v>27.0</v>
      </c>
    </row>
    <row r="5">
      <c r="A5" s="33"/>
      <c r="B5" s="3" t="s">
        <v>26</v>
      </c>
      <c r="C5" s="117">
        <v>18.0</v>
      </c>
    </row>
    <row r="6">
      <c r="A6" s="33"/>
      <c r="B6" s="3" t="s">
        <v>40</v>
      </c>
      <c r="C6" s="117">
        <v>18.0</v>
      </c>
    </row>
    <row r="7">
      <c r="A7" s="33"/>
      <c r="B7" s="3" t="s">
        <v>41</v>
      </c>
      <c r="C7" s="117">
        <v>0.03</v>
      </c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</row>
    <row r="8">
      <c r="A8" s="33"/>
      <c r="B8" s="3" t="s">
        <v>42</v>
      </c>
      <c r="C8" s="117">
        <v>0.15</v>
      </c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</row>
    <row r="9">
      <c r="A9" s="33" t="s">
        <v>43</v>
      </c>
      <c r="B9" s="3" t="s">
        <v>44</v>
      </c>
      <c r="C9" s="117">
        <v>650.0</v>
      </c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</row>
    <row r="10">
      <c r="A10" s="33"/>
      <c r="B10" s="3" t="s">
        <v>46</v>
      </c>
      <c r="C10" s="117">
        <v>150.0</v>
      </c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</row>
    <row r="11">
      <c r="A11" s="33"/>
      <c r="B11" s="3" t="s">
        <v>48</v>
      </c>
      <c r="C11" s="117">
        <v>10.0</v>
      </c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</row>
    <row r="12">
      <c r="A12" s="33"/>
      <c r="B12" s="3" t="s">
        <v>49</v>
      </c>
      <c r="C12" s="117">
        <v>8.0</v>
      </c>
    </row>
    <row r="13">
      <c r="A13" s="33"/>
      <c r="B13" s="3" t="s">
        <v>50</v>
      </c>
      <c r="C13" s="117">
        <v>15.0</v>
      </c>
    </row>
    <row r="14">
      <c r="B14" s="120" t="s">
        <v>52</v>
      </c>
      <c r="C14" s="117">
        <v>400.0</v>
      </c>
      <c r="F14" s="117"/>
    </row>
    <row r="15">
      <c r="B15" s="120" t="s">
        <v>54</v>
      </c>
      <c r="C15" s="117">
        <v>60.0</v>
      </c>
      <c r="F15" s="117"/>
    </row>
    <row r="16">
      <c r="B16" s="120" t="s">
        <v>56</v>
      </c>
      <c r="C16" s="117">
        <v>45.0</v>
      </c>
      <c r="F16" s="117"/>
    </row>
    <row r="17">
      <c r="B17" s="120" t="s">
        <v>57</v>
      </c>
      <c r="C17" s="117">
        <v>25.0</v>
      </c>
    </row>
    <row r="18">
      <c r="B18" s="120" t="s">
        <v>59</v>
      </c>
      <c r="C18" s="117">
        <v>125.0</v>
      </c>
    </row>
    <row r="19">
      <c r="B19" s="120" t="s">
        <v>189</v>
      </c>
      <c r="C19" s="117">
        <f>SUM(C2:C18)</f>
        <v>6116.18</v>
      </c>
    </row>
    <row r="20">
      <c r="B20" s="120" t="s">
        <v>190</v>
      </c>
      <c r="C20" s="117">
        <f>SUM(C2:C8)</f>
        <v>4628.18</v>
      </c>
    </row>
    <row r="21" ht="15.75" customHeight="1">
      <c r="C21" s="117"/>
    </row>
    <row r="22" ht="15.75" customHeight="1">
      <c r="C22" s="117"/>
    </row>
    <row r="23" ht="15.75" customHeight="1">
      <c r="A23" s="120" t="s">
        <v>191</v>
      </c>
      <c r="C23" s="117">
        <f>C19+(C20*7)</f>
        <v>38513.44</v>
      </c>
      <c r="D23" s="117">
        <f>C23*2</f>
        <v>77026.88</v>
      </c>
      <c r="E23" s="117"/>
      <c r="F23" s="117"/>
    </row>
    <row r="24" ht="15.75" customHeight="1">
      <c r="C24" s="117"/>
      <c r="D24" s="117"/>
      <c r="E24" s="117"/>
      <c r="F24" s="117"/>
    </row>
    <row r="25" ht="15.75" customHeight="1">
      <c r="C25" s="117" t="s">
        <v>192</v>
      </c>
      <c r="D25" s="122">
        <v>250.0</v>
      </c>
      <c r="E25" s="122">
        <v>500.0</v>
      </c>
      <c r="F25" s="117"/>
    </row>
    <row r="26" ht="15.75" customHeight="1">
      <c r="A26" s="33" t="s">
        <v>221</v>
      </c>
      <c r="B26" s="123">
        <v>7.0</v>
      </c>
      <c r="C26" s="123">
        <f>B26*7</f>
        <v>49</v>
      </c>
      <c r="D26" s="117">
        <f>C26*$D$25+$C$23</f>
        <v>50763.44</v>
      </c>
      <c r="E26" s="117">
        <f>$E$25*C26+$D$23</f>
        <v>101526.88</v>
      </c>
      <c r="F26" s="117"/>
    </row>
    <row r="27" ht="15.75" customHeight="1">
      <c r="A27" s="33" t="s">
        <v>194</v>
      </c>
      <c r="B27" s="123">
        <v>115.0</v>
      </c>
      <c r="C27" s="123">
        <v>115.0</v>
      </c>
      <c r="D27" s="117">
        <f t="shared" ref="D27:D28" si="1">C27*$D$25</f>
        <v>28750</v>
      </c>
      <c r="E27" s="117">
        <f t="shared" ref="E27:E29" si="2">$E$25*C27</f>
        <v>57500</v>
      </c>
      <c r="F27" s="117"/>
    </row>
    <row r="28" ht="15.75" customHeight="1">
      <c r="A28" s="33" t="s">
        <v>195</v>
      </c>
      <c r="B28" s="123">
        <v>230.0</v>
      </c>
      <c r="C28" s="123">
        <v>230.0</v>
      </c>
      <c r="D28" s="117">
        <f t="shared" si="1"/>
        <v>57500</v>
      </c>
      <c r="E28" s="117">
        <f t="shared" si="2"/>
        <v>115000</v>
      </c>
      <c r="F28" s="117"/>
    </row>
    <row r="29" ht="15.75" customHeight="1">
      <c r="C29" s="123"/>
      <c r="D29" s="117"/>
      <c r="E29" s="117">
        <f t="shared" si="2"/>
        <v>0</v>
      </c>
      <c r="F29" s="117"/>
      <c r="G29" s="141" t="s">
        <v>222</v>
      </c>
      <c r="I29" s="141" t="s">
        <v>223</v>
      </c>
      <c r="J29" s="142">
        <v>24.0</v>
      </c>
    </row>
    <row r="30" ht="15.75" customHeight="1">
      <c r="A30" s="33" t="s">
        <v>196</v>
      </c>
      <c r="B30" s="123">
        <v>25.0</v>
      </c>
      <c r="C30" s="123">
        <f t="shared" ref="C30:C32" si="3">B30*7</f>
        <v>175</v>
      </c>
      <c r="D30" s="117">
        <f t="shared" ref="D30:D32" si="4">C30*$D$25+$C$23</f>
        <v>82263.44</v>
      </c>
      <c r="E30" s="117">
        <f t="shared" ref="E30:E32" si="5">$E$25*C30+$D$23</f>
        <v>164526.88</v>
      </c>
      <c r="F30" s="143" t="s">
        <v>224</v>
      </c>
      <c r="G30" s="141">
        <v>175000.0</v>
      </c>
      <c r="I30" s="141" t="s">
        <v>225</v>
      </c>
      <c r="J30" s="144">
        <v>0.1</v>
      </c>
    </row>
    <row r="31" ht="15.75" customHeight="1">
      <c r="A31" s="33" t="s">
        <v>197</v>
      </c>
      <c r="B31" s="123">
        <v>35.0</v>
      </c>
      <c r="C31" s="123">
        <f t="shared" si="3"/>
        <v>245</v>
      </c>
      <c r="D31" s="117">
        <f t="shared" si="4"/>
        <v>99763.44</v>
      </c>
      <c r="E31" s="117">
        <f t="shared" si="5"/>
        <v>199526.88</v>
      </c>
      <c r="F31" s="143" t="s">
        <v>226</v>
      </c>
      <c r="I31" s="141" t="s">
        <v>227</v>
      </c>
      <c r="J31" s="145">
        <v>70.0</v>
      </c>
    </row>
    <row r="32" ht="15.75" customHeight="1">
      <c r="A32" s="33" t="s">
        <v>198</v>
      </c>
      <c r="B32" s="123">
        <v>45.0</v>
      </c>
      <c r="C32" s="123">
        <f t="shared" si="3"/>
        <v>315</v>
      </c>
      <c r="D32" s="117">
        <f t="shared" si="4"/>
        <v>117263.44</v>
      </c>
      <c r="E32" s="117">
        <f t="shared" si="5"/>
        <v>234526.88</v>
      </c>
      <c r="F32" s="143" t="s">
        <v>228</v>
      </c>
      <c r="I32" s="141" t="s">
        <v>229</v>
      </c>
      <c r="J32" s="145">
        <v>20.0</v>
      </c>
    </row>
    <row r="33" ht="15.75" customHeight="1">
      <c r="C33" s="117"/>
      <c r="D33" s="117"/>
      <c r="E33" s="117"/>
      <c r="F33" s="143" t="s">
        <v>230</v>
      </c>
      <c r="I33" s="141" t="s">
        <v>231</v>
      </c>
      <c r="J33" s="144">
        <v>0.05</v>
      </c>
    </row>
    <row r="34" ht="15.75" customHeight="1">
      <c r="A34" s="120" t="s">
        <v>199</v>
      </c>
      <c r="B34" s="123">
        <v>80.0</v>
      </c>
      <c r="C34" s="117">
        <f>B34*7</f>
        <v>560</v>
      </c>
      <c r="D34" s="117">
        <f>C34*D25</f>
        <v>140000</v>
      </c>
      <c r="E34" s="117"/>
      <c r="F34" s="117"/>
      <c r="G34" s="146">
        <v>175000.0</v>
      </c>
    </row>
    <row r="35" ht="15.75" customHeight="1">
      <c r="A35" s="147" t="s">
        <v>10</v>
      </c>
      <c r="B35" s="148">
        <f>G35</f>
        <v>10</v>
      </c>
      <c r="C35" s="149"/>
      <c r="D35" s="149"/>
      <c r="E35" s="149"/>
      <c r="F35" s="149"/>
      <c r="G35" s="150">
        <v>10.0</v>
      </c>
      <c r="H35" s="151"/>
      <c r="I35" s="150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</row>
    <row r="36" ht="15.75" customHeight="1">
      <c r="A36" s="124"/>
      <c r="B36" s="124" t="s">
        <v>207</v>
      </c>
      <c r="C36" s="124" t="s">
        <v>208</v>
      </c>
      <c r="D36" s="124" t="s">
        <v>232</v>
      </c>
      <c r="E36" s="124" t="s">
        <v>210</v>
      </c>
      <c r="F36" s="124" t="s">
        <v>211</v>
      </c>
      <c r="G36" s="152" t="s">
        <v>212</v>
      </c>
      <c r="H36" s="125" t="s">
        <v>201</v>
      </c>
      <c r="I36" s="125" t="s">
        <v>202</v>
      </c>
      <c r="J36" s="125" t="s">
        <v>203</v>
      </c>
      <c r="K36" s="125" t="s">
        <v>204</v>
      </c>
      <c r="L36" s="125" t="s">
        <v>205</v>
      </c>
      <c r="M36" s="125" t="s">
        <v>206</v>
      </c>
      <c r="N36" s="152">
        <v>2023.0</v>
      </c>
      <c r="O36" s="125" t="s">
        <v>207</v>
      </c>
      <c r="P36" s="125" t="s">
        <v>208</v>
      </c>
      <c r="Q36" s="125" t="s">
        <v>209</v>
      </c>
      <c r="R36" s="125" t="s">
        <v>210</v>
      </c>
      <c r="S36" s="125" t="s">
        <v>211</v>
      </c>
      <c r="T36" s="124" t="s">
        <v>212</v>
      </c>
      <c r="U36" s="124"/>
      <c r="V36" s="125" t="s">
        <v>201</v>
      </c>
      <c r="W36" s="124"/>
      <c r="X36" s="124"/>
      <c r="Y36" s="124"/>
      <c r="Z36" s="124"/>
    </row>
    <row r="37" ht="15.75" customHeight="1">
      <c r="A37" s="127" t="s">
        <v>213</v>
      </c>
      <c r="B37" s="127"/>
      <c r="C37" s="127"/>
      <c r="D37" s="127"/>
      <c r="E37" s="127"/>
      <c r="F37" s="127"/>
      <c r="G37" s="128">
        <v>0.0</v>
      </c>
      <c r="H37" s="128">
        <f>Investment!C35</f>
        <v>600</v>
      </c>
      <c r="I37" s="128">
        <f>Investment!D35</f>
        <v>1200</v>
      </c>
      <c r="J37" s="128">
        <f>Investment!E35</f>
        <v>1800</v>
      </c>
      <c r="K37" s="128">
        <f>Investment!F35</f>
        <v>2400</v>
      </c>
      <c r="L37" s="128">
        <f>Investment!G35</f>
        <v>2600</v>
      </c>
      <c r="M37" s="128">
        <f>Investment!H35</f>
        <v>2600</v>
      </c>
      <c r="N37" s="129" t="s">
        <v>214</v>
      </c>
      <c r="O37" s="128">
        <f t="shared" ref="O37:T37" si="6">260*$B$35</f>
        <v>2600</v>
      </c>
      <c r="P37" s="128">
        <f t="shared" si="6"/>
        <v>2600</v>
      </c>
      <c r="Q37" s="128">
        <f t="shared" si="6"/>
        <v>2600</v>
      </c>
      <c r="R37" s="128">
        <f t="shared" si="6"/>
        <v>2600</v>
      </c>
      <c r="S37" s="128">
        <f t="shared" si="6"/>
        <v>2600</v>
      </c>
      <c r="T37" s="128">
        <f t="shared" si="6"/>
        <v>2600</v>
      </c>
      <c r="U37" s="129"/>
      <c r="V37" s="129">
        <v>260.0</v>
      </c>
      <c r="W37" s="129">
        <v>260.0</v>
      </c>
      <c r="X37" s="129">
        <v>260.0</v>
      </c>
      <c r="Y37" s="129">
        <v>260.0</v>
      </c>
      <c r="Z37" s="129">
        <v>260.0</v>
      </c>
    </row>
    <row r="38" ht="15.75" customHeight="1">
      <c r="A38" s="153" t="s">
        <v>12</v>
      </c>
      <c r="B38" s="154">
        <f>'P&amp;L'!N9</f>
        <v>2206.5</v>
      </c>
      <c r="C38" s="154">
        <f>'P&amp;L'!O9</f>
        <v>89149.99</v>
      </c>
      <c r="D38" s="154">
        <f>'P&amp;L'!P9</f>
        <v>78500.7</v>
      </c>
      <c r="E38" s="154">
        <f>'P&amp;L'!Q9</f>
        <v>75991.47</v>
      </c>
      <c r="F38" s="154">
        <f>'P&amp;L'!R9</f>
        <v>61921.25</v>
      </c>
      <c r="G38" s="154">
        <f>'P&amp;L'!S9</f>
        <v>62972</v>
      </c>
      <c r="H38" s="154">
        <f>'P&amp;L'!T9</f>
        <v>70000</v>
      </c>
      <c r="I38" s="154">
        <f>'P&amp;L'!U9</f>
        <v>80000</v>
      </c>
      <c r="J38" s="154">
        <f>'P&amp;L'!V9</f>
        <v>90000</v>
      </c>
      <c r="K38" s="154">
        <f>'P&amp;L'!W9</f>
        <v>90000</v>
      </c>
      <c r="L38" s="154">
        <f>'P&amp;L'!X9</f>
        <v>90000</v>
      </c>
      <c r="M38" s="154">
        <f>'P&amp;L'!Y9</f>
        <v>90000</v>
      </c>
      <c r="N38" s="154">
        <f>SUM(B38:M38)</f>
        <v>880741.91</v>
      </c>
      <c r="O38" s="132">
        <f t="shared" ref="O38:P38" si="7">L37*80</f>
        <v>208000</v>
      </c>
      <c r="P38" s="132">
        <f t="shared" si="7"/>
        <v>208000</v>
      </c>
      <c r="Q38" s="132">
        <f t="shared" ref="Q38:T38" si="8">O37*80</f>
        <v>208000</v>
      </c>
      <c r="R38" s="132">
        <f t="shared" si="8"/>
        <v>208000</v>
      </c>
      <c r="S38" s="132">
        <f t="shared" si="8"/>
        <v>208000</v>
      </c>
      <c r="T38" s="132">
        <f t="shared" si="8"/>
        <v>208000</v>
      </c>
      <c r="U38" s="132">
        <f>SUM(N38:T38)</f>
        <v>2128741.91</v>
      </c>
      <c r="V38" s="132">
        <f t="shared" ref="V38:Z38" si="9">V37*80</f>
        <v>20800</v>
      </c>
      <c r="W38" s="132">
        <f t="shared" si="9"/>
        <v>20800</v>
      </c>
      <c r="X38" s="132">
        <f t="shared" si="9"/>
        <v>20800</v>
      </c>
      <c r="Y38" s="132">
        <f t="shared" si="9"/>
        <v>20800</v>
      </c>
      <c r="Z38" s="132">
        <f t="shared" si="9"/>
        <v>20800</v>
      </c>
    </row>
    <row r="39" ht="15.75" customHeight="1">
      <c r="A39" s="155" t="s">
        <v>233</v>
      </c>
      <c r="B39" s="156"/>
      <c r="C39" s="156"/>
      <c r="D39" s="156"/>
      <c r="E39" s="156"/>
      <c r="F39" s="156"/>
      <c r="G39" s="156" t="str">
        <f>Investment!B36</f>
        <v/>
      </c>
      <c r="H39" s="156" t="str">
        <f>Investment!C36</f>
        <v/>
      </c>
      <c r="I39" s="156" t="str">
        <f>Investment!D36</f>
        <v/>
      </c>
      <c r="J39" s="156">
        <f>Investment!E36</f>
        <v>48000</v>
      </c>
      <c r="K39" s="156">
        <f>Investment!F36</f>
        <v>96000</v>
      </c>
      <c r="L39" s="156">
        <f>Investment!G36</f>
        <v>144000</v>
      </c>
      <c r="M39" s="156">
        <f>Investment!H36</f>
        <v>192000</v>
      </c>
      <c r="N39" s="156">
        <f>sum(J39:M39)</f>
        <v>480000</v>
      </c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</row>
    <row r="40" ht="15.75" customHeight="1">
      <c r="A40" s="158" t="s">
        <v>234</v>
      </c>
      <c r="B40" s="159">
        <f t="shared" ref="B40:M40" si="10">sum(B38:B39)</f>
        <v>2206.5</v>
      </c>
      <c r="C40" s="159">
        <f t="shared" si="10"/>
        <v>89149.99</v>
      </c>
      <c r="D40" s="159">
        <f t="shared" si="10"/>
        <v>78500.7</v>
      </c>
      <c r="E40" s="159">
        <f t="shared" si="10"/>
        <v>75991.47</v>
      </c>
      <c r="F40" s="159">
        <f t="shared" si="10"/>
        <v>61921.25</v>
      </c>
      <c r="G40" s="159">
        <f t="shared" si="10"/>
        <v>62972</v>
      </c>
      <c r="H40" s="159">
        <f t="shared" si="10"/>
        <v>70000</v>
      </c>
      <c r="I40" s="159">
        <f t="shared" si="10"/>
        <v>80000</v>
      </c>
      <c r="J40" s="159">
        <f t="shared" si="10"/>
        <v>138000</v>
      </c>
      <c r="K40" s="159">
        <f t="shared" si="10"/>
        <v>186000</v>
      </c>
      <c r="L40" s="159">
        <f t="shared" si="10"/>
        <v>234000</v>
      </c>
      <c r="M40" s="159">
        <f t="shared" si="10"/>
        <v>282000</v>
      </c>
      <c r="N40" s="156">
        <f>sum(B40:M40)</f>
        <v>1360741.91</v>
      </c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</row>
    <row r="41" ht="15.75" customHeight="1">
      <c r="A41" s="160" t="s">
        <v>215</v>
      </c>
      <c r="B41" s="160"/>
      <c r="C41" s="160"/>
      <c r="D41" s="160"/>
      <c r="E41" s="160"/>
      <c r="F41" s="160"/>
      <c r="G41" s="161"/>
      <c r="H41" s="156">
        <f>Investment!C37</f>
        <v>4200</v>
      </c>
      <c r="I41" s="156">
        <f>Investment!D37</f>
        <v>8400</v>
      </c>
      <c r="J41" s="156">
        <f>Investment!E37</f>
        <v>12600</v>
      </c>
      <c r="K41" s="156">
        <f>Investment!F37</f>
        <v>16800</v>
      </c>
      <c r="L41" s="156">
        <f>Investment!G37</f>
        <v>18200</v>
      </c>
      <c r="M41" s="156">
        <f>Investment!H37</f>
        <v>18200</v>
      </c>
      <c r="N41" s="156">
        <f>SUM(H41:M41)</f>
        <v>78400</v>
      </c>
      <c r="O41" s="162">
        <f t="shared" ref="O41:T41" si="11">$B$26*O37</f>
        <v>18200</v>
      </c>
      <c r="P41" s="162">
        <f t="shared" si="11"/>
        <v>18200</v>
      </c>
      <c r="Q41" s="162">
        <f t="shared" si="11"/>
        <v>18200</v>
      </c>
      <c r="R41" s="162">
        <f t="shared" si="11"/>
        <v>18200</v>
      </c>
      <c r="S41" s="162">
        <f t="shared" si="11"/>
        <v>18200</v>
      </c>
      <c r="T41" s="162">
        <f t="shared" si="11"/>
        <v>18200</v>
      </c>
      <c r="U41" s="162">
        <f>SUM(N41:T41)</f>
        <v>187600</v>
      </c>
      <c r="V41" s="162">
        <f t="shared" ref="V41:Z41" si="12">$B$26*V37</f>
        <v>1820</v>
      </c>
      <c r="W41" s="162">
        <f t="shared" si="12"/>
        <v>1820</v>
      </c>
      <c r="X41" s="162">
        <f t="shared" si="12"/>
        <v>1820</v>
      </c>
      <c r="Y41" s="162">
        <f t="shared" si="12"/>
        <v>1820</v>
      </c>
      <c r="Z41" s="162">
        <f t="shared" si="12"/>
        <v>1820</v>
      </c>
    </row>
    <row r="42" ht="15.75" customHeight="1">
      <c r="A42" s="160" t="s">
        <v>216</v>
      </c>
      <c r="B42" s="160"/>
      <c r="C42" s="160"/>
      <c r="D42" s="160"/>
      <c r="E42" s="160"/>
      <c r="F42" s="160"/>
      <c r="G42" s="163"/>
      <c r="H42" s="163">
        <f>H37*70</f>
        <v>42000</v>
      </c>
      <c r="I42" s="156">
        <f t="shared" ref="I42:M42" si="13">(I37-H37)*70</f>
        <v>42000</v>
      </c>
      <c r="J42" s="156">
        <f t="shared" si="13"/>
        <v>42000</v>
      </c>
      <c r="K42" s="156">
        <f t="shared" si="13"/>
        <v>42000</v>
      </c>
      <c r="L42" s="156">
        <f t="shared" si="13"/>
        <v>14000</v>
      </c>
      <c r="M42" s="156">
        <f t="shared" si="13"/>
        <v>0</v>
      </c>
      <c r="N42" s="156">
        <f>SUM(B42:M42)</f>
        <v>182000</v>
      </c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ht="15.75" customHeight="1">
      <c r="A43" s="160" t="s">
        <v>217</v>
      </c>
      <c r="B43" s="160"/>
      <c r="C43" s="160"/>
      <c r="D43" s="160"/>
      <c r="E43" s="160"/>
      <c r="F43" s="160"/>
      <c r="G43" s="156">
        <f>C19*B35</f>
        <v>61161.8</v>
      </c>
      <c r="H43" s="156">
        <f t="shared" ref="H43:M43" si="14">$C$20*$B$35</f>
        <v>46281.8</v>
      </c>
      <c r="I43" s="156">
        <f t="shared" si="14"/>
        <v>46281.8</v>
      </c>
      <c r="J43" s="156">
        <f t="shared" si="14"/>
        <v>46281.8</v>
      </c>
      <c r="K43" s="156">
        <f t="shared" si="14"/>
        <v>46281.8</v>
      </c>
      <c r="L43" s="156">
        <f t="shared" si="14"/>
        <v>46281.8</v>
      </c>
      <c r="M43" s="156">
        <f t="shared" si="14"/>
        <v>46281.8</v>
      </c>
      <c r="N43" s="156">
        <f>SUM(G43:M43)</f>
        <v>338852.6</v>
      </c>
      <c r="O43" s="164">
        <f t="shared" ref="O43:T43" si="15">4500*$B$35</f>
        <v>45000</v>
      </c>
      <c r="P43" s="164">
        <f t="shared" si="15"/>
        <v>45000</v>
      </c>
      <c r="Q43" s="164">
        <f t="shared" si="15"/>
        <v>45000</v>
      </c>
      <c r="R43" s="164">
        <f t="shared" si="15"/>
        <v>45000</v>
      </c>
      <c r="S43" s="164">
        <f t="shared" si="15"/>
        <v>45000</v>
      </c>
      <c r="T43" s="164">
        <f t="shared" si="15"/>
        <v>45000</v>
      </c>
      <c r="U43" s="156">
        <f>SUM(N43:T43)</f>
        <v>608852.6</v>
      </c>
      <c r="V43" s="161">
        <v>4504.0</v>
      </c>
      <c r="W43" s="161">
        <v>4505.0</v>
      </c>
      <c r="X43" s="161">
        <v>4506.0</v>
      </c>
      <c r="Y43" s="161">
        <v>4507.0</v>
      </c>
      <c r="Z43" s="161">
        <v>4508.0</v>
      </c>
    </row>
    <row r="44" ht="15.75" customHeight="1">
      <c r="A44" s="160" t="s">
        <v>218</v>
      </c>
      <c r="B44" s="160"/>
      <c r="C44" s="160"/>
      <c r="D44" s="160"/>
      <c r="E44" s="160"/>
      <c r="F44" s="160"/>
      <c r="G44" s="163"/>
      <c r="H44" s="165">
        <v>0.0</v>
      </c>
      <c r="I44" s="166">
        <v>0.0</v>
      </c>
      <c r="J44" s="166">
        <v>0.0</v>
      </c>
      <c r="K44" s="166">
        <v>0.0</v>
      </c>
      <c r="L44" s="166">
        <v>0.0</v>
      </c>
      <c r="M44" s="167">
        <v>0.0</v>
      </c>
      <c r="N44" s="163">
        <f>sum(H44:M44)</f>
        <v>0</v>
      </c>
      <c r="O44" s="161"/>
      <c r="P44" s="161"/>
      <c r="Q44" s="161"/>
      <c r="R44" s="161"/>
      <c r="S44" s="161"/>
      <c r="T44" s="161"/>
      <c r="U44" s="156"/>
      <c r="V44" s="161"/>
      <c r="W44" s="161"/>
      <c r="X44" s="161"/>
      <c r="Y44" s="161"/>
      <c r="Z44" s="161"/>
    </row>
    <row r="45" ht="15.75" customHeight="1">
      <c r="A45" s="168" t="s">
        <v>235</v>
      </c>
      <c r="B45" s="132">
        <f>'P&amp;L'!N14</f>
        <v>32020.75</v>
      </c>
      <c r="C45" s="132">
        <f>'P&amp;L'!O14</f>
        <v>47598.77</v>
      </c>
      <c r="D45" s="132">
        <f>'P&amp;L'!P14</f>
        <v>67860.06</v>
      </c>
      <c r="E45" s="132">
        <f>'P&amp;L'!Q14</f>
        <v>30307.34</v>
      </c>
      <c r="F45" s="132">
        <f>'P&amp;L'!R14</f>
        <v>27023.96</v>
      </c>
      <c r="G45" s="132">
        <f>'P&amp;L'!S14</f>
        <v>48000</v>
      </c>
      <c r="H45" s="132">
        <f>'P&amp;L'!T14</f>
        <v>48000</v>
      </c>
      <c r="I45" s="132">
        <f>'P&amp;L'!U14</f>
        <v>48000</v>
      </c>
      <c r="J45" s="132">
        <f>'P&amp;L'!V14</f>
        <v>48000</v>
      </c>
      <c r="K45" s="132">
        <f>'P&amp;L'!W14</f>
        <v>48000</v>
      </c>
      <c r="L45" s="132">
        <f>'P&amp;L'!X14</f>
        <v>48000</v>
      </c>
      <c r="M45" s="132">
        <f>'P&amp;L'!Y14</f>
        <v>48000</v>
      </c>
      <c r="N45" s="132">
        <f>SUM(B45:M45)</f>
        <v>540810.88</v>
      </c>
      <c r="O45" s="131"/>
      <c r="P45" s="131"/>
      <c r="Q45" s="131"/>
      <c r="R45" s="131"/>
      <c r="S45" s="131"/>
      <c r="T45" s="131"/>
      <c r="U45" s="132"/>
      <c r="V45" s="131"/>
      <c r="W45" s="131"/>
      <c r="X45" s="131"/>
      <c r="Y45" s="131"/>
      <c r="Z45" s="131"/>
    </row>
    <row r="46" ht="15.75" customHeight="1">
      <c r="A46" s="169" t="s">
        <v>219</v>
      </c>
      <c r="B46" s="170">
        <f t="shared" ref="B46:N46" si="16">SUM(B41:B45)</f>
        <v>32020.75</v>
      </c>
      <c r="C46" s="170">
        <f t="shared" si="16"/>
        <v>47598.77</v>
      </c>
      <c r="D46" s="170">
        <f t="shared" si="16"/>
        <v>67860.06</v>
      </c>
      <c r="E46" s="170">
        <f t="shared" si="16"/>
        <v>30307.34</v>
      </c>
      <c r="F46" s="170">
        <f t="shared" si="16"/>
        <v>27023.96</v>
      </c>
      <c r="G46" s="170">
        <f t="shared" si="16"/>
        <v>109161.8</v>
      </c>
      <c r="H46" s="170">
        <f t="shared" si="16"/>
        <v>140481.8</v>
      </c>
      <c r="I46" s="170">
        <f t="shared" si="16"/>
        <v>144681.8</v>
      </c>
      <c r="J46" s="170">
        <f t="shared" si="16"/>
        <v>148881.8</v>
      </c>
      <c r="K46" s="170">
        <f t="shared" si="16"/>
        <v>153081.8</v>
      </c>
      <c r="L46" s="170">
        <f t="shared" si="16"/>
        <v>126481.8</v>
      </c>
      <c r="M46" s="170">
        <f t="shared" si="16"/>
        <v>112481.8</v>
      </c>
      <c r="N46" s="170">
        <f t="shared" si="16"/>
        <v>1140063.48</v>
      </c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ht="15.75" customHeight="1">
      <c r="A47" s="152" t="s">
        <v>162</v>
      </c>
      <c r="B47" s="172">
        <f t="shared" ref="B47:M47" si="17">B40-B46</f>
        <v>-29814.25</v>
      </c>
      <c r="C47" s="172">
        <f t="shared" si="17"/>
        <v>41551.22</v>
      </c>
      <c r="D47" s="172">
        <f t="shared" si="17"/>
        <v>10640.64</v>
      </c>
      <c r="E47" s="172">
        <f t="shared" si="17"/>
        <v>45684.13</v>
      </c>
      <c r="F47" s="172">
        <f t="shared" si="17"/>
        <v>34897.29</v>
      </c>
      <c r="G47" s="172">
        <f t="shared" si="17"/>
        <v>-46189.8</v>
      </c>
      <c r="H47" s="172">
        <f t="shared" si="17"/>
        <v>-70481.8</v>
      </c>
      <c r="I47" s="172">
        <f t="shared" si="17"/>
        <v>-64681.8</v>
      </c>
      <c r="J47" s="172">
        <f t="shared" si="17"/>
        <v>-10881.8</v>
      </c>
      <c r="K47" s="172">
        <f t="shared" si="17"/>
        <v>32918.2</v>
      </c>
      <c r="L47" s="172">
        <f t="shared" si="17"/>
        <v>107518.2</v>
      </c>
      <c r="M47" s="172">
        <f t="shared" si="17"/>
        <v>169518.2</v>
      </c>
      <c r="N47" s="172">
        <f>N40-N45</f>
        <v>819931.03</v>
      </c>
      <c r="O47" s="136">
        <f t="shared" ref="O47:T47" si="18">O38-O43-O41+N47</f>
        <v>964731.03</v>
      </c>
      <c r="P47" s="136">
        <f t="shared" si="18"/>
        <v>1109531.03</v>
      </c>
      <c r="Q47" s="136">
        <f t="shared" si="18"/>
        <v>1254331.03</v>
      </c>
      <c r="R47" s="136">
        <f t="shared" si="18"/>
        <v>1399131.03</v>
      </c>
      <c r="S47" s="136">
        <f t="shared" si="18"/>
        <v>1543931.03</v>
      </c>
      <c r="T47" s="136">
        <f t="shared" si="18"/>
        <v>1688731.03</v>
      </c>
      <c r="U47" s="136">
        <f t="shared" ref="U47:Z47" si="19">U38-U41-U42-U43</f>
        <v>1332289.31</v>
      </c>
      <c r="V47" s="136">
        <f t="shared" si="19"/>
        <v>14476</v>
      </c>
      <c r="W47" s="136">
        <f t="shared" si="19"/>
        <v>14475</v>
      </c>
      <c r="X47" s="136">
        <f t="shared" si="19"/>
        <v>14474</v>
      </c>
      <c r="Y47" s="136">
        <f t="shared" si="19"/>
        <v>14473</v>
      </c>
      <c r="Z47" s="136">
        <f t="shared" si="19"/>
        <v>14472</v>
      </c>
    </row>
    <row r="48" ht="15.75" customHeight="1">
      <c r="A48" s="107" t="s">
        <v>15</v>
      </c>
      <c r="B48" s="172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25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ht="15.75" customHeight="1">
      <c r="A49" s="127" t="s">
        <v>163</v>
      </c>
      <c r="B49" s="172">
        <f>'P&amp;L'!N17</f>
        <v>68.44</v>
      </c>
      <c r="C49" s="172">
        <f>'P&amp;L'!O17</f>
        <v>70.48</v>
      </c>
      <c r="D49" s="172">
        <f>'P&amp;L'!P17</f>
        <v>172.87</v>
      </c>
      <c r="E49" s="172">
        <f>'P&amp;L'!Q17</f>
        <v>257.18</v>
      </c>
      <c r="F49" s="172">
        <f>'P&amp;L'!R17</f>
        <v>0</v>
      </c>
      <c r="G49" s="172">
        <f>'P&amp;L'!S17</f>
        <v>142</v>
      </c>
      <c r="H49" s="172">
        <f>'P&amp;L'!T17</f>
        <v>142</v>
      </c>
      <c r="I49" s="172">
        <f>'P&amp;L'!U17</f>
        <v>142</v>
      </c>
      <c r="J49" s="172">
        <f>'P&amp;L'!V17</f>
        <v>142</v>
      </c>
      <c r="K49" s="172">
        <f>'P&amp;L'!W17</f>
        <v>142</v>
      </c>
      <c r="L49" s="172">
        <f>'P&amp;L'!X17</f>
        <v>142</v>
      </c>
      <c r="M49" s="172">
        <f>'P&amp;L'!Y17</f>
        <v>142</v>
      </c>
      <c r="N49" s="125">
        <f t="shared" ref="N49:N69" si="20">SUM(B49:M49)</f>
        <v>1562.97</v>
      </c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ht="15.75" customHeight="1">
      <c r="A50" s="127" t="s">
        <v>164</v>
      </c>
      <c r="B50" s="172">
        <f>'P&amp;L'!N18</f>
        <v>0</v>
      </c>
      <c r="C50" s="172">
        <f>'P&amp;L'!O18</f>
        <v>0</v>
      </c>
      <c r="D50" s="172">
        <f>'P&amp;L'!P18</f>
        <v>0</v>
      </c>
      <c r="E50" s="172">
        <f>'P&amp;L'!Q18</f>
        <v>0</v>
      </c>
      <c r="F50" s="172">
        <f>'P&amp;L'!R18</f>
        <v>0</v>
      </c>
      <c r="G50" s="172" t="str">
        <f>'P&amp;L'!S18</f>
        <v/>
      </c>
      <c r="H50" s="172" t="str">
        <f>'P&amp;L'!T18</f>
        <v/>
      </c>
      <c r="I50" s="172" t="str">
        <f>'P&amp;L'!U18</f>
        <v/>
      </c>
      <c r="J50" s="172" t="str">
        <f>'P&amp;L'!V18</f>
        <v/>
      </c>
      <c r="K50" s="172" t="str">
        <f>'P&amp;L'!W18</f>
        <v/>
      </c>
      <c r="L50" s="172" t="str">
        <f>'P&amp;L'!X18</f>
        <v/>
      </c>
      <c r="M50" s="172" t="str">
        <f>'P&amp;L'!Y18</f>
        <v/>
      </c>
      <c r="N50" s="125">
        <f t="shared" si="20"/>
        <v>0</v>
      </c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ht="15.75" customHeight="1">
      <c r="A51" s="127" t="s">
        <v>165</v>
      </c>
      <c r="B51" s="172">
        <f>'P&amp;L'!N19</f>
        <v>55.37</v>
      </c>
      <c r="C51" s="172">
        <f>'P&amp;L'!O19</f>
        <v>298.4</v>
      </c>
      <c r="D51" s="172">
        <f>'P&amp;L'!P19</f>
        <v>80.89</v>
      </c>
      <c r="E51" s="172">
        <f>'P&amp;L'!Q19</f>
        <v>73.62</v>
      </c>
      <c r="F51" s="172">
        <f>'P&amp;L'!R19</f>
        <v>41.5</v>
      </c>
      <c r="G51" s="172">
        <f>'P&amp;L'!S19</f>
        <v>110</v>
      </c>
      <c r="H51" s="172">
        <f>'P&amp;L'!T19</f>
        <v>110</v>
      </c>
      <c r="I51" s="172">
        <f>'P&amp;L'!U19</f>
        <v>110</v>
      </c>
      <c r="J51" s="172">
        <f>'P&amp;L'!V19</f>
        <v>110</v>
      </c>
      <c r="K51" s="172">
        <f>'P&amp;L'!W19</f>
        <v>110</v>
      </c>
      <c r="L51" s="172">
        <f>'P&amp;L'!X19</f>
        <v>110</v>
      </c>
      <c r="M51" s="172">
        <f>'P&amp;L'!Y19</f>
        <v>110</v>
      </c>
      <c r="N51" s="125">
        <f t="shared" si="20"/>
        <v>1319.78</v>
      </c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ht="15.75" customHeight="1">
      <c r="A52" s="127" t="s">
        <v>166</v>
      </c>
      <c r="B52" s="172">
        <f>'P&amp;L'!N20</f>
        <v>332.03</v>
      </c>
      <c r="C52" s="172">
        <f>'P&amp;L'!O20</f>
        <v>1.75</v>
      </c>
      <c r="D52" s="172">
        <f>'P&amp;L'!P20</f>
        <v>1213</v>
      </c>
      <c r="E52" s="172">
        <f>'P&amp;L'!Q20</f>
        <v>11</v>
      </c>
      <c r="F52" s="172">
        <f>'P&amp;L'!R20</f>
        <v>0</v>
      </c>
      <c r="G52" s="172">
        <f>'P&amp;L'!S20</f>
        <v>390</v>
      </c>
      <c r="H52" s="172">
        <f>'P&amp;L'!T20</f>
        <v>390</v>
      </c>
      <c r="I52" s="172">
        <f>'P&amp;L'!U20</f>
        <v>390</v>
      </c>
      <c r="J52" s="172">
        <f>'P&amp;L'!V20</f>
        <v>390</v>
      </c>
      <c r="K52" s="172">
        <f>'P&amp;L'!W20</f>
        <v>390</v>
      </c>
      <c r="L52" s="172">
        <f>'P&amp;L'!X20</f>
        <v>390</v>
      </c>
      <c r="M52" s="172">
        <f>'P&amp;L'!Y20</f>
        <v>390</v>
      </c>
      <c r="N52" s="125">
        <f t="shared" si="20"/>
        <v>4287.78</v>
      </c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ht="15.75" customHeight="1">
      <c r="A53" s="127" t="s">
        <v>167</v>
      </c>
      <c r="B53" s="172">
        <f>'P&amp;L'!N21</f>
        <v>0</v>
      </c>
      <c r="C53" s="172">
        <f>'P&amp;L'!O21</f>
        <v>1000</v>
      </c>
      <c r="D53" s="172">
        <f>'P&amp;L'!P21</f>
        <v>0</v>
      </c>
      <c r="E53" s="172">
        <f>'P&amp;L'!Q21</f>
        <v>401</v>
      </c>
      <c r="F53" s="172">
        <f>'P&amp;L'!R21</f>
        <v>0</v>
      </c>
      <c r="G53" s="172" t="str">
        <f>'P&amp;L'!S21</f>
        <v/>
      </c>
      <c r="H53" s="172" t="str">
        <f>'P&amp;L'!T21</f>
        <v/>
      </c>
      <c r="I53" s="172" t="str">
        <f>'P&amp;L'!U21</f>
        <v/>
      </c>
      <c r="J53" s="172" t="str">
        <f>'P&amp;L'!V21</f>
        <v/>
      </c>
      <c r="K53" s="172" t="str">
        <f>'P&amp;L'!W21</f>
        <v/>
      </c>
      <c r="L53" s="172" t="str">
        <f>'P&amp;L'!X21</f>
        <v/>
      </c>
      <c r="M53" s="172" t="str">
        <f>'P&amp;L'!Y21</f>
        <v/>
      </c>
      <c r="N53" s="125">
        <f t="shared" si="20"/>
        <v>1401</v>
      </c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ht="15.75" customHeight="1">
      <c r="A54" s="127" t="s">
        <v>168</v>
      </c>
      <c r="B54" s="172">
        <f>'P&amp;L'!N22</f>
        <v>20</v>
      </c>
      <c r="C54" s="172">
        <f>'P&amp;L'!O22</f>
        <v>20</v>
      </c>
      <c r="D54" s="172">
        <f>'P&amp;L'!P22</f>
        <v>60</v>
      </c>
      <c r="E54" s="172">
        <f>'P&amp;L'!Q22</f>
        <v>117.9</v>
      </c>
      <c r="F54" s="172">
        <f>'P&amp;L'!R22</f>
        <v>0</v>
      </c>
      <c r="G54" s="172" t="str">
        <f>'P&amp;L'!S22</f>
        <v/>
      </c>
      <c r="H54" s="172" t="str">
        <f>'P&amp;L'!T22</f>
        <v/>
      </c>
      <c r="I54" s="172" t="str">
        <f>'P&amp;L'!U22</f>
        <v/>
      </c>
      <c r="J54" s="172" t="str">
        <f>'P&amp;L'!V22</f>
        <v/>
      </c>
      <c r="K54" s="172" t="str">
        <f>'P&amp;L'!W22</f>
        <v/>
      </c>
      <c r="L54" s="172" t="str">
        <f>'P&amp;L'!X22</f>
        <v/>
      </c>
      <c r="M54" s="172" t="str">
        <f>'P&amp;L'!Y22</f>
        <v/>
      </c>
      <c r="N54" s="125">
        <f t="shared" si="20"/>
        <v>217.9</v>
      </c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ht="15.75" customHeight="1">
      <c r="A55" s="127" t="s">
        <v>169</v>
      </c>
      <c r="B55" s="172">
        <f>'P&amp;L'!N23</f>
        <v>0</v>
      </c>
      <c r="C55" s="172">
        <f>'P&amp;L'!O23</f>
        <v>26.68</v>
      </c>
      <c r="D55" s="172">
        <f>'P&amp;L'!P23</f>
        <v>78.87</v>
      </c>
      <c r="E55" s="172">
        <f>'P&amp;L'!Q23</f>
        <v>26.68</v>
      </c>
      <c r="F55" s="172">
        <f>'P&amp;L'!R23</f>
        <v>0</v>
      </c>
      <c r="G55" s="172" t="str">
        <f>'P&amp;L'!S23</f>
        <v/>
      </c>
      <c r="H55" s="172" t="str">
        <f>'P&amp;L'!T23</f>
        <v/>
      </c>
      <c r="I55" s="172" t="str">
        <f>'P&amp;L'!U23</f>
        <v/>
      </c>
      <c r="J55" s="172" t="str">
        <f>'P&amp;L'!V23</f>
        <v/>
      </c>
      <c r="K55" s="172" t="str">
        <f>'P&amp;L'!W23</f>
        <v/>
      </c>
      <c r="L55" s="172" t="str">
        <f>'P&amp;L'!X23</f>
        <v/>
      </c>
      <c r="M55" s="172" t="str">
        <f>'P&amp;L'!Y23</f>
        <v/>
      </c>
      <c r="N55" s="125">
        <f t="shared" si="20"/>
        <v>132.23</v>
      </c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ht="15.75" customHeight="1">
      <c r="A56" s="127" t="s">
        <v>170</v>
      </c>
      <c r="B56" s="172">
        <f>'P&amp;L'!N24</f>
        <v>121.72</v>
      </c>
      <c r="C56" s="172">
        <f>'P&amp;L'!O24</f>
        <v>31.61</v>
      </c>
      <c r="D56" s="172">
        <f>'P&amp;L'!P24</f>
        <v>0</v>
      </c>
      <c r="E56" s="172">
        <f>'P&amp;L'!Q24</f>
        <v>0</v>
      </c>
      <c r="F56" s="172">
        <f>'P&amp;L'!R24</f>
        <v>0</v>
      </c>
      <c r="G56" s="172" t="str">
        <f>'P&amp;L'!S24</f>
        <v/>
      </c>
      <c r="H56" s="172" t="str">
        <f>'P&amp;L'!T24</f>
        <v/>
      </c>
      <c r="I56" s="172" t="str">
        <f>'P&amp;L'!U24</f>
        <v/>
      </c>
      <c r="J56" s="172" t="str">
        <f>'P&amp;L'!V24</f>
        <v/>
      </c>
      <c r="K56" s="172" t="str">
        <f>'P&amp;L'!W24</f>
        <v/>
      </c>
      <c r="L56" s="172" t="str">
        <f>'P&amp;L'!X24</f>
        <v/>
      </c>
      <c r="M56" s="172" t="str">
        <f>'P&amp;L'!Y24</f>
        <v/>
      </c>
      <c r="N56" s="125">
        <f t="shared" si="20"/>
        <v>153.33</v>
      </c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ht="15.75" customHeight="1">
      <c r="A57" s="127" t="s">
        <v>172</v>
      </c>
      <c r="B57" s="172">
        <f>'P&amp;L'!N25</f>
        <v>274.43</v>
      </c>
      <c r="C57" s="172">
        <f>'P&amp;L'!O25</f>
        <v>96.45</v>
      </c>
      <c r="D57" s="172">
        <f>'P&amp;L'!P25</f>
        <v>206.29</v>
      </c>
      <c r="E57" s="172">
        <f>'P&amp;L'!Q25</f>
        <v>361.71</v>
      </c>
      <c r="F57" s="172">
        <f>'P&amp;L'!R25</f>
        <v>0</v>
      </c>
      <c r="G57" s="172">
        <f>'P&amp;L'!S25</f>
        <v>200</v>
      </c>
      <c r="H57" s="172">
        <f>'P&amp;L'!T25</f>
        <v>200</v>
      </c>
      <c r="I57" s="172">
        <f>'P&amp;L'!U25</f>
        <v>200</v>
      </c>
      <c r="J57" s="172">
        <f>'P&amp;L'!V25</f>
        <v>200</v>
      </c>
      <c r="K57" s="172">
        <f>'P&amp;L'!W25</f>
        <v>200</v>
      </c>
      <c r="L57" s="172">
        <f>'P&amp;L'!X25</f>
        <v>200</v>
      </c>
      <c r="M57" s="172">
        <f>'P&amp;L'!Y25</f>
        <v>200</v>
      </c>
      <c r="N57" s="125">
        <f t="shared" si="20"/>
        <v>2338.88</v>
      </c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ht="15.75" customHeight="1">
      <c r="A58" s="127" t="s">
        <v>173</v>
      </c>
      <c r="B58" s="172">
        <f>'P&amp;L'!N26</f>
        <v>998.5</v>
      </c>
      <c r="C58" s="172">
        <f>'P&amp;L'!O26</f>
        <v>1044.51</v>
      </c>
      <c r="D58" s="172">
        <f>'P&amp;L'!P26</f>
        <v>1011.81</v>
      </c>
      <c r="E58" s="172">
        <f>'P&amp;L'!Q26</f>
        <v>510.83</v>
      </c>
      <c r="F58" s="172">
        <f>'P&amp;L'!R26</f>
        <v>0</v>
      </c>
      <c r="G58" s="172">
        <f>'P&amp;L'!S26</f>
        <v>900</v>
      </c>
      <c r="H58" s="172">
        <f>'P&amp;L'!T26</f>
        <v>900</v>
      </c>
      <c r="I58" s="172">
        <f>'P&amp;L'!U26</f>
        <v>900</v>
      </c>
      <c r="J58" s="172">
        <f>'P&amp;L'!V26</f>
        <v>900</v>
      </c>
      <c r="K58" s="172">
        <f>'P&amp;L'!W26</f>
        <v>900</v>
      </c>
      <c r="L58" s="172">
        <f>'P&amp;L'!X26</f>
        <v>900</v>
      </c>
      <c r="M58" s="172">
        <f>'P&amp;L'!Y26</f>
        <v>900</v>
      </c>
      <c r="N58" s="125">
        <f t="shared" si="20"/>
        <v>9865.65</v>
      </c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ht="15.75" customHeight="1">
      <c r="A59" s="127" t="s">
        <v>174</v>
      </c>
      <c r="B59" s="172">
        <f>'P&amp;L'!N27</f>
        <v>0</v>
      </c>
      <c r="C59" s="172">
        <f>'P&amp;L'!O27</f>
        <v>0</v>
      </c>
      <c r="D59" s="172">
        <f>'P&amp;L'!P27</f>
        <v>0</v>
      </c>
      <c r="E59" s="172">
        <f>'P&amp;L'!Q27</f>
        <v>0</v>
      </c>
      <c r="F59" s="172">
        <f>'P&amp;L'!R27</f>
        <v>0</v>
      </c>
      <c r="G59" s="172" t="str">
        <f>'P&amp;L'!S27</f>
        <v/>
      </c>
      <c r="H59" s="172" t="str">
        <f>'P&amp;L'!T27</f>
        <v/>
      </c>
      <c r="I59" s="172" t="str">
        <f>'P&amp;L'!U27</f>
        <v/>
      </c>
      <c r="J59" s="172" t="str">
        <f>'P&amp;L'!V27</f>
        <v/>
      </c>
      <c r="K59" s="172" t="str">
        <f>'P&amp;L'!W27</f>
        <v/>
      </c>
      <c r="L59" s="172" t="str">
        <f>'P&amp;L'!X27</f>
        <v/>
      </c>
      <c r="M59" s="172" t="str">
        <f>'P&amp;L'!Y27</f>
        <v/>
      </c>
      <c r="N59" s="125">
        <f t="shared" si="20"/>
        <v>0</v>
      </c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ht="15.75" customHeight="1">
      <c r="A60" s="127" t="s">
        <v>175</v>
      </c>
      <c r="B60" s="172">
        <f>'P&amp;L'!N28</f>
        <v>306.86</v>
      </c>
      <c r="C60" s="172">
        <f>'P&amp;L'!O28</f>
        <v>0</v>
      </c>
      <c r="D60" s="172">
        <f>'P&amp;L'!P28</f>
        <v>0</v>
      </c>
      <c r="E60" s="172">
        <f>'P&amp;L'!Q28</f>
        <v>0</v>
      </c>
      <c r="F60" s="172">
        <f>'P&amp;L'!R28</f>
        <v>0</v>
      </c>
      <c r="G60" s="172" t="str">
        <f>'P&amp;L'!S28</f>
        <v/>
      </c>
      <c r="H60" s="172" t="str">
        <f>'P&amp;L'!T28</f>
        <v/>
      </c>
      <c r="I60" s="172" t="str">
        <f>'P&amp;L'!U28</f>
        <v/>
      </c>
      <c r="J60" s="172" t="str">
        <f>'P&amp;L'!V28</f>
        <v/>
      </c>
      <c r="K60" s="172" t="str">
        <f>'P&amp;L'!W28</f>
        <v/>
      </c>
      <c r="L60" s="172" t="str">
        <f>'P&amp;L'!X28</f>
        <v/>
      </c>
      <c r="M60" s="172" t="str">
        <f>'P&amp;L'!Y28</f>
        <v/>
      </c>
      <c r="N60" s="125">
        <f t="shared" si="20"/>
        <v>306.86</v>
      </c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ht="15.75" customHeight="1">
      <c r="A61" s="127" t="s">
        <v>176</v>
      </c>
      <c r="B61" s="172">
        <f>'P&amp;L'!N29</f>
        <v>421.1</v>
      </c>
      <c r="C61" s="172">
        <f>'P&amp;L'!O29</f>
        <v>420.43</v>
      </c>
      <c r="D61" s="172">
        <f>'P&amp;L'!P29</f>
        <v>419.97</v>
      </c>
      <c r="E61" s="172">
        <f>'P&amp;L'!Q29</f>
        <v>451.94</v>
      </c>
      <c r="F61" s="172">
        <f>'P&amp;L'!R29</f>
        <v>0</v>
      </c>
      <c r="G61" s="172">
        <f>'P&amp;L'!S29</f>
        <v>430</v>
      </c>
      <c r="H61" s="172">
        <f>'P&amp;L'!T29</f>
        <v>430</v>
      </c>
      <c r="I61" s="172">
        <f>'P&amp;L'!U29</f>
        <v>430</v>
      </c>
      <c r="J61" s="172">
        <f>'P&amp;L'!V29</f>
        <v>430</v>
      </c>
      <c r="K61" s="172">
        <f>'P&amp;L'!W29</f>
        <v>430</v>
      </c>
      <c r="L61" s="172">
        <f>'P&amp;L'!X29</f>
        <v>430</v>
      </c>
      <c r="M61" s="172">
        <f>'P&amp;L'!Y29</f>
        <v>430</v>
      </c>
      <c r="N61" s="125">
        <f t="shared" si="20"/>
        <v>4723.44</v>
      </c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ht="15.75" customHeight="1">
      <c r="A62" s="127" t="s">
        <v>177</v>
      </c>
      <c r="B62" s="172">
        <f>'P&amp;L'!N30</f>
        <v>5</v>
      </c>
      <c r="C62" s="172">
        <f>'P&amp;L'!O30</f>
        <v>0</v>
      </c>
      <c r="D62" s="172">
        <f>'P&amp;L'!P30</f>
        <v>0</v>
      </c>
      <c r="E62" s="172">
        <f>'P&amp;L'!Q30</f>
        <v>0</v>
      </c>
      <c r="F62" s="172">
        <f>'P&amp;L'!R30</f>
        <v>0</v>
      </c>
      <c r="G62" s="172" t="str">
        <f>'P&amp;L'!S30</f>
        <v/>
      </c>
      <c r="H62" s="172" t="str">
        <f>'P&amp;L'!T30</f>
        <v/>
      </c>
      <c r="I62" s="172" t="str">
        <f>'P&amp;L'!U30</f>
        <v/>
      </c>
      <c r="J62" s="172" t="str">
        <f>'P&amp;L'!V30</f>
        <v/>
      </c>
      <c r="K62" s="172" t="str">
        <f>'P&amp;L'!W30</f>
        <v/>
      </c>
      <c r="L62" s="172" t="str">
        <f>'P&amp;L'!X30</f>
        <v/>
      </c>
      <c r="M62" s="172" t="str">
        <f>'P&amp;L'!Y30</f>
        <v/>
      </c>
      <c r="N62" s="125">
        <f t="shared" si="20"/>
        <v>5</v>
      </c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ht="15.75" customHeight="1">
      <c r="A63" s="127" t="s">
        <v>178</v>
      </c>
      <c r="B63" s="172">
        <f>'P&amp;L'!N31</f>
        <v>0</v>
      </c>
      <c r="C63" s="172">
        <f>'P&amp;L'!O31</f>
        <v>150</v>
      </c>
      <c r="D63" s="172">
        <f>'P&amp;L'!P31</f>
        <v>175</v>
      </c>
      <c r="E63" s="172">
        <f>'P&amp;L'!Q31</f>
        <v>250</v>
      </c>
      <c r="F63" s="172">
        <f>'P&amp;L'!R31</f>
        <v>150</v>
      </c>
      <c r="G63" s="172">
        <f>'P&amp;L'!S31</f>
        <v>150</v>
      </c>
      <c r="H63" s="172">
        <f>'P&amp;L'!T31</f>
        <v>150</v>
      </c>
      <c r="I63" s="172">
        <f>'P&amp;L'!U31</f>
        <v>150</v>
      </c>
      <c r="J63" s="172">
        <f>'P&amp;L'!V31</f>
        <v>150</v>
      </c>
      <c r="K63" s="172">
        <f>'P&amp;L'!W31</f>
        <v>150</v>
      </c>
      <c r="L63" s="172">
        <f>'P&amp;L'!X31</f>
        <v>150</v>
      </c>
      <c r="M63" s="172">
        <f>'P&amp;L'!Y31</f>
        <v>150</v>
      </c>
      <c r="N63" s="125">
        <f t="shared" si="20"/>
        <v>1775</v>
      </c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ht="15.75" customHeight="1">
      <c r="A64" s="127" t="s">
        <v>179</v>
      </c>
      <c r="B64" s="172">
        <f>'P&amp;L'!N32</f>
        <v>10673.57</v>
      </c>
      <c r="C64" s="172">
        <f>'P&amp;L'!O32</f>
        <v>10616.25</v>
      </c>
      <c r="D64" s="172">
        <f>'P&amp;L'!P32</f>
        <v>11420.68</v>
      </c>
      <c r="E64" s="172">
        <f>'P&amp;L'!Q32</f>
        <v>9464.12</v>
      </c>
      <c r="F64" s="172">
        <f>'P&amp;L'!R32</f>
        <v>15000</v>
      </c>
      <c r="G64" s="172">
        <f>'P&amp;L'!S32</f>
        <v>15000</v>
      </c>
      <c r="H64" s="172">
        <f>'P&amp;L'!T32</f>
        <v>15000</v>
      </c>
      <c r="I64" s="172">
        <f>'P&amp;L'!U32</f>
        <v>15000</v>
      </c>
      <c r="J64" s="172">
        <f>'P&amp;L'!V32</f>
        <v>15000</v>
      </c>
      <c r="K64" s="172">
        <f>'P&amp;L'!W32</f>
        <v>15000</v>
      </c>
      <c r="L64" s="172">
        <f>'P&amp;L'!X32</f>
        <v>15000</v>
      </c>
      <c r="M64" s="172">
        <f>'P&amp;L'!Y32</f>
        <v>15000</v>
      </c>
      <c r="N64" s="125">
        <f t="shared" si="20"/>
        <v>162174.62</v>
      </c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ht="15.75" customHeight="1">
      <c r="A65" s="127" t="s">
        <v>180</v>
      </c>
      <c r="B65" s="172">
        <f>'P&amp;L'!N33</f>
        <v>90</v>
      </c>
      <c r="C65" s="172">
        <f>'P&amp;L'!O33</f>
        <v>0</v>
      </c>
      <c r="D65" s="172">
        <f>'P&amp;L'!P33</f>
        <v>0</v>
      </c>
      <c r="E65" s="172">
        <f>'P&amp;L'!Q33</f>
        <v>0</v>
      </c>
      <c r="F65" s="172">
        <f>'P&amp;L'!R33</f>
        <v>0</v>
      </c>
      <c r="G65" s="172" t="str">
        <f>'P&amp;L'!S33</f>
        <v/>
      </c>
      <c r="H65" s="172" t="str">
        <f>'P&amp;L'!T33</f>
        <v/>
      </c>
      <c r="I65" s="172" t="str">
        <f>'P&amp;L'!U33</f>
        <v/>
      </c>
      <c r="J65" s="172" t="str">
        <f>'P&amp;L'!V33</f>
        <v/>
      </c>
      <c r="K65" s="172" t="str">
        <f>'P&amp;L'!W33</f>
        <v/>
      </c>
      <c r="L65" s="172" t="str">
        <f>'P&amp;L'!X33</f>
        <v/>
      </c>
      <c r="M65" s="172" t="str">
        <f>'P&amp;L'!Y33</f>
        <v/>
      </c>
      <c r="N65" s="125">
        <f t="shared" si="20"/>
        <v>90</v>
      </c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ht="15.75" customHeight="1">
      <c r="A66" s="127" t="s">
        <v>181</v>
      </c>
      <c r="B66" s="172">
        <f>'P&amp;L'!N34</f>
        <v>4385.45</v>
      </c>
      <c r="C66" s="172">
        <f>'P&amp;L'!O34</f>
        <v>4694.04</v>
      </c>
      <c r="D66" s="172">
        <f>'P&amp;L'!P34</f>
        <v>3942.38</v>
      </c>
      <c r="E66" s="172">
        <f>'P&amp;L'!Q34</f>
        <v>4788.57</v>
      </c>
      <c r="F66" s="172">
        <f>'P&amp;L'!R34</f>
        <v>2540.23</v>
      </c>
      <c r="G66" s="172">
        <f>'P&amp;L'!S34</f>
        <v>4000</v>
      </c>
      <c r="H66" s="172">
        <f>'P&amp;L'!T34</f>
        <v>4000</v>
      </c>
      <c r="I66" s="172">
        <f>'P&amp;L'!U34</f>
        <v>4000</v>
      </c>
      <c r="J66" s="172">
        <f>'P&amp;L'!V34</f>
        <v>4000</v>
      </c>
      <c r="K66" s="172">
        <f>'P&amp;L'!W34</f>
        <v>4000</v>
      </c>
      <c r="L66" s="172">
        <f>'P&amp;L'!X34</f>
        <v>4000</v>
      </c>
      <c r="M66" s="172">
        <f>'P&amp;L'!Y34</f>
        <v>4000</v>
      </c>
      <c r="N66" s="125">
        <f t="shared" si="20"/>
        <v>48350.67</v>
      </c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ht="15.75" customHeight="1">
      <c r="A67" s="127" t="s">
        <v>182</v>
      </c>
      <c r="B67" s="172">
        <f>'P&amp;L'!N35</f>
        <v>0</v>
      </c>
      <c r="C67" s="172">
        <f>'P&amp;L'!O35</f>
        <v>18.01</v>
      </c>
      <c r="D67" s="172">
        <f>'P&amp;L'!P35</f>
        <v>290.68</v>
      </c>
      <c r="E67" s="172">
        <f>'P&amp;L'!Q35</f>
        <v>302.97</v>
      </c>
      <c r="F67" s="172">
        <f>'P&amp;L'!R35</f>
        <v>0</v>
      </c>
      <c r="G67" s="172">
        <f>'P&amp;L'!S35</f>
        <v>500</v>
      </c>
      <c r="H67" s="172">
        <f>'P&amp;L'!T35</f>
        <v>500</v>
      </c>
      <c r="I67" s="172">
        <f>'P&amp;L'!U35</f>
        <v>500</v>
      </c>
      <c r="J67" s="172">
        <f>'P&amp;L'!V35</f>
        <v>500</v>
      </c>
      <c r="K67" s="172">
        <f>'P&amp;L'!W35</f>
        <v>500</v>
      </c>
      <c r="L67" s="172">
        <f>'P&amp;L'!X35</f>
        <v>500</v>
      </c>
      <c r="M67" s="172">
        <f>'P&amp;L'!Y35</f>
        <v>500</v>
      </c>
      <c r="N67" s="125">
        <f t="shared" si="20"/>
        <v>4111.66</v>
      </c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ht="15.75" customHeight="1">
      <c r="A68" s="127" t="s">
        <v>236</v>
      </c>
      <c r="B68" s="172">
        <f>'P&amp;L'!N36</f>
        <v>0</v>
      </c>
      <c r="C68" s="172">
        <f>'P&amp;L'!O36</f>
        <v>0</v>
      </c>
      <c r="D68" s="172">
        <f>'P&amp;L'!P36</f>
        <v>85.31</v>
      </c>
      <c r="E68" s="172">
        <f>'P&amp;L'!Q36</f>
        <v>0</v>
      </c>
      <c r="F68" s="172">
        <f>'P&amp;L'!R36</f>
        <v>0</v>
      </c>
      <c r="G68" s="172" t="str">
        <f>'P&amp;L'!S36</f>
        <v/>
      </c>
      <c r="H68" s="172" t="str">
        <f>'P&amp;L'!T36</f>
        <v/>
      </c>
      <c r="I68" s="172" t="str">
        <f>'P&amp;L'!U36</f>
        <v/>
      </c>
      <c r="J68" s="172" t="str">
        <f>'P&amp;L'!V36</f>
        <v/>
      </c>
      <c r="K68" s="172" t="str">
        <f>'P&amp;L'!W36</f>
        <v/>
      </c>
      <c r="L68" s="172" t="str">
        <f>'P&amp;L'!X36</f>
        <v/>
      </c>
      <c r="M68" s="172" t="str">
        <f>'P&amp;L'!Y36</f>
        <v/>
      </c>
      <c r="N68" s="125">
        <f t="shared" si="20"/>
        <v>85.31</v>
      </c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ht="15.75" customHeight="1">
      <c r="A69" s="173" t="s">
        <v>183</v>
      </c>
      <c r="B69" s="174">
        <f>'P&amp;L'!N37</f>
        <v>0</v>
      </c>
      <c r="C69" s="174">
        <f>'P&amp;L'!O37</f>
        <v>0</v>
      </c>
      <c r="D69" s="174">
        <f>'P&amp;L'!P37</f>
        <v>0</v>
      </c>
      <c r="E69" s="174">
        <f>'P&amp;L'!Q37</f>
        <v>0</v>
      </c>
      <c r="F69" s="174">
        <f>'P&amp;L'!R37</f>
        <v>0</v>
      </c>
      <c r="G69" s="174" t="str">
        <f>'P&amp;L'!S37</f>
        <v/>
      </c>
      <c r="H69" s="174" t="str">
        <f>'P&amp;L'!T37</f>
        <v/>
      </c>
      <c r="I69" s="174" t="str">
        <f>'P&amp;L'!U37</f>
        <v/>
      </c>
      <c r="J69" s="174" t="str">
        <f>'P&amp;L'!V37</f>
        <v/>
      </c>
      <c r="K69" s="174" t="str">
        <f>'P&amp;L'!W37</f>
        <v/>
      </c>
      <c r="L69" s="174" t="str">
        <f>'P&amp;L'!X37</f>
        <v/>
      </c>
      <c r="M69" s="174" t="str">
        <f>'P&amp;L'!Y37</f>
        <v/>
      </c>
      <c r="N69" s="175">
        <f t="shared" si="20"/>
        <v>0</v>
      </c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ht="15.75" customHeight="1">
      <c r="A70" s="176" t="s">
        <v>184</v>
      </c>
      <c r="B70" s="174">
        <f t="shared" ref="B70:N70" si="21">sum(B49:B69)</f>
        <v>17752.47</v>
      </c>
      <c r="C70" s="174">
        <f t="shared" si="21"/>
        <v>18488.61</v>
      </c>
      <c r="D70" s="174">
        <f t="shared" si="21"/>
        <v>19157.75</v>
      </c>
      <c r="E70" s="174">
        <f t="shared" si="21"/>
        <v>17017.52</v>
      </c>
      <c r="F70" s="174">
        <f t="shared" si="21"/>
        <v>17731.73</v>
      </c>
      <c r="G70" s="174">
        <f t="shared" si="21"/>
        <v>21822</v>
      </c>
      <c r="H70" s="174">
        <f t="shared" si="21"/>
        <v>21822</v>
      </c>
      <c r="I70" s="174">
        <f t="shared" si="21"/>
        <v>21822</v>
      </c>
      <c r="J70" s="174">
        <f t="shared" si="21"/>
        <v>21822</v>
      </c>
      <c r="K70" s="174">
        <f t="shared" si="21"/>
        <v>21822</v>
      </c>
      <c r="L70" s="174">
        <f t="shared" si="21"/>
        <v>21822</v>
      </c>
      <c r="M70" s="174">
        <f t="shared" si="21"/>
        <v>21822</v>
      </c>
      <c r="N70" s="174">
        <f t="shared" si="21"/>
        <v>242902.08</v>
      </c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ht="15.75" customHeight="1">
      <c r="A71" s="177" t="s">
        <v>186</v>
      </c>
      <c r="B71" s="172">
        <f t="shared" ref="B71:N71" si="22">B47-B70</f>
        <v>-47566.72</v>
      </c>
      <c r="C71" s="172">
        <f t="shared" si="22"/>
        <v>23062.61</v>
      </c>
      <c r="D71" s="172">
        <f t="shared" si="22"/>
        <v>-8517.11</v>
      </c>
      <c r="E71" s="172">
        <f t="shared" si="22"/>
        <v>28666.61</v>
      </c>
      <c r="F71" s="172">
        <f t="shared" si="22"/>
        <v>17165.56</v>
      </c>
      <c r="G71" s="172">
        <f t="shared" si="22"/>
        <v>-68011.8</v>
      </c>
      <c r="H71" s="172">
        <f t="shared" si="22"/>
        <v>-92303.8</v>
      </c>
      <c r="I71" s="172">
        <f t="shared" si="22"/>
        <v>-86503.8</v>
      </c>
      <c r="J71" s="172">
        <f t="shared" si="22"/>
        <v>-32703.8</v>
      </c>
      <c r="K71" s="172">
        <f t="shared" si="22"/>
        <v>11096.2</v>
      </c>
      <c r="L71" s="172">
        <f t="shared" si="22"/>
        <v>85696.2</v>
      </c>
      <c r="M71" s="172">
        <f t="shared" si="22"/>
        <v>147696.2</v>
      </c>
      <c r="N71" s="172">
        <f t="shared" si="22"/>
        <v>577028.95</v>
      </c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ht="15.75" customHeight="1">
      <c r="A72" s="127"/>
      <c r="B72" s="172"/>
      <c r="C72" s="172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25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ht="15.75" customHeight="1">
      <c r="A73" s="178" t="s">
        <v>237</v>
      </c>
      <c r="B73" s="179"/>
      <c r="C73" s="179"/>
      <c r="D73" s="179"/>
      <c r="E73" s="180">
        <v>63655.75</v>
      </c>
      <c r="F73" s="180">
        <f>63655.75+G34</f>
        <v>238655.75</v>
      </c>
      <c r="G73" s="179">
        <f>F73+G71</f>
        <v>170643.95</v>
      </c>
      <c r="H73" s="179">
        <f>G73+H71+45000</f>
        <v>123340.15</v>
      </c>
      <c r="I73" s="179">
        <f t="shared" ref="I73:N73" si="23">H73+I71</f>
        <v>36836.35</v>
      </c>
      <c r="J73" s="179">
        <f t="shared" si="23"/>
        <v>4132.55</v>
      </c>
      <c r="K73" s="179">
        <f t="shared" si="23"/>
        <v>15228.75</v>
      </c>
      <c r="L73" s="179">
        <f t="shared" si="23"/>
        <v>100924.95</v>
      </c>
      <c r="M73" s="179">
        <f t="shared" si="23"/>
        <v>248621.15</v>
      </c>
      <c r="N73" s="179">
        <f t="shared" si="23"/>
        <v>825650.1</v>
      </c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129"/>
      <c r="B74" s="129"/>
      <c r="C74" s="129"/>
      <c r="D74" s="129"/>
      <c r="E74" s="129"/>
      <c r="F74" s="129"/>
      <c r="G74" s="129"/>
      <c r="H74" s="136"/>
      <c r="I74" s="136"/>
      <c r="J74" s="136"/>
      <c r="K74" s="136"/>
      <c r="L74" s="129"/>
      <c r="M74" s="129"/>
      <c r="N74" s="136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ht="15.75" customHeight="1">
      <c r="A75" s="129"/>
      <c r="B75" s="129"/>
      <c r="C75" s="129"/>
      <c r="D75" s="129"/>
      <c r="E75" s="129"/>
      <c r="F75" s="129"/>
      <c r="G75" s="129"/>
      <c r="H75" s="136"/>
      <c r="I75" s="136"/>
      <c r="J75" s="136"/>
      <c r="K75" s="136"/>
      <c r="L75" s="129"/>
      <c r="M75" s="129"/>
      <c r="N75" s="136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ht="15.75" customHeight="1">
      <c r="A76" s="129"/>
      <c r="B76" s="129"/>
      <c r="C76" s="129"/>
      <c r="D76" s="129"/>
      <c r="E76" s="129"/>
      <c r="F76" s="129"/>
      <c r="G76" s="129"/>
      <c r="H76" s="129"/>
      <c r="I76" s="136"/>
      <c r="J76" s="136"/>
      <c r="K76" s="136"/>
      <c r="L76" s="129"/>
      <c r="M76" s="129"/>
      <c r="N76" s="129"/>
      <c r="O76" s="129"/>
      <c r="P76" s="129"/>
      <c r="Q76" s="129"/>
      <c r="R76" s="129"/>
      <c r="S76" s="129"/>
      <c r="T76" s="129"/>
      <c r="U76" s="136"/>
      <c r="V76" s="136"/>
      <c r="W76" s="129"/>
      <c r="X76" s="129"/>
      <c r="Y76" s="129"/>
      <c r="Z76" s="129"/>
    </row>
    <row r="77" ht="15.75" customHeight="1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36"/>
      <c r="V77" s="136"/>
      <c r="W77" s="129"/>
      <c r="X77" s="129"/>
      <c r="Y77" s="129"/>
      <c r="Z77" s="129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</cols>
  <sheetData>
    <row r="2">
      <c r="A2" s="141" t="s">
        <v>238</v>
      </c>
      <c r="B2" s="141" t="s">
        <v>239</v>
      </c>
      <c r="C2" s="141" t="s">
        <v>240</v>
      </c>
      <c r="D2" s="141" t="s">
        <v>241</v>
      </c>
      <c r="E2" s="141" t="s">
        <v>242</v>
      </c>
      <c r="F2" s="141" t="s">
        <v>243</v>
      </c>
      <c r="G2" s="141" t="s">
        <v>244</v>
      </c>
      <c r="H2" s="141" t="s">
        <v>245</v>
      </c>
      <c r="I2" s="141" t="s">
        <v>242</v>
      </c>
      <c r="J2" s="141" t="s">
        <v>246</v>
      </c>
      <c r="K2" s="141" t="s">
        <v>247</v>
      </c>
      <c r="L2" s="141" t="s">
        <v>248</v>
      </c>
    </row>
    <row r="3">
      <c r="A3" s="141" t="s">
        <v>249</v>
      </c>
    </row>
    <row r="4">
      <c r="A4" s="141" t="s">
        <v>250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hidden="1" min="2" max="4" width="9.43"/>
    <col customWidth="1" hidden="1" min="5" max="5" width="10.29"/>
    <col customWidth="1" hidden="1" min="6" max="7" width="9.43"/>
    <col customWidth="1" hidden="1" min="8" max="8" width="10.29"/>
    <col customWidth="1" hidden="1" min="9" max="9" width="11.14"/>
    <col customWidth="1" hidden="1" min="10" max="12" width="9.43"/>
    <col customWidth="1" hidden="1" min="13" max="13" width="10.29"/>
    <col customWidth="1" min="14" max="14" width="11.14"/>
    <col customWidth="1" min="15" max="15" width="9.43"/>
    <col customWidth="1" min="16" max="16" width="10.29"/>
    <col customWidth="1" min="17" max="21" width="9.43"/>
    <col customWidth="1" min="22" max="25" width="10.43"/>
    <col customWidth="1" min="26" max="26" width="12.0"/>
  </cols>
  <sheetData>
    <row r="1">
      <c r="A1" s="103" t="s">
        <v>122</v>
      </c>
    </row>
    <row r="2">
      <c r="A2" s="103" t="s">
        <v>123</v>
      </c>
    </row>
    <row r="3">
      <c r="A3" s="181" t="s">
        <v>251</v>
      </c>
    </row>
    <row r="4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1"/>
      <c r="B5" s="105" t="s">
        <v>137</v>
      </c>
      <c r="C5" s="105" t="s">
        <v>138</v>
      </c>
      <c r="D5" s="105" t="s">
        <v>139</v>
      </c>
      <c r="E5" s="105" t="s">
        <v>140</v>
      </c>
      <c r="F5" s="105" t="s">
        <v>141</v>
      </c>
      <c r="G5" s="105" t="s">
        <v>142</v>
      </c>
      <c r="H5" s="105" t="s">
        <v>143</v>
      </c>
      <c r="I5" s="105" t="s">
        <v>144</v>
      </c>
      <c r="J5" s="105" t="s">
        <v>145</v>
      </c>
      <c r="K5" s="105" t="s">
        <v>146</v>
      </c>
      <c r="L5" s="105" t="s">
        <v>147</v>
      </c>
      <c r="M5" s="105" t="s">
        <v>148</v>
      </c>
      <c r="N5" s="105" t="s">
        <v>149</v>
      </c>
      <c r="O5" s="105" t="s">
        <v>150</v>
      </c>
      <c r="P5" s="105" t="s">
        <v>151</v>
      </c>
      <c r="Q5" s="105" t="s">
        <v>252</v>
      </c>
      <c r="R5" s="106">
        <v>45047.0</v>
      </c>
      <c r="S5" s="106">
        <v>45078.0</v>
      </c>
      <c r="T5" s="106">
        <v>45108.0</v>
      </c>
      <c r="U5" s="106">
        <v>45139.0</v>
      </c>
      <c r="V5" s="106">
        <v>45170.0</v>
      </c>
      <c r="W5" s="106">
        <v>45200.0</v>
      </c>
      <c r="X5" s="106">
        <v>45231.0</v>
      </c>
      <c r="Y5" s="106">
        <v>45261.0</v>
      </c>
      <c r="Z5" s="105" t="s">
        <v>47</v>
      </c>
    </row>
    <row r="6">
      <c r="A6" s="107" t="s">
        <v>153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>
      <c r="A7" s="107" t="s">
        <v>154</v>
      </c>
      <c r="B7" s="109">
        <f t="shared" ref="B7:O7" si="1">0</f>
        <v>0</v>
      </c>
      <c r="C7" s="109">
        <f t="shared" si="1"/>
        <v>0</v>
      </c>
      <c r="D7" s="109">
        <f t="shared" si="1"/>
        <v>0</v>
      </c>
      <c r="E7" s="109">
        <f t="shared" si="1"/>
        <v>0</v>
      </c>
      <c r="F7" s="109">
        <f t="shared" si="1"/>
        <v>0</v>
      </c>
      <c r="G7" s="109">
        <f t="shared" si="1"/>
        <v>0</v>
      </c>
      <c r="H7" s="109">
        <f t="shared" si="1"/>
        <v>0</v>
      </c>
      <c r="I7" s="109">
        <f t="shared" si="1"/>
        <v>0</v>
      </c>
      <c r="J7" s="109">
        <f t="shared" si="1"/>
        <v>0</v>
      </c>
      <c r="K7" s="109">
        <f t="shared" si="1"/>
        <v>0</v>
      </c>
      <c r="L7" s="109">
        <f t="shared" si="1"/>
        <v>0</v>
      </c>
      <c r="M7" s="109">
        <f t="shared" si="1"/>
        <v>0</v>
      </c>
      <c r="N7" s="109">
        <f t="shared" si="1"/>
        <v>0</v>
      </c>
      <c r="O7" s="109">
        <f t="shared" si="1"/>
        <v>0</v>
      </c>
      <c r="P7" s="109">
        <f>1000</f>
        <v>1000</v>
      </c>
      <c r="Q7" s="109">
        <f t="shared" ref="Q7:R7" si="2">0</f>
        <v>0</v>
      </c>
      <c r="R7" s="109">
        <f t="shared" si="2"/>
        <v>0</v>
      </c>
      <c r="S7" s="109"/>
      <c r="T7" s="109"/>
      <c r="U7" s="109"/>
      <c r="V7" s="109"/>
      <c r="W7" s="109"/>
      <c r="X7" s="109"/>
      <c r="Y7" s="109"/>
      <c r="Z7" s="109">
        <f>((((((((((((((((B7)+(C7))+(D7))+(E7))+(F7))+(G7))+(H7))+(I7))+(J7))+(K7))+(L7))+(M7))+(N7))+(O7))+(P7))+(Q7))+(R7)</f>
        <v>1000</v>
      </c>
    </row>
    <row r="8">
      <c r="A8" s="107" t="s">
        <v>155</v>
      </c>
      <c r="B8" s="109">
        <f>47701.8</f>
        <v>47701.8</v>
      </c>
      <c r="C8" s="109">
        <f>51892.59</f>
        <v>51892.59</v>
      </c>
      <c r="D8" s="109">
        <f>45904.68</f>
        <v>45904.68</v>
      </c>
      <c r="E8" s="109">
        <f>48863.99</f>
        <v>48863.99</v>
      </c>
      <c r="F8" s="109">
        <f>50279.58</f>
        <v>50279.58</v>
      </c>
      <c r="G8" s="109">
        <f>49432.86</f>
        <v>49432.86</v>
      </c>
      <c r="H8" s="109">
        <f>101170.02</f>
        <v>101170.02</v>
      </c>
      <c r="I8" s="109">
        <f>49204.45</f>
        <v>49204.45</v>
      </c>
      <c r="J8" s="109">
        <f>79677.43</f>
        <v>79677.43</v>
      </c>
      <c r="K8" s="109">
        <f>74487.1</f>
        <v>74487.1</v>
      </c>
      <c r="L8" s="109">
        <f>66263.49</f>
        <v>66263.49</v>
      </c>
      <c r="M8" s="109">
        <f>155900.17</f>
        <v>155900.17</v>
      </c>
      <c r="N8" s="109">
        <f>2206.5</f>
        <v>2206.5</v>
      </c>
      <c r="O8" s="109">
        <f>89149.99</f>
        <v>89149.99</v>
      </c>
      <c r="P8" s="109">
        <f>77500.7</f>
        <v>77500.7</v>
      </c>
      <c r="Q8" s="109">
        <f>75991.47</f>
        <v>75991.47</v>
      </c>
      <c r="R8" s="109">
        <f>61921.25</f>
        <v>61921.25</v>
      </c>
      <c r="S8" s="182">
        <v>62972.0</v>
      </c>
      <c r="T8" s="182">
        <v>70000.0</v>
      </c>
      <c r="U8" s="182">
        <v>80000.0</v>
      </c>
      <c r="V8" s="182">
        <v>90000.0</v>
      </c>
      <c r="W8" s="182">
        <v>90000.0</v>
      </c>
      <c r="X8" s="182">
        <v>90000.0</v>
      </c>
      <c r="Y8" s="182">
        <v>90000.0</v>
      </c>
      <c r="Z8" s="183">
        <f>SUM(N8:Y8)</f>
        <v>879741.91</v>
      </c>
    </row>
    <row r="9">
      <c r="A9" s="107" t="s">
        <v>156</v>
      </c>
      <c r="B9" s="112">
        <f t="shared" ref="B9:R9" si="3">(B7)+(B8)</f>
        <v>47701.8</v>
      </c>
      <c r="C9" s="112">
        <f t="shared" si="3"/>
        <v>51892.59</v>
      </c>
      <c r="D9" s="112">
        <f t="shared" si="3"/>
        <v>45904.68</v>
      </c>
      <c r="E9" s="112">
        <f t="shared" si="3"/>
        <v>48863.99</v>
      </c>
      <c r="F9" s="112">
        <f t="shared" si="3"/>
        <v>50279.58</v>
      </c>
      <c r="G9" s="112">
        <f t="shared" si="3"/>
        <v>49432.86</v>
      </c>
      <c r="H9" s="112">
        <f t="shared" si="3"/>
        <v>101170.02</v>
      </c>
      <c r="I9" s="112">
        <f t="shared" si="3"/>
        <v>49204.45</v>
      </c>
      <c r="J9" s="112">
        <f t="shared" si="3"/>
        <v>79677.43</v>
      </c>
      <c r="K9" s="112">
        <f t="shared" si="3"/>
        <v>74487.1</v>
      </c>
      <c r="L9" s="112">
        <f t="shared" si="3"/>
        <v>66263.49</v>
      </c>
      <c r="M9" s="112">
        <f t="shared" si="3"/>
        <v>155900.17</v>
      </c>
      <c r="N9" s="112">
        <f t="shared" si="3"/>
        <v>2206.5</v>
      </c>
      <c r="O9" s="112">
        <f t="shared" si="3"/>
        <v>89149.99</v>
      </c>
      <c r="P9" s="112">
        <f t="shared" si="3"/>
        <v>78500.7</v>
      </c>
      <c r="Q9" s="112">
        <f t="shared" si="3"/>
        <v>75991.47</v>
      </c>
      <c r="R9" s="112">
        <f t="shared" si="3"/>
        <v>61921.25</v>
      </c>
      <c r="S9" s="112">
        <f t="shared" ref="S9:Y9" si="4">SUM(S7:S8)</f>
        <v>62972</v>
      </c>
      <c r="T9" s="112">
        <f t="shared" si="4"/>
        <v>70000</v>
      </c>
      <c r="U9" s="112">
        <f t="shared" si="4"/>
        <v>80000</v>
      </c>
      <c r="V9" s="112">
        <f t="shared" si="4"/>
        <v>90000</v>
      </c>
      <c r="W9" s="112">
        <f t="shared" si="4"/>
        <v>90000</v>
      </c>
      <c r="X9" s="112">
        <f t="shared" si="4"/>
        <v>90000</v>
      </c>
      <c r="Y9" s="112">
        <f t="shared" si="4"/>
        <v>90000</v>
      </c>
      <c r="Z9" s="113">
        <f>Z7+Z8</f>
        <v>880741.91</v>
      </c>
    </row>
    <row r="10">
      <c r="A10" s="107" t="s">
        <v>157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9">
        <f t="shared" ref="Z10:Z15" si="5">SUM(N10:Y10)</f>
        <v>0</v>
      </c>
    </row>
    <row r="11">
      <c r="A11" s="107" t="s">
        <v>158</v>
      </c>
      <c r="B11" s="109">
        <f>1353.5</f>
        <v>1353.5</v>
      </c>
      <c r="C11" s="109">
        <f>0</f>
        <v>0</v>
      </c>
      <c r="D11" s="109">
        <f>182.3</f>
        <v>182.3</v>
      </c>
      <c r="E11" s="109">
        <f>16336</f>
        <v>16336</v>
      </c>
      <c r="F11" s="109">
        <f>0</f>
        <v>0</v>
      </c>
      <c r="G11" s="109">
        <f>8925</f>
        <v>8925</v>
      </c>
      <c r="H11" s="109">
        <f>0</f>
        <v>0</v>
      </c>
      <c r="I11" s="109">
        <f>31360</f>
        <v>31360</v>
      </c>
      <c r="J11" s="109">
        <f>19425</f>
        <v>19425</v>
      </c>
      <c r="K11" s="109">
        <f>18335</f>
        <v>18335</v>
      </c>
      <c r="L11" s="109">
        <f>13025</f>
        <v>13025</v>
      </c>
      <c r="M11" s="109">
        <f>11425</f>
        <v>11425</v>
      </c>
      <c r="N11" s="109">
        <f t="shared" ref="N11:N12" si="6">0</f>
        <v>0</v>
      </c>
      <c r="O11" s="109">
        <f>15750</f>
        <v>15750</v>
      </c>
      <c r="P11" s="109">
        <f>35098</f>
        <v>35098</v>
      </c>
      <c r="Q11" s="109">
        <f>4015</f>
        <v>4015</v>
      </c>
      <c r="R11" s="109">
        <f>0</f>
        <v>0</v>
      </c>
      <c r="S11" s="184">
        <v>18000.0</v>
      </c>
      <c r="T11" s="184">
        <v>18000.0</v>
      </c>
      <c r="U11" s="184">
        <v>18000.0</v>
      </c>
      <c r="V11" s="184">
        <v>18000.0</v>
      </c>
      <c r="W11" s="184">
        <v>18000.0</v>
      </c>
      <c r="X11" s="184">
        <v>18000.0</v>
      </c>
      <c r="Y11" s="184">
        <v>18000.0</v>
      </c>
      <c r="Z11" s="109">
        <f t="shared" si="5"/>
        <v>180863</v>
      </c>
    </row>
    <row r="12">
      <c r="A12" s="107" t="s">
        <v>159</v>
      </c>
      <c r="B12" s="109">
        <f>373.39</f>
        <v>373.39</v>
      </c>
      <c r="C12" s="109">
        <f>81.67</f>
        <v>81.67</v>
      </c>
      <c r="D12" s="109">
        <f>83.86</f>
        <v>83.86</v>
      </c>
      <c r="E12" s="109">
        <f>124.09</f>
        <v>124.09</v>
      </c>
      <c r="F12" s="109">
        <f>90.02</f>
        <v>90.02</v>
      </c>
      <c r="G12" s="109">
        <f>91.18</f>
        <v>91.18</v>
      </c>
      <c r="H12" s="109">
        <f>85.38</f>
        <v>85.38</v>
      </c>
      <c r="I12" s="109">
        <f>86.54</f>
        <v>86.54</v>
      </c>
      <c r="J12" s="109">
        <f>132.13</f>
        <v>132.13</v>
      </c>
      <c r="K12" s="109">
        <f>84.22</f>
        <v>84.22</v>
      </c>
      <c r="L12" s="109">
        <f>148.97</f>
        <v>148.97</v>
      </c>
      <c r="M12" s="109">
        <f>151.29</f>
        <v>151.29</v>
      </c>
      <c r="N12" s="109">
        <f t="shared" si="6"/>
        <v>0</v>
      </c>
      <c r="O12" s="109">
        <f t="shared" ref="O12:R12" si="7">0</f>
        <v>0</v>
      </c>
      <c r="P12" s="109">
        <f t="shared" si="7"/>
        <v>0</v>
      </c>
      <c r="Q12" s="109">
        <f t="shared" si="7"/>
        <v>0</v>
      </c>
      <c r="R12" s="109">
        <f t="shared" si="7"/>
        <v>0</v>
      </c>
      <c r="S12" s="109"/>
      <c r="T12" s="109"/>
      <c r="U12" s="109"/>
      <c r="V12" s="109"/>
      <c r="W12" s="109"/>
      <c r="X12" s="109"/>
      <c r="Y12" s="109"/>
      <c r="Z12" s="109">
        <f t="shared" si="5"/>
        <v>0</v>
      </c>
    </row>
    <row r="13">
      <c r="A13" s="107" t="s">
        <v>160</v>
      </c>
      <c r="B13" s="109">
        <f>15761.64</f>
        <v>15761.64</v>
      </c>
      <c r="C13" s="109">
        <f>22397.21</f>
        <v>22397.21</v>
      </c>
      <c r="D13" s="109">
        <f>21011.1</f>
        <v>21011.1</v>
      </c>
      <c r="E13" s="109">
        <f>24084.28</f>
        <v>24084.28</v>
      </c>
      <c r="F13" s="109">
        <f>26329.36</f>
        <v>26329.36</v>
      </c>
      <c r="G13" s="109">
        <f>22979.88</f>
        <v>22979.88</v>
      </c>
      <c r="H13" s="109">
        <f>41588.29</f>
        <v>41588.29</v>
      </c>
      <c r="I13" s="109">
        <f>24627.26</f>
        <v>24627.26</v>
      </c>
      <c r="J13" s="109">
        <f>27740.33</f>
        <v>27740.33</v>
      </c>
      <c r="K13" s="109">
        <f>28184.93</f>
        <v>28184.93</v>
      </c>
      <c r="L13" s="109">
        <f>28625.81</f>
        <v>28625.81</v>
      </c>
      <c r="M13" s="109">
        <f>48646.84</f>
        <v>48646.84</v>
      </c>
      <c r="N13" s="109">
        <f>32020.75</f>
        <v>32020.75</v>
      </c>
      <c r="O13" s="109">
        <f>31848.77</f>
        <v>31848.77</v>
      </c>
      <c r="P13" s="109">
        <f>32762.06</f>
        <v>32762.06</v>
      </c>
      <c r="Q13" s="109">
        <f>26292.34</f>
        <v>26292.34</v>
      </c>
      <c r="R13" s="109">
        <f>27023.96</f>
        <v>27023.96</v>
      </c>
      <c r="S13" s="109">
        <v>30000.0</v>
      </c>
      <c r="T13" s="109">
        <v>30000.0</v>
      </c>
      <c r="U13" s="109">
        <v>30000.0</v>
      </c>
      <c r="V13" s="109">
        <v>30000.0</v>
      </c>
      <c r="W13" s="109">
        <v>30000.0</v>
      </c>
      <c r="X13" s="109">
        <v>30000.0</v>
      </c>
      <c r="Y13" s="109">
        <v>30000.0</v>
      </c>
      <c r="Z13" s="183">
        <f t="shared" si="5"/>
        <v>359947.88</v>
      </c>
    </row>
    <row r="14">
      <c r="A14" s="107" t="s">
        <v>161</v>
      </c>
      <c r="B14" s="112">
        <f t="shared" ref="B14:R14" si="8">((B11)+(B12))+(B13)</f>
        <v>17488.53</v>
      </c>
      <c r="C14" s="112">
        <f t="shared" si="8"/>
        <v>22478.88</v>
      </c>
      <c r="D14" s="112">
        <f t="shared" si="8"/>
        <v>21277.26</v>
      </c>
      <c r="E14" s="112">
        <f t="shared" si="8"/>
        <v>40544.37</v>
      </c>
      <c r="F14" s="112">
        <f t="shared" si="8"/>
        <v>26419.38</v>
      </c>
      <c r="G14" s="112">
        <f t="shared" si="8"/>
        <v>31996.06</v>
      </c>
      <c r="H14" s="112">
        <f t="shared" si="8"/>
        <v>41673.67</v>
      </c>
      <c r="I14" s="112">
        <f t="shared" si="8"/>
        <v>56073.8</v>
      </c>
      <c r="J14" s="112">
        <f t="shared" si="8"/>
        <v>47297.46</v>
      </c>
      <c r="K14" s="112">
        <f t="shared" si="8"/>
        <v>46604.15</v>
      </c>
      <c r="L14" s="112">
        <f t="shared" si="8"/>
        <v>41799.78</v>
      </c>
      <c r="M14" s="112">
        <f t="shared" si="8"/>
        <v>60223.13</v>
      </c>
      <c r="N14" s="112">
        <f t="shared" si="8"/>
        <v>32020.75</v>
      </c>
      <c r="O14" s="112">
        <f t="shared" si="8"/>
        <v>47598.77</v>
      </c>
      <c r="P14" s="112">
        <f t="shared" si="8"/>
        <v>67860.06</v>
      </c>
      <c r="Q14" s="112">
        <f t="shared" si="8"/>
        <v>30307.34</v>
      </c>
      <c r="R14" s="112">
        <f t="shared" si="8"/>
        <v>27023.96</v>
      </c>
      <c r="S14" s="112">
        <f t="shared" ref="S14:Y14" si="9">SUM(S11:S13)</f>
        <v>48000</v>
      </c>
      <c r="T14" s="112">
        <f t="shared" si="9"/>
        <v>48000</v>
      </c>
      <c r="U14" s="112">
        <f t="shared" si="9"/>
        <v>48000</v>
      </c>
      <c r="V14" s="112">
        <f t="shared" si="9"/>
        <v>48000</v>
      </c>
      <c r="W14" s="112">
        <f t="shared" si="9"/>
        <v>48000</v>
      </c>
      <c r="X14" s="112">
        <f t="shared" si="9"/>
        <v>48000</v>
      </c>
      <c r="Y14" s="112">
        <f t="shared" si="9"/>
        <v>48000</v>
      </c>
      <c r="Z14" s="114">
        <f t="shared" si="5"/>
        <v>540810.88</v>
      </c>
    </row>
    <row r="15">
      <c r="A15" s="107" t="s">
        <v>162</v>
      </c>
      <c r="B15" s="112">
        <f t="shared" ref="B15:Y15" si="10">(B9)-(B14)</f>
        <v>30213.27</v>
      </c>
      <c r="C15" s="112">
        <f t="shared" si="10"/>
        <v>29413.71</v>
      </c>
      <c r="D15" s="112">
        <f t="shared" si="10"/>
        <v>24627.42</v>
      </c>
      <c r="E15" s="112">
        <f t="shared" si="10"/>
        <v>8319.62</v>
      </c>
      <c r="F15" s="112">
        <f t="shared" si="10"/>
        <v>23860.2</v>
      </c>
      <c r="G15" s="112">
        <f t="shared" si="10"/>
        <v>17436.8</v>
      </c>
      <c r="H15" s="112">
        <f t="shared" si="10"/>
        <v>59496.35</v>
      </c>
      <c r="I15" s="112">
        <f t="shared" si="10"/>
        <v>-6869.35</v>
      </c>
      <c r="J15" s="112">
        <f t="shared" si="10"/>
        <v>32379.97</v>
      </c>
      <c r="K15" s="112">
        <f t="shared" si="10"/>
        <v>27882.95</v>
      </c>
      <c r="L15" s="112">
        <f t="shared" si="10"/>
        <v>24463.71</v>
      </c>
      <c r="M15" s="112">
        <f t="shared" si="10"/>
        <v>95677.04</v>
      </c>
      <c r="N15" s="112">
        <f t="shared" si="10"/>
        <v>-29814.25</v>
      </c>
      <c r="O15" s="112">
        <f t="shared" si="10"/>
        <v>41551.22</v>
      </c>
      <c r="P15" s="112">
        <f t="shared" si="10"/>
        <v>10640.64</v>
      </c>
      <c r="Q15" s="112">
        <f t="shared" si="10"/>
        <v>45684.13</v>
      </c>
      <c r="R15" s="112">
        <f t="shared" si="10"/>
        <v>34897.29</v>
      </c>
      <c r="S15" s="112">
        <f t="shared" si="10"/>
        <v>14972</v>
      </c>
      <c r="T15" s="112">
        <f t="shared" si="10"/>
        <v>22000</v>
      </c>
      <c r="U15" s="112">
        <f t="shared" si="10"/>
        <v>32000</v>
      </c>
      <c r="V15" s="112">
        <f t="shared" si="10"/>
        <v>42000</v>
      </c>
      <c r="W15" s="112">
        <f t="shared" si="10"/>
        <v>42000</v>
      </c>
      <c r="X15" s="112">
        <f t="shared" si="10"/>
        <v>42000</v>
      </c>
      <c r="Y15" s="112">
        <f t="shared" si="10"/>
        <v>42000</v>
      </c>
      <c r="Z15" s="113">
        <f t="shared" si="5"/>
        <v>339931.03</v>
      </c>
    </row>
    <row r="16">
      <c r="A16" s="107" t="s">
        <v>15</v>
      </c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>
      <c r="A17" s="107" t="s">
        <v>163</v>
      </c>
      <c r="B17" s="109">
        <f>395</f>
        <v>395</v>
      </c>
      <c r="C17" s="109">
        <f>30</f>
        <v>30</v>
      </c>
      <c r="D17" s="109">
        <f>99.86</f>
        <v>99.86</v>
      </c>
      <c r="E17" s="109">
        <f>154.45</f>
        <v>154.45</v>
      </c>
      <c r="F17" s="109">
        <f>25.78</f>
        <v>25.78</v>
      </c>
      <c r="G17" s="109">
        <f>27</f>
        <v>27</v>
      </c>
      <c r="H17" s="109">
        <f t="shared" ref="H17:I17" si="11">30</f>
        <v>30</v>
      </c>
      <c r="I17" s="109">
        <f t="shared" si="11"/>
        <v>30</v>
      </c>
      <c r="J17" s="109">
        <f>96.07</f>
        <v>96.07</v>
      </c>
      <c r="K17" s="109">
        <f>103.56</f>
        <v>103.56</v>
      </c>
      <c r="L17" s="109">
        <f>30</f>
        <v>30</v>
      </c>
      <c r="M17" s="109">
        <f>1126.96</f>
        <v>1126.96</v>
      </c>
      <c r="N17" s="109">
        <f>68.44</f>
        <v>68.44</v>
      </c>
      <c r="O17" s="109">
        <f>70.48</f>
        <v>70.48</v>
      </c>
      <c r="P17" s="109">
        <f>172.87</f>
        <v>172.87</v>
      </c>
      <c r="Q17" s="109">
        <f>257.18</f>
        <v>257.18</v>
      </c>
      <c r="R17" s="109">
        <f>0</f>
        <v>0</v>
      </c>
      <c r="S17" s="109">
        <v>142.0</v>
      </c>
      <c r="T17" s="109">
        <v>142.0</v>
      </c>
      <c r="U17" s="109">
        <v>142.0</v>
      </c>
      <c r="V17" s="109">
        <v>142.0</v>
      </c>
      <c r="W17" s="109">
        <v>142.0</v>
      </c>
      <c r="X17" s="109">
        <v>142.0</v>
      </c>
      <c r="Y17" s="109">
        <v>142.0</v>
      </c>
      <c r="Z17" s="109">
        <f t="shared" ref="Z17:Z38" si="14">SUM(N17:Y17)</f>
        <v>1562.97</v>
      </c>
    </row>
    <row r="18">
      <c r="A18" s="107" t="s">
        <v>164</v>
      </c>
      <c r="B18" s="109">
        <f>0</f>
        <v>0</v>
      </c>
      <c r="C18" s="109">
        <f>671.5</f>
        <v>671.5</v>
      </c>
      <c r="D18" s="109">
        <f t="shared" ref="D18:L18" si="12">0</f>
        <v>0</v>
      </c>
      <c r="E18" s="109">
        <f t="shared" si="12"/>
        <v>0</v>
      </c>
      <c r="F18" s="109">
        <f t="shared" si="12"/>
        <v>0</v>
      </c>
      <c r="G18" s="109">
        <f t="shared" si="12"/>
        <v>0</v>
      </c>
      <c r="H18" s="109">
        <f t="shared" si="12"/>
        <v>0</v>
      </c>
      <c r="I18" s="109">
        <f t="shared" si="12"/>
        <v>0</v>
      </c>
      <c r="J18" s="109">
        <f t="shared" si="12"/>
        <v>0</v>
      </c>
      <c r="K18" s="109">
        <f t="shared" si="12"/>
        <v>0</v>
      </c>
      <c r="L18" s="109">
        <f t="shared" si="12"/>
        <v>0</v>
      </c>
      <c r="M18" s="109">
        <f>14035.42</f>
        <v>14035.42</v>
      </c>
      <c r="N18" s="109">
        <f t="shared" ref="N18:R18" si="13">0</f>
        <v>0</v>
      </c>
      <c r="O18" s="109">
        <f t="shared" si="13"/>
        <v>0</v>
      </c>
      <c r="P18" s="109">
        <f t="shared" si="13"/>
        <v>0</v>
      </c>
      <c r="Q18" s="109">
        <f t="shared" si="13"/>
        <v>0</v>
      </c>
      <c r="R18" s="109">
        <f t="shared" si="13"/>
        <v>0</v>
      </c>
      <c r="S18" s="109"/>
      <c r="T18" s="109"/>
      <c r="U18" s="109"/>
      <c r="V18" s="109"/>
      <c r="W18" s="109"/>
      <c r="X18" s="109"/>
      <c r="Y18" s="109"/>
      <c r="Z18" s="109">
        <f t="shared" si="14"/>
        <v>0</v>
      </c>
    </row>
    <row r="19">
      <c r="A19" s="107" t="s">
        <v>165</v>
      </c>
      <c r="B19" s="109">
        <f>24.95</f>
        <v>24.95</v>
      </c>
      <c r="C19" s="109">
        <f>25.71</f>
        <v>25.71</v>
      </c>
      <c r="D19" s="109">
        <f>5.4</f>
        <v>5.4</v>
      </c>
      <c r="E19" s="109">
        <f>285.31</f>
        <v>285.31</v>
      </c>
      <c r="F19" s="109">
        <f>279.88</f>
        <v>279.88</v>
      </c>
      <c r="G19" s="109">
        <f>268.6</f>
        <v>268.6</v>
      </c>
      <c r="H19" s="109">
        <f>435.83</f>
        <v>435.83</v>
      </c>
      <c r="I19" s="109">
        <f>30.95</f>
        <v>30.95</v>
      </c>
      <c r="J19" s="109">
        <f>233.3</f>
        <v>233.3</v>
      </c>
      <c r="K19" s="109">
        <f>253.56</f>
        <v>253.56</v>
      </c>
      <c r="L19" s="109">
        <f>272.27</f>
        <v>272.27</v>
      </c>
      <c r="M19" s="109">
        <f>288.07</f>
        <v>288.07</v>
      </c>
      <c r="N19" s="109">
        <f>55.37</f>
        <v>55.37</v>
      </c>
      <c r="O19" s="109">
        <f>298.4</f>
        <v>298.4</v>
      </c>
      <c r="P19" s="109">
        <f>80.89</f>
        <v>80.89</v>
      </c>
      <c r="Q19" s="109">
        <f>73.62</f>
        <v>73.62</v>
      </c>
      <c r="R19" s="109">
        <f>41.5</f>
        <v>41.5</v>
      </c>
      <c r="S19" s="109">
        <v>110.0</v>
      </c>
      <c r="T19" s="109">
        <v>110.0</v>
      </c>
      <c r="U19" s="109">
        <v>110.0</v>
      </c>
      <c r="V19" s="109">
        <v>110.0</v>
      </c>
      <c r="W19" s="109">
        <v>110.0</v>
      </c>
      <c r="X19" s="109">
        <v>110.0</v>
      </c>
      <c r="Y19" s="109">
        <v>110.0</v>
      </c>
      <c r="Z19" s="109">
        <f t="shared" si="14"/>
        <v>1319.78</v>
      </c>
    </row>
    <row r="20">
      <c r="A20" s="107" t="s">
        <v>166</v>
      </c>
      <c r="B20" s="109">
        <f>15.71</f>
        <v>15.71</v>
      </c>
      <c r="C20" s="109">
        <f>0</f>
        <v>0</v>
      </c>
      <c r="D20" s="109">
        <f>10.05</f>
        <v>10.05</v>
      </c>
      <c r="E20" s="109">
        <f>5.6</f>
        <v>5.6</v>
      </c>
      <c r="F20" s="109">
        <f>20.43</f>
        <v>20.43</v>
      </c>
      <c r="G20" s="109">
        <f t="shared" ref="G20:I20" si="15">0</f>
        <v>0</v>
      </c>
      <c r="H20" s="109">
        <f t="shared" si="15"/>
        <v>0</v>
      </c>
      <c r="I20" s="109">
        <f t="shared" si="15"/>
        <v>0</v>
      </c>
      <c r="J20" s="109">
        <f>1</f>
        <v>1</v>
      </c>
      <c r="K20" s="109">
        <f>148.57</f>
        <v>148.57</v>
      </c>
      <c r="L20" s="109">
        <f>33.27</f>
        <v>33.27</v>
      </c>
      <c r="M20" s="109">
        <f>243.6</f>
        <v>243.6</v>
      </c>
      <c r="N20" s="109">
        <f>332.03</f>
        <v>332.03</v>
      </c>
      <c r="O20" s="109">
        <f>1.75</f>
        <v>1.75</v>
      </c>
      <c r="P20" s="109">
        <f>1213</f>
        <v>1213</v>
      </c>
      <c r="Q20" s="109">
        <f>11</f>
        <v>11</v>
      </c>
      <c r="R20" s="109">
        <f t="shared" ref="R20:R23" si="18">0</f>
        <v>0</v>
      </c>
      <c r="S20" s="109">
        <v>390.0</v>
      </c>
      <c r="T20" s="109">
        <v>390.0</v>
      </c>
      <c r="U20" s="109">
        <v>390.0</v>
      </c>
      <c r="V20" s="109">
        <v>390.0</v>
      </c>
      <c r="W20" s="109">
        <v>390.0</v>
      </c>
      <c r="X20" s="109">
        <v>390.0</v>
      </c>
      <c r="Y20" s="109">
        <v>390.0</v>
      </c>
      <c r="Z20" s="109">
        <f t="shared" si="14"/>
        <v>4287.78</v>
      </c>
    </row>
    <row r="21" ht="15.75" customHeight="1">
      <c r="A21" s="107" t="s">
        <v>167</v>
      </c>
      <c r="B21" s="109">
        <f t="shared" ref="B21:C21" si="16">0</f>
        <v>0</v>
      </c>
      <c r="C21" s="109">
        <f t="shared" si="16"/>
        <v>0</v>
      </c>
      <c r="D21" s="109">
        <f t="shared" ref="D21:E21" si="17">250</f>
        <v>250</v>
      </c>
      <c r="E21" s="109">
        <f t="shared" si="17"/>
        <v>250</v>
      </c>
      <c r="F21" s="109">
        <f>381.82</f>
        <v>381.82</v>
      </c>
      <c r="G21" s="109">
        <f>224.81</f>
        <v>224.81</v>
      </c>
      <c r="H21" s="109">
        <f>263.75</f>
        <v>263.75</v>
      </c>
      <c r="I21" s="109">
        <f>0</f>
        <v>0</v>
      </c>
      <c r="J21" s="109">
        <f>1236.81</f>
        <v>1236.81</v>
      </c>
      <c r="K21" s="109">
        <f>0</f>
        <v>0</v>
      </c>
      <c r="L21" s="109">
        <f>225.32</f>
        <v>225.32</v>
      </c>
      <c r="M21" s="109">
        <f>1060</f>
        <v>1060</v>
      </c>
      <c r="N21" s="109">
        <f>0</f>
        <v>0</v>
      </c>
      <c r="O21" s="109">
        <f>1000</f>
        <v>1000</v>
      </c>
      <c r="P21" s="109">
        <f>0</f>
        <v>0</v>
      </c>
      <c r="Q21" s="109">
        <f>401</f>
        <v>401</v>
      </c>
      <c r="R21" s="109">
        <f t="shared" si="18"/>
        <v>0</v>
      </c>
      <c r="S21" s="109"/>
      <c r="T21" s="109"/>
      <c r="U21" s="109"/>
      <c r="V21" s="109"/>
      <c r="W21" s="109"/>
      <c r="X21" s="109"/>
      <c r="Y21" s="109"/>
      <c r="Z21" s="109">
        <f t="shared" si="14"/>
        <v>1401</v>
      </c>
    </row>
    <row r="22" ht="15.75" customHeight="1">
      <c r="A22" s="107" t="s">
        <v>168</v>
      </c>
      <c r="B22" s="109">
        <f t="shared" ref="B22:D22" si="19">0</f>
        <v>0</v>
      </c>
      <c r="C22" s="109">
        <f t="shared" si="19"/>
        <v>0</v>
      </c>
      <c r="D22" s="109">
        <f t="shared" si="19"/>
        <v>0</v>
      </c>
      <c r="E22" s="109">
        <f>30</f>
        <v>30</v>
      </c>
      <c r="F22" s="109">
        <f>12</f>
        <v>12</v>
      </c>
      <c r="G22" s="109">
        <f>0</f>
        <v>0</v>
      </c>
      <c r="H22" s="109">
        <f t="shared" ref="H22:I22" si="20">20</f>
        <v>20</v>
      </c>
      <c r="I22" s="109">
        <f t="shared" si="20"/>
        <v>20</v>
      </c>
      <c r="J22" s="109">
        <f>40</f>
        <v>40</v>
      </c>
      <c r="K22" s="109">
        <f>20</f>
        <v>20</v>
      </c>
      <c r="L22" s="109">
        <f>0</f>
        <v>0</v>
      </c>
      <c r="M22" s="109">
        <f>40</f>
        <v>40</v>
      </c>
      <c r="N22" s="109">
        <f t="shared" ref="N22:O22" si="21">20</f>
        <v>20</v>
      </c>
      <c r="O22" s="109">
        <f t="shared" si="21"/>
        <v>20</v>
      </c>
      <c r="P22" s="109">
        <f>60</f>
        <v>60</v>
      </c>
      <c r="Q22" s="109">
        <f>117.9</f>
        <v>117.9</v>
      </c>
      <c r="R22" s="109">
        <f t="shared" si="18"/>
        <v>0</v>
      </c>
      <c r="S22" s="109"/>
      <c r="T22" s="109"/>
      <c r="U22" s="109"/>
      <c r="V22" s="109"/>
      <c r="W22" s="109"/>
      <c r="X22" s="109"/>
      <c r="Y22" s="109"/>
      <c r="Z22" s="109">
        <f t="shared" si="14"/>
        <v>217.9</v>
      </c>
    </row>
    <row r="23" ht="15.75" customHeight="1">
      <c r="A23" s="107" t="s">
        <v>169</v>
      </c>
      <c r="B23" s="109">
        <f>299</f>
        <v>299</v>
      </c>
      <c r="C23" s="109">
        <f>-299</f>
        <v>-299</v>
      </c>
      <c r="D23" s="109">
        <f t="shared" ref="D23:N23" si="22">0</f>
        <v>0</v>
      </c>
      <c r="E23" s="109">
        <f t="shared" si="22"/>
        <v>0</v>
      </c>
      <c r="F23" s="109">
        <f t="shared" si="22"/>
        <v>0</v>
      </c>
      <c r="G23" s="109">
        <f t="shared" si="22"/>
        <v>0</v>
      </c>
      <c r="H23" s="109">
        <f t="shared" si="22"/>
        <v>0</v>
      </c>
      <c r="I23" s="109">
        <f t="shared" si="22"/>
        <v>0</v>
      </c>
      <c r="J23" s="109">
        <f t="shared" si="22"/>
        <v>0</v>
      </c>
      <c r="K23" s="109">
        <f t="shared" si="22"/>
        <v>0</v>
      </c>
      <c r="L23" s="109">
        <f t="shared" si="22"/>
        <v>0</v>
      </c>
      <c r="M23" s="109">
        <f t="shared" si="22"/>
        <v>0</v>
      </c>
      <c r="N23" s="109">
        <f t="shared" si="22"/>
        <v>0</v>
      </c>
      <c r="O23" s="109">
        <f>26.68</f>
        <v>26.68</v>
      </c>
      <c r="P23" s="109">
        <f>78.87</f>
        <v>78.87</v>
      </c>
      <c r="Q23" s="109">
        <f>26.68</f>
        <v>26.68</v>
      </c>
      <c r="R23" s="109">
        <f t="shared" si="18"/>
        <v>0</v>
      </c>
      <c r="S23" s="109"/>
      <c r="T23" s="109"/>
      <c r="U23" s="109"/>
      <c r="V23" s="109"/>
      <c r="W23" s="109"/>
      <c r="X23" s="109"/>
      <c r="Y23" s="109"/>
      <c r="Z23" s="109">
        <f t="shared" si="14"/>
        <v>132.23</v>
      </c>
    </row>
    <row r="24" ht="15.75" customHeight="1">
      <c r="A24" s="107" t="s">
        <v>170</v>
      </c>
      <c r="B24" s="109">
        <f t="shared" ref="B24:M24" si="23">0</f>
        <v>0</v>
      </c>
      <c r="C24" s="109">
        <f t="shared" si="23"/>
        <v>0</v>
      </c>
      <c r="D24" s="109">
        <f t="shared" si="23"/>
        <v>0</v>
      </c>
      <c r="E24" s="109">
        <f t="shared" si="23"/>
        <v>0</v>
      </c>
      <c r="F24" s="109">
        <f t="shared" si="23"/>
        <v>0</v>
      </c>
      <c r="G24" s="109">
        <f t="shared" si="23"/>
        <v>0</v>
      </c>
      <c r="H24" s="109">
        <f t="shared" si="23"/>
        <v>0</v>
      </c>
      <c r="I24" s="109">
        <f t="shared" si="23"/>
        <v>0</v>
      </c>
      <c r="J24" s="109">
        <f t="shared" si="23"/>
        <v>0</v>
      </c>
      <c r="K24" s="109">
        <f t="shared" si="23"/>
        <v>0</v>
      </c>
      <c r="L24" s="109">
        <f t="shared" si="23"/>
        <v>0</v>
      </c>
      <c r="M24" s="109">
        <f t="shared" si="23"/>
        <v>0</v>
      </c>
      <c r="N24" s="109">
        <f>121.72</f>
        <v>121.72</v>
      </c>
      <c r="O24" s="109">
        <f>31.61</f>
        <v>31.61</v>
      </c>
      <c r="P24" s="109">
        <f t="shared" ref="P24:R24" si="24">0</f>
        <v>0</v>
      </c>
      <c r="Q24" s="109">
        <f t="shared" si="24"/>
        <v>0</v>
      </c>
      <c r="R24" s="109">
        <f t="shared" si="24"/>
        <v>0</v>
      </c>
      <c r="S24" s="109"/>
      <c r="T24" s="109"/>
      <c r="U24" s="109"/>
      <c r="V24" s="109"/>
      <c r="W24" s="109"/>
      <c r="X24" s="109"/>
      <c r="Y24" s="109"/>
      <c r="Z24" s="109">
        <f t="shared" si="14"/>
        <v>153.33</v>
      </c>
    </row>
    <row r="25" ht="15.75" customHeight="1">
      <c r="A25" s="107" t="s">
        <v>172</v>
      </c>
      <c r="B25" s="109">
        <f>49.72</f>
        <v>49.72</v>
      </c>
      <c r="C25" s="109">
        <f>50</f>
        <v>50</v>
      </c>
      <c r="D25" s="109">
        <f>171.92</f>
        <v>171.92</v>
      </c>
      <c r="E25" s="109">
        <f>372.88</f>
        <v>372.88</v>
      </c>
      <c r="F25" s="109">
        <f>181.9</f>
        <v>181.9</v>
      </c>
      <c r="G25" s="109">
        <f>20.98</f>
        <v>20.98</v>
      </c>
      <c r="H25" s="109">
        <f>100.38</f>
        <v>100.38</v>
      </c>
      <c r="I25" s="109">
        <f>80.26</f>
        <v>80.26</v>
      </c>
      <c r="J25" s="109">
        <f>284.78</f>
        <v>284.78</v>
      </c>
      <c r="K25" s="109">
        <f>763.77</f>
        <v>763.77</v>
      </c>
      <c r="L25" s="109">
        <f>39.86</f>
        <v>39.86</v>
      </c>
      <c r="M25" s="109">
        <f>577.37</f>
        <v>577.37</v>
      </c>
      <c r="N25" s="109">
        <f>274.43</f>
        <v>274.43</v>
      </c>
      <c r="O25" s="109">
        <f>96.45</f>
        <v>96.45</v>
      </c>
      <c r="P25" s="109">
        <f>206.29</f>
        <v>206.29</v>
      </c>
      <c r="Q25" s="109">
        <f>361.71</f>
        <v>361.71</v>
      </c>
      <c r="R25" s="109">
        <f t="shared" ref="R25:R26" si="25">0</f>
        <v>0</v>
      </c>
      <c r="S25" s="109">
        <v>200.0</v>
      </c>
      <c r="T25" s="109">
        <v>200.0</v>
      </c>
      <c r="U25" s="109">
        <v>200.0</v>
      </c>
      <c r="V25" s="109">
        <v>200.0</v>
      </c>
      <c r="W25" s="109">
        <v>200.0</v>
      </c>
      <c r="X25" s="109">
        <v>200.0</v>
      </c>
      <c r="Y25" s="109">
        <v>200.0</v>
      </c>
      <c r="Z25" s="109">
        <f t="shared" si="14"/>
        <v>2338.88</v>
      </c>
    </row>
    <row r="26" ht="15.75" customHeight="1">
      <c r="A26" s="107" t="s">
        <v>173</v>
      </c>
      <c r="B26" s="109">
        <f>361</f>
        <v>361</v>
      </c>
      <c r="C26" s="109">
        <f>722.92</f>
        <v>722.92</v>
      </c>
      <c r="D26" s="109">
        <f>283.38</f>
        <v>283.38</v>
      </c>
      <c r="E26" s="109">
        <f>391.11</f>
        <v>391.11</v>
      </c>
      <c r="F26" s="109">
        <f>248.18</f>
        <v>248.18</v>
      </c>
      <c r="G26" s="109">
        <f>759.33</f>
        <v>759.33</v>
      </c>
      <c r="H26" s="109">
        <f>550.49</f>
        <v>550.49</v>
      </c>
      <c r="I26" s="109">
        <f>305.11</f>
        <v>305.11</v>
      </c>
      <c r="J26" s="109">
        <f>838.38</f>
        <v>838.38</v>
      </c>
      <c r="K26" s="109">
        <f>2008.87</f>
        <v>2008.87</v>
      </c>
      <c r="L26" s="109">
        <f>1616.27</f>
        <v>1616.27</v>
      </c>
      <c r="M26" s="109">
        <f>488.22</f>
        <v>488.22</v>
      </c>
      <c r="N26" s="109">
        <f>998.5</f>
        <v>998.5</v>
      </c>
      <c r="O26" s="109">
        <f>1044.51</f>
        <v>1044.51</v>
      </c>
      <c r="P26" s="109">
        <f>1011.81</f>
        <v>1011.81</v>
      </c>
      <c r="Q26" s="109">
        <f>510.83</f>
        <v>510.83</v>
      </c>
      <c r="R26" s="109">
        <f t="shared" si="25"/>
        <v>0</v>
      </c>
      <c r="S26" s="109">
        <v>900.0</v>
      </c>
      <c r="T26" s="109">
        <v>900.0</v>
      </c>
      <c r="U26" s="109">
        <v>900.0</v>
      </c>
      <c r="V26" s="109">
        <v>900.0</v>
      </c>
      <c r="W26" s="109">
        <v>900.0</v>
      </c>
      <c r="X26" s="109">
        <v>900.0</v>
      </c>
      <c r="Y26" s="109">
        <v>900.0</v>
      </c>
      <c r="Z26" s="109">
        <f t="shared" si="14"/>
        <v>9865.65</v>
      </c>
    </row>
    <row r="27" ht="15.75" customHeight="1">
      <c r="A27" s="107" t="s">
        <v>174</v>
      </c>
      <c r="B27" s="109">
        <f t="shared" ref="B27:R27" si="26">0</f>
        <v>0</v>
      </c>
      <c r="C27" s="109">
        <f t="shared" si="26"/>
        <v>0</v>
      </c>
      <c r="D27" s="109">
        <f t="shared" si="26"/>
        <v>0</v>
      </c>
      <c r="E27" s="109">
        <f t="shared" si="26"/>
        <v>0</v>
      </c>
      <c r="F27" s="109">
        <f t="shared" si="26"/>
        <v>0</v>
      </c>
      <c r="G27" s="109">
        <f t="shared" si="26"/>
        <v>0</v>
      </c>
      <c r="H27" s="109">
        <f t="shared" si="26"/>
        <v>0</v>
      </c>
      <c r="I27" s="109">
        <f t="shared" si="26"/>
        <v>0</v>
      </c>
      <c r="J27" s="109">
        <f t="shared" si="26"/>
        <v>0</v>
      </c>
      <c r="K27" s="109">
        <f t="shared" si="26"/>
        <v>0</v>
      </c>
      <c r="L27" s="109">
        <f t="shared" si="26"/>
        <v>0</v>
      </c>
      <c r="M27" s="109">
        <f t="shared" si="26"/>
        <v>0</v>
      </c>
      <c r="N27" s="109">
        <f t="shared" si="26"/>
        <v>0</v>
      </c>
      <c r="O27" s="109">
        <f t="shared" si="26"/>
        <v>0</v>
      </c>
      <c r="P27" s="109">
        <f t="shared" si="26"/>
        <v>0</v>
      </c>
      <c r="Q27" s="109">
        <f t="shared" si="26"/>
        <v>0</v>
      </c>
      <c r="R27" s="109">
        <f t="shared" si="26"/>
        <v>0</v>
      </c>
      <c r="S27" s="109"/>
      <c r="T27" s="109"/>
      <c r="U27" s="109"/>
      <c r="V27" s="109"/>
      <c r="W27" s="109"/>
      <c r="X27" s="109"/>
      <c r="Y27" s="109"/>
      <c r="Z27" s="109">
        <f t="shared" si="14"/>
        <v>0</v>
      </c>
    </row>
    <row r="28" ht="15.75" customHeight="1">
      <c r="A28" s="107" t="s">
        <v>175</v>
      </c>
      <c r="B28" s="109">
        <f t="shared" ref="B28:M28" si="27">0</f>
        <v>0</v>
      </c>
      <c r="C28" s="109">
        <f t="shared" si="27"/>
        <v>0</v>
      </c>
      <c r="D28" s="109">
        <f t="shared" si="27"/>
        <v>0</v>
      </c>
      <c r="E28" s="109">
        <f t="shared" si="27"/>
        <v>0</v>
      </c>
      <c r="F28" s="109">
        <f t="shared" si="27"/>
        <v>0</v>
      </c>
      <c r="G28" s="109">
        <f t="shared" si="27"/>
        <v>0</v>
      </c>
      <c r="H28" s="109">
        <f t="shared" si="27"/>
        <v>0</v>
      </c>
      <c r="I28" s="109">
        <f t="shared" si="27"/>
        <v>0</v>
      </c>
      <c r="J28" s="109">
        <f t="shared" si="27"/>
        <v>0</v>
      </c>
      <c r="K28" s="109">
        <f t="shared" si="27"/>
        <v>0</v>
      </c>
      <c r="L28" s="109">
        <f t="shared" si="27"/>
        <v>0</v>
      </c>
      <c r="M28" s="109">
        <f t="shared" si="27"/>
        <v>0</v>
      </c>
      <c r="N28" s="109">
        <f>306.86</f>
        <v>306.86</v>
      </c>
      <c r="O28" s="109">
        <f t="shared" ref="O28:R28" si="28">0</f>
        <v>0</v>
      </c>
      <c r="P28" s="109">
        <f t="shared" si="28"/>
        <v>0</v>
      </c>
      <c r="Q28" s="109">
        <f t="shared" si="28"/>
        <v>0</v>
      </c>
      <c r="R28" s="109">
        <f t="shared" si="28"/>
        <v>0</v>
      </c>
      <c r="S28" s="109"/>
      <c r="T28" s="109"/>
      <c r="U28" s="109"/>
      <c r="V28" s="109"/>
      <c r="W28" s="109"/>
      <c r="X28" s="109"/>
      <c r="Y28" s="109"/>
      <c r="Z28" s="109">
        <f t="shared" si="14"/>
        <v>306.86</v>
      </c>
    </row>
    <row r="29" ht="15.75" customHeight="1">
      <c r="A29" s="107" t="s">
        <v>176</v>
      </c>
      <c r="B29" s="109">
        <f>325.62</f>
        <v>325.62</v>
      </c>
      <c r="C29" s="109">
        <f>313.06</f>
        <v>313.06</v>
      </c>
      <c r="D29" s="109">
        <f>338.74</f>
        <v>338.74</v>
      </c>
      <c r="E29" s="109">
        <f>352.07</f>
        <v>352.07</v>
      </c>
      <c r="F29" s="109">
        <f>380.36</f>
        <v>380.36</v>
      </c>
      <c r="G29" s="109">
        <f>403.55</f>
        <v>403.55</v>
      </c>
      <c r="H29" s="109">
        <f>382.36</f>
        <v>382.36</v>
      </c>
      <c r="I29" s="109">
        <f>400.29</f>
        <v>400.29</v>
      </c>
      <c r="J29" s="109">
        <f>338.41</f>
        <v>338.41</v>
      </c>
      <c r="K29" s="109">
        <f>313.29</f>
        <v>313.29</v>
      </c>
      <c r="L29" s="109">
        <f>379.44</f>
        <v>379.44</v>
      </c>
      <c r="M29" s="109">
        <f>417.67</f>
        <v>417.67</v>
      </c>
      <c r="N29" s="109">
        <f>421.1</f>
        <v>421.1</v>
      </c>
      <c r="O29" s="109">
        <f>420.43</f>
        <v>420.43</v>
      </c>
      <c r="P29" s="109">
        <f>419.97</f>
        <v>419.97</v>
      </c>
      <c r="Q29" s="109">
        <f>451.94</f>
        <v>451.94</v>
      </c>
      <c r="R29" s="109">
        <f>0</f>
        <v>0</v>
      </c>
      <c r="S29" s="109">
        <v>430.0</v>
      </c>
      <c r="T29" s="109">
        <v>430.0</v>
      </c>
      <c r="U29" s="109">
        <v>430.0</v>
      </c>
      <c r="V29" s="109">
        <v>430.0</v>
      </c>
      <c r="W29" s="109">
        <v>430.0</v>
      </c>
      <c r="X29" s="109">
        <v>430.0</v>
      </c>
      <c r="Y29" s="109">
        <v>430.0</v>
      </c>
      <c r="Z29" s="109">
        <f t="shared" si="14"/>
        <v>4723.44</v>
      </c>
    </row>
    <row r="30" ht="15.75" customHeight="1">
      <c r="A30" s="107" t="s">
        <v>177</v>
      </c>
      <c r="B30" s="109">
        <f t="shared" ref="B30:L30" si="29">0</f>
        <v>0</v>
      </c>
      <c r="C30" s="109">
        <f t="shared" si="29"/>
        <v>0</v>
      </c>
      <c r="D30" s="109">
        <f t="shared" si="29"/>
        <v>0</v>
      </c>
      <c r="E30" s="109">
        <f t="shared" si="29"/>
        <v>0</v>
      </c>
      <c r="F30" s="109">
        <f t="shared" si="29"/>
        <v>0</v>
      </c>
      <c r="G30" s="109">
        <f t="shared" si="29"/>
        <v>0</v>
      </c>
      <c r="H30" s="109">
        <f t="shared" si="29"/>
        <v>0</v>
      </c>
      <c r="I30" s="109">
        <f t="shared" si="29"/>
        <v>0</v>
      </c>
      <c r="J30" s="109">
        <f t="shared" si="29"/>
        <v>0</v>
      </c>
      <c r="K30" s="109">
        <f t="shared" si="29"/>
        <v>0</v>
      </c>
      <c r="L30" s="109">
        <f t="shared" si="29"/>
        <v>0</v>
      </c>
      <c r="M30" s="109">
        <f>259.39</f>
        <v>259.39</v>
      </c>
      <c r="N30" s="109">
        <f>5</f>
        <v>5</v>
      </c>
      <c r="O30" s="109">
        <f t="shared" ref="O30:R30" si="30">0</f>
        <v>0</v>
      </c>
      <c r="P30" s="109">
        <f t="shared" si="30"/>
        <v>0</v>
      </c>
      <c r="Q30" s="109">
        <f t="shared" si="30"/>
        <v>0</v>
      </c>
      <c r="R30" s="109">
        <f t="shared" si="30"/>
        <v>0</v>
      </c>
      <c r="S30" s="109"/>
      <c r="T30" s="109"/>
      <c r="U30" s="109"/>
      <c r="V30" s="109"/>
      <c r="W30" s="109"/>
      <c r="X30" s="109"/>
      <c r="Y30" s="109"/>
      <c r="Z30" s="109">
        <f t="shared" si="14"/>
        <v>5</v>
      </c>
    </row>
    <row r="31" ht="15.75" customHeight="1">
      <c r="A31" s="107" t="s">
        <v>178</v>
      </c>
      <c r="B31" s="109">
        <f t="shared" ref="B31:N31" si="31">0</f>
        <v>0</v>
      </c>
      <c r="C31" s="109">
        <f t="shared" si="31"/>
        <v>0</v>
      </c>
      <c r="D31" s="109">
        <f t="shared" si="31"/>
        <v>0</v>
      </c>
      <c r="E31" s="109">
        <f t="shared" si="31"/>
        <v>0</v>
      </c>
      <c r="F31" s="109">
        <f t="shared" si="31"/>
        <v>0</v>
      </c>
      <c r="G31" s="109">
        <f t="shared" si="31"/>
        <v>0</v>
      </c>
      <c r="H31" s="109">
        <f t="shared" si="31"/>
        <v>0</v>
      </c>
      <c r="I31" s="109">
        <f t="shared" si="31"/>
        <v>0</v>
      </c>
      <c r="J31" s="109">
        <f t="shared" si="31"/>
        <v>0</v>
      </c>
      <c r="K31" s="109">
        <f t="shared" si="31"/>
        <v>0</v>
      </c>
      <c r="L31" s="109">
        <f t="shared" si="31"/>
        <v>0</v>
      </c>
      <c r="M31" s="109">
        <f t="shared" si="31"/>
        <v>0</v>
      </c>
      <c r="N31" s="109">
        <f t="shared" si="31"/>
        <v>0</v>
      </c>
      <c r="O31" s="109">
        <f>150</f>
        <v>150</v>
      </c>
      <c r="P31" s="109">
        <f>175</f>
        <v>175</v>
      </c>
      <c r="Q31" s="109">
        <f>250</f>
        <v>250</v>
      </c>
      <c r="R31" s="109">
        <f>150</f>
        <v>150</v>
      </c>
      <c r="S31" s="109">
        <v>150.0</v>
      </c>
      <c r="T31" s="109">
        <v>150.0</v>
      </c>
      <c r="U31" s="109">
        <v>150.0</v>
      </c>
      <c r="V31" s="109">
        <v>150.0</v>
      </c>
      <c r="W31" s="109">
        <v>150.0</v>
      </c>
      <c r="X31" s="109">
        <v>150.0</v>
      </c>
      <c r="Y31" s="109">
        <v>150.0</v>
      </c>
      <c r="Z31" s="109">
        <f t="shared" si="14"/>
        <v>1775</v>
      </c>
    </row>
    <row r="32" ht="15.75" customHeight="1">
      <c r="A32" s="107" t="s">
        <v>179</v>
      </c>
      <c r="B32" s="109">
        <f>5253.87</f>
        <v>5253.87</v>
      </c>
      <c r="C32" s="109">
        <f>7465.73</f>
        <v>7465.73</v>
      </c>
      <c r="D32" s="109">
        <f>6953.69</f>
        <v>6953.69</v>
      </c>
      <c r="E32" s="109">
        <f>8028.09</f>
        <v>8028.09</v>
      </c>
      <c r="F32" s="109">
        <f>8776.46</f>
        <v>8776.46</v>
      </c>
      <c r="G32" s="109">
        <f>7659.95</f>
        <v>7659.95</v>
      </c>
      <c r="H32" s="109">
        <f>13862.76</f>
        <v>13862.76</v>
      </c>
      <c r="I32" s="109">
        <f>8670.61</f>
        <v>8670.61</v>
      </c>
      <c r="J32" s="109">
        <f>8627.85</f>
        <v>8627.85</v>
      </c>
      <c r="K32" s="109">
        <f>9394.96</f>
        <v>9394.96</v>
      </c>
      <c r="L32" s="109">
        <f>9541.93</f>
        <v>9541.93</v>
      </c>
      <c r="M32" s="109">
        <f>14717.95</f>
        <v>14717.95</v>
      </c>
      <c r="N32" s="109">
        <f>10673.57</f>
        <v>10673.57</v>
      </c>
      <c r="O32" s="109">
        <f>10616.25</f>
        <v>10616.25</v>
      </c>
      <c r="P32" s="109">
        <f>11420.68</f>
        <v>11420.68</v>
      </c>
      <c r="Q32" s="109">
        <f>9464.12</f>
        <v>9464.12</v>
      </c>
      <c r="R32" s="184">
        <v>15000.0</v>
      </c>
      <c r="S32" s="184">
        <v>15000.0</v>
      </c>
      <c r="T32" s="184">
        <v>15000.0</v>
      </c>
      <c r="U32" s="184">
        <v>15000.0</v>
      </c>
      <c r="V32" s="184">
        <v>15000.0</v>
      </c>
      <c r="W32" s="184">
        <v>15000.0</v>
      </c>
      <c r="X32" s="184">
        <v>15000.0</v>
      </c>
      <c r="Y32" s="184">
        <v>15000.0</v>
      </c>
      <c r="Z32" s="109">
        <f t="shared" si="14"/>
        <v>162174.62</v>
      </c>
    </row>
    <row r="33" ht="15.75" customHeight="1">
      <c r="A33" s="107" t="s">
        <v>180</v>
      </c>
      <c r="B33" s="109">
        <f>109.95</f>
        <v>109.95</v>
      </c>
      <c r="C33" s="109">
        <f>23.2</f>
        <v>23.2</v>
      </c>
      <c r="D33" s="109">
        <f t="shared" ref="D33:E33" si="32">0</f>
        <v>0</v>
      </c>
      <c r="E33" s="109">
        <f t="shared" si="32"/>
        <v>0</v>
      </c>
      <c r="F33" s="109">
        <f>11.6</f>
        <v>11.6</v>
      </c>
      <c r="G33" s="109">
        <f>0</f>
        <v>0</v>
      </c>
      <c r="H33" s="109">
        <f>115.55</f>
        <v>115.55</v>
      </c>
      <c r="I33" s="109">
        <f>1.52</f>
        <v>1.52</v>
      </c>
      <c r="J33" s="109">
        <f>0</f>
        <v>0</v>
      </c>
      <c r="K33" s="109">
        <f>48.6</f>
        <v>48.6</v>
      </c>
      <c r="L33" s="109">
        <f t="shared" ref="L33:M33" si="33">0</f>
        <v>0</v>
      </c>
      <c r="M33" s="109">
        <f t="shared" si="33"/>
        <v>0</v>
      </c>
      <c r="N33" s="109">
        <f>90</f>
        <v>90</v>
      </c>
      <c r="O33" s="109">
        <f t="shared" ref="O33:R33" si="34">0</f>
        <v>0</v>
      </c>
      <c r="P33" s="109">
        <f t="shared" si="34"/>
        <v>0</v>
      </c>
      <c r="Q33" s="109">
        <f t="shared" si="34"/>
        <v>0</v>
      </c>
      <c r="R33" s="109">
        <f t="shared" si="34"/>
        <v>0</v>
      </c>
      <c r="S33" s="109"/>
      <c r="T33" s="109"/>
      <c r="U33" s="109"/>
      <c r="V33" s="109"/>
      <c r="W33" s="109"/>
      <c r="X33" s="109"/>
      <c r="Y33" s="109"/>
      <c r="Z33" s="109">
        <f t="shared" si="14"/>
        <v>90</v>
      </c>
    </row>
    <row r="34" ht="15.75" customHeight="1">
      <c r="A34" s="107" t="s">
        <v>181</v>
      </c>
      <c r="B34" s="109">
        <f>51.51</f>
        <v>51.51</v>
      </c>
      <c r="C34" s="109">
        <f>1114.85</f>
        <v>1114.85</v>
      </c>
      <c r="D34" s="109">
        <f>1390.96</f>
        <v>1390.96</v>
      </c>
      <c r="E34" s="109">
        <f>2727.41</f>
        <v>2727.41</v>
      </c>
      <c r="F34" s="109">
        <f>3948.81</f>
        <v>3948.81</v>
      </c>
      <c r="G34" s="109">
        <f>2591.91</f>
        <v>2591.91</v>
      </c>
      <c r="H34" s="109">
        <f>6196.44</f>
        <v>6196.44</v>
      </c>
      <c r="I34" s="109">
        <f>4432.85</f>
        <v>4432.85</v>
      </c>
      <c r="J34" s="109">
        <f>4159.68</f>
        <v>4159.68</v>
      </c>
      <c r="K34" s="109">
        <f>4055.76</f>
        <v>4055.76</v>
      </c>
      <c r="L34" s="109">
        <f>4273.58</f>
        <v>4273.58</v>
      </c>
      <c r="M34" s="109">
        <f>1665.19</f>
        <v>1665.19</v>
      </c>
      <c r="N34" s="109">
        <f>4385.45</f>
        <v>4385.45</v>
      </c>
      <c r="O34" s="109">
        <f>4694.04</f>
        <v>4694.04</v>
      </c>
      <c r="P34" s="109">
        <f>3942.38</f>
        <v>3942.38</v>
      </c>
      <c r="Q34" s="109">
        <f>4788.57</f>
        <v>4788.57</v>
      </c>
      <c r="R34" s="109">
        <f>2540.23</f>
        <v>2540.23</v>
      </c>
      <c r="S34" s="109">
        <v>4000.0</v>
      </c>
      <c r="T34" s="109">
        <v>4000.0</v>
      </c>
      <c r="U34" s="109">
        <v>4000.0</v>
      </c>
      <c r="V34" s="109">
        <v>4000.0</v>
      </c>
      <c r="W34" s="109">
        <v>4000.0</v>
      </c>
      <c r="X34" s="109">
        <v>4000.0</v>
      </c>
      <c r="Y34" s="109">
        <v>4000.0</v>
      </c>
      <c r="Z34" s="109">
        <f t="shared" si="14"/>
        <v>48350.67</v>
      </c>
    </row>
    <row r="35" ht="15.75" customHeight="1">
      <c r="A35" s="107" t="s">
        <v>182</v>
      </c>
      <c r="B35" s="109">
        <f>114.77</f>
        <v>114.77</v>
      </c>
      <c r="C35" s="109">
        <f>0</f>
        <v>0</v>
      </c>
      <c r="D35" s="109">
        <f>105</f>
        <v>105</v>
      </c>
      <c r="E35" s="109">
        <f>1.92</f>
        <v>1.92</v>
      </c>
      <c r="F35" s="109">
        <f>223.16</f>
        <v>223.16</v>
      </c>
      <c r="G35" s="109">
        <f>234.51</f>
        <v>234.51</v>
      </c>
      <c r="H35" s="109">
        <f>122.25</f>
        <v>122.25</v>
      </c>
      <c r="I35" s="109">
        <f>74.36</f>
        <v>74.36</v>
      </c>
      <c r="J35" s="109">
        <f>114.47</f>
        <v>114.47</v>
      </c>
      <c r="K35" s="109">
        <f>419.5</f>
        <v>419.5</v>
      </c>
      <c r="L35" s="109">
        <f>0</f>
        <v>0</v>
      </c>
      <c r="M35" s="109">
        <f>218.87</f>
        <v>218.87</v>
      </c>
      <c r="N35" s="109">
        <f>0</f>
        <v>0</v>
      </c>
      <c r="O35" s="109">
        <f>18.01</f>
        <v>18.01</v>
      </c>
      <c r="P35" s="109">
        <f>290.68</f>
        <v>290.68</v>
      </c>
      <c r="Q35" s="109">
        <f>302.97</f>
        <v>302.97</v>
      </c>
      <c r="R35" s="109">
        <f>0</f>
        <v>0</v>
      </c>
      <c r="S35" s="109">
        <v>500.0</v>
      </c>
      <c r="T35" s="109">
        <v>500.0</v>
      </c>
      <c r="U35" s="109">
        <v>500.0</v>
      </c>
      <c r="V35" s="109">
        <v>500.0</v>
      </c>
      <c r="W35" s="109">
        <v>500.0</v>
      </c>
      <c r="X35" s="109">
        <v>500.0</v>
      </c>
      <c r="Y35" s="109">
        <v>500.0</v>
      </c>
      <c r="Z35" s="109">
        <f t="shared" si="14"/>
        <v>4111.66</v>
      </c>
    </row>
    <row r="36" ht="15.75" customHeight="1">
      <c r="A36" s="107" t="s">
        <v>236</v>
      </c>
      <c r="B36" s="109">
        <f t="shared" ref="B36:O36" si="35">0</f>
        <v>0</v>
      </c>
      <c r="C36" s="109">
        <f t="shared" si="35"/>
        <v>0</v>
      </c>
      <c r="D36" s="109">
        <f t="shared" si="35"/>
        <v>0</v>
      </c>
      <c r="E36" s="109">
        <f t="shared" si="35"/>
        <v>0</v>
      </c>
      <c r="F36" s="109">
        <f t="shared" si="35"/>
        <v>0</v>
      </c>
      <c r="G36" s="109">
        <f t="shared" si="35"/>
        <v>0</v>
      </c>
      <c r="H36" s="109">
        <f t="shared" si="35"/>
        <v>0</v>
      </c>
      <c r="I36" s="109">
        <f t="shared" si="35"/>
        <v>0</v>
      </c>
      <c r="J36" s="109">
        <f t="shared" si="35"/>
        <v>0</v>
      </c>
      <c r="K36" s="109">
        <f t="shared" si="35"/>
        <v>0</v>
      </c>
      <c r="L36" s="109">
        <f t="shared" si="35"/>
        <v>0</v>
      </c>
      <c r="M36" s="109">
        <f t="shared" si="35"/>
        <v>0</v>
      </c>
      <c r="N36" s="109">
        <f t="shared" si="35"/>
        <v>0</v>
      </c>
      <c r="O36" s="109">
        <f t="shared" si="35"/>
        <v>0</v>
      </c>
      <c r="P36" s="109">
        <f>85.31</f>
        <v>85.31</v>
      </c>
      <c r="Q36" s="109">
        <f t="shared" ref="Q36:R36" si="36">0</f>
        <v>0</v>
      </c>
      <c r="R36" s="109">
        <f t="shared" si="36"/>
        <v>0</v>
      </c>
      <c r="S36" s="109"/>
      <c r="T36" s="109"/>
      <c r="U36" s="109"/>
      <c r="V36" s="109"/>
      <c r="W36" s="109"/>
      <c r="X36" s="109"/>
      <c r="Y36" s="109"/>
      <c r="Z36" s="109">
        <f t="shared" si="14"/>
        <v>85.31</v>
      </c>
    </row>
    <row r="37" ht="15.75" customHeight="1">
      <c r="A37" s="107" t="s">
        <v>183</v>
      </c>
      <c r="B37" s="109">
        <f t="shared" ref="B37:I37" si="37">0</f>
        <v>0</v>
      </c>
      <c r="C37" s="109">
        <f t="shared" si="37"/>
        <v>0</v>
      </c>
      <c r="D37" s="109">
        <f t="shared" si="37"/>
        <v>0</v>
      </c>
      <c r="E37" s="109">
        <f t="shared" si="37"/>
        <v>0</v>
      </c>
      <c r="F37" s="109">
        <f t="shared" si="37"/>
        <v>0</v>
      </c>
      <c r="G37" s="109">
        <f t="shared" si="37"/>
        <v>0</v>
      </c>
      <c r="H37" s="109">
        <f t="shared" si="37"/>
        <v>0</v>
      </c>
      <c r="I37" s="109">
        <f t="shared" si="37"/>
        <v>0</v>
      </c>
      <c r="J37" s="109">
        <f>21.38</f>
        <v>21.38</v>
      </c>
      <c r="K37" s="109">
        <f>0</f>
        <v>0</v>
      </c>
      <c r="L37" s="109">
        <f>10.69</f>
        <v>10.69</v>
      </c>
      <c r="M37" s="109">
        <f t="shared" ref="M37:R37" si="38">0</f>
        <v>0</v>
      </c>
      <c r="N37" s="109">
        <f t="shared" si="38"/>
        <v>0</v>
      </c>
      <c r="O37" s="109">
        <f t="shared" si="38"/>
        <v>0</v>
      </c>
      <c r="P37" s="109">
        <f t="shared" si="38"/>
        <v>0</v>
      </c>
      <c r="Q37" s="109">
        <f t="shared" si="38"/>
        <v>0</v>
      </c>
      <c r="R37" s="109">
        <f t="shared" si="38"/>
        <v>0</v>
      </c>
      <c r="S37" s="109"/>
      <c r="T37" s="109"/>
      <c r="U37" s="109"/>
      <c r="V37" s="109"/>
      <c r="W37" s="109"/>
      <c r="X37" s="109"/>
      <c r="Y37" s="109"/>
      <c r="Z37" s="109">
        <f t="shared" si="14"/>
        <v>0</v>
      </c>
    </row>
    <row r="38" ht="15.75" customHeight="1">
      <c r="A38" s="107" t="s">
        <v>184</v>
      </c>
      <c r="B38" s="112">
        <f t="shared" ref="B38:R38" si="39">((((((((((((((((((((B17)+(B18))+(B19))+(B20))+(B21))+(B22))+(B23))+(B24))+(B25))+(B26))+(B27))+(B28))+(B29))+(B30))+(B31))+(B32))+(B33))+(B34))+(B35))+(B36))+(B37)</f>
        <v>7001.1</v>
      </c>
      <c r="C38" s="112">
        <f t="shared" si="39"/>
        <v>10117.97</v>
      </c>
      <c r="D38" s="112">
        <f t="shared" si="39"/>
        <v>9609</v>
      </c>
      <c r="E38" s="112">
        <f t="shared" si="39"/>
        <v>12598.84</v>
      </c>
      <c r="F38" s="112">
        <f t="shared" si="39"/>
        <v>14490.38</v>
      </c>
      <c r="G38" s="112">
        <f t="shared" si="39"/>
        <v>12190.64</v>
      </c>
      <c r="H38" s="112">
        <f t="shared" si="39"/>
        <v>22079.81</v>
      </c>
      <c r="I38" s="112">
        <f t="shared" si="39"/>
        <v>14045.95</v>
      </c>
      <c r="J38" s="112">
        <f t="shared" si="39"/>
        <v>15992.13</v>
      </c>
      <c r="K38" s="112">
        <f t="shared" si="39"/>
        <v>17530.44</v>
      </c>
      <c r="L38" s="112">
        <f t="shared" si="39"/>
        <v>16422.63</v>
      </c>
      <c r="M38" s="112">
        <f t="shared" si="39"/>
        <v>35138.71</v>
      </c>
      <c r="N38" s="112">
        <f t="shared" si="39"/>
        <v>17752.47</v>
      </c>
      <c r="O38" s="112">
        <f t="shared" si="39"/>
        <v>18488.61</v>
      </c>
      <c r="P38" s="112">
        <f t="shared" si="39"/>
        <v>19157.75</v>
      </c>
      <c r="Q38" s="112">
        <f t="shared" si="39"/>
        <v>17017.52</v>
      </c>
      <c r="R38" s="112">
        <f t="shared" si="39"/>
        <v>17731.73</v>
      </c>
      <c r="S38" s="112">
        <f t="shared" ref="S38:Y38" si="40">SUM(S17:S37)</f>
        <v>21822</v>
      </c>
      <c r="T38" s="112">
        <f t="shared" si="40"/>
        <v>21822</v>
      </c>
      <c r="U38" s="112">
        <f t="shared" si="40"/>
        <v>21822</v>
      </c>
      <c r="V38" s="112">
        <f t="shared" si="40"/>
        <v>21822</v>
      </c>
      <c r="W38" s="112">
        <f t="shared" si="40"/>
        <v>21822</v>
      </c>
      <c r="X38" s="112">
        <f t="shared" si="40"/>
        <v>21822</v>
      </c>
      <c r="Y38" s="112">
        <f t="shared" si="40"/>
        <v>21822</v>
      </c>
      <c r="Z38" s="112">
        <f t="shared" si="14"/>
        <v>242902.08</v>
      </c>
    </row>
    <row r="39" ht="15.75" customHeight="1">
      <c r="A39" s="107" t="s">
        <v>185</v>
      </c>
      <c r="B39" s="112">
        <f t="shared" ref="B39:Y39" si="41">(B15)-(B38)</f>
        <v>23212.17</v>
      </c>
      <c r="C39" s="112">
        <f t="shared" si="41"/>
        <v>19295.74</v>
      </c>
      <c r="D39" s="112">
        <f t="shared" si="41"/>
        <v>15018.42</v>
      </c>
      <c r="E39" s="112">
        <f t="shared" si="41"/>
        <v>-4279.22</v>
      </c>
      <c r="F39" s="112">
        <f t="shared" si="41"/>
        <v>9369.82</v>
      </c>
      <c r="G39" s="112">
        <f t="shared" si="41"/>
        <v>5246.16</v>
      </c>
      <c r="H39" s="112">
        <f t="shared" si="41"/>
        <v>37416.54</v>
      </c>
      <c r="I39" s="112">
        <f t="shared" si="41"/>
        <v>-20915.3</v>
      </c>
      <c r="J39" s="112">
        <f t="shared" si="41"/>
        <v>16387.84</v>
      </c>
      <c r="K39" s="112">
        <f t="shared" si="41"/>
        <v>10352.51</v>
      </c>
      <c r="L39" s="112">
        <f t="shared" si="41"/>
        <v>8041.08</v>
      </c>
      <c r="M39" s="112">
        <f t="shared" si="41"/>
        <v>60538.33</v>
      </c>
      <c r="N39" s="112">
        <f t="shared" si="41"/>
        <v>-47566.72</v>
      </c>
      <c r="O39" s="112">
        <f t="shared" si="41"/>
        <v>23062.61</v>
      </c>
      <c r="P39" s="112">
        <f t="shared" si="41"/>
        <v>-8517.11</v>
      </c>
      <c r="Q39" s="112">
        <f t="shared" si="41"/>
        <v>28666.61</v>
      </c>
      <c r="R39" s="112">
        <f t="shared" si="41"/>
        <v>17165.56</v>
      </c>
      <c r="S39" s="112">
        <f t="shared" si="41"/>
        <v>-6850</v>
      </c>
      <c r="T39" s="112">
        <f t="shared" si="41"/>
        <v>178</v>
      </c>
      <c r="U39" s="112">
        <f t="shared" si="41"/>
        <v>10178</v>
      </c>
      <c r="V39" s="112">
        <f t="shared" si="41"/>
        <v>20178</v>
      </c>
      <c r="W39" s="112">
        <f t="shared" si="41"/>
        <v>20178</v>
      </c>
      <c r="X39" s="112">
        <f t="shared" si="41"/>
        <v>20178</v>
      </c>
      <c r="Y39" s="112">
        <f t="shared" si="41"/>
        <v>20178</v>
      </c>
      <c r="Z39" s="112">
        <f>Z15-Z38</f>
        <v>97028.95</v>
      </c>
    </row>
    <row r="40" ht="15.75" customHeight="1">
      <c r="A40" s="107" t="s">
        <v>186</v>
      </c>
      <c r="B40" s="112">
        <f t="shared" ref="B40:Y40" si="42">(B39)+(0)</f>
        <v>23212.17</v>
      </c>
      <c r="C40" s="112">
        <f t="shared" si="42"/>
        <v>19295.74</v>
      </c>
      <c r="D40" s="112">
        <f t="shared" si="42"/>
        <v>15018.42</v>
      </c>
      <c r="E40" s="112">
        <f t="shared" si="42"/>
        <v>-4279.22</v>
      </c>
      <c r="F40" s="112">
        <f t="shared" si="42"/>
        <v>9369.82</v>
      </c>
      <c r="G40" s="112">
        <f t="shared" si="42"/>
        <v>5246.16</v>
      </c>
      <c r="H40" s="112">
        <f t="shared" si="42"/>
        <v>37416.54</v>
      </c>
      <c r="I40" s="112">
        <f t="shared" si="42"/>
        <v>-20915.3</v>
      </c>
      <c r="J40" s="112">
        <f t="shared" si="42"/>
        <v>16387.84</v>
      </c>
      <c r="K40" s="112">
        <f t="shared" si="42"/>
        <v>10352.51</v>
      </c>
      <c r="L40" s="112">
        <f t="shared" si="42"/>
        <v>8041.08</v>
      </c>
      <c r="M40" s="112">
        <f t="shared" si="42"/>
        <v>60538.33</v>
      </c>
      <c r="N40" s="112">
        <f t="shared" si="42"/>
        <v>-47566.72</v>
      </c>
      <c r="O40" s="112">
        <f t="shared" si="42"/>
        <v>23062.61</v>
      </c>
      <c r="P40" s="112">
        <f t="shared" si="42"/>
        <v>-8517.11</v>
      </c>
      <c r="Q40" s="112">
        <f t="shared" si="42"/>
        <v>28666.61</v>
      </c>
      <c r="R40" s="112">
        <f t="shared" si="42"/>
        <v>17165.56</v>
      </c>
      <c r="S40" s="112">
        <f t="shared" si="42"/>
        <v>-6850</v>
      </c>
      <c r="T40" s="112">
        <f t="shared" si="42"/>
        <v>178</v>
      </c>
      <c r="U40" s="112">
        <f t="shared" si="42"/>
        <v>10178</v>
      </c>
      <c r="V40" s="112">
        <f t="shared" si="42"/>
        <v>20178</v>
      </c>
      <c r="W40" s="112">
        <f t="shared" si="42"/>
        <v>20178</v>
      </c>
      <c r="X40" s="112">
        <f t="shared" si="42"/>
        <v>20178</v>
      </c>
      <c r="Y40" s="112">
        <f t="shared" si="42"/>
        <v>20178</v>
      </c>
      <c r="Z40" s="112">
        <f>SUM(N40:Y40)</f>
        <v>97028.95</v>
      </c>
    </row>
    <row r="41" ht="15.75" customHeight="1">
      <c r="A41" s="107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185" t="s">
        <v>253</v>
      </c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118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4">
    <mergeCell ref="A1:Z1"/>
    <mergeCell ref="A2:Z2"/>
    <mergeCell ref="A3:Z3"/>
    <mergeCell ref="A44:Z44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8.29"/>
    <col customWidth="1" min="2" max="2" width="16.86"/>
    <col customWidth="1" min="3" max="3" width="15.43"/>
    <col customWidth="1" min="4" max="5" width="17.14"/>
    <col customWidth="1" min="6" max="6" width="17.57"/>
    <col customWidth="1" min="7" max="8" width="17.14"/>
    <col customWidth="1" min="9" max="9" width="17.0"/>
    <col customWidth="1" min="10" max="15" width="17.14"/>
    <col customWidth="1" min="16" max="16" width="16.14"/>
    <col customWidth="1" min="17" max="17" width="15.86"/>
    <col customWidth="1" min="18" max="18" width="16.43"/>
    <col customWidth="1" min="19" max="19" width="15.71"/>
    <col customWidth="1" min="20" max="20" width="15.29"/>
    <col customWidth="1" min="21" max="21" width="15.57"/>
    <col customWidth="1" min="22" max="22" width="14.29"/>
    <col customWidth="1" min="23" max="23" width="15.29"/>
    <col customWidth="1" min="24" max="24" width="15.57"/>
    <col customWidth="1" min="25" max="25" width="15.86"/>
    <col customWidth="1" min="26" max="26" width="16.71"/>
    <col customWidth="1" min="27" max="27" width="15.86"/>
    <col customWidth="1" min="28" max="28" width="15.71"/>
    <col customWidth="1" min="29" max="29" width="17.0"/>
  </cols>
  <sheetData>
    <row r="1" ht="19.5" customHeight="1">
      <c r="A1" s="121" t="s">
        <v>93</v>
      </c>
      <c r="B1" s="3"/>
      <c r="C1" s="186"/>
      <c r="F1" s="187" t="s">
        <v>191</v>
      </c>
      <c r="G1" s="188"/>
      <c r="H1" s="189">
        <f>$C$19+($C$20*7)</f>
        <v>38513.44</v>
      </c>
      <c r="I1" s="189">
        <f>H1*2</f>
        <v>77026.88</v>
      </c>
      <c r="J1" s="190"/>
      <c r="K1" s="117"/>
    </row>
    <row r="2">
      <c r="A2" s="33" t="s">
        <v>188</v>
      </c>
      <c r="B2" s="3"/>
      <c r="C2" s="191">
        <f>180*D2</f>
        <v>4500</v>
      </c>
      <c r="D2" s="2">
        <v>25.0</v>
      </c>
      <c r="F2" s="192"/>
      <c r="H2" s="191"/>
      <c r="I2" s="117"/>
      <c r="J2" s="191"/>
      <c r="K2" s="117"/>
      <c r="L2" s="117"/>
    </row>
    <row r="3">
      <c r="A3" s="33" t="s">
        <v>21</v>
      </c>
      <c r="B3" s="102" t="s">
        <v>23</v>
      </c>
      <c r="C3" s="191">
        <v>65.0</v>
      </c>
      <c r="F3" s="192"/>
      <c r="H3" s="191" t="s">
        <v>192</v>
      </c>
      <c r="I3" s="122">
        <v>250.0</v>
      </c>
      <c r="J3" s="193">
        <v>500.0</v>
      </c>
      <c r="K3" s="117"/>
    </row>
    <row r="4">
      <c r="A4" s="33"/>
      <c r="B4" s="3" t="s">
        <v>25</v>
      </c>
      <c r="C4" s="191">
        <v>27.0</v>
      </c>
      <c r="F4" s="194" t="s">
        <v>193</v>
      </c>
      <c r="G4" s="195">
        <v>5.0</v>
      </c>
      <c r="H4" s="196">
        <f>G4*7</f>
        <v>35</v>
      </c>
      <c r="I4" s="117">
        <f>H4*$I$3+$H$1</f>
        <v>47263.44</v>
      </c>
      <c r="J4" s="191">
        <f>$J$3*H4+$I$1</f>
        <v>94526.88</v>
      </c>
      <c r="K4" s="117"/>
    </row>
    <row r="5">
      <c r="A5" s="33"/>
      <c r="B5" s="3" t="s">
        <v>26</v>
      </c>
      <c r="C5" s="191">
        <v>18.0</v>
      </c>
      <c r="F5" s="197" t="s">
        <v>194</v>
      </c>
      <c r="G5" s="123">
        <v>115.0</v>
      </c>
      <c r="H5" s="196">
        <v>115.0</v>
      </c>
      <c r="I5" s="117">
        <f t="shared" ref="I5:I6" si="1">H5*$I$3</f>
        <v>28750</v>
      </c>
      <c r="J5" s="191">
        <f t="shared" ref="J5:J6" si="2">$J$3*H5</f>
        <v>57500</v>
      </c>
      <c r="K5" s="117"/>
    </row>
    <row r="6">
      <c r="A6" s="33"/>
      <c r="B6" s="3" t="s">
        <v>40</v>
      </c>
      <c r="C6" s="191">
        <v>18.0</v>
      </c>
      <c r="F6" s="197" t="s">
        <v>195</v>
      </c>
      <c r="G6" s="123">
        <v>230.0</v>
      </c>
      <c r="H6" s="196">
        <v>230.0</v>
      </c>
      <c r="I6" s="117">
        <f t="shared" si="1"/>
        <v>57500</v>
      </c>
      <c r="J6" s="191">
        <f t="shared" si="2"/>
        <v>115000</v>
      </c>
      <c r="K6" s="117"/>
    </row>
    <row r="7">
      <c r="A7" s="33"/>
      <c r="B7" s="3" t="s">
        <v>41</v>
      </c>
      <c r="C7" s="191">
        <v>0.03</v>
      </c>
      <c r="F7" s="198" t="s">
        <v>193</v>
      </c>
      <c r="G7" s="142">
        <v>7.0</v>
      </c>
      <c r="H7" s="196"/>
      <c r="I7" s="117"/>
      <c r="J7" s="191">
        <f>$E$25*H7</f>
        <v>0</v>
      </c>
      <c r="K7" s="117"/>
      <c r="L7" s="117"/>
      <c r="M7" s="117"/>
      <c r="N7" s="117"/>
      <c r="O7" s="117"/>
      <c r="P7" s="117"/>
      <c r="Q7" s="117"/>
      <c r="R7" s="117"/>
      <c r="S7" s="117"/>
    </row>
    <row r="8">
      <c r="A8" s="33"/>
      <c r="B8" s="3" t="s">
        <v>42</v>
      </c>
      <c r="C8" s="191">
        <v>0.15</v>
      </c>
      <c r="F8" s="194" t="s">
        <v>254</v>
      </c>
      <c r="G8" s="123">
        <v>25.0</v>
      </c>
      <c r="H8" s="196">
        <f t="shared" ref="H8:H10" si="3">G8*7</f>
        <v>175</v>
      </c>
      <c r="I8" s="117">
        <f t="shared" ref="I8:I10" si="4">H8*$I$3+$H$1</f>
        <v>82263.44</v>
      </c>
      <c r="J8" s="191">
        <f t="shared" ref="J8:J10" si="5">$J$3*H8+$I$1</f>
        <v>164526.88</v>
      </c>
      <c r="K8" s="117"/>
      <c r="L8" s="117"/>
      <c r="M8" s="117"/>
      <c r="N8" s="117"/>
      <c r="O8" s="117"/>
      <c r="P8" s="117"/>
      <c r="Q8" s="117"/>
      <c r="R8" s="117"/>
      <c r="S8" s="117"/>
    </row>
    <row r="9">
      <c r="A9" s="199" t="s">
        <v>43</v>
      </c>
      <c r="B9" s="200" t="s">
        <v>44</v>
      </c>
      <c r="C9" s="201">
        <v>650.0</v>
      </c>
      <c r="D9" s="202" t="s">
        <v>255</v>
      </c>
      <c r="E9" s="203">
        <v>4500.0</v>
      </c>
      <c r="F9" s="119" t="s">
        <v>256</v>
      </c>
      <c r="G9" s="123">
        <v>35.0</v>
      </c>
      <c r="H9" s="196">
        <f t="shared" si="3"/>
        <v>245</v>
      </c>
      <c r="I9" s="117">
        <f t="shared" si="4"/>
        <v>99763.44</v>
      </c>
      <c r="J9" s="191">
        <f t="shared" si="5"/>
        <v>199526.88</v>
      </c>
      <c r="K9" s="117"/>
      <c r="L9" s="117"/>
      <c r="M9" s="117"/>
      <c r="N9" s="117"/>
      <c r="O9" s="117"/>
      <c r="P9" s="117"/>
      <c r="Q9" s="117"/>
      <c r="R9" s="117"/>
      <c r="S9" s="117"/>
    </row>
    <row r="10">
      <c r="A10" s="33"/>
      <c r="B10" s="3" t="s">
        <v>46</v>
      </c>
      <c r="C10" s="117">
        <v>150.0</v>
      </c>
      <c r="D10" s="204" t="s">
        <v>257</v>
      </c>
      <c r="E10" s="203">
        <v>15000.0</v>
      </c>
      <c r="F10" s="119" t="s">
        <v>258</v>
      </c>
      <c r="G10" s="123">
        <v>45.0</v>
      </c>
      <c r="H10" s="196">
        <f t="shared" si="3"/>
        <v>315</v>
      </c>
      <c r="I10" s="117">
        <f t="shared" si="4"/>
        <v>117263.44</v>
      </c>
      <c r="J10" s="191">
        <f t="shared" si="5"/>
        <v>234526.88</v>
      </c>
      <c r="K10" s="117"/>
      <c r="L10" s="117"/>
      <c r="M10" s="117"/>
      <c r="N10" s="117"/>
      <c r="O10" s="117"/>
      <c r="P10" s="117"/>
      <c r="Q10" s="117"/>
      <c r="R10" s="117"/>
      <c r="S10" s="117"/>
    </row>
    <row r="11">
      <c r="A11" s="33"/>
      <c r="B11" s="3" t="s">
        <v>48</v>
      </c>
      <c r="C11" s="191">
        <v>10.0</v>
      </c>
      <c r="F11" s="192"/>
      <c r="H11" s="191"/>
      <c r="I11" s="117"/>
      <c r="J11" s="191"/>
      <c r="K11" s="117"/>
      <c r="L11" s="117"/>
      <c r="M11" s="117"/>
      <c r="N11" s="117"/>
      <c r="O11" s="117"/>
      <c r="P11" s="117"/>
      <c r="Q11" s="117"/>
      <c r="R11" s="117"/>
      <c r="S11" s="117"/>
    </row>
    <row r="12">
      <c r="A12" s="33"/>
      <c r="B12" s="3" t="s">
        <v>49</v>
      </c>
      <c r="C12" s="191">
        <v>8.0</v>
      </c>
      <c r="F12" s="205" t="s">
        <v>199</v>
      </c>
      <c r="G12" s="123">
        <v>80.0</v>
      </c>
      <c r="H12" s="191">
        <f>G12*7</f>
        <v>560</v>
      </c>
      <c r="I12" s="117">
        <f>H12*I3</f>
        <v>140000</v>
      </c>
      <c r="J12" s="191"/>
      <c r="K12" s="117"/>
    </row>
    <row r="13">
      <c r="A13" s="33"/>
      <c r="B13" s="3" t="s">
        <v>50</v>
      </c>
      <c r="C13" s="191">
        <v>15.0</v>
      </c>
      <c r="F13" s="206"/>
      <c r="G13" s="188"/>
      <c r="H13" s="207"/>
      <c r="I13" s="188"/>
      <c r="J13" s="207"/>
    </row>
    <row r="14">
      <c r="B14" s="2" t="s">
        <v>52</v>
      </c>
      <c r="C14" s="191">
        <v>400.0</v>
      </c>
      <c r="F14" s="117"/>
    </row>
    <row r="15">
      <c r="B15" s="2" t="s">
        <v>54</v>
      </c>
      <c r="C15" s="191">
        <v>60.0</v>
      </c>
      <c r="F15" s="117"/>
    </row>
    <row r="16">
      <c r="B16" s="2" t="s">
        <v>56</v>
      </c>
      <c r="C16" s="191">
        <v>45.0</v>
      </c>
      <c r="F16" s="208" t="s">
        <v>255</v>
      </c>
      <c r="G16" s="209">
        <v>0.0</v>
      </c>
    </row>
    <row r="17">
      <c r="B17" s="2" t="s">
        <v>57</v>
      </c>
      <c r="C17" s="191">
        <v>25.0</v>
      </c>
      <c r="F17" s="210" t="s">
        <v>257</v>
      </c>
      <c r="G17" s="211">
        <v>75000.0</v>
      </c>
    </row>
    <row r="18">
      <c r="B18" s="2" t="s">
        <v>59</v>
      </c>
      <c r="C18" s="191">
        <v>125.0</v>
      </c>
      <c r="F18" s="210" t="s">
        <v>259</v>
      </c>
      <c r="G18" s="211">
        <v>0.0</v>
      </c>
    </row>
    <row r="19">
      <c r="A19" s="212"/>
      <c r="B19" s="213" t="s">
        <v>189</v>
      </c>
      <c r="C19" s="190">
        <f>SUM(C2:C18)</f>
        <v>6116.18</v>
      </c>
      <c r="F19" s="210" t="s">
        <v>260</v>
      </c>
      <c r="G19" s="211">
        <v>0.0</v>
      </c>
    </row>
    <row r="20">
      <c r="A20" s="214"/>
      <c r="B20" s="215" t="s">
        <v>190</v>
      </c>
      <c r="C20" s="216">
        <f>SUM(C2:C8)</f>
        <v>4628.18</v>
      </c>
      <c r="F20" s="210" t="s">
        <v>261</v>
      </c>
      <c r="G20" s="211">
        <v>0.0</v>
      </c>
    </row>
    <row r="21" ht="15.75" customHeight="1">
      <c r="A21" s="2"/>
      <c r="B21" s="217" t="s">
        <v>223</v>
      </c>
      <c r="C21" s="218">
        <v>0.0</v>
      </c>
      <c r="F21" s="210" t="s">
        <v>262</v>
      </c>
      <c r="G21" s="211">
        <v>0.0</v>
      </c>
    </row>
    <row r="22" ht="15.75" customHeight="1">
      <c r="A22" s="2"/>
      <c r="B22" s="219" t="s">
        <v>225</v>
      </c>
      <c r="C22" s="220">
        <v>0.1</v>
      </c>
      <c r="F22" s="210" t="s">
        <v>263</v>
      </c>
      <c r="G22" s="211">
        <v>0.0</v>
      </c>
    </row>
    <row r="23" ht="15.75" customHeight="1">
      <c r="A23" s="2"/>
      <c r="B23" s="221" t="s">
        <v>227</v>
      </c>
      <c r="C23" s="222">
        <v>163.5</v>
      </c>
      <c r="D23" s="117"/>
      <c r="E23" s="117"/>
      <c r="F23" s="223" t="s">
        <v>264</v>
      </c>
      <c r="G23" s="224">
        <v>0.0</v>
      </c>
      <c r="H23" s="225" t="s">
        <v>265</v>
      </c>
    </row>
    <row r="24" ht="15.75" customHeight="1">
      <c r="A24" s="2"/>
      <c r="B24" s="221" t="s">
        <v>229</v>
      </c>
      <c r="C24" s="222">
        <v>0.5</v>
      </c>
      <c r="D24" s="117"/>
      <c r="E24" s="117"/>
      <c r="F24" s="117"/>
      <c r="K24" s="226" t="s">
        <v>266</v>
      </c>
    </row>
    <row r="25" ht="15.75" customHeight="1">
      <c r="A25" s="227" t="s">
        <v>267</v>
      </c>
      <c r="B25" s="228" t="s">
        <v>231</v>
      </c>
      <c r="C25" s="229">
        <v>0.05</v>
      </c>
      <c r="D25" s="122"/>
      <c r="E25" s="122"/>
      <c r="F25" s="117"/>
      <c r="K25" s="141" t="s">
        <v>268</v>
      </c>
    </row>
    <row r="26" ht="15.75" customHeight="1">
      <c r="A26" s="119" t="s">
        <v>269</v>
      </c>
      <c r="B26" s="195" t="s">
        <v>270</v>
      </c>
      <c r="C26" s="195">
        <v>75.0</v>
      </c>
      <c r="D26" s="230">
        <v>0.75</v>
      </c>
      <c r="E26" s="117">
        <f t="shared" ref="E26:E29" si="6">C26*D26</f>
        <v>56.25</v>
      </c>
      <c r="F26" s="117"/>
      <c r="I26" s="226"/>
      <c r="K26" s="141" t="s">
        <v>271</v>
      </c>
    </row>
    <row r="27" ht="15.75" customHeight="1">
      <c r="B27" s="141" t="s">
        <v>272</v>
      </c>
      <c r="C27" s="195">
        <v>65.0</v>
      </c>
      <c r="D27" s="230">
        <v>0.25</v>
      </c>
      <c r="E27" s="117">
        <f t="shared" si="6"/>
        <v>16.25</v>
      </c>
      <c r="F27" s="231"/>
      <c r="G27" s="232" t="s">
        <v>222</v>
      </c>
      <c r="H27" s="141" t="s">
        <v>273</v>
      </c>
      <c r="I27" s="2"/>
      <c r="J27" s="50"/>
      <c r="K27" s="141" t="s">
        <v>274</v>
      </c>
    </row>
    <row r="28" ht="15.75" customHeight="1">
      <c r="A28" s="33"/>
      <c r="B28" s="195" t="s">
        <v>275</v>
      </c>
      <c r="C28" s="195">
        <v>100.0</v>
      </c>
      <c r="D28" s="230">
        <v>0.2</v>
      </c>
      <c r="E28" s="117">
        <f t="shared" si="6"/>
        <v>20</v>
      </c>
      <c r="F28" s="233" t="s">
        <v>224</v>
      </c>
      <c r="G28" s="234">
        <v>180000.0</v>
      </c>
      <c r="H28" s="141" t="s">
        <v>276</v>
      </c>
      <c r="I28" s="235">
        <v>12.0</v>
      </c>
      <c r="J28" s="235">
        <v>2.0</v>
      </c>
      <c r="K28" s="141" t="s">
        <v>277</v>
      </c>
    </row>
    <row r="29" ht="15.75" customHeight="1">
      <c r="A29" s="33"/>
      <c r="B29" s="195" t="s">
        <v>278</v>
      </c>
      <c r="C29" s="195">
        <v>80.0</v>
      </c>
      <c r="D29" s="230">
        <v>0.15</v>
      </c>
      <c r="E29" s="117">
        <f t="shared" si="6"/>
        <v>12</v>
      </c>
      <c r="F29" s="233" t="s">
        <v>226</v>
      </c>
      <c r="G29" s="236">
        <v>0.0</v>
      </c>
      <c r="H29" s="141" t="s">
        <v>279</v>
      </c>
      <c r="I29" s="235">
        <v>60.0</v>
      </c>
      <c r="J29" s="235">
        <v>10.0</v>
      </c>
      <c r="K29" s="141" t="s">
        <v>280</v>
      </c>
    </row>
    <row r="30" ht="15.75" customHeight="1">
      <c r="A30" s="33"/>
      <c r="B30" s="123"/>
      <c r="C30" s="123"/>
      <c r="D30" s="117"/>
      <c r="E30" s="117">
        <f>SUM(E26:E29)</f>
        <v>104.5</v>
      </c>
      <c r="F30" s="233" t="s">
        <v>228</v>
      </c>
      <c r="G30" s="237"/>
      <c r="H30" s="141" t="s">
        <v>27</v>
      </c>
      <c r="I30" s="235">
        <v>240.0</v>
      </c>
      <c r="J30" s="235">
        <v>40.0</v>
      </c>
      <c r="K30" s="141" t="s">
        <v>281</v>
      </c>
    </row>
    <row r="31" ht="15.75" customHeight="1">
      <c r="B31" s="238">
        <v>2023.0</v>
      </c>
      <c r="C31" s="117"/>
      <c r="D31" s="117"/>
      <c r="E31" s="117">
        <f>E30*1.2</f>
        <v>125.4</v>
      </c>
      <c r="F31" s="233" t="s">
        <v>230</v>
      </c>
      <c r="G31" s="237"/>
      <c r="I31" s="2"/>
      <c r="J31" s="239"/>
      <c r="P31" s="238">
        <v>2024.0</v>
      </c>
    </row>
    <row r="32" ht="15.75" customHeight="1">
      <c r="A32" s="240" t="s">
        <v>222</v>
      </c>
      <c r="B32" s="241"/>
      <c r="C32" s="201"/>
      <c r="D32" s="201"/>
      <c r="E32" s="201"/>
      <c r="F32" s="201"/>
      <c r="G32" s="242">
        <v>3500000.0</v>
      </c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4"/>
      <c r="U32" s="243"/>
      <c r="V32" s="243"/>
      <c r="W32" s="243"/>
      <c r="X32" s="243"/>
      <c r="Y32" s="243"/>
      <c r="Z32" s="243"/>
      <c r="AA32" s="243"/>
      <c r="AB32" s="243"/>
      <c r="AC32" s="245"/>
    </row>
    <row r="33" ht="15.75" customHeight="1">
      <c r="A33" s="246" t="s">
        <v>282</v>
      </c>
      <c r="B33" s="247">
        <f>G33</f>
        <v>17</v>
      </c>
      <c r="C33" s="149"/>
      <c r="D33" s="149"/>
      <c r="E33" s="149"/>
      <c r="F33" s="149"/>
      <c r="G33" s="150">
        <v>17.0</v>
      </c>
      <c r="H33" s="151"/>
      <c r="I33" s="248"/>
      <c r="J33" s="151"/>
      <c r="K33" s="151"/>
      <c r="L33" s="151"/>
      <c r="M33" s="151"/>
      <c r="N33" s="151"/>
      <c r="O33" s="151"/>
      <c r="P33" s="150">
        <v>135.0</v>
      </c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249"/>
    </row>
    <row r="34" ht="15.75" customHeight="1">
      <c r="A34" s="178" t="s">
        <v>237</v>
      </c>
      <c r="B34" s="179"/>
      <c r="C34" s="179"/>
      <c r="D34" s="179"/>
      <c r="E34" s="179">
        <v>63655.75</v>
      </c>
      <c r="F34" s="179">
        <f>63655.75+$G$32</f>
        <v>3563655.75</v>
      </c>
      <c r="G34" s="179">
        <f>$F$74+$G$72</f>
        <v>3373330.69</v>
      </c>
      <c r="H34" s="179">
        <f>$G$74+$H$72+45000</f>
        <v>3175210.63</v>
      </c>
      <c r="I34" s="179">
        <f>$H$74+$I$72</f>
        <v>2938690.57</v>
      </c>
      <c r="J34" s="179">
        <f>$I$74+$J$72</f>
        <v>2763170.51</v>
      </c>
      <c r="K34" s="179">
        <f>$J$74+$K$72</f>
        <v>2638650.45</v>
      </c>
      <c r="L34" s="179">
        <f>$K$74+$L$72</f>
        <v>2565130.39</v>
      </c>
      <c r="M34" s="179">
        <f>$L$74+$M$72</f>
        <v>2542610.33</v>
      </c>
      <c r="N34" s="179">
        <f>$M$74+$N$72</f>
        <v>2627139.28</v>
      </c>
      <c r="O34" s="250"/>
      <c r="P34" s="179">
        <f>$M$74+$P$72</f>
        <v>1691124.97</v>
      </c>
      <c r="Q34" s="179">
        <f>$P$74+$Q$72</f>
        <v>512602.11</v>
      </c>
      <c r="R34" s="251">
        <f>$Q$74+$R$72</f>
        <v>-220420.75</v>
      </c>
      <c r="S34" s="179">
        <f>$R$74+$S$72</f>
        <v>-507943.61</v>
      </c>
      <c r="T34" s="179">
        <f>$S$74+$T$72</f>
        <v>-285166.47</v>
      </c>
      <c r="U34" s="179">
        <f>$T$74+$U$72</f>
        <v>767455.67</v>
      </c>
      <c r="V34" s="73"/>
      <c r="W34" s="179">
        <f>$U$74+$W$72</f>
        <v>2144550.31</v>
      </c>
      <c r="X34" s="179">
        <f>$W$74+$X$72</f>
        <v>3521644.95</v>
      </c>
      <c r="Y34" s="179">
        <f>$X$74+$Y$72</f>
        <v>4898739.59</v>
      </c>
      <c r="Z34" s="179">
        <f>$Y$74+$Z$72</f>
        <v>6275834.23</v>
      </c>
      <c r="AA34" s="179">
        <f>$Z$74+$AA$72</f>
        <v>7652928.87</v>
      </c>
      <c r="AB34" s="179">
        <f>$AA$74+$AB$72</f>
        <v>9030023.51</v>
      </c>
      <c r="AC34" s="251">
        <f>AB74+AC72</f>
        <v>30677759.51</v>
      </c>
    </row>
    <row r="35" ht="15.75" customHeight="1">
      <c r="A35" s="124"/>
      <c r="B35" s="124" t="s">
        <v>207</v>
      </c>
      <c r="C35" s="124" t="s">
        <v>208</v>
      </c>
      <c r="D35" s="124" t="s">
        <v>232</v>
      </c>
      <c r="E35" s="124" t="s">
        <v>210</v>
      </c>
      <c r="F35" s="124" t="s">
        <v>211</v>
      </c>
      <c r="G35" s="124" t="s">
        <v>212</v>
      </c>
      <c r="H35" s="125" t="s">
        <v>201</v>
      </c>
      <c r="I35" s="125" t="s">
        <v>202</v>
      </c>
      <c r="J35" s="125" t="s">
        <v>203</v>
      </c>
      <c r="K35" s="125" t="s">
        <v>204</v>
      </c>
      <c r="L35" s="125" t="s">
        <v>205</v>
      </c>
      <c r="M35" s="125" t="s">
        <v>206</v>
      </c>
      <c r="N35" s="252">
        <v>2023.0</v>
      </c>
      <c r="O35" s="253"/>
      <c r="P35" s="125" t="s">
        <v>207</v>
      </c>
      <c r="Q35" s="125" t="s">
        <v>208</v>
      </c>
      <c r="R35" s="254" t="s">
        <v>209</v>
      </c>
      <c r="S35" s="125" t="s">
        <v>210</v>
      </c>
      <c r="T35" s="125" t="s">
        <v>211</v>
      </c>
      <c r="U35" s="124" t="s">
        <v>212</v>
      </c>
      <c r="V35" s="124"/>
      <c r="W35" s="125" t="s">
        <v>201</v>
      </c>
      <c r="X35" s="124" t="s">
        <v>202</v>
      </c>
      <c r="Y35" s="124" t="s">
        <v>203</v>
      </c>
      <c r="Z35" s="124" t="s">
        <v>204</v>
      </c>
      <c r="AA35" s="124" t="s">
        <v>205</v>
      </c>
      <c r="AB35" s="124" t="s">
        <v>206</v>
      </c>
      <c r="AC35" s="252"/>
    </row>
    <row r="36" ht="15.75" customHeight="1">
      <c r="A36" s="255" t="s">
        <v>213</v>
      </c>
      <c r="B36" s="255"/>
      <c r="C36" s="255"/>
      <c r="D36" s="255"/>
      <c r="E36" s="255"/>
      <c r="F36" s="255"/>
      <c r="G36" s="256">
        <v>0.0</v>
      </c>
      <c r="H36" s="256">
        <f>G33*40</f>
        <v>680</v>
      </c>
      <c r="I36" s="256">
        <f>80*G33</f>
        <v>1360</v>
      </c>
      <c r="J36" s="256">
        <f>120*G33</f>
        <v>2040</v>
      </c>
      <c r="K36" s="257">
        <f>160*G33</f>
        <v>2720</v>
      </c>
      <c r="L36" s="256">
        <f>200*G33</f>
        <v>3400</v>
      </c>
      <c r="M36" s="256">
        <f>240*G33</f>
        <v>4080</v>
      </c>
      <c r="N36" s="258" t="s">
        <v>214</v>
      </c>
      <c r="O36" s="259"/>
      <c r="P36" s="256">
        <f>M36</f>
        <v>4080</v>
      </c>
      <c r="Q36" s="256">
        <f>(60*$P$33)+M36</f>
        <v>12180</v>
      </c>
      <c r="R36" s="256">
        <f>(120*$P$33)+M36</f>
        <v>20280</v>
      </c>
      <c r="S36" s="256">
        <f>(180*$P$33)+M36</f>
        <v>28380</v>
      </c>
      <c r="T36" s="256">
        <f>(240*$P$33)+M36</f>
        <v>36480</v>
      </c>
      <c r="U36" s="256">
        <f>(260*$P$33)+M36</f>
        <v>39180</v>
      </c>
      <c r="V36" s="256"/>
      <c r="W36" s="256">
        <f>(260*$P$33)+M36</f>
        <v>39180</v>
      </c>
      <c r="X36" s="256">
        <f>(260*$P$33)+M36</f>
        <v>39180</v>
      </c>
      <c r="Y36" s="256">
        <f>(260*$P$33)+M36</f>
        <v>39180</v>
      </c>
      <c r="Z36" s="256">
        <f>(260*$P$33)+M36</f>
        <v>39180</v>
      </c>
      <c r="AA36" s="256">
        <f>(260*$P$33)+M36</f>
        <v>39180</v>
      </c>
      <c r="AB36" s="256">
        <f>(260*$P$33)+M36</f>
        <v>39180</v>
      </c>
      <c r="AC36" s="260" t="s">
        <v>283</v>
      </c>
    </row>
    <row r="37" ht="15.75" customHeight="1">
      <c r="A37" s="261" t="s">
        <v>12</v>
      </c>
      <c r="B37" s="262">
        <f>'P&amp;L'!N9</f>
        <v>2206.5</v>
      </c>
      <c r="C37" s="262">
        <f>'P&amp;L'!O9</f>
        <v>89149.99</v>
      </c>
      <c r="D37" s="262">
        <f>'P&amp;L'!P9</f>
        <v>78500.7</v>
      </c>
      <c r="E37" s="262">
        <f>'P&amp;L'!Q9</f>
        <v>75991.47</v>
      </c>
      <c r="F37" s="262">
        <f>'P&amp;L'!R9</f>
        <v>61921.25</v>
      </c>
      <c r="G37" s="263">
        <v>62972.0</v>
      </c>
      <c r="H37" s="263">
        <v>70000.0</v>
      </c>
      <c r="I37" s="263">
        <v>80000.0</v>
      </c>
      <c r="J37" s="263">
        <v>90000.0</v>
      </c>
      <c r="K37" s="263">
        <v>90000.0</v>
      </c>
      <c r="L37" s="263">
        <v>90000.0</v>
      </c>
      <c r="M37" s="263">
        <v>90000.0</v>
      </c>
      <c r="N37" s="264">
        <f>SUM(B37:M37)</f>
        <v>880741.91</v>
      </c>
      <c r="O37" s="265"/>
      <c r="P37" s="263">
        <v>100000.0</v>
      </c>
      <c r="Q37" s="263">
        <v>100000.0</v>
      </c>
      <c r="R37" s="263">
        <v>100000.0</v>
      </c>
      <c r="S37" s="263">
        <v>100000.0</v>
      </c>
      <c r="T37" s="263">
        <v>100000.0</v>
      </c>
      <c r="U37" s="263">
        <v>100000.0</v>
      </c>
      <c r="V37" s="262">
        <f>SUM(N37:U37)</f>
        <v>1480741.91</v>
      </c>
      <c r="W37" s="263">
        <v>100000.0</v>
      </c>
      <c r="X37" s="263">
        <v>100000.0</v>
      </c>
      <c r="Y37" s="263">
        <v>100000.0</v>
      </c>
      <c r="Z37" s="263">
        <v>100000.0</v>
      </c>
      <c r="AA37" s="263">
        <v>100000.0</v>
      </c>
      <c r="AB37" s="263">
        <v>100000.0</v>
      </c>
      <c r="AC37" s="266">
        <f t="shared" ref="AC37:AC46" si="9">SUM(P37:U37,W37:AB37)</f>
        <v>1200000</v>
      </c>
    </row>
    <row r="38" ht="15.75" customHeight="1">
      <c r="A38" s="267" t="s">
        <v>233</v>
      </c>
      <c r="B38" s="268"/>
      <c r="C38" s="268"/>
      <c r="D38" s="268"/>
      <c r="E38" s="268"/>
      <c r="F38" s="268"/>
      <c r="G38" s="268" t="str">
        <f>Investment!B36</f>
        <v/>
      </c>
      <c r="H38" s="268" t="str">
        <f>Investment!C36</f>
        <v/>
      </c>
      <c r="I38" s="268" t="str">
        <f>Investment!D36</f>
        <v/>
      </c>
      <c r="J38" s="268">
        <f t="shared" ref="J38:M38" si="7">H36*80</f>
        <v>54400</v>
      </c>
      <c r="K38" s="268">
        <f t="shared" si="7"/>
        <v>108800</v>
      </c>
      <c r="L38" s="268">
        <f t="shared" si="7"/>
        <v>163200</v>
      </c>
      <c r="M38" s="268">
        <f t="shared" si="7"/>
        <v>217600</v>
      </c>
      <c r="N38" s="269">
        <f>SUM(J38:M38)</f>
        <v>544000</v>
      </c>
      <c r="O38" s="270"/>
      <c r="P38" s="268">
        <f t="shared" ref="P38:AB38" si="8">80*P36</f>
        <v>326400</v>
      </c>
      <c r="Q38" s="268">
        <f t="shared" si="8"/>
        <v>974400</v>
      </c>
      <c r="R38" s="268">
        <f t="shared" si="8"/>
        <v>1622400</v>
      </c>
      <c r="S38" s="268">
        <f t="shared" si="8"/>
        <v>2270400</v>
      </c>
      <c r="T38" s="268">
        <f t="shared" si="8"/>
        <v>2918400</v>
      </c>
      <c r="U38" s="268">
        <f t="shared" si="8"/>
        <v>3134400</v>
      </c>
      <c r="V38" s="268">
        <f t="shared" si="8"/>
        <v>0</v>
      </c>
      <c r="W38" s="268">
        <f t="shared" si="8"/>
        <v>3134400</v>
      </c>
      <c r="X38" s="268">
        <f t="shared" si="8"/>
        <v>3134400</v>
      </c>
      <c r="Y38" s="268">
        <f t="shared" si="8"/>
        <v>3134400</v>
      </c>
      <c r="Z38" s="268">
        <f t="shared" si="8"/>
        <v>3134400</v>
      </c>
      <c r="AA38" s="268">
        <f t="shared" si="8"/>
        <v>3134400</v>
      </c>
      <c r="AB38" s="268">
        <f t="shared" si="8"/>
        <v>3134400</v>
      </c>
      <c r="AC38" s="266">
        <f t="shared" si="9"/>
        <v>30052800</v>
      </c>
    </row>
    <row r="39" ht="15.75" customHeight="1">
      <c r="A39" s="271" t="s">
        <v>234</v>
      </c>
      <c r="B39" s="272">
        <f t="shared" ref="B39:M39" si="10">SUM(B37:B38)</f>
        <v>2206.5</v>
      </c>
      <c r="C39" s="272">
        <f t="shared" si="10"/>
        <v>89149.99</v>
      </c>
      <c r="D39" s="272">
        <f t="shared" si="10"/>
        <v>78500.7</v>
      </c>
      <c r="E39" s="272">
        <f t="shared" si="10"/>
        <v>75991.47</v>
      </c>
      <c r="F39" s="272">
        <f t="shared" si="10"/>
        <v>61921.25</v>
      </c>
      <c r="G39" s="272">
        <f t="shared" si="10"/>
        <v>62972</v>
      </c>
      <c r="H39" s="272">
        <f t="shared" si="10"/>
        <v>70000</v>
      </c>
      <c r="I39" s="272">
        <f t="shared" si="10"/>
        <v>80000</v>
      </c>
      <c r="J39" s="272">
        <f t="shared" si="10"/>
        <v>144400</v>
      </c>
      <c r="K39" s="272">
        <f t="shared" si="10"/>
        <v>198800</v>
      </c>
      <c r="L39" s="272">
        <f t="shared" si="10"/>
        <v>253200</v>
      </c>
      <c r="M39" s="272">
        <f t="shared" si="10"/>
        <v>307600</v>
      </c>
      <c r="N39" s="273">
        <f>SUM(B39:M39)</f>
        <v>1424741.91</v>
      </c>
      <c r="O39" s="274"/>
      <c r="P39" s="275">
        <f t="shared" ref="P39:U39" si="11">SUM(P37:P38)</f>
        <v>426400</v>
      </c>
      <c r="Q39" s="275">
        <f t="shared" si="11"/>
        <v>1074400</v>
      </c>
      <c r="R39" s="276">
        <f t="shared" si="11"/>
        <v>1722400</v>
      </c>
      <c r="S39" s="275">
        <f t="shared" si="11"/>
        <v>2370400</v>
      </c>
      <c r="T39" s="275">
        <f t="shared" si="11"/>
        <v>3018400</v>
      </c>
      <c r="U39" s="275">
        <f t="shared" si="11"/>
        <v>3234400</v>
      </c>
      <c r="V39" s="275"/>
      <c r="W39" s="275">
        <f t="shared" ref="W39:AB39" si="12">SUM(W37:W38)</f>
        <v>3234400</v>
      </c>
      <c r="X39" s="275">
        <f t="shared" si="12"/>
        <v>3234400</v>
      </c>
      <c r="Y39" s="275">
        <f t="shared" si="12"/>
        <v>3234400</v>
      </c>
      <c r="Z39" s="275">
        <f t="shared" si="12"/>
        <v>3234400</v>
      </c>
      <c r="AA39" s="275">
        <f t="shared" si="12"/>
        <v>3234400</v>
      </c>
      <c r="AB39" s="275">
        <f t="shared" si="12"/>
        <v>3234400</v>
      </c>
      <c r="AC39" s="266">
        <f t="shared" si="9"/>
        <v>31252800</v>
      </c>
    </row>
    <row r="40" ht="15.75" customHeight="1">
      <c r="A40" s="277" t="s">
        <v>215</v>
      </c>
      <c r="B40" s="277"/>
      <c r="C40" s="277"/>
      <c r="D40" s="277"/>
      <c r="E40" s="277"/>
      <c r="F40" s="277"/>
      <c r="G40" s="278"/>
      <c r="H40" s="278">
        <f t="shared" ref="H40:M40" si="13">$G$4*H36</f>
        <v>3400</v>
      </c>
      <c r="I40" s="278">
        <f t="shared" si="13"/>
        <v>6800</v>
      </c>
      <c r="J40" s="278">
        <f t="shared" si="13"/>
        <v>10200</v>
      </c>
      <c r="K40" s="278">
        <f t="shared" si="13"/>
        <v>13600</v>
      </c>
      <c r="L40" s="278">
        <f t="shared" si="13"/>
        <v>17000</v>
      </c>
      <c r="M40" s="278">
        <f t="shared" si="13"/>
        <v>20400</v>
      </c>
      <c r="N40" s="279">
        <f>SUM(H40:M40)</f>
        <v>71400</v>
      </c>
      <c r="O40" s="280"/>
      <c r="P40" s="278">
        <f t="shared" ref="P40:U40" si="14">$G$4*P36</f>
        <v>20400</v>
      </c>
      <c r="Q40" s="278">
        <f t="shared" si="14"/>
        <v>60900</v>
      </c>
      <c r="R40" s="281">
        <f t="shared" si="14"/>
        <v>101400</v>
      </c>
      <c r="S40" s="278">
        <f t="shared" si="14"/>
        <v>141900</v>
      </c>
      <c r="T40" s="278">
        <f t="shared" si="14"/>
        <v>182400</v>
      </c>
      <c r="U40" s="278">
        <f t="shared" si="14"/>
        <v>195900</v>
      </c>
      <c r="V40" s="278">
        <f>SUM(N40:U40)</f>
        <v>774300</v>
      </c>
      <c r="W40" s="278">
        <f t="shared" ref="W40:AB40" si="15">$G$4*W36</f>
        <v>195900</v>
      </c>
      <c r="X40" s="278">
        <f t="shared" si="15"/>
        <v>195900</v>
      </c>
      <c r="Y40" s="278">
        <f t="shared" si="15"/>
        <v>195900</v>
      </c>
      <c r="Z40" s="278">
        <f t="shared" si="15"/>
        <v>195900</v>
      </c>
      <c r="AA40" s="278">
        <f t="shared" si="15"/>
        <v>195900</v>
      </c>
      <c r="AB40" s="278">
        <f t="shared" si="15"/>
        <v>195900</v>
      </c>
      <c r="AC40" s="266">
        <f t="shared" si="9"/>
        <v>1878300</v>
      </c>
    </row>
    <row r="41" ht="15.75" customHeight="1">
      <c r="A41" s="282" t="s">
        <v>216</v>
      </c>
      <c r="B41" s="282"/>
      <c r="C41" s="282"/>
      <c r="D41" s="282"/>
      <c r="E41" s="282"/>
      <c r="F41" s="282"/>
      <c r="G41" s="283"/>
      <c r="H41" s="283">
        <f>H36*$E$30</f>
        <v>71060</v>
      </c>
      <c r="I41" s="283">
        <f t="shared" ref="I41:M41" si="16">(I36-H36)*$E$30</f>
        <v>71060</v>
      </c>
      <c r="J41" s="283">
        <f t="shared" si="16"/>
        <v>71060</v>
      </c>
      <c r="K41" s="283">
        <f t="shared" si="16"/>
        <v>71060</v>
      </c>
      <c r="L41" s="283">
        <f t="shared" si="16"/>
        <v>71060</v>
      </c>
      <c r="M41" s="283">
        <f t="shared" si="16"/>
        <v>71060</v>
      </c>
      <c r="N41" s="269">
        <f>SUM(B41:M41)</f>
        <v>426360</v>
      </c>
      <c r="O41" s="284"/>
      <c r="P41" s="285">
        <f>(P36-M36)*$E$30</f>
        <v>0</v>
      </c>
      <c r="Q41" s="286">
        <f t="shared" ref="Q41:U41" si="17">(Q36-P36)*$E$30</f>
        <v>846450</v>
      </c>
      <c r="R41" s="286">
        <f t="shared" si="17"/>
        <v>846450</v>
      </c>
      <c r="S41" s="286">
        <f t="shared" si="17"/>
        <v>846450</v>
      </c>
      <c r="T41" s="286">
        <f t="shared" si="17"/>
        <v>846450</v>
      </c>
      <c r="U41" s="286">
        <f t="shared" si="17"/>
        <v>282150</v>
      </c>
      <c r="V41" s="286"/>
      <c r="W41" s="286">
        <f>(W36-U36)*$E$30</f>
        <v>0</v>
      </c>
      <c r="X41" s="286">
        <f t="shared" ref="X41:AB41" si="18">(X36-W36)*$E$30</f>
        <v>0</v>
      </c>
      <c r="Y41" s="286">
        <f t="shared" si="18"/>
        <v>0</v>
      </c>
      <c r="Z41" s="286">
        <f t="shared" si="18"/>
        <v>0</v>
      </c>
      <c r="AA41" s="286">
        <f t="shared" si="18"/>
        <v>0</v>
      </c>
      <c r="AB41" s="286">
        <f t="shared" si="18"/>
        <v>0</v>
      </c>
      <c r="AC41" s="266">
        <f t="shared" si="9"/>
        <v>3667950</v>
      </c>
    </row>
    <row r="42" ht="15.75" customHeight="1">
      <c r="A42" s="282" t="s">
        <v>225</v>
      </c>
      <c r="B42" s="282"/>
      <c r="C42" s="282"/>
      <c r="D42" s="282"/>
      <c r="E42" s="282"/>
      <c r="F42" s="282"/>
      <c r="G42" s="287">
        <f t="shared" ref="G42:N42" si="19">G41*0.1</f>
        <v>0</v>
      </c>
      <c r="H42" s="287">
        <f t="shared" si="19"/>
        <v>7106</v>
      </c>
      <c r="I42" s="287">
        <f t="shared" si="19"/>
        <v>7106</v>
      </c>
      <c r="J42" s="287">
        <f t="shared" si="19"/>
        <v>7106</v>
      </c>
      <c r="K42" s="287">
        <f t="shared" si="19"/>
        <v>7106</v>
      </c>
      <c r="L42" s="287">
        <f t="shared" si="19"/>
        <v>7106</v>
      </c>
      <c r="M42" s="287">
        <f t="shared" si="19"/>
        <v>7106</v>
      </c>
      <c r="N42" s="288">
        <f t="shared" si="19"/>
        <v>42636</v>
      </c>
      <c r="O42" s="289"/>
      <c r="P42" s="287">
        <f t="shared" ref="P42:U42" si="20">P41*0.1</f>
        <v>0</v>
      </c>
      <c r="Q42" s="287">
        <f t="shared" si="20"/>
        <v>84645</v>
      </c>
      <c r="R42" s="287">
        <f t="shared" si="20"/>
        <v>84645</v>
      </c>
      <c r="S42" s="287">
        <f t="shared" si="20"/>
        <v>84645</v>
      </c>
      <c r="T42" s="287">
        <f t="shared" si="20"/>
        <v>84645</v>
      </c>
      <c r="U42" s="287">
        <f t="shared" si="20"/>
        <v>28215</v>
      </c>
      <c r="V42" s="287"/>
      <c r="W42" s="287">
        <f t="shared" ref="W42:AB42" si="21">W41*0.1</f>
        <v>0</v>
      </c>
      <c r="X42" s="287">
        <f t="shared" si="21"/>
        <v>0</v>
      </c>
      <c r="Y42" s="287">
        <f t="shared" si="21"/>
        <v>0</v>
      </c>
      <c r="Z42" s="287">
        <f t="shared" si="21"/>
        <v>0</v>
      </c>
      <c r="AA42" s="287">
        <f t="shared" si="21"/>
        <v>0</v>
      </c>
      <c r="AB42" s="287">
        <f t="shared" si="21"/>
        <v>0</v>
      </c>
      <c r="AC42" s="266">
        <f t="shared" si="9"/>
        <v>366795</v>
      </c>
    </row>
    <row r="43" ht="15.75" customHeight="1">
      <c r="A43" s="282" t="s">
        <v>231</v>
      </c>
      <c r="B43" s="282"/>
      <c r="C43" s="282"/>
      <c r="D43" s="282"/>
      <c r="E43" s="282"/>
      <c r="F43" s="282"/>
      <c r="G43" s="287">
        <f t="shared" ref="G43:N43" si="22">G41*0.05</f>
        <v>0</v>
      </c>
      <c r="H43" s="287">
        <f t="shared" si="22"/>
        <v>3553</v>
      </c>
      <c r="I43" s="287">
        <f t="shared" si="22"/>
        <v>3553</v>
      </c>
      <c r="J43" s="287">
        <f t="shared" si="22"/>
        <v>3553</v>
      </c>
      <c r="K43" s="287">
        <f t="shared" si="22"/>
        <v>3553</v>
      </c>
      <c r="L43" s="287">
        <f t="shared" si="22"/>
        <v>3553</v>
      </c>
      <c r="M43" s="287">
        <f t="shared" si="22"/>
        <v>3553</v>
      </c>
      <c r="N43" s="288">
        <f t="shared" si="22"/>
        <v>21318</v>
      </c>
      <c r="O43" s="290"/>
      <c r="P43" s="287">
        <f t="shared" ref="P43:U43" si="23">P41*0.05</f>
        <v>0</v>
      </c>
      <c r="Q43" s="287">
        <f t="shared" si="23"/>
        <v>42322.5</v>
      </c>
      <c r="R43" s="291">
        <f t="shared" si="23"/>
        <v>42322.5</v>
      </c>
      <c r="S43" s="287">
        <f t="shared" si="23"/>
        <v>42322.5</v>
      </c>
      <c r="T43" s="287">
        <f t="shared" si="23"/>
        <v>42322.5</v>
      </c>
      <c r="U43" s="287">
        <f t="shared" si="23"/>
        <v>14107.5</v>
      </c>
      <c r="V43" s="287"/>
      <c r="W43" s="287">
        <f t="shared" ref="W43:AB43" si="24">W41*0.05</f>
        <v>0</v>
      </c>
      <c r="X43" s="287">
        <f t="shared" si="24"/>
        <v>0</v>
      </c>
      <c r="Y43" s="287">
        <f t="shared" si="24"/>
        <v>0</v>
      </c>
      <c r="Z43" s="287">
        <f t="shared" si="24"/>
        <v>0</v>
      </c>
      <c r="AA43" s="287">
        <f t="shared" si="24"/>
        <v>0</v>
      </c>
      <c r="AB43" s="287">
        <f t="shared" si="24"/>
        <v>0</v>
      </c>
      <c r="AC43" s="266">
        <f t="shared" si="9"/>
        <v>183397.5</v>
      </c>
    </row>
    <row r="44" ht="15.75" customHeight="1">
      <c r="A44" s="282" t="s">
        <v>217</v>
      </c>
      <c r="B44" s="282"/>
      <c r="C44" s="282"/>
      <c r="D44" s="282"/>
      <c r="E44" s="282"/>
      <c r="F44" s="282"/>
      <c r="G44" s="283">
        <f>C19*B33</f>
        <v>103975.06</v>
      </c>
      <c r="H44" s="283">
        <f t="shared" ref="H44:M44" si="25">$C$20*$B$33</f>
        <v>78679.06</v>
      </c>
      <c r="I44" s="283">
        <f t="shared" si="25"/>
        <v>78679.06</v>
      </c>
      <c r="J44" s="283">
        <f t="shared" si="25"/>
        <v>78679.06</v>
      </c>
      <c r="K44" s="283">
        <f t="shared" si="25"/>
        <v>78679.06</v>
      </c>
      <c r="L44" s="283">
        <f t="shared" si="25"/>
        <v>78679.06</v>
      </c>
      <c r="M44" s="283">
        <f t="shared" si="25"/>
        <v>78679.06</v>
      </c>
      <c r="N44" s="269">
        <f>SUM(G44:M44)</f>
        <v>576049.42</v>
      </c>
      <c r="O44" s="284"/>
      <c r="P44" s="283">
        <f>C19*$P$33+$M$44</f>
        <v>904363.36</v>
      </c>
      <c r="Q44" s="283">
        <f t="shared" ref="Q44:AB44" si="26">$C$20*$P$33+$M$44</f>
        <v>703483.36</v>
      </c>
      <c r="R44" s="283">
        <f t="shared" si="26"/>
        <v>703483.36</v>
      </c>
      <c r="S44" s="283">
        <f t="shared" si="26"/>
        <v>703483.36</v>
      </c>
      <c r="T44" s="283">
        <f t="shared" si="26"/>
        <v>703483.36</v>
      </c>
      <c r="U44" s="283">
        <f t="shared" si="26"/>
        <v>703483.36</v>
      </c>
      <c r="V44" s="283">
        <f t="shared" si="26"/>
        <v>703483.36</v>
      </c>
      <c r="W44" s="283">
        <f t="shared" si="26"/>
        <v>703483.36</v>
      </c>
      <c r="X44" s="283">
        <f t="shared" si="26"/>
        <v>703483.36</v>
      </c>
      <c r="Y44" s="283">
        <f t="shared" si="26"/>
        <v>703483.36</v>
      </c>
      <c r="Z44" s="283">
        <f t="shared" si="26"/>
        <v>703483.36</v>
      </c>
      <c r="AA44" s="283">
        <f t="shared" si="26"/>
        <v>703483.36</v>
      </c>
      <c r="AB44" s="283">
        <f t="shared" si="26"/>
        <v>703483.36</v>
      </c>
      <c r="AC44" s="266">
        <f t="shared" si="9"/>
        <v>8642680.32</v>
      </c>
    </row>
    <row r="45" ht="15.75" customHeight="1">
      <c r="A45" s="282" t="s">
        <v>218</v>
      </c>
      <c r="B45" s="282"/>
      <c r="C45" s="282"/>
      <c r="D45" s="282"/>
      <c r="E45" s="282"/>
      <c r="F45" s="282"/>
      <c r="G45" s="283"/>
      <c r="H45" s="283"/>
      <c r="I45" s="283"/>
      <c r="J45" s="283"/>
      <c r="K45" s="283"/>
      <c r="L45" s="283"/>
      <c r="M45" s="283"/>
      <c r="N45" s="269">
        <f t="shared" ref="N45:N46" si="29">SUM(B45:M45)</f>
        <v>0</v>
      </c>
      <c r="O45" s="292"/>
      <c r="P45" s="293">
        <f t="shared" ref="P45:T45" si="27">(Q36-P36)*12</f>
        <v>97200</v>
      </c>
      <c r="Q45" s="293">
        <f t="shared" si="27"/>
        <v>97200</v>
      </c>
      <c r="R45" s="293">
        <f t="shared" si="27"/>
        <v>97200</v>
      </c>
      <c r="S45" s="293">
        <f t="shared" si="27"/>
        <v>97200</v>
      </c>
      <c r="T45" s="293">
        <f t="shared" si="27"/>
        <v>32400</v>
      </c>
      <c r="U45" s="293">
        <f>(W36-U36)*12</f>
        <v>0</v>
      </c>
      <c r="V45" s="283"/>
      <c r="W45" s="293">
        <f t="shared" ref="W45:AA45" si="28">(X36-W36)*12</f>
        <v>0</v>
      </c>
      <c r="X45" s="293">
        <f t="shared" si="28"/>
        <v>0</v>
      </c>
      <c r="Y45" s="293">
        <f t="shared" si="28"/>
        <v>0</v>
      </c>
      <c r="Z45" s="293">
        <f t="shared" si="28"/>
        <v>0</v>
      </c>
      <c r="AA45" s="293">
        <f t="shared" si="28"/>
        <v>0</v>
      </c>
      <c r="AB45" s="294">
        <v>0.0</v>
      </c>
      <c r="AC45" s="266">
        <f t="shared" si="9"/>
        <v>421200</v>
      </c>
    </row>
    <row r="46" ht="15.75" customHeight="1">
      <c r="A46" s="168" t="s">
        <v>235</v>
      </c>
      <c r="B46" s="132">
        <f>'P&amp;L'!N14</f>
        <v>32020.75</v>
      </c>
      <c r="C46" s="132">
        <f>'P&amp;L'!O14</f>
        <v>47598.77</v>
      </c>
      <c r="D46" s="132">
        <f>'P&amp;L'!P14</f>
        <v>67860.06</v>
      </c>
      <c r="E46" s="132">
        <f>'P&amp;L'!Q14</f>
        <v>30307.34</v>
      </c>
      <c r="F46" s="132">
        <f>'P&amp;L'!R14</f>
        <v>27023.96</v>
      </c>
      <c r="G46" s="132">
        <f>'P&amp;L'!S14</f>
        <v>48000</v>
      </c>
      <c r="H46" s="132">
        <f>'P&amp;L'!T14</f>
        <v>48000</v>
      </c>
      <c r="I46" s="132">
        <f>'P&amp;L'!U14</f>
        <v>48000</v>
      </c>
      <c r="J46" s="132">
        <f>'P&amp;L'!V14</f>
        <v>48000</v>
      </c>
      <c r="K46" s="132">
        <f>'P&amp;L'!W14</f>
        <v>48000</v>
      </c>
      <c r="L46" s="132">
        <f>'P&amp;L'!X14</f>
        <v>48000</v>
      </c>
      <c r="M46" s="132">
        <f>'P&amp;L'!Y14</f>
        <v>48000</v>
      </c>
      <c r="N46" s="273">
        <f t="shared" si="29"/>
        <v>540810.88</v>
      </c>
      <c r="O46" s="295"/>
      <c r="P46" s="132">
        <v>48000.0</v>
      </c>
      <c r="Q46" s="132">
        <v>48000.0</v>
      </c>
      <c r="R46" s="296">
        <v>48000.0</v>
      </c>
      <c r="S46" s="132">
        <v>48000.0</v>
      </c>
      <c r="T46" s="132">
        <v>48000.0</v>
      </c>
      <c r="U46" s="132">
        <v>48000.0</v>
      </c>
      <c r="V46" s="132"/>
      <c r="W46" s="132">
        <v>48000.0</v>
      </c>
      <c r="X46" s="132">
        <v>48000.0</v>
      </c>
      <c r="Y46" s="132">
        <v>48000.0</v>
      </c>
      <c r="Z46" s="132">
        <v>48000.0</v>
      </c>
      <c r="AA46" s="132">
        <v>48000.0</v>
      </c>
      <c r="AB46" s="132">
        <v>48000.0</v>
      </c>
      <c r="AC46" s="266">
        <f t="shared" si="9"/>
        <v>576000</v>
      </c>
    </row>
    <row r="47" ht="15.75" customHeight="1">
      <c r="A47" s="169" t="s">
        <v>219</v>
      </c>
      <c r="B47" s="170">
        <f t="shared" ref="B47:N47" si="30">SUM(B40:B46)</f>
        <v>32020.75</v>
      </c>
      <c r="C47" s="170">
        <f t="shared" si="30"/>
        <v>47598.77</v>
      </c>
      <c r="D47" s="170">
        <f t="shared" si="30"/>
        <v>67860.06</v>
      </c>
      <c r="E47" s="170">
        <f t="shared" si="30"/>
        <v>30307.34</v>
      </c>
      <c r="F47" s="170">
        <f t="shared" si="30"/>
        <v>27023.96</v>
      </c>
      <c r="G47" s="170">
        <f t="shared" si="30"/>
        <v>151975.06</v>
      </c>
      <c r="H47" s="170">
        <f t="shared" si="30"/>
        <v>211798.06</v>
      </c>
      <c r="I47" s="170">
        <f t="shared" si="30"/>
        <v>215198.06</v>
      </c>
      <c r="J47" s="170">
        <f t="shared" si="30"/>
        <v>218598.06</v>
      </c>
      <c r="K47" s="170">
        <f t="shared" si="30"/>
        <v>221998.06</v>
      </c>
      <c r="L47" s="170">
        <f t="shared" si="30"/>
        <v>225398.06</v>
      </c>
      <c r="M47" s="170">
        <f t="shared" si="30"/>
        <v>228798.06</v>
      </c>
      <c r="N47" s="297">
        <f t="shared" si="30"/>
        <v>1678574.3</v>
      </c>
      <c r="O47" s="298"/>
      <c r="P47" s="170">
        <f t="shared" ref="P47:U47" si="31">SUM(P40:P46)</f>
        <v>1069963.36</v>
      </c>
      <c r="Q47" s="170">
        <f t="shared" si="31"/>
        <v>1883000.86</v>
      </c>
      <c r="R47" s="299">
        <f t="shared" si="31"/>
        <v>1923500.86</v>
      </c>
      <c r="S47" s="170">
        <f t="shared" si="31"/>
        <v>1964000.86</v>
      </c>
      <c r="T47" s="170">
        <f t="shared" si="31"/>
        <v>1939700.86</v>
      </c>
      <c r="U47" s="170">
        <f t="shared" si="31"/>
        <v>1271855.86</v>
      </c>
      <c r="V47" s="171"/>
      <c r="W47" s="170">
        <f t="shared" ref="W47:AC47" si="32">SUM(W40:W46)</f>
        <v>947383.36</v>
      </c>
      <c r="X47" s="170">
        <f t="shared" si="32"/>
        <v>947383.36</v>
      </c>
      <c r="Y47" s="170">
        <f t="shared" si="32"/>
        <v>947383.36</v>
      </c>
      <c r="Z47" s="170">
        <f t="shared" si="32"/>
        <v>947383.36</v>
      </c>
      <c r="AA47" s="170">
        <f t="shared" si="32"/>
        <v>947383.36</v>
      </c>
      <c r="AB47" s="170">
        <f t="shared" si="32"/>
        <v>947383.36</v>
      </c>
      <c r="AC47" s="300">
        <f t="shared" si="32"/>
        <v>15736322.82</v>
      </c>
    </row>
    <row r="48" ht="15.75" customHeight="1">
      <c r="A48" s="130" t="s">
        <v>162</v>
      </c>
      <c r="B48" s="170">
        <f t="shared" ref="B48:M48" si="33">B39-B47</f>
        <v>-29814.25</v>
      </c>
      <c r="C48" s="170">
        <f t="shared" si="33"/>
        <v>41551.22</v>
      </c>
      <c r="D48" s="170">
        <f t="shared" si="33"/>
        <v>10640.64</v>
      </c>
      <c r="E48" s="170">
        <f t="shared" si="33"/>
        <v>45684.13</v>
      </c>
      <c r="F48" s="170">
        <f t="shared" si="33"/>
        <v>34897.29</v>
      </c>
      <c r="G48" s="170">
        <f t="shared" si="33"/>
        <v>-89003.06</v>
      </c>
      <c r="H48" s="170">
        <f t="shared" si="33"/>
        <v>-141798.06</v>
      </c>
      <c r="I48" s="170">
        <f t="shared" si="33"/>
        <v>-135198.06</v>
      </c>
      <c r="J48" s="170">
        <f t="shared" si="33"/>
        <v>-74198.06</v>
      </c>
      <c r="K48" s="170">
        <f t="shared" si="33"/>
        <v>-23198.06</v>
      </c>
      <c r="L48" s="170">
        <f t="shared" si="33"/>
        <v>27801.94</v>
      </c>
      <c r="M48" s="170">
        <f t="shared" si="33"/>
        <v>78801.94</v>
      </c>
      <c r="N48" s="297">
        <f>N39-N46</f>
        <v>883931.03</v>
      </c>
      <c r="O48" s="298"/>
      <c r="P48" s="301">
        <f t="shared" ref="P48:U48" si="34">P39-P47</f>
        <v>-643563.36</v>
      </c>
      <c r="Q48" s="301">
        <f t="shared" si="34"/>
        <v>-808600.86</v>
      </c>
      <c r="R48" s="302">
        <f t="shared" si="34"/>
        <v>-201100.86</v>
      </c>
      <c r="S48" s="301">
        <f t="shared" si="34"/>
        <v>406399.14</v>
      </c>
      <c r="T48" s="301">
        <f t="shared" si="34"/>
        <v>1078699.14</v>
      </c>
      <c r="U48" s="301">
        <f t="shared" si="34"/>
        <v>1962544.14</v>
      </c>
      <c r="V48" s="301">
        <f>SUM(P48:U48)</f>
        <v>1794377.34</v>
      </c>
      <c r="W48" s="301">
        <f t="shared" ref="W48:AB48" si="35">W39-W47</f>
        <v>2287016.64</v>
      </c>
      <c r="X48" s="301">
        <f t="shared" si="35"/>
        <v>2287016.64</v>
      </c>
      <c r="Y48" s="301">
        <f t="shared" si="35"/>
        <v>2287016.64</v>
      </c>
      <c r="Z48" s="301">
        <f t="shared" si="35"/>
        <v>2287016.64</v>
      </c>
      <c r="AA48" s="301">
        <f t="shared" si="35"/>
        <v>2287016.64</v>
      </c>
      <c r="AB48" s="301">
        <f t="shared" si="35"/>
        <v>2287016.64</v>
      </c>
      <c r="AC48" s="303">
        <f>AC39-AC46</f>
        <v>30676800</v>
      </c>
    </row>
    <row r="49" ht="15.75" customHeight="1">
      <c r="A49" s="107" t="s">
        <v>15</v>
      </c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304"/>
      <c r="O49" s="305"/>
      <c r="P49" s="134"/>
      <c r="Q49" s="134"/>
      <c r="R49" s="306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307"/>
    </row>
    <row r="50" ht="15.75" customHeight="1">
      <c r="A50" s="127" t="s">
        <v>163</v>
      </c>
      <c r="B50" s="172">
        <f>'P&amp;L'!N17</f>
        <v>68.44</v>
      </c>
      <c r="C50" s="172">
        <f>'P&amp;L'!O17</f>
        <v>70.48</v>
      </c>
      <c r="D50" s="172">
        <f>'P&amp;L'!P17</f>
        <v>172.87</v>
      </c>
      <c r="E50" s="172">
        <f>'P&amp;L'!Q17</f>
        <v>257.18</v>
      </c>
      <c r="F50" s="172">
        <f>'P&amp;L'!R17</f>
        <v>0</v>
      </c>
      <c r="G50" s="172">
        <f t="shared" ref="G50:M50" si="36">142+$G$18</f>
        <v>142</v>
      </c>
      <c r="H50" s="172">
        <f t="shared" si="36"/>
        <v>142</v>
      </c>
      <c r="I50" s="172">
        <f t="shared" si="36"/>
        <v>142</v>
      </c>
      <c r="J50" s="172">
        <f t="shared" si="36"/>
        <v>142</v>
      </c>
      <c r="K50" s="172">
        <f t="shared" si="36"/>
        <v>142</v>
      </c>
      <c r="L50" s="172">
        <f t="shared" si="36"/>
        <v>142</v>
      </c>
      <c r="M50" s="172">
        <f t="shared" si="36"/>
        <v>142</v>
      </c>
      <c r="N50" s="308">
        <f t="shared" ref="N50:N70" si="39">SUM(B50:M50)</f>
        <v>1562.97</v>
      </c>
      <c r="O50" s="250"/>
      <c r="P50" s="172">
        <f t="shared" ref="P50:U50" si="37">142+$G$18</f>
        <v>142</v>
      </c>
      <c r="Q50" s="172">
        <f t="shared" si="37"/>
        <v>142</v>
      </c>
      <c r="R50" s="172">
        <f t="shared" si="37"/>
        <v>142</v>
      </c>
      <c r="S50" s="172">
        <f t="shared" si="37"/>
        <v>142</v>
      </c>
      <c r="T50" s="172">
        <f t="shared" si="37"/>
        <v>142</v>
      </c>
      <c r="U50" s="172">
        <f t="shared" si="37"/>
        <v>142</v>
      </c>
      <c r="V50" s="172"/>
      <c r="W50" s="172">
        <f t="shared" ref="W50:AB50" si="38">142+$G$18</f>
        <v>142</v>
      </c>
      <c r="X50" s="172">
        <f t="shared" si="38"/>
        <v>142</v>
      </c>
      <c r="Y50" s="172">
        <f t="shared" si="38"/>
        <v>142</v>
      </c>
      <c r="Z50" s="172">
        <f t="shared" si="38"/>
        <v>142</v>
      </c>
      <c r="AA50" s="172">
        <f t="shared" si="38"/>
        <v>142</v>
      </c>
      <c r="AB50" s="172">
        <f t="shared" si="38"/>
        <v>142</v>
      </c>
      <c r="AC50" s="304">
        <f t="shared" ref="AC50:AC70" si="40">SUM(P50:AB50)</f>
        <v>1704</v>
      </c>
    </row>
    <row r="51" ht="15.75" customHeight="1">
      <c r="A51" s="127" t="s">
        <v>164</v>
      </c>
      <c r="B51" s="172">
        <f>'P&amp;L'!N18</f>
        <v>0</v>
      </c>
      <c r="C51" s="172">
        <f>'P&amp;L'!O18</f>
        <v>0</v>
      </c>
      <c r="D51" s="172">
        <f>'P&amp;L'!P18</f>
        <v>0</v>
      </c>
      <c r="E51" s="172">
        <f>'P&amp;L'!Q18</f>
        <v>0</v>
      </c>
      <c r="F51" s="172">
        <f>'P&amp;L'!R18</f>
        <v>0</v>
      </c>
      <c r="G51" s="172" t="str">
        <f>'P&amp;L'!S18</f>
        <v/>
      </c>
      <c r="H51" s="172" t="str">
        <f>'P&amp;L'!T18</f>
        <v/>
      </c>
      <c r="I51" s="172" t="str">
        <f>'P&amp;L'!U18</f>
        <v/>
      </c>
      <c r="J51" s="172" t="str">
        <f>'P&amp;L'!V18</f>
        <v/>
      </c>
      <c r="K51" s="172" t="str">
        <f>'P&amp;L'!W18</f>
        <v/>
      </c>
      <c r="L51" s="172" t="str">
        <f>'P&amp;L'!X18</f>
        <v/>
      </c>
      <c r="M51" s="172" t="str">
        <f>'P&amp;L'!Y18</f>
        <v/>
      </c>
      <c r="N51" s="308">
        <f t="shared" si="39"/>
        <v>0</v>
      </c>
      <c r="O51" s="250"/>
      <c r="P51" s="129"/>
      <c r="Q51" s="129"/>
      <c r="R51" s="30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304">
        <f t="shared" si="40"/>
        <v>0</v>
      </c>
    </row>
    <row r="52" ht="15.75" customHeight="1">
      <c r="A52" s="127" t="s">
        <v>165</v>
      </c>
      <c r="B52" s="172">
        <f>'P&amp;L'!N19</f>
        <v>55.37</v>
      </c>
      <c r="C52" s="172">
        <f>'P&amp;L'!O19</f>
        <v>298.4</v>
      </c>
      <c r="D52" s="172">
        <f>'P&amp;L'!P19</f>
        <v>80.89</v>
      </c>
      <c r="E52" s="172">
        <f>'P&amp;L'!Q19</f>
        <v>73.62</v>
      </c>
      <c r="F52" s="172">
        <f>'P&amp;L'!R19</f>
        <v>41.5</v>
      </c>
      <c r="G52" s="172">
        <f>'P&amp;L'!S19</f>
        <v>110</v>
      </c>
      <c r="H52" s="172">
        <f>'P&amp;L'!T19</f>
        <v>110</v>
      </c>
      <c r="I52" s="172">
        <f>'P&amp;L'!U19</f>
        <v>110</v>
      </c>
      <c r="J52" s="172">
        <f>'P&amp;L'!V19</f>
        <v>110</v>
      </c>
      <c r="K52" s="172">
        <f>'P&amp;L'!W19</f>
        <v>110</v>
      </c>
      <c r="L52" s="172">
        <f>'P&amp;L'!X19</f>
        <v>110</v>
      </c>
      <c r="M52" s="172">
        <f>'P&amp;L'!Y19</f>
        <v>110</v>
      </c>
      <c r="N52" s="308">
        <f t="shared" si="39"/>
        <v>1319.78</v>
      </c>
      <c r="O52" s="250"/>
      <c r="P52" s="172">
        <v>110.0</v>
      </c>
      <c r="Q52" s="172">
        <v>110.0</v>
      </c>
      <c r="R52" s="172">
        <v>110.0</v>
      </c>
      <c r="S52" s="172">
        <v>110.0</v>
      </c>
      <c r="T52" s="172">
        <v>110.0</v>
      </c>
      <c r="U52" s="172">
        <v>110.0</v>
      </c>
      <c r="V52" s="129"/>
      <c r="W52" s="172">
        <v>110.0</v>
      </c>
      <c r="X52" s="172">
        <v>110.0</v>
      </c>
      <c r="Y52" s="172">
        <v>110.0</v>
      </c>
      <c r="Z52" s="172">
        <v>110.0</v>
      </c>
      <c r="AA52" s="172">
        <v>110.0</v>
      </c>
      <c r="AB52" s="172">
        <v>110.0</v>
      </c>
      <c r="AC52" s="304">
        <f t="shared" si="40"/>
        <v>1320</v>
      </c>
    </row>
    <row r="53" ht="15.75" customHeight="1">
      <c r="A53" s="127" t="s">
        <v>166</v>
      </c>
      <c r="B53" s="172">
        <f>'P&amp;L'!N20</f>
        <v>332.03</v>
      </c>
      <c r="C53" s="172">
        <f>'P&amp;L'!O20</f>
        <v>1.75</v>
      </c>
      <c r="D53" s="172">
        <f>'P&amp;L'!P20</f>
        <v>1213</v>
      </c>
      <c r="E53" s="172">
        <f>'P&amp;L'!Q20</f>
        <v>11</v>
      </c>
      <c r="F53" s="172">
        <f>'P&amp;L'!R20</f>
        <v>0</v>
      </c>
      <c r="G53" s="172">
        <f>'P&amp;L'!S20</f>
        <v>390</v>
      </c>
      <c r="H53" s="172">
        <f>'P&amp;L'!T20</f>
        <v>390</v>
      </c>
      <c r="I53" s="172">
        <f>'P&amp;L'!U20</f>
        <v>390</v>
      </c>
      <c r="J53" s="172">
        <f>'P&amp;L'!V20</f>
        <v>390</v>
      </c>
      <c r="K53" s="172">
        <f>'P&amp;L'!W20</f>
        <v>390</v>
      </c>
      <c r="L53" s="172">
        <f>'P&amp;L'!X20</f>
        <v>390</v>
      </c>
      <c r="M53" s="172">
        <f>'P&amp;L'!Y20</f>
        <v>390</v>
      </c>
      <c r="N53" s="308">
        <f t="shared" si="39"/>
        <v>4287.78</v>
      </c>
      <c r="O53" s="250"/>
      <c r="P53" s="172">
        <v>390.0</v>
      </c>
      <c r="Q53" s="172">
        <v>390.0</v>
      </c>
      <c r="R53" s="172">
        <v>390.0</v>
      </c>
      <c r="S53" s="172">
        <v>390.0</v>
      </c>
      <c r="T53" s="172">
        <v>390.0</v>
      </c>
      <c r="U53" s="172">
        <v>390.0</v>
      </c>
      <c r="V53" s="129"/>
      <c r="W53" s="172">
        <v>390.0</v>
      </c>
      <c r="X53" s="172">
        <v>390.0</v>
      </c>
      <c r="Y53" s="172">
        <v>390.0</v>
      </c>
      <c r="Z53" s="172">
        <v>390.0</v>
      </c>
      <c r="AA53" s="172">
        <v>390.0</v>
      </c>
      <c r="AB53" s="172">
        <v>390.0</v>
      </c>
      <c r="AC53" s="304">
        <f t="shared" si="40"/>
        <v>4680</v>
      </c>
    </row>
    <row r="54" ht="15.75" customHeight="1">
      <c r="A54" s="127" t="s">
        <v>167</v>
      </c>
      <c r="B54" s="172">
        <f>'P&amp;L'!N21</f>
        <v>0</v>
      </c>
      <c r="C54" s="172">
        <f>'P&amp;L'!O21</f>
        <v>1000</v>
      </c>
      <c r="D54" s="172">
        <f>'P&amp;L'!P21</f>
        <v>0</v>
      </c>
      <c r="E54" s="172">
        <f>'P&amp;L'!Q21</f>
        <v>401</v>
      </c>
      <c r="F54" s="172">
        <f>'P&amp;L'!R21</f>
        <v>0</v>
      </c>
      <c r="G54" s="172">
        <f t="shared" ref="G54:M54" si="41">4500+$G$16</f>
        <v>4500</v>
      </c>
      <c r="H54" s="172">
        <f t="shared" si="41"/>
        <v>4500</v>
      </c>
      <c r="I54" s="172">
        <f t="shared" si="41"/>
        <v>4500</v>
      </c>
      <c r="J54" s="172">
        <f t="shared" si="41"/>
        <v>4500</v>
      </c>
      <c r="K54" s="172">
        <f t="shared" si="41"/>
        <v>4500</v>
      </c>
      <c r="L54" s="172">
        <f t="shared" si="41"/>
        <v>4500</v>
      </c>
      <c r="M54" s="172">
        <f t="shared" si="41"/>
        <v>4500</v>
      </c>
      <c r="N54" s="308">
        <f t="shared" si="39"/>
        <v>32901</v>
      </c>
      <c r="O54" s="250"/>
      <c r="P54" s="125">
        <f t="shared" ref="P54:U54" si="42">4500+$G$16</f>
        <v>4500</v>
      </c>
      <c r="Q54" s="125">
        <f t="shared" si="42"/>
        <v>4500</v>
      </c>
      <c r="R54" s="125">
        <f t="shared" si="42"/>
        <v>4500</v>
      </c>
      <c r="S54" s="125">
        <f t="shared" si="42"/>
        <v>4500</v>
      </c>
      <c r="T54" s="125">
        <f t="shared" si="42"/>
        <v>4500</v>
      </c>
      <c r="U54" s="125">
        <f t="shared" si="42"/>
        <v>4500</v>
      </c>
      <c r="V54" s="125"/>
      <c r="W54" s="125">
        <f t="shared" ref="W54:AB54" si="43">4500+$G$16</f>
        <v>4500</v>
      </c>
      <c r="X54" s="125">
        <f t="shared" si="43"/>
        <v>4500</v>
      </c>
      <c r="Y54" s="125">
        <f t="shared" si="43"/>
        <v>4500</v>
      </c>
      <c r="Z54" s="125">
        <f t="shared" si="43"/>
        <v>4500</v>
      </c>
      <c r="AA54" s="125">
        <f t="shared" si="43"/>
        <v>4500</v>
      </c>
      <c r="AB54" s="125">
        <f t="shared" si="43"/>
        <v>4500</v>
      </c>
      <c r="AC54" s="304">
        <f t="shared" si="40"/>
        <v>54000</v>
      </c>
    </row>
    <row r="55" ht="15.75" customHeight="1">
      <c r="A55" s="127" t="s">
        <v>168</v>
      </c>
      <c r="B55" s="172">
        <f>'P&amp;L'!N22</f>
        <v>20</v>
      </c>
      <c r="C55" s="172">
        <f>'P&amp;L'!O22</f>
        <v>20</v>
      </c>
      <c r="D55" s="172">
        <f>'P&amp;L'!P22</f>
        <v>60</v>
      </c>
      <c r="E55" s="172">
        <f>'P&amp;L'!Q22</f>
        <v>117.9</v>
      </c>
      <c r="F55" s="172">
        <f>'P&amp;L'!R22</f>
        <v>0</v>
      </c>
      <c r="G55" s="172" t="str">
        <f>'P&amp;L'!S22</f>
        <v/>
      </c>
      <c r="H55" s="172" t="str">
        <f>'P&amp;L'!T22</f>
        <v/>
      </c>
      <c r="I55" s="172" t="str">
        <f>'P&amp;L'!U22</f>
        <v/>
      </c>
      <c r="J55" s="172" t="str">
        <f>'P&amp;L'!V22</f>
        <v/>
      </c>
      <c r="K55" s="172" t="str">
        <f>'P&amp;L'!W22</f>
        <v/>
      </c>
      <c r="L55" s="172" t="str">
        <f>'P&amp;L'!X22</f>
        <v/>
      </c>
      <c r="M55" s="172" t="str">
        <f>'P&amp;L'!Y22</f>
        <v/>
      </c>
      <c r="N55" s="308">
        <f t="shared" si="39"/>
        <v>217.9</v>
      </c>
      <c r="O55" s="250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304">
        <f t="shared" si="40"/>
        <v>0</v>
      </c>
    </row>
    <row r="56" ht="15.75" customHeight="1">
      <c r="A56" s="127" t="s">
        <v>169</v>
      </c>
      <c r="B56" s="172">
        <f>'P&amp;L'!N23</f>
        <v>0</v>
      </c>
      <c r="C56" s="172">
        <f>'P&amp;L'!O23</f>
        <v>26.68</v>
      </c>
      <c r="D56" s="172">
        <f>'P&amp;L'!P23</f>
        <v>78.87</v>
      </c>
      <c r="E56" s="172">
        <f>'P&amp;L'!Q23</f>
        <v>26.68</v>
      </c>
      <c r="F56" s="172">
        <f>'P&amp;L'!R23</f>
        <v>0</v>
      </c>
      <c r="G56" s="172" t="str">
        <f>'P&amp;L'!S23</f>
        <v/>
      </c>
      <c r="H56" s="172" t="str">
        <f>'P&amp;L'!T23</f>
        <v/>
      </c>
      <c r="I56" s="172" t="str">
        <f>'P&amp;L'!U23</f>
        <v/>
      </c>
      <c r="J56" s="172" t="str">
        <f>'P&amp;L'!V23</f>
        <v/>
      </c>
      <c r="K56" s="172" t="str">
        <f>'P&amp;L'!W23</f>
        <v/>
      </c>
      <c r="L56" s="172" t="str">
        <f>'P&amp;L'!X23</f>
        <v/>
      </c>
      <c r="M56" s="172" t="str">
        <f>'P&amp;L'!Y23</f>
        <v/>
      </c>
      <c r="N56" s="308">
        <f t="shared" si="39"/>
        <v>132.23</v>
      </c>
      <c r="O56" s="250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304">
        <f t="shared" si="40"/>
        <v>0</v>
      </c>
    </row>
    <row r="57" ht="15.75" customHeight="1">
      <c r="A57" s="127" t="s">
        <v>170</v>
      </c>
      <c r="B57" s="172">
        <f>'P&amp;L'!N24</f>
        <v>121.72</v>
      </c>
      <c r="C57" s="172">
        <f>'P&amp;L'!O24</f>
        <v>31.61</v>
      </c>
      <c r="D57" s="172">
        <f>'P&amp;L'!P24</f>
        <v>0</v>
      </c>
      <c r="E57" s="172">
        <f>'P&amp;L'!Q24</f>
        <v>0</v>
      </c>
      <c r="F57" s="172">
        <f>'P&amp;L'!R24</f>
        <v>0</v>
      </c>
      <c r="G57" s="172">
        <f t="shared" ref="G57:M57" si="44">$G$19</f>
        <v>0</v>
      </c>
      <c r="H57" s="172">
        <f t="shared" si="44"/>
        <v>0</v>
      </c>
      <c r="I57" s="172">
        <f t="shared" si="44"/>
        <v>0</v>
      </c>
      <c r="J57" s="172">
        <f t="shared" si="44"/>
        <v>0</v>
      </c>
      <c r="K57" s="172">
        <f t="shared" si="44"/>
        <v>0</v>
      </c>
      <c r="L57" s="172">
        <f t="shared" si="44"/>
        <v>0</v>
      </c>
      <c r="M57" s="172">
        <f t="shared" si="44"/>
        <v>0</v>
      </c>
      <c r="N57" s="308">
        <f t="shared" si="39"/>
        <v>153.33</v>
      </c>
      <c r="O57" s="250"/>
      <c r="P57" s="136">
        <f t="shared" ref="P57:U57" si="45">$G$19</f>
        <v>0</v>
      </c>
      <c r="Q57" s="136">
        <f t="shared" si="45"/>
        <v>0</v>
      </c>
      <c r="R57" s="136">
        <f t="shared" si="45"/>
        <v>0</v>
      </c>
      <c r="S57" s="136">
        <f t="shared" si="45"/>
        <v>0</v>
      </c>
      <c r="T57" s="136">
        <f t="shared" si="45"/>
        <v>0</v>
      </c>
      <c r="U57" s="136">
        <f t="shared" si="45"/>
        <v>0</v>
      </c>
      <c r="V57" s="136"/>
      <c r="W57" s="136">
        <f t="shared" ref="W57:AB57" si="46">$G$19</f>
        <v>0</v>
      </c>
      <c r="X57" s="136">
        <f t="shared" si="46"/>
        <v>0</v>
      </c>
      <c r="Y57" s="136">
        <f t="shared" si="46"/>
        <v>0</v>
      </c>
      <c r="Z57" s="136">
        <f t="shared" si="46"/>
        <v>0</v>
      </c>
      <c r="AA57" s="136">
        <f t="shared" si="46"/>
        <v>0</v>
      </c>
      <c r="AB57" s="136">
        <f t="shared" si="46"/>
        <v>0</v>
      </c>
      <c r="AC57" s="304">
        <f t="shared" si="40"/>
        <v>0</v>
      </c>
    </row>
    <row r="58" ht="15.75" customHeight="1">
      <c r="A58" s="127" t="s">
        <v>172</v>
      </c>
      <c r="B58" s="172">
        <f>'P&amp;L'!N25</f>
        <v>274.43</v>
      </c>
      <c r="C58" s="172">
        <f>'P&amp;L'!O25</f>
        <v>96.45</v>
      </c>
      <c r="D58" s="172">
        <f>'P&amp;L'!P25</f>
        <v>206.29</v>
      </c>
      <c r="E58" s="172">
        <f>'P&amp;L'!Q25</f>
        <v>361.71</v>
      </c>
      <c r="F58" s="172">
        <f>'P&amp;L'!R25</f>
        <v>0</v>
      </c>
      <c r="G58" s="172">
        <f>'P&amp;L'!S25</f>
        <v>200</v>
      </c>
      <c r="H58" s="172">
        <f>'P&amp;L'!T25</f>
        <v>200</v>
      </c>
      <c r="I58" s="172">
        <f>'P&amp;L'!U25</f>
        <v>200</v>
      </c>
      <c r="J58" s="172">
        <f>'P&amp;L'!V25</f>
        <v>200</v>
      </c>
      <c r="K58" s="172">
        <f>'P&amp;L'!W25</f>
        <v>200</v>
      </c>
      <c r="L58" s="172">
        <f>'P&amp;L'!X25</f>
        <v>200</v>
      </c>
      <c r="M58" s="172">
        <f>'P&amp;L'!Y25</f>
        <v>200</v>
      </c>
      <c r="N58" s="308">
        <f t="shared" si="39"/>
        <v>2338.88</v>
      </c>
      <c r="O58" s="250"/>
      <c r="P58" s="172">
        <v>200.0</v>
      </c>
      <c r="Q58" s="172">
        <v>200.0</v>
      </c>
      <c r="R58" s="172">
        <v>200.0</v>
      </c>
      <c r="S58" s="172">
        <v>200.0</v>
      </c>
      <c r="T58" s="172">
        <v>200.0</v>
      </c>
      <c r="U58" s="172">
        <v>200.0</v>
      </c>
      <c r="V58" s="129"/>
      <c r="W58" s="172">
        <v>200.0</v>
      </c>
      <c r="X58" s="172">
        <v>200.0</v>
      </c>
      <c r="Y58" s="172">
        <v>200.0</v>
      </c>
      <c r="Z58" s="172">
        <v>200.0</v>
      </c>
      <c r="AA58" s="172">
        <v>200.0</v>
      </c>
      <c r="AB58" s="172">
        <v>200.0</v>
      </c>
      <c r="AC58" s="304">
        <f t="shared" si="40"/>
        <v>2400</v>
      </c>
    </row>
    <row r="59" ht="15.75" customHeight="1">
      <c r="A59" s="127" t="s">
        <v>173</v>
      </c>
      <c r="B59" s="172">
        <f>'P&amp;L'!N26</f>
        <v>998.5</v>
      </c>
      <c r="C59" s="172">
        <f>'P&amp;L'!O26</f>
        <v>1044.51</v>
      </c>
      <c r="D59" s="172">
        <f>'P&amp;L'!P26</f>
        <v>1011.81</v>
      </c>
      <c r="E59" s="172">
        <f>'P&amp;L'!Q26</f>
        <v>510.83</v>
      </c>
      <c r="F59" s="172">
        <f>'P&amp;L'!R26</f>
        <v>0</v>
      </c>
      <c r="G59" s="172">
        <f t="shared" ref="G59:M59" si="47">900+$G$20</f>
        <v>900</v>
      </c>
      <c r="H59" s="172">
        <f t="shared" si="47"/>
        <v>900</v>
      </c>
      <c r="I59" s="172">
        <f t="shared" si="47"/>
        <v>900</v>
      </c>
      <c r="J59" s="172">
        <f t="shared" si="47"/>
        <v>900</v>
      </c>
      <c r="K59" s="172">
        <f t="shared" si="47"/>
        <v>900</v>
      </c>
      <c r="L59" s="172">
        <f t="shared" si="47"/>
        <v>900</v>
      </c>
      <c r="M59" s="172">
        <f t="shared" si="47"/>
        <v>900</v>
      </c>
      <c r="N59" s="308">
        <f t="shared" si="39"/>
        <v>9865.65</v>
      </c>
      <c r="O59" s="250"/>
      <c r="P59" s="172">
        <f t="shared" ref="P59:U59" si="48">900+$G$20</f>
        <v>900</v>
      </c>
      <c r="Q59" s="172">
        <f t="shared" si="48"/>
        <v>900</v>
      </c>
      <c r="R59" s="172">
        <f t="shared" si="48"/>
        <v>900</v>
      </c>
      <c r="S59" s="172">
        <f t="shared" si="48"/>
        <v>900</v>
      </c>
      <c r="T59" s="172">
        <f t="shared" si="48"/>
        <v>900</v>
      </c>
      <c r="U59" s="172">
        <f t="shared" si="48"/>
        <v>900</v>
      </c>
      <c r="V59" s="172"/>
      <c r="W59" s="172">
        <f t="shared" ref="W59:AB59" si="49">900+$G$20</f>
        <v>900</v>
      </c>
      <c r="X59" s="172">
        <f t="shared" si="49"/>
        <v>900</v>
      </c>
      <c r="Y59" s="172">
        <f t="shared" si="49"/>
        <v>900</v>
      </c>
      <c r="Z59" s="172">
        <f t="shared" si="49"/>
        <v>900</v>
      </c>
      <c r="AA59" s="172">
        <f t="shared" si="49"/>
        <v>900</v>
      </c>
      <c r="AB59" s="172">
        <f t="shared" si="49"/>
        <v>900</v>
      </c>
      <c r="AC59" s="304">
        <f t="shared" si="40"/>
        <v>10800</v>
      </c>
    </row>
    <row r="60" ht="15.75" customHeight="1">
      <c r="A60" s="127" t="s">
        <v>174</v>
      </c>
      <c r="B60" s="172">
        <f>'P&amp;L'!N27</f>
        <v>0</v>
      </c>
      <c r="C60" s="172">
        <f>'P&amp;L'!O27</f>
        <v>0</v>
      </c>
      <c r="D60" s="172">
        <f>'P&amp;L'!P27</f>
        <v>0</v>
      </c>
      <c r="E60" s="172">
        <f>'P&amp;L'!Q27</f>
        <v>0</v>
      </c>
      <c r="F60" s="172">
        <f>'P&amp;L'!R27</f>
        <v>0</v>
      </c>
      <c r="G60" s="172" t="str">
        <f>'P&amp;L'!S27</f>
        <v/>
      </c>
      <c r="H60" s="172" t="str">
        <f>'P&amp;L'!T27</f>
        <v/>
      </c>
      <c r="I60" s="172" t="str">
        <f>'P&amp;L'!U27</f>
        <v/>
      </c>
      <c r="J60" s="172" t="str">
        <f>'P&amp;L'!V27</f>
        <v/>
      </c>
      <c r="K60" s="172" t="str">
        <f>'P&amp;L'!W27</f>
        <v/>
      </c>
      <c r="L60" s="172" t="str">
        <f>'P&amp;L'!X27</f>
        <v/>
      </c>
      <c r="M60" s="172" t="str">
        <f>'P&amp;L'!Y27</f>
        <v/>
      </c>
      <c r="N60" s="308">
        <f t="shared" si="39"/>
        <v>0</v>
      </c>
      <c r="O60" s="250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304">
        <f t="shared" si="40"/>
        <v>0</v>
      </c>
    </row>
    <row r="61" ht="15.75" customHeight="1">
      <c r="A61" s="127" t="s">
        <v>175</v>
      </c>
      <c r="B61" s="172">
        <f>'P&amp;L'!N28</f>
        <v>306.86</v>
      </c>
      <c r="C61" s="172">
        <f>'P&amp;L'!O28</f>
        <v>0</v>
      </c>
      <c r="D61" s="172">
        <f>'P&amp;L'!P28</f>
        <v>0</v>
      </c>
      <c r="E61" s="172">
        <f>'P&amp;L'!Q28</f>
        <v>0</v>
      </c>
      <c r="F61" s="172">
        <f>'P&amp;L'!R28</f>
        <v>0</v>
      </c>
      <c r="G61" s="172" t="str">
        <f>'P&amp;L'!S28</f>
        <v/>
      </c>
      <c r="H61" s="172" t="str">
        <f>'P&amp;L'!T28</f>
        <v/>
      </c>
      <c r="I61" s="172" t="str">
        <f>'P&amp;L'!U28</f>
        <v/>
      </c>
      <c r="J61" s="172" t="str">
        <f>'P&amp;L'!V28</f>
        <v/>
      </c>
      <c r="K61" s="172" t="str">
        <f>'P&amp;L'!W28</f>
        <v/>
      </c>
      <c r="L61" s="172" t="str">
        <f>'P&amp;L'!X28</f>
        <v/>
      </c>
      <c r="M61" s="172" t="str">
        <f>'P&amp;L'!Y28</f>
        <v/>
      </c>
      <c r="N61" s="308">
        <f t="shared" si="39"/>
        <v>306.86</v>
      </c>
      <c r="O61" s="250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304">
        <f t="shared" si="40"/>
        <v>0</v>
      </c>
    </row>
    <row r="62" ht="15.75" customHeight="1">
      <c r="A62" s="127" t="s">
        <v>176</v>
      </c>
      <c r="B62" s="172">
        <f>'P&amp;L'!N29</f>
        <v>421.1</v>
      </c>
      <c r="C62" s="172">
        <f>'P&amp;L'!O29</f>
        <v>420.43</v>
      </c>
      <c r="D62" s="172">
        <f>'P&amp;L'!P29</f>
        <v>419.97</v>
      </c>
      <c r="E62" s="172">
        <f>'P&amp;L'!Q29</f>
        <v>451.94</v>
      </c>
      <c r="F62" s="172">
        <f>'P&amp;L'!R29</f>
        <v>0</v>
      </c>
      <c r="G62" s="172">
        <f t="shared" ref="G62:M62" si="50">430+$G$21</f>
        <v>430</v>
      </c>
      <c r="H62" s="172">
        <f t="shared" si="50"/>
        <v>430</v>
      </c>
      <c r="I62" s="172">
        <f t="shared" si="50"/>
        <v>430</v>
      </c>
      <c r="J62" s="172">
        <f t="shared" si="50"/>
        <v>430</v>
      </c>
      <c r="K62" s="172">
        <f t="shared" si="50"/>
        <v>430</v>
      </c>
      <c r="L62" s="172">
        <f t="shared" si="50"/>
        <v>430</v>
      </c>
      <c r="M62" s="172">
        <f t="shared" si="50"/>
        <v>430</v>
      </c>
      <c r="N62" s="308">
        <f t="shared" si="39"/>
        <v>4723.44</v>
      </c>
      <c r="O62" s="250"/>
      <c r="P62" s="172">
        <f t="shared" ref="P62:U62" si="51">430+$G$21</f>
        <v>430</v>
      </c>
      <c r="Q62" s="172">
        <f t="shared" si="51"/>
        <v>430</v>
      </c>
      <c r="R62" s="172">
        <f t="shared" si="51"/>
        <v>430</v>
      </c>
      <c r="S62" s="172">
        <f t="shared" si="51"/>
        <v>430</v>
      </c>
      <c r="T62" s="172">
        <f t="shared" si="51"/>
        <v>430</v>
      </c>
      <c r="U62" s="172">
        <f t="shared" si="51"/>
        <v>430</v>
      </c>
      <c r="V62" s="172"/>
      <c r="W62" s="172">
        <f t="shared" ref="W62:AB62" si="52">430+$G$21</f>
        <v>430</v>
      </c>
      <c r="X62" s="172">
        <f t="shared" si="52"/>
        <v>430</v>
      </c>
      <c r="Y62" s="172">
        <f t="shared" si="52"/>
        <v>430</v>
      </c>
      <c r="Z62" s="172">
        <f t="shared" si="52"/>
        <v>430</v>
      </c>
      <c r="AA62" s="172">
        <f t="shared" si="52"/>
        <v>430</v>
      </c>
      <c r="AB62" s="172">
        <f t="shared" si="52"/>
        <v>430</v>
      </c>
      <c r="AC62" s="304">
        <f t="shared" si="40"/>
        <v>5160</v>
      </c>
    </row>
    <row r="63" ht="15.75" customHeight="1">
      <c r="A63" s="127" t="s">
        <v>177</v>
      </c>
      <c r="B63" s="172">
        <f>'P&amp;L'!N30</f>
        <v>5</v>
      </c>
      <c r="C63" s="172">
        <f>'P&amp;L'!O30</f>
        <v>0</v>
      </c>
      <c r="D63" s="172">
        <f>'P&amp;L'!P30</f>
        <v>0</v>
      </c>
      <c r="E63" s="172">
        <f>'P&amp;L'!Q30</f>
        <v>0</v>
      </c>
      <c r="F63" s="172">
        <f>'P&amp;L'!R30</f>
        <v>0</v>
      </c>
      <c r="G63" s="172" t="str">
        <f>'P&amp;L'!S30</f>
        <v/>
      </c>
      <c r="H63" s="172" t="str">
        <f>'P&amp;L'!T30</f>
        <v/>
      </c>
      <c r="I63" s="172" t="str">
        <f>'P&amp;L'!U30</f>
        <v/>
      </c>
      <c r="J63" s="172" t="str">
        <f>'P&amp;L'!V30</f>
        <v/>
      </c>
      <c r="K63" s="172" t="str">
        <f>'P&amp;L'!W30</f>
        <v/>
      </c>
      <c r="L63" s="172" t="str">
        <f>'P&amp;L'!X30</f>
        <v/>
      </c>
      <c r="M63" s="172" t="str">
        <f>'P&amp;L'!Y30</f>
        <v/>
      </c>
      <c r="N63" s="308">
        <f t="shared" si="39"/>
        <v>5</v>
      </c>
      <c r="O63" s="250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304">
        <f t="shared" si="40"/>
        <v>0</v>
      </c>
    </row>
    <row r="64" ht="15.75" customHeight="1">
      <c r="A64" s="127" t="s">
        <v>178</v>
      </c>
      <c r="B64" s="172">
        <f>'P&amp;L'!N31</f>
        <v>0</v>
      </c>
      <c r="C64" s="172">
        <f>'P&amp;L'!O31</f>
        <v>150</v>
      </c>
      <c r="D64" s="172">
        <f>'P&amp;L'!P31</f>
        <v>175</v>
      </c>
      <c r="E64" s="172">
        <f>'P&amp;L'!Q31</f>
        <v>250</v>
      </c>
      <c r="F64" s="172">
        <f>'P&amp;L'!R31</f>
        <v>150</v>
      </c>
      <c r="G64" s="172">
        <f>'P&amp;L'!S31</f>
        <v>150</v>
      </c>
      <c r="H64" s="172">
        <f>'P&amp;L'!T31</f>
        <v>150</v>
      </c>
      <c r="I64" s="172">
        <f>'P&amp;L'!U31</f>
        <v>150</v>
      </c>
      <c r="J64" s="172">
        <f>'P&amp;L'!V31</f>
        <v>150</v>
      </c>
      <c r="K64" s="172">
        <f>'P&amp;L'!W31</f>
        <v>150</v>
      </c>
      <c r="L64" s="172">
        <f>'P&amp;L'!X31</f>
        <v>150</v>
      </c>
      <c r="M64" s="172">
        <f>'P&amp;L'!Y31</f>
        <v>150</v>
      </c>
      <c r="N64" s="308">
        <f t="shared" si="39"/>
        <v>1775</v>
      </c>
      <c r="O64" s="250"/>
      <c r="P64" s="172">
        <v>150.0</v>
      </c>
      <c r="Q64" s="172">
        <v>150.0</v>
      </c>
      <c r="R64" s="172">
        <v>150.0</v>
      </c>
      <c r="S64" s="172">
        <v>150.0</v>
      </c>
      <c r="T64" s="172">
        <v>150.0</v>
      </c>
      <c r="U64" s="172">
        <v>150.0</v>
      </c>
      <c r="V64" s="129"/>
      <c r="W64" s="172">
        <v>150.0</v>
      </c>
      <c r="X64" s="172">
        <v>150.0</v>
      </c>
      <c r="Y64" s="172">
        <v>150.0</v>
      </c>
      <c r="Z64" s="172">
        <v>150.0</v>
      </c>
      <c r="AA64" s="172">
        <v>150.0</v>
      </c>
      <c r="AB64" s="172">
        <v>150.0</v>
      </c>
      <c r="AC64" s="304">
        <f t="shared" si="40"/>
        <v>1800</v>
      </c>
    </row>
    <row r="65" ht="15.75" customHeight="1">
      <c r="A65" s="127" t="s">
        <v>179</v>
      </c>
      <c r="B65" s="172">
        <f>'P&amp;L'!N32</f>
        <v>10673.57</v>
      </c>
      <c r="C65" s="172">
        <f>'P&amp;L'!O32</f>
        <v>10616.25</v>
      </c>
      <c r="D65" s="172">
        <f>'P&amp;L'!P32</f>
        <v>11420.68</v>
      </c>
      <c r="E65" s="172">
        <f>'P&amp;L'!Q32</f>
        <v>9464.12</v>
      </c>
      <c r="F65" s="172">
        <f>'P&amp;L'!R32</f>
        <v>15000</v>
      </c>
      <c r="G65" s="172">
        <f t="shared" ref="G65:M65" si="53">15000+$G$17</f>
        <v>90000</v>
      </c>
      <c r="H65" s="172">
        <f t="shared" si="53"/>
        <v>90000</v>
      </c>
      <c r="I65" s="172">
        <f t="shared" si="53"/>
        <v>90000</v>
      </c>
      <c r="J65" s="172">
        <f t="shared" si="53"/>
        <v>90000</v>
      </c>
      <c r="K65" s="172">
        <f t="shared" si="53"/>
        <v>90000</v>
      </c>
      <c r="L65" s="172">
        <f t="shared" si="53"/>
        <v>90000</v>
      </c>
      <c r="M65" s="172">
        <f t="shared" si="53"/>
        <v>90000</v>
      </c>
      <c r="N65" s="308">
        <f t="shared" si="39"/>
        <v>687174.62</v>
      </c>
      <c r="O65" s="250"/>
      <c r="P65" s="172">
        <f t="shared" ref="P65:U65" si="54">15000+$G$17</f>
        <v>90000</v>
      </c>
      <c r="Q65" s="172">
        <f t="shared" si="54"/>
        <v>90000</v>
      </c>
      <c r="R65" s="172">
        <f t="shared" si="54"/>
        <v>90000</v>
      </c>
      <c r="S65" s="172">
        <f t="shared" si="54"/>
        <v>90000</v>
      </c>
      <c r="T65" s="172">
        <f t="shared" si="54"/>
        <v>90000</v>
      </c>
      <c r="U65" s="172">
        <f t="shared" si="54"/>
        <v>90000</v>
      </c>
      <c r="V65" s="172"/>
      <c r="W65" s="172">
        <f t="shared" ref="W65:AB65" si="55">15000+$G$17</f>
        <v>90000</v>
      </c>
      <c r="X65" s="172">
        <f t="shared" si="55"/>
        <v>90000</v>
      </c>
      <c r="Y65" s="172">
        <f t="shared" si="55"/>
        <v>90000</v>
      </c>
      <c r="Z65" s="172">
        <f t="shared" si="55"/>
        <v>90000</v>
      </c>
      <c r="AA65" s="172">
        <f t="shared" si="55"/>
        <v>90000</v>
      </c>
      <c r="AB65" s="172">
        <f t="shared" si="55"/>
        <v>90000</v>
      </c>
      <c r="AC65" s="304">
        <f t="shared" si="40"/>
        <v>1080000</v>
      </c>
    </row>
    <row r="66" ht="15.75" customHeight="1">
      <c r="A66" s="127" t="s">
        <v>180</v>
      </c>
      <c r="B66" s="172">
        <f>'P&amp;L'!N33</f>
        <v>90</v>
      </c>
      <c r="C66" s="172">
        <f>'P&amp;L'!O33</f>
        <v>0</v>
      </c>
      <c r="D66" s="172">
        <f>'P&amp;L'!P33</f>
        <v>0</v>
      </c>
      <c r="E66" s="172">
        <f>'P&amp;L'!Q33</f>
        <v>0</v>
      </c>
      <c r="F66" s="172">
        <f>'P&amp;L'!R33</f>
        <v>0</v>
      </c>
      <c r="G66" s="172" t="str">
        <f>'P&amp;L'!S33</f>
        <v/>
      </c>
      <c r="H66" s="172" t="str">
        <f>'P&amp;L'!T33</f>
        <v/>
      </c>
      <c r="I66" s="172" t="str">
        <f>'P&amp;L'!U33</f>
        <v/>
      </c>
      <c r="J66" s="172" t="str">
        <f>'P&amp;L'!V33</f>
        <v/>
      </c>
      <c r="K66" s="172" t="str">
        <f>'P&amp;L'!W33</f>
        <v/>
      </c>
      <c r="L66" s="172" t="str">
        <f>'P&amp;L'!X33</f>
        <v/>
      </c>
      <c r="M66" s="172" t="str">
        <f>'P&amp;L'!Y33</f>
        <v/>
      </c>
      <c r="N66" s="308">
        <f t="shared" si="39"/>
        <v>90</v>
      </c>
      <c r="O66" s="250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304">
        <f t="shared" si="40"/>
        <v>0</v>
      </c>
    </row>
    <row r="67" ht="15.75" customHeight="1">
      <c r="A67" s="127" t="s">
        <v>181</v>
      </c>
      <c r="B67" s="172">
        <f>'P&amp;L'!N34</f>
        <v>4385.45</v>
      </c>
      <c r="C67" s="172">
        <f>'P&amp;L'!O34</f>
        <v>4694.04</v>
      </c>
      <c r="D67" s="172">
        <f>'P&amp;L'!P34</f>
        <v>3942.38</v>
      </c>
      <c r="E67" s="172">
        <f>'P&amp;L'!Q34</f>
        <v>4788.57</v>
      </c>
      <c r="F67" s="172">
        <f>'P&amp;L'!R34</f>
        <v>2540.23</v>
      </c>
      <c r="G67" s="172">
        <f>'P&amp;L'!S34</f>
        <v>4000</v>
      </c>
      <c r="H67" s="172">
        <f>'P&amp;L'!T34</f>
        <v>4000</v>
      </c>
      <c r="I67" s="172">
        <f>'P&amp;L'!U34</f>
        <v>4000</v>
      </c>
      <c r="J67" s="172">
        <f>'P&amp;L'!V34</f>
        <v>4000</v>
      </c>
      <c r="K67" s="172">
        <f>'P&amp;L'!W34</f>
        <v>4000</v>
      </c>
      <c r="L67" s="172">
        <f>'P&amp;L'!X34</f>
        <v>4000</v>
      </c>
      <c r="M67" s="172">
        <f>'P&amp;L'!Y34</f>
        <v>4000</v>
      </c>
      <c r="N67" s="308">
        <f t="shared" si="39"/>
        <v>48350.67</v>
      </c>
      <c r="O67" s="250"/>
      <c r="P67" s="310">
        <f t="shared" ref="P67:U67" si="56">(4000+(0.25*P39))+$G$22</f>
        <v>110600</v>
      </c>
      <c r="Q67" s="310">
        <f t="shared" si="56"/>
        <v>272600</v>
      </c>
      <c r="R67" s="310">
        <f t="shared" si="56"/>
        <v>434600</v>
      </c>
      <c r="S67" s="310">
        <f t="shared" si="56"/>
        <v>596600</v>
      </c>
      <c r="T67" s="310">
        <f t="shared" si="56"/>
        <v>758600</v>
      </c>
      <c r="U67" s="310">
        <f t="shared" si="56"/>
        <v>812600</v>
      </c>
      <c r="V67" s="310"/>
      <c r="W67" s="310">
        <f t="shared" ref="W67:AB67" si="57">(4000+(0.25*W39))+$G$22</f>
        <v>812600</v>
      </c>
      <c r="X67" s="310">
        <f t="shared" si="57"/>
        <v>812600</v>
      </c>
      <c r="Y67" s="310">
        <f t="shared" si="57"/>
        <v>812600</v>
      </c>
      <c r="Z67" s="310">
        <f t="shared" si="57"/>
        <v>812600</v>
      </c>
      <c r="AA67" s="310">
        <f t="shared" si="57"/>
        <v>812600</v>
      </c>
      <c r="AB67" s="310">
        <f t="shared" si="57"/>
        <v>812600</v>
      </c>
      <c r="AC67" s="304">
        <f t="shared" si="40"/>
        <v>7861200</v>
      </c>
    </row>
    <row r="68" ht="15.75" customHeight="1">
      <c r="A68" s="127" t="s">
        <v>182</v>
      </c>
      <c r="B68" s="172">
        <f>'P&amp;L'!N35</f>
        <v>0</v>
      </c>
      <c r="C68" s="172">
        <f>'P&amp;L'!O35</f>
        <v>18.01</v>
      </c>
      <c r="D68" s="172">
        <f>'P&amp;L'!P35</f>
        <v>290.68</v>
      </c>
      <c r="E68" s="172">
        <f>'P&amp;L'!Q35</f>
        <v>302.97</v>
      </c>
      <c r="F68" s="172">
        <f>'P&amp;L'!R35</f>
        <v>0</v>
      </c>
      <c r="G68" s="172">
        <f t="shared" ref="G68:M68" si="58">500+$G$23</f>
        <v>500</v>
      </c>
      <c r="H68" s="172">
        <f t="shared" si="58"/>
        <v>500</v>
      </c>
      <c r="I68" s="172">
        <f t="shared" si="58"/>
        <v>500</v>
      </c>
      <c r="J68" s="172">
        <f t="shared" si="58"/>
        <v>500</v>
      </c>
      <c r="K68" s="172">
        <f t="shared" si="58"/>
        <v>500</v>
      </c>
      <c r="L68" s="172">
        <f t="shared" si="58"/>
        <v>500</v>
      </c>
      <c r="M68" s="172">
        <f t="shared" si="58"/>
        <v>500</v>
      </c>
      <c r="N68" s="308">
        <f t="shared" si="39"/>
        <v>4111.66</v>
      </c>
      <c r="O68" s="250"/>
      <c r="P68" s="172">
        <f t="shared" ref="P68:U68" si="59">500+$G$23</f>
        <v>500</v>
      </c>
      <c r="Q68" s="172">
        <f t="shared" si="59"/>
        <v>500</v>
      </c>
      <c r="R68" s="172">
        <f t="shared" si="59"/>
        <v>500</v>
      </c>
      <c r="S68" s="172">
        <f t="shared" si="59"/>
        <v>500</v>
      </c>
      <c r="T68" s="172">
        <f t="shared" si="59"/>
        <v>500</v>
      </c>
      <c r="U68" s="172">
        <f t="shared" si="59"/>
        <v>500</v>
      </c>
      <c r="V68" s="172"/>
      <c r="W68" s="172">
        <f t="shared" ref="W68:AB68" si="60">500+$G$23</f>
        <v>500</v>
      </c>
      <c r="X68" s="172">
        <f t="shared" si="60"/>
        <v>500</v>
      </c>
      <c r="Y68" s="172">
        <f t="shared" si="60"/>
        <v>500</v>
      </c>
      <c r="Z68" s="172">
        <f t="shared" si="60"/>
        <v>500</v>
      </c>
      <c r="AA68" s="172">
        <f t="shared" si="60"/>
        <v>500</v>
      </c>
      <c r="AB68" s="172">
        <f t="shared" si="60"/>
        <v>500</v>
      </c>
      <c r="AC68" s="304">
        <f t="shared" si="40"/>
        <v>6000</v>
      </c>
    </row>
    <row r="69" ht="15.75" customHeight="1">
      <c r="A69" s="127" t="s">
        <v>236</v>
      </c>
      <c r="B69" s="172">
        <f>'P&amp;L'!N36</f>
        <v>0</v>
      </c>
      <c r="C69" s="172">
        <f>'P&amp;L'!O36</f>
        <v>0</v>
      </c>
      <c r="D69" s="172">
        <f>'P&amp;L'!P36</f>
        <v>85.31</v>
      </c>
      <c r="E69" s="172">
        <f>'P&amp;L'!Q36</f>
        <v>0</v>
      </c>
      <c r="F69" s="172">
        <f>'P&amp;L'!R36</f>
        <v>0</v>
      </c>
      <c r="G69" s="172" t="str">
        <f>'P&amp;L'!S36</f>
        <v/>
      </c>
      <c r="H69" s="172" t="str">
        <f>'P&amp;L'!T36</f>
        <v/>
      </c>
      <c r="I69" s="172" t="str">
        <f>'P&amp;L'!U36</f>
        <v/>
      </c>
      <c r="J69" s="172" t="str">
        <f>'P&amp;L'!V36</f>
        <v/>
      </c>
      <c r="K69" s="172" t="str">
        <f>'P&amp;L'!W36</f>
        <v/>
      </c>
      <c r="L69" s="172" t="str">
        <f>'P&amp;L'!X36</f>
        <v/>
      </c>
      <c r="M69" s="172" t="str">
        <f>'P&amp;L'!Y36</f>
        <v/>
      </c>
      <c r="N69" s="308">
        <f t="shared" si="39"/>
        <v>85.31</v>
      </c>
      <c r="O69" s="250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304">
        <f t="shared" si="40"/>
        <v>0</v>
      </c>
    </row>
    <row r="70" ht="15.75" customHeight="1">
      <c r="A70" s="173" t="s">
        <v>183</v>
      </c>
      <c r="B70" s="174">
        <f>'P&amp;L'!N37</f>
        <v>0</v>
      </c>
      <c r="C70" s="174">
        <f>'P&amp;L'!O37</f>
        <v>0</v>
      </c>
      <c r="D70" s="174">
        <f>'P&amp;L'!P37</f>
        <v>0</v>
      </c>
      <c r="E70" s="174">
        <f>'P&amp;L'!Q37</f>
        <v>0</v>
      </c>
      <c r="F70" s="174">
        <f>'P&amp;L'!R37</f>
        <v>0</v>
      </c>
      <c r="G70" s="174" t="str">
        <f>'P&amp;L'!S37</f>
        <v/>
      </c>
      <c r="H70" s="174" t="str">
        <f>'P&amp;L'!T37</f>
        <v/>
      </c>
      <c r="I70" s="174" t="str">
        <f>'P&amp;L'!U37</f>
        <v/>
      </c>
      <c r="J70" s="174" t="str">
        <f>'P&amp;L'!V37</f>
        <v/>
      </c>
      <c r="K70" s="174" t="str">
        <f>'P&amp;L'!W37</f>
        <v/>
      </c>
      <c r="L70" s="174" t="str">
        <f>'P&amp;L'!X37</f>
        <v/>
      </c>
      <c r="M70" s="174" t="str">
        <f>'P&amp;L'!Y37</f>
        <v/>
      </c>
      <c r="N70" s="311">
        <f t="shared" si="39"/>
        <v>0</v>
      </c>
      <c r="O70" s="312"/>
      <c r="P70" s="313"/>
      <c r="Q70" s="313"/>
      <c r="R70" s="313"/>
      <c r="S70" s="313"/>
      <c r="T70" s="313"/>
      <c r="U70" s="313"/>
      <c r="V70" s="313"/>
      <c r="W70" s="313"/>
      <c r="X70" s="313"/>
      <c r="Y70" s="313"/>
      <c r="Z70" s="313"/>
      <c r="AA70" s="313"/>
      <c r="AB70" s="313"/>
      <c r="AC70" s="314">
        <f t="shared" si="40"/>
        <v>0</v>
      </c>
    </row>
    <row r="71" ht="15.75" customHeight="1">
      <c r="A71" s="315" t="s">
        <v>184</v>
      </c>
      <c r="B71" s="174">
        <f t="shared" ref="B71:N71" si="61">SUM(B50:B70)</f>
        <v>17752.47</v>
      </c>
      <c r="C71" s="174">
        <f t="shared" si="61"/>
        <v>18488.61</v>
      </c>
      <c r="D71" s="174">
        <f t="shared" si="61"/>
        <v>19157.75</v>
      </c>
      <c r="E71" s="174">
        <f t="shared" si="61"/>
        <v>17017.52</v>
      </c>
      <c r="F71" s="174">
        <f t="shared" si="61"/>
        <v>17731.73</v>
      </c>
      <c r="G71" s="174">
        <f t="shared" si="61"/>
        <v>101322</v>
      </c>
      <c r="H71" s="174">
        <f t="shared" si="61"/>
        <v>101322</v>
      </c>
      <c r="I71" s="174">
        <f t="shared" si="61"/>
        <v>101322</v>
      </c>
      <c r="J71" s="174">
        <f t="shared" si="61"/>
        <v>101322</v>
      </c>
      <c r="K71" s="174">
        <f t="shared" si="61"/>
        <v>101322</v>
      </c>
      <c r="L71" s="174">
        <f t="shared" si="61"/>
        <v>101322</v>
      </c>
      <c r="M71" s="174">
        <f t="shared" si="61"/>
        <v>101322</v>
      </c>
      <c r="N71" s="316">
        <f t="shared" si="61"/>
        <v>799402.08</v>
      </c>
      <c r="O71" s="317"/>
      <c r="P71" s="318">
        <f t="shared" ref="P71:U71" si="62">SUM(P50:P70)</f>
        <v>207922</v>
      </c>
      <c r="Q71" s="319">
        <f t="shared" si="62"/>
        <v>369922</v>
      </c>
      <c r="R71" s="319">
        <f t="shared" si="62"/>
        <v>531922</v>
      </c>
      <c r="S71" s="319">
        <f t="shared" si="62"/>
        <v>693922</v>
      </c>
      <c r="T71" s="319">
        <f t="shared" si="62"/>
        <v>855922</v>
      </c>
      <c r="U71" s="320">
        <f t="shared" si="62"/>
        <v>909922</v>
      </c>
      <c r="V71" s="321"/>
      <c r="W71" s="319">
        <f t="shared" ref="W71:AC71" si="63">SUM(W50:W70)</f>
        <v>909922</v>
      </c>
      <c r="X71" s="319">
        <f t="shared" si="63"/>
        <v>909922</v>
      </c>
      <c r="Y71" s="319">
        <f t="shared" si="63"/>
        <v>909922</v>
      </c>
      <c r="Z71" s="319">
        <f t="shared" si="63"/>
        <v>909922</v>
      </c>
      <c r="AA71" s="319">
        <f t="shared" si="63"/>
        <v>909922</v>
      </c>
      <c r="AB71" s="319">
        <f t="shared" si="63"/>
        <v>909922</v>
      </c>
      <c r="AC71" s="322">
        <f t="shared" si="63"/>
        <v>9029064</v>
      </c>
    </row>
    <row r="72" ht="15.75" customHeight="1">
      <c r="A72" s="323" t="s">
        <v>186</v>
      </c>
      <c r="B72" s="172">
        <f t="shared" ref="B72:N72" si="64">B48-B71</f>
        <v>-47566.72</v>
      </c>
      <c r="C72" s="172">
        <f t="shared" si="64"/>
        <v>23062.61</v>
      </c>
      <c r="D72" s="172">
        <f t="shared" si="64"/>
        <v>-8517.11</v>
      </c>
      <c r="E72" s="172">
        <f t="shared" si="64"/>
        <v>28666.61</v>
      </c>
      <c r="F72" s="172">
        <f t="shared" si="64"/>
        <v>17165.56</v>
      </c>
      <c r="G72" s="172">
        <f t="shared" si="64"/>
        <v>-190325.06</v>
      </c>
      <c r="H72" s="172">
        <f t="shared" si="64"/>
        <v>-243120.06</v>
      </c>
      <c r="I72" s="172">
        <f t="shared" si="64"/>
        <v>-236520.06</v>
      </c>
      <c r="J72" s="172">
        <f t="shared" si="64"/>
        <v>-175520.06</v>
      </c>
      <c r="K72" s="172">
        <f t="shared" si="64"/>
        <v>-124520.06</v>
      </c>
      <c r="L72" s="172">
        <f t="shared" si="64"/>
        <v>-73520.06</v>
      </c>
      <c r="M72" s="172">
        <f t="shared" si="64"/>
        <v>-22520.06</v>
      </c>
      <c r="N72" s="324">
        <f t="shared" si="64"/>
        <v>84528.95</v>
      </c>
      <c r="O72" s="325"/>
      <c r="P72" s="326">
        <f t="shared" ref="P72:U72" si="65">P48-P71</f>
        <v>-851485.36</v>
      </c>
      <c r="Q72" s="327">
        <f t="shared" si="65"/>
        <v>-1178522.86</v>
      </c>
      <c r="R72" s="327">
        <f t="shared" si="65"/>
        <v>-733022.86</v>
      </c>
      <c r="S72" s="327">
        <f t="shared" si="65"/>
        <v>-287522.86</v>
      </c>
      <c r="T72" s="327">
        <f t="shared" si="65"/>
        <v>222777.14</v>
      </c>
      <c r="U72" s="328">
        <f t="shared" si="65"/>
        <v>1052622.14</v>
      </c>
      <c r="V72" s="134"/>
      <c r="W72" s="326">
        <f t="shared" ref="W72:AC72" si="66">W48-W71</f>
        <v>1377094.64</v>
      </c>
      <c r="X72" s="327">
        <f t="shared" si="66"/>
        <v>1377094.64</v>
      </c>
      <c r="Y72" s="327">
        <f t="shared" si="66"/>
        <v>1377094.64</v>
      </c>
      <c r="Z72" s="327">
        <f t="shared" si="66"/>
        <v>1377094.64</v>
      </c>
      <c r="AA72" s="327">
        <f t="shared" si="66"/>
        <v>1377094.64</v>
      </c>
      <c r="AB72" s="327">
        <f t="shared" si="66"/>
        <v>1377094.64</v>
      </c>
      <c r="AC72" s="304">
        <f t="shared" si="66"/>
        <v>21647736</v>
      </c>
    </row>
    <row r="73" ht="15.75" customHeight="1">
      <c r="A73" s="127"/>
      <c r="B73" s="172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308"/>
      <c r="O73" s="250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329"/>
    </row>
    <row r="74" ht="15.75" customHeight="1">
      <c r="A74" s="178" t="s">
        <v>237</v>
      </c>
      <c r="B74" s="179"/>
      <c r="C74" s="179"/>
      <c r="D74" s="179"/>
      <c r="E74" s="179">
        <v>63655.75</v>
      </c>
      <c r="F74" s="179">
        <f>63655.75+$G$32</f>
        <v>3563655.75</v>
      </c>
      <c r="G74" s="179">
        <f>$F$74+$G$72</f>
        <v>3373330.69</v>
      </c>
      <c r="H74" s="179">
        <f>$G$74+$H$72+45000</f>
        <v>3175210.63</v>
      </c>
      <c r="I74" s="179">
        <f>$H$74+$I$72</f>
        <v>2938690.57</v>
      </c>
      <c r="J74" s="179">
        <f>$I$74+$J$72</f>
        <v>2763170.51</v>
      </c>
      <c r="K74" s="179">
        <f>$J$74+$K$72</f>
        <v>2638650.45</v>
      </c>
      <c r="L74" s="179">
        <f>$K$74+$L$72</f>
        <v>2565130.39</v>
      </c>
      <c r="M74" s="179">
        <f>$L$74+$M$72</f>
        <v>2542610.33</v>
      </c>
      <c r="N74" s="308">
        <f>$M$74+$N$72</f>
        <v>2627139.28</v>
      </c>
      <c r="O74" s="250"/>
      <c r="P74" s="179">
        <f>$M$74+$P$72</f>
        <v>1691124.97</v>
      </c>
      <c r="Q74" s="179">
        <f>$P$74+$Q$72</f>
        <v>512602.11</v>
      </c>
      <c r="R74" s="179">
        <f>$Q$74+$R$72</f>
        <v>-220420.75</v>
      </c>
      <c r="S74" s="179">
        <f>$R$74+$S$72</f>
        <v>-507943.61</v>
      </c>
      <c r="T74" s="179">
        <f>$S$74+$T$72</f>
        <v>-285166.47</v>
      </c>
      <c r="U74" s="179">
        <f>$T$74+$U$72</f>
        <v>767455.67</v>
      </c>
      <c r="V74" s="73"/>
      <c r="W74" s="179">
        <f>$U$74+$W$72</f>
        <v>2144550.31</v>
      </c>
      <c r="X74" s="179">
        <f>$W$74+$X$72</f>
        <v>3521644.95</v>
      </c>
      <c r="Y74" s="179">
        <f>$X$74+$Y$72</f>
        <v>4898739.59</v>
      </c>
      <c r="Z74" s="179">
        <f>$Y$74+$Z$72</f>
        <v>6275834.23</v>
      </c>
      <c r="AA74" s="179">
        <f>$Z$74+$AA$72</f>
        <v>7652928.87</v>
      </c>
      <c r="AB74" s="179">
        <f>$AA$74+$AB$72</f>
        <v>9030023.51</v>
      </c>
      <c r="AC74" s="330">
        <f>AB74+AC72</f>
        <v>30677759.51</v>
      </c>
    </row>
    <row r="75" ht="15.75" customHeight="1">
      <c r="A75" s="33"/>
      <c r="B75" s="33"/>
      <c r="C75" s="33"/>
      <c r="D75" s="33"/>
      <c r="E75" s="33"/>
      <c r="F75" s="33"/>
      <c r="G75" s="33"/>
      <c r="H75" s="117"/>
      <c r="I75" s="117"/>
      <c r="J75" s="117"/>
      <c r="K75" s="117"/>
      <c r="L75" s="33"/>
      <c r="M75" s="33"/>
      <c r="N75" s="117"/>
      <c r="O75" s="117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</row>
    <row r="76" ht="15.75" customHeight="1">
      <c r="A76" s="33"/>
      <c r="B76" s="33"/>
      <c r="C76" s="33"/>
      <c r="D76" s="33"/>
      <c r="E76" s="33"/>
      <c r="F76" s="33"/>
      <c r="G76" s="33"/>
      <c r="H76" s="117"/>
      <c r="I76" s="117"/>
      <c r="J76" s="117"/>
      <c r="K76" s="117"/>
      <c r="L76" s="33"/>
      <c r="M76" s="33"/>
      <c r="N76" s="117"/>
      <c r="O76" s="117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117"/>
      <c r="J77" s="117"/>
      <c r="K77" s="117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117"/>
      <c r="W77" s="117"/>
      <c r="X77" s="33"/>
      <c r="Y77" s="33"/>
      <c r="Z77" s="33"/>
      <c r="AA77" s="33"/>
      <c r="AB77" s="33"/>
      <c r="AC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117"/>
      <c r="W78" s="117"/>
      <c r="X78" s="33"/>
      <c r="Y78" s="33"/>
      <c r="Z78" s="33"/>
      <c r="AA78" s="33"/>
      <c r="AB78" s="33"/>
      <c r="AC78" s="33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H23:K23"/>
  </mergeCells>
  <printOptions/>
  <pageMargins bottom="0.75" footer="0.0" header="0.0" left="0.7" right="0.7" top="0.75"/>
  <pageSetup orientation="portrait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0"/>
    <col customWidth="1" min="2" max="7" width="9.43"/>
    <col customWidth="1" min="8" max="9" width="10.29"/>
    <col customWidth="1" min="10" max="13" width="9.43"/>
    <col customWidth="1" min="14" max="15" width="10.29"/>
    <col customWidth="1" min="16" max="17" width="11.14"/>
    <col customWidth="1" min="18" max="23" width="9.43"/>
    <col customWidth="1" min="24" max="25" width="10.29"/>
    <col customWidth="1" min="26" max="27" width="11.14"/>
    <col customWidth="1" min="28" max="29" width="9.43"/>
    <col customWidth="1" min="30" max="31" width="10.29"/>
    <col customWidth="1" min="32" max="33" width="9.43"/>
    <col customWidth="1" min="34" max="35" width="11.14"/>
    <col customWidth="1" min="36" max="36" width="9.43"/>
    <col customWidth="1" min="37" max="37" width="12.0"/>
    <col customWidth="1" min="38" max="38" width="8.71"/>
    <col customWidth="1" min="39" max="39" width="13.0"/>
    <col customWidth="1" min="40" max="43" width="8.71"/>
  </cols>
  <sheetData>
    <row r="1">
      <c r="A1" s="103"/>
      <c r="B1" s="103" t="s">
        <v>122</v>
      </c>
    </row>
    <row r="2">
      <c r="A2" s="103"/>
      <c r="B2" s="103" t="s">
        <v>123</v>
      </c>
    </row>
    <row r="3">
      <c r="A3" s="331"/>
      <c r="B3" s="331" t="s">
        <v>284</v>
      </c>
    </row>
    <row r="5">
      <c r="A5" s="1"/>
      <c r="B5" s="105" t="s">
        <v>137</v>
      </c>
      <c r="C5" s="105"/>
      <c r="D5" s="105" t="s">
        <v>138</v>
      </c>
      <c r="E5" s="105"/>
      <c r="F5" s="105" t="s">
        <v>139</v>
      </c>
      <c r="G5" s="105"/>
      <c r="H5" s="105" t="s">
        <v>140</v>
      </c>
      <c r="I5" s="105"/>
      <c r="J5" s="105" t="s">
        <v>141</v>
      </c>
      <c r="K5" s="105"/>
      <c r="L5" s="105" t="s">
        <v>142</v>
      </c>
      <c r="M5" s="105"/>
      <c r="N5" s="105" t="s">
        <v>143</v>
      </c>
      <c r="O5" s="105"/>
      <c r="P5" s="105" t="s">
        <v>144</v>
      </c>
      <c r="Q5" s="105"/>
      <c r="R5" s="105" t="s">
        <v>145</v>
      </c>
      <c r="S5" s="105"/>
      <c r="T5" s="105" t="s">
        <v>146</v>
      </c>
      <c r="U5" s="105"/>
      <c r="V5" s="105" t="s">
        <v>147</v>
      </c>
      <c r="W5" s="105"/>
      <c r="X5" s="105" t="s">
        <v>148</v>
      </c>
      <c r="Y5" s="105"/>
      <c r="Z5" s="105" t="s">
        <v>149</v>
      </c>
      <c r="AA5" s="105"/>
      <c r="AB5" s="105" t="s">
        <v>150</v>
      </c>
      <c r="AC5" s="105"/>
      <c r="AD5" s="105" t="s">
        <v>151</v>
      </c>
      <c r="AE5" s="105"/>
      <c r="AF5" s="105" t="s">
        <v>252</v>
      </c>
      <c r="AG5" s="105"/>
      <c r="AH5" s="105" t="s">
        <v>285</v>
      </c>
      <c r="AI5" s="105"/>
      <c r="AJ5" s="105" t="s">
        <v>286</v>
      </c>
      <c r="AK5" s="332" t="s">
        <v>47</v>
      </c>
    </row>
    <row r="6">
      <c r="A6" s="107" t="s">
        <v>153</v>
      </c>
      <c r="B6" s="108"/>
      <c r="C6" s="108"/>
      <c r="D6" s="108"/>
      <c r="E6" s="333"/>
      <c r="F6" s="108"/>
      <c r="G6" s="334"/>
      <c r="H6" s="108"/>
      <c r="I6" s="334"/>
      <c r="J6" s="108"/>
      <c r="K6" s="334"/>
      <c r="L6" s="108"/>
      <c r="M6" s="334"/>
      <c r="N6" s="108"/>
      <c r="O6" s="334"/>
      <c r="P6" s="108"/>
      <c r="Q6" s="334"/>
      <c r="R6" s="108"/>
      <c r="S6" s="334"/>
      <c r="T6" s="108"/>
      <c r="U6" s="334"/>
      <c r="V6" s="108"/>
      <c r="W6" s="334"/>
      <c r="X6" s="108"/>
      <c r="Y6" s="334"/>
      <c r="Z6" s="108"/>
      <c r="AA6" s="334"/>
      <c r="AB6" s="108"/>
      <c r="AC6" s="334"/>
      <c r="AD6" s="108"/>
      <c r="AE6" s="334"/>
      <c r="AF6" s="108"/>
      <c r="AG6" s="334"/>
      <c r="AH6" s="108"/>
      <c r="AI6" s="334"/>
      <c r="AJ6" s="108"/>
      <c r="AK6" s="108"/>
    </row>
    <row r="7">
      <c r="A7" s="107" t="s">
        <v>154</v>
      </c>
      <c r="B7" s="109">
        <f>0</f>
        <v>0</v>
      </c>
      <c r="C7" s="109"/>
      <c r="D7" s="109">
        <f>0</f>
        <v>0</v>
      </c>
      <c r="E7" s="335"/>
      <c r="F7" s="109">
        <f>0</f>
        <v>0</v>
      </c>
      <c r="G7" s="336"/>
      <c r="H7" s="109">
        <f>0</f>
        <v>0</v>
      </c>
      <c r="I7" s="336"/>
      <c r="J7" s="109">
        <f>0</f>
        <v>0</v>
      </c>
      <c r="K7" s="336"/>
      <c r="L7" s="109">
        <f>0</f>
        <v>0</v>
      </c>
      <c r="M7" s="336"/>
      <c r="N7" s="109">
        <f>0</f>
        <v>0</v>
      </c>
      <c r="O7" s="336"/>
      <c r="P7" s="109">
        <f>0</f>
        <v>0</v>
      </c>
      <c r="Q7" s="336"/>
      <c r="R7" s="109">
        <f>0</f>
        <v>0</v>
      </c>
      <c r="S7" s="336"/>
      <c r="T7" s="109">
        <f>0</f>
        <v>0</v>
      </c>
      <c r="U7" s="336"/>
      <c r="V7" s="109">
        <f>0</f>
        <v>0</v>
      </c>
      <c r="W7" s="336"/>
      <c r="X7" s="109">
        <f>0</f>
        <v>0</v>
      </c>
      <c r="Y7" s="336"/>
      <c r="Z7" s="109">
        <f>0</f>
        <v>0</v>
      </c>
      <c r="AA7" s="336"/>
      <c r="AB7" s="109">
        <f>0</f>
        <v>0</v>
      </c>
      <c r="AC7" s="336"/>
      <c r="AD7" s="109">
        <f>1000</f>
        <v>1000</v>
      </c>
      <c r="AE7" s="336"/>
      <c r="AF7" s="109">
        <f>0</f>
        <v>0</v>
      </c>
      <c r="AG7" s="336"/>
      <c r="AH7" s="109">
        <f>0</f>
        <v>0</v>
      </c>
      <c r="AI7" s="336"/>
      <c r="AJ7" s="109">
        <f>0</f>
        <v>0</v>
      </c>
      <c r="AK7" s="109">
        <f t="shared" ref="AK7:AK9" si="1">(((((((((((((((((B7)+(D7))+(F7))+(H7))+(J7))+(L7))+(N7))+(P7))+(R7))+(T7))+(V7))+(X7))+(Z7))+(AB7))+(AD7))+(AF7))+(AH7))+(AJ7)</f>
        <v>1000</v>
      </c>
    </row>
    <row r="8">
      <c r="A8" s="337" t="s">
        <v>155</v>
      </c>
      <c r="B8" s="109">
        <f>47701.8</f>
        <v>47701.8</v>
      </c>
      <c r="C8" s="109"/>
      <c r="D8" s="109">
        <f>51892.59</f>
        <v>51892.59</v>
      </c>
      <c r="E8" s="338">
        <f t="shared" ref="E8:E9" si="2">(D8-B8)/B8</f>
        <v>0.08785391746</v>
      </c>
      <c r="F8" s="109">
        <f>45904.68</f>
        <v>45904.68</v>
      </c>
      <c r="G8" s="339">
        <f t="shared" ref="G8:G9" si="3">(F8-D8)/D8</f>
        <v>-0.1153904633</v>
      </c>
      <c r="H8" s="109">
        <f>48863.99</f>
        <v>48863.99</v>
      </c>
      <c r="I8" s="340">
        <f t="shared" ref="I8:I9" si="4">(H8-F8)/F8</f>
        <v>0.0644664117</v>
      </c>
      <c r="J8" s="109">
        <f>50279.58</f>
        <v>50279.58</v>
      </c>
      <c r="K8" s="339">
        <f t="shared" ref="K8:K9" si="5">(J8-H8)/H8</f>
        <v>0.02897000429</v>
      </c>
      <c r="L8" s="109">
        <f>49432.86</f>
        <v>49432.86</v>
      </c>
      <c r="M8" s="339">
        <f t="shared" ref="M8:M9" si="6">(L8-J8)/J8</f>
        <v>-0.01684023614</v>
      </c>
      <c r="N8" s="109">
        <f>101170.02</f>
        <v>101170.02</v>
      </c>
      <c r="O8" s="340">
        <f t="shared" ref="O8:O9" si="7">(N8-L8)/L8</f>
        <v>1.046614742</v>
      </c>
      <c r="P8" s="109">
        <f>49204.45</f>
        <v>49204.45</v>
      </c>
      <c r="Q8" s="340">
        <f t="shared" ref="Q8:Q9" si="8">(P8-N8)/N8</f>
        <v>-0.5136459398</v>
      </c>
      <c r="R8" s="109">
        <f>79677.43</f>
        <v>79677.43</v>
      </c>
      <c r="S8" s="340">
        <f t="shared" ref="S8:S9" si="9">(R8-P8)/P8</f>
        <v>0.6193134971</v>
      </c>
      <c r="T8" s="109">
        <f>74487.1</f>
        <v>74487.1</v>
      </c>
      <c r="U8" s="340">
        <f t="shared" ref="U8:U9" si="10">(T8-R8)/R8</f>
        <v>-0.06514178482</v>
      </c>
      <c r="V8" s="109">
        <f>66263.49</f>
        <v>66263.49</v>
      </c>
      <c r="W8" s="340">
        <f t="shared" ref="W8:W9" si="11">(V8-T8)/T8</f>
        <v>-0.1104031436</v>
      </c>
      <c r="X8" s="109">
        <f>155900.17</f>
        <v>155900.17</v>
      </c>
      <c r="Y8" s="340">
        <f t="shared" ref="Y8:Y9" si="12">(X8-V8)/V8</f>
        <v>1.352731044</v>
      </c>
      <c r="Z8" s="109">
        <f>2206.5</f>
        <v>2206.5</v>
      </c>
      <c r="AA8" s="340">
        <f t="shared" ref="AA8:AA9" si="13">(Z8-X8)/X8</f>
        <v>-0.985846712</v>
      </c>
      <c r="AB8" s="109">
        <f>89149.99</f>
        <v>89149.99</v>
      </c>
      <c r="AC8" s="340">
        <f t="shared" ref="AC8:AC9" si="14">(AB8-Z8)/Z8</f>
        <v>39.4033492</v>
      </c>
      <c r="AD8" s="109">
        <f>77500.7</f>
        <v>77500.7</v>
      </c>
      <c r="AE8" s="340">
        <f t="shared" ref="AE8:AE9" si="15">(AD8-AB8)/AB8</f>
        <v>-0.1306706821</v>
      </c>
      <c r="AF8" s="109">
        <f>75991.47</f>
        <v>75991.47</v>
      </c>
      <c r="AG8" s="340">
        <f t="shared" ref="AG8:AG9" si="16">(AF8-AD8)/AD8</f>
        <v>-0.01947375959</v>
      </c>
      <c r="AH8" s="109">
        <f>61921.25</f>
        <v>61921.25</v>
      </c>
      <c r="AI8" s="340">
        <f t="shared" ref="AI8:AI9" si="17">(AH8-AF8)/AF8</f>
        <v>-0.1851552549</v>
      </c>
      <c r="AJ8" s="109">
        <f>62797.25</f>
        <v>62797.25</v>
      </c>
      <c r="AK8" s="109">
        <f t="shared" si="1"/>
        <v>1190345.32</v>
      </c>
    </row>
    <row r="9">
      <c r="A9" s="107" t="s">
        <v>156</v>
      </c>
      <c r="B9" s="112">
        <f>(B7)+(B8)</f>
        <v>47701.8</v>
      </c>
      <c r="C9" s="112"/>
      <c r="D9" s="112">
        <f>(D7)+(D8)</f>
        <v>51892.59</v>
      </c>
      <c r="E9" s="341">
        <f t="shared" si="2"/>
        <v>0.08785391746</v>
      </c>
      <c r="F9" s="112">
        <f>(F7)+(F8)</f>
        <v>45904.68</v>
      </c>
      <c r="G9" s="342">
        <f t="shared" si="3"/>
        <v>-0.1153904633</v>
      </c>
      <c r="H9" s="112">
        <f>(H7)+(H8)</f>
        <v>48863.99</v>
      </c>
      <c r="I9" s="342">
        <f t="shared" si="4"/>
        <v>0.0644664117</v>
      </c>
      <c r="J9" s="112">
        <f>(J7)+(J8)</f>
        <v>50279.58</v>
      </c>
      <c r="K9" s="342">
        <f t="shared" si="5"/>
        <v>0.02897000429</v>
      </c>
      <c r="L9" s="112">
        <f>(L7)+(L8)</f>
        <v>49432.86</v>
      </c>
      <c r="M9" s="342">
        <f t="shared" si="6"/>
        <v>-0.01684023614</v>
      </c>
      <c r="N9" s="112">
        <f>(N7)+(N8)</f>
        <v>101170.02</v>
      </c>
      <c r="O9" s="342">
        <f t="shared" si="7"/>
        <v>1.046614742</v>
      </c>
      <c r="P9" s="112">
        <f>(P7)+(P8)</f>
        <v>49204.45</v>
      </c>
      <c r="Q9" s="342">
        <f t="shared" si="8"/>
        <v>-0.5136459398</v>
      </c>
      <c r="R9" s="112">
        <f>(R7)+(R8)</f>
        <v>79677.43</v>
      </c>
      <c r="S9" s="342">
        <f t="shared" si="9"/>
        <v>0.6193134971</v>
      </c>
      <c r="T9" s="112">
        <f>(T7)+(T8)</f>
        <v>74487.1</v>
      </c>
      <c r="U9" s="342">
        <f t="shared" si="10"/>
        <v>-0.06514178482</v>
      </c>
      <c r="V9" s="112">
        <f>(V7)+(V8)</f>
        <v>66263.49</v>
      </c>
      <c r="W9" s="342">
        <f t="shared" si="11"/>
        <v>-0.1104031436</v>
      </c>
      <c r="X9" s="343">
        <v>78643.31</v>
      </c>
      <c r="Y9" s="342">
        <f t="shared" si="12"/>
        <v>0.1868271653</v>
      </c>
      <c r="Z9" s="343">
        <v>79861.18</v>
      </c>
      <c r="AA9" s="342">
        <f t="shared" si="13"/>
        <v>0.0154859962</v>
      </c>
      <c r="AB9" s="112">
        <f>(AB7)+(AB8)</f>
        <v>89149.99</v>
      </c>
      <c r="AC9" s="342">
        <f t="shared" si="14"/>
        <v>0.1163119553</v>
      </c>
      <c r="AD9" s="112">
        <f>(AD7)+(AD8)</f>
        <v>78500.7</v>
      </c>
      <c r="AE9" s="342">
        <f t="shared" si="15"/>
        <v>-0.1194536309</v>
      </c>
      <c r="AF9" s="112">
        <f>(AF7)+(AF8)</f>
        <v>75991.47</v>
      </c>
      <c r="AG9" s="342">
        <f t="shared" si="16"/>
        <v>-0.03196442834</v>
      </c>
      <c r="AH9" s="112">
        <f>(AH7)+(AH8)</f>
        <v>61921.25</v>
      </c>
      <c r="AI9" s="342">
        <f t="shared" si="17"/>
        <v>-0.1851552549</v>
      </c>
      <c r="AJ9" s="112">
        <f>(AJ7)+(AJ8)</f>
        <v>62797.25</v>
      </c>
      <c r="AK9" s="112">
        <f t="shared" si="1"/>
        <v>1191743.14</v>
      </c>
      <c r="AM9" s="344">
        <f>average(AB9,AD9,AF9,AH9,AJ9)</f>
        <v>73672.132</v>
      </c>
    </row>
    <row r="10">
      <c r="A10" s="107" t="s">
        <v>157</v>
      </c>
      <c r="B10" s="108"/>
      <c r="C10" s="108"/>
      <c r="D10" s="108"/>
      <c r="E10" s="341"/>
      <c r="F10" s="108"/>
      <c r="G10" s="340"/>
      <c r="H10" s="108"/>
      <c r="I10" s="340"/>
      <c r="J10" s="108"/>
      <c r="K10" s="345"/>
      <c r="L10" s="108"/>
      <c r="M10" s="334"/>
      <c r="N10" s="108"/>
      <c r="O10" s="340"/>
      <c r="P10" s="108"/>
      <c r="Q10" s="334"/>
      <c r="R10" s="108"/>
      <c r="S10" s="340"/>
      <c r="T10" s="108"/>
      <c r="U10" s="340"/>
      <c r="V10" s="108"/>
      <c r="W10" s="340"/>
      <c r="X10" s="108"/>
      <c r="Y10" s="340"/>
      <c r="Z10" s="108"/>
      <c r="AA10" s="340"/>
      <c r="AB10" s="108"/>
      <c r="AC10" s="340"/>
      <c r="AD10" s="108"/>
      <c r="AE10" s="340"/>
      <c r="AF10" s="108"/>
      <c r="AG10" s="340"/>
      <c r="AH10" s="108"/>
      <c r="AI10" s="340"/>
      <c r="AJ10" s="108"/>
      <c r="AK10" s="108"/>
    </row>
    <row r="11">
      <c r="A11" s="107" t="s">
        <v>158</v>
      </c>
      <c r="B11" s="109">
        <f>1353.5</f>
        <v>1353.5</v>
      </c>
      <c r="C11" s="109"/>
      <c r="D11" s="109">
        <f>0</f>
        <v>0</v>
      </c>
      <c r="E11" s="346">
        <f t="shared" ref="E11:E16" si="18">(D11-B11)/B11</f>
        <v>-1</v>
      </c>
      <c r="F11" s="109">
        <f>182.3</f>
        <v>182.3</v>
      </c>
      <c r="G11" s="347">
        <v>0.0</v>
      </c>
      <c r="H11" s="109">
        <f>16336</f>
        <v>16336</v>
      </c>
      <c r="I11" s="340">
        <f t="shared" ref="I11:I16" si="19">(H11-F11)/F11</f>
        <v>88.61053209</v>
      </c>
      <c r="J11" s="109">
        <f>0</f>
        <v>0</v>
      </c>
      <c r="K11" s="340">
        <f t="shared" ref="K11:K16" si="20">(J11-H11)/H11</f>
        <v>-1</v>
      </c>
      <c r="L11" s="109">
        <f>8925</f>
        <v>8925</v>
      </c>
      <c r="M11" s="347">
        <v>0.0</v>
      </c>
      <c r="N11" s="109">
        <f>0</f>
        <v>0</v>
      </c>
      <c r="O11" s="340">
        <f t="shared" ref="O11:O16" si="21">(N11-L11)/L11</f>
        <v>-1</v>
      </c>
      <c r="P11" s="109">
        <f>31360</f>
        <v>31360</v>
      </c>
      <c r="Q11" s="347">
        <v>0.0</v>
      </c>
      <c r="R11" s="109">
        <f>19425</f>
        <v>19425</v>
      </c>
      <c r="S11" s="340">
        <f t="shared" ref="S11:S16" si="22">(R11-P11)/P11</f>
        <v>-0.3805803571</v>
      </c>
      <c r="T11" s="109">
        <f>18335</f>
        <v>18335</v>
      </c>
      <c r="U11" s="340">
        <f t="shared" ref="U11:U16" si="23">(T11-R11)/R11</f>
        <v>-0.05611325611</v>
      </c>
      <c r="V11" s="109">
        <f>13025</f>
        <v>13025</v>
      </c>
      <c r="W11" s="340">
        <f t="shared" ref="W11:W16" si="24">(V11-T11)/T11</f>
        <v>-0.2896100355</v>
      </c>
      <c r="X11" s="109">
        <f>11425</f>
        <v>11425</v>
      </c>
      <c r="Y11" s="340">
        <f t="shared" ref="Y11:Y16" si="25">(X11-V11)/V11</f>
        <v>-0.122840691</v>
      </c>
      <c r="Z11" s="109">
        <f t="shared" ref="Z11:Z12" si="26">0</f>
        <v>0</v>
      </c>
      <c r="AA11" s="340">
        <f t="shared" ref="AA11:AA16" si="27">(Z11-X11)/X11</f>
        <v>-1</v>
      </c>
      <c r="AB11" s="109">
        <f>15750</f>
        <v>15750</v>
      </c>
      <c r="AC11" s="347">
        <v>0.0</v>
      </c>
      <c r="AD11" s="109">
        <f>35098</f>
        <v>35098</v>
      </c>
      <c r="AE11" s="340">
        <f>(AD11-AB11)/AB11</f>
        <v>1.228444444</v>
      </c>
      <c r="AF11" s="109">
        <f>4015</f>
        <v>4015</v>
      </c>
      <c r="AG11" s="340">
        <f>(AF11-AD11)/AD11</f>
        <v>-0.8856060174</v>
      </c>
      <c r="AH11" s="109">
        <f>18710</f>
        <v>18710</v>
      </c>
      <c r="AI11" s="340">
        <f>(AH11-AF11)/AF11</f>
        <v>3.660024907</v>
      </c>
      <c r="AJ11" s="109">
        <f t="shared" ref="AJ11:AJ12" si="28">0</f>
        <v>0</v>
      </c>
      <c r="AK11" s="109">
        <f t="shared" ref="AK11:AK15" si="29">(((((((((((((((((B11)+(D11))+(F11))+(H11))+(J11))+(L11))+(N11))+(P11))+(R11))+(T11))+(V11))+(X11))+(Z11))+(AB11))+(AD11))+(AF11))+(AH11))+(AJ11)</f>
        <v>193939.8</v>
      </c>
    </row>
    <row r="12">
      <c r="A12" s="107" t="s">
        <v>159</v>
      </c>
      <c r="B12" s="109">
        <f>373.39</f>
        <v>373.39</v>
      </c>
      <c r="C12" s="109"/>
      <c r="D12" s="109">
        <f>81.67</f>
        <v>81.67</v>
      </c>
      <c r="E12" s="346">
        <f t="shared" si="18"/>
        <v>-0.7812742709</v>
      </c>
      <c r="F12" s="109">
        <f>83.86</f>
        <v>83.86</v>
      </c>
      <c r="G12" s="340">
        <f t="shared" ref="G12:G16" si="30">(F12-D12)/D12</f>
        <v>0.02681523203</v>
      </c>
      <c r="H12" s="109">
        <f>124.09</f>
        <v>124.09</v>
      </c>
      <c r="I12" s="340">
        <f t="shared" si="19"/>
        <v>0.4797281183</v>
      </c>
      <c r="J12" s="109">
        <f>90.02</f>
        <v>90.02</v>
      </c>
      <c r="K12" s="340">
        <f t="shared" si="20"/>
        <v>-0.274558788</v>
      </c>
      <c r="L12" s="109">
        <f>91.18</f>
        <v>91.18</v>
      </c>
      <c r="M12" s="340">
        <f t="shared" ref="M12:M16" si="31">(L12-J12)/J12</f>
        <v>0.01288602533</v>
      </c>
      <c r="N12" s="109">
        <f>85.38</f>
        <v>85.38</v>
      </c>
      <c r="O12" s="340">
        <f t="shared" si="21"/>
        <v>-0.06361044089</v>
      </c>
      <c r="P12" s="109">
        <f>86.54</f>
        <v>86.54</v>
      </c>
      <c r="Q12" s="340">
        <f t="shared" ref="Q12:Q16" si="32">(P12-N12)/N12</f>
        <v>0.01358631998</v>
      </c>
      <c r="R12" s="109">
        <f>132.13</f>
        <v>132.13</v>
      </c>
      <c r="S12" s="340">
        <f t="shared" si="22"/>
        <v>0.5268084123</v>
      </c>
      <c r="T12" s="109">
        <f>84.22</f>
        <v>84.22</v>
      </c>
      <c r="U12" s="340">
        <f t="shared" si="23"/>
        <v>-0.3625974419</v>
      </c>
      <c r="V12" s="109">
        <f>148.97</f>
        <v>148.97</v>
      </c>
      <c r="W12" s="340">
        <f t="shared" si="24"/>
        <v>0.7688197578</v>
      </c>
      <c r="X12" s="109">
        <f>151.29</f>
        <v>151.29</v>
      </c>
      <c r="Y12" s="340">
        <f t="shared" si="25"/>
        <v>0.01557360542</v>
      </c>
      <c r="Z12" s="109">
        <f t="shared" si="26"/>
        <v>0</v>
      </c>
      <c r="AA12" s="340">
        <f t="shared" si="27"/>
        <v>-1</v>
      </c>
      <c r="AB12" s="109">
        <f>0</f>
        <v>0</v>
      </c>
      <c r="AC12" s="347">
        <v>0.0</v>
      </c>
      <c r="AD12" s="109">
        <f>0</f>
        <v>0</v>
      </c>
      <c r="AE12" s="347">
        <v>0.0</v>
      </c>
      <c r="AF12" s="109">
        <f>0</f>
        <v>0</v>
      </c>
      <c r="AG12" s="347">
        <v>0.0</v>
      </c>
      <c r="AH12" s="109">
        <f>0</f>
        <v>0</v>
      </c>
      <c r="AI12" s="347">
        <v>0.0</v>
      </c>
      <c r="AJ12" s="109">
        <f t="shared" si="28"/>
        <v>0</v>
      </c>
      <c r="AK12" s="109">
        <f t="shared" si="29"/>
        <v>1532.74</v>
      </c>
    </row>
    <row r="13">
      <c r="A13" s="107" t="s">
        <v>160</v>
      </c>
      <c r="B13" s="109">
        <f>15761.64</f>
        <v>15761.64</v>
      </c>
      <c r="C13" s="109"/>
      <c r="D13" s="109">
        <f>22397.21</f>
        <v>22397.21</v>
      </c>
      <c r="E13" s="338">
        <f t="shared" si="18"/>
        <v>0.4209948965</v>
      </c>
      <c r="F13" s="109">
        <f>21011.1</f>
        <v>21011.1</v>
      </c>
      <c r="G13" s="340">
        <f t="shared" si="30"/>
        <v>-0.06188761904</v>
      </c>
      <c r="H13" s="109">
        <f>24084.28</f>
        <v>24084.28</v>
      </c>
      <c r="I13" s="340">
        <f t="shared" si="19"/>
        <v>0.1462645935</v>
      </c>
      <c r="J13" s="109">
        <f>26329.36</f>
        <v>26329.36</v>
      </c>
      <c r="K13" s="340">
        <f t="shared" si="20"/>
        <v>0.09321765068</v>
      </c>
      <c r="L13" s="109">
        <f>22979.88</f>
        <v>22979.88</v>
      </c>
      <c r="M13" s="340">
        <f t="shared" si="31"/>
        <v>-0.127214638</v>
      </c>
      <c r="N13" s="109">
        <f>41588.29</f>
        <v>41588.29</v>
      </c>
      <c r="O13" s="340">
        <f t="shared" si="21"/>
        <v>0.8097696768</v>
      </c>
      <c r="P13" s="109">
        <f>24627.26</f>
        <v>24627.26</v>
      </c>
      <c r="Q13" s="340">
        <f t="shared" si="32"/>
        <v>-0.4078318681</v>
      </c>
      <c r="R13" s="109">
        <f>27740.33</f>
        <v>27740.33</v>
      </c>
      <c r="S13" s="340">
        <f t="shared" si="22"/>
        <v>0.126407485</v>
      </c>
      <c r="T13" s="109">
        <f>28184.93</f>
        <v>28184.93</v>
      </c>
      <c r="U13" s="340">
        <f t="shared" si="23"/>
        <v>0.0160272066</v>
      </c>
      <c r="V13" s="109">
        <f>28625.81</f>
        <v>28625.81</v>
      </c>
      <c r="W13" s="340">
        <f t="shared" si="24"/>
        <v>0.01564240181</v>
      </c>
      <c r="X13" s="109">
        <f>48646.84</f>
        <v>48646.84</v>
      </c>
      <c r="Y13" s="340">
        <f t="shared" si="25"/>
        <v>0.6994048378</v>
      </c>
      <c r="Z13" s="109">
        <f>32020.75</f>
        <v>32020.75</v>
      </c>
      <c r="AA13" s="340">
        <f t="shared" si="27"/>
        <v>-0.341771223</v>
      </c>
      <c r="AB13" s="109">
        <f>31848.77</f>
        <v>31848.77</v>
      </c>
      <c r="AC13" s="340">
        <f t="shared" ref="AC13:AC16" si="33">(AB13-Z13)/Z13</f>
        <v>-0.005370892312</v>
      </c>
      <c r="AD13" s="109">
        <f>32762.06</f>
        <v>32762.06</v>
      </c>
      <c r="AE13" s="340">
        <f t="shared" ref="AE13:AE16" si="34">(AD13-AB13)/AB13</f>
        <v>0.02867583269</v>
      </c>
      <c r="AF13" s="109">
        <f>26292.34</f>
        <v>26292.34</v>
      </c>
      <c r="AG13" s="340">
        <f t="shared" ref="AG13:AG16" si="35">(AF13-AD13)/AD13</f>
        <v>-0.1974759829</v>
      </c>
      <c r="AH13" s="109">
        <f>41113.94</f>
        <v>41113.94</v>
      </c>
      <c r="AI13" s="340">
        <f t="shared" ref="AI13:AI16" si="36">(AH13-AF13)/AF13</f>
        <v>0.5637231224</v>
      </c>
      <c r="AJ13" s="109">
        <f>16536.4</f>
        <v>16536.4</v>
      </c>
      <c r="AK13" s="109">
        <f t="shared" si="29"/>
        <v>512551.19</v>
      </c>
    </row>
    <row r="14">
      <c r="A14" s="348" t="s">
        <v>161</v>
      </c>
      <c r="B14" s="112">
        <f>((B11)+(B12))+(B13)</f>
        <v>17488.53</v>
      </c>
      <c r="C14" s="112"/>
      <c r="D14" s="112">
        <f>((D11)+(D12))+(D13)</f>
        <v>22478.88</v>
      </c>
      <c r="E14" s="341">
        <f t="shared" si="18"/>
        <v>0.2853498836</v>
      </c>
      <c r="F14" s="112">
        <f>((F11)+(F12))+(F13)</f>
        <v>21277.26</v>
      </c>
      <c r="G14" s="349">
        <f t="shared" si="30"/>
        <v>-0.05345551024</v>
      </c>
      <c r="H14" s="112">
        <f>((H11)+(H12))+(H13)</f>
        <v>40544.37</v>
      </c>
      <c r="I14" s="349">
        <f t="shared" si="19"/>
        <v>0.9055258995</v>
      </c>
      <c r="J14" s="112">
        <f>((J11)+(J12))+(J13)</f>
        <v>26419.38</v>
      </c>
      <c r="K14" s="349">
        <f t="shared" si="20"/>
        <v>-0.3483835117</v>
      </c>
      <c r="L14" s="350">
        <f>((L11)+(L12))+(L13)</f>
        <v>31996.06</v>
      </c>
      <c r="M14" s="349">
        <f t="shared" si="31"/>
        <v>0.2110829247</v>
      </c>
      <c r="N14" s="112">
        <f>((N11)+(N12))+(N13)</f>
        <v>41673.67</v>
      </c>
      <c r="O14" s="349">
        <f t="shared" si="21"/>
        <v>0.3024625532</v>
      </c>
      <c r="P14" s="350">
        <f>((P11)+(P12))+(P13)</f>
        <v>56073.8</v>
      </c>
      <c r="Q14" s="349">
        <f t="shared" si="32"/>
        <v>0.3455450408</v>
      </c>
      <c r="R14" s="350">
        <f>((R11)+(R12))+(R13)</f>
        <v>47297.46</v>
      </c>
      <c r="S14" s="349">
        <f t="shared" si="22"/>
        <v>-0.1565140939</v>
      </c>
      <c r="T14" s="350">
        <f>((T11)+(T12))+(T13)</f>
        <v>46604.15</v>
      </c>
      <c r="U14" s="349">
        <f t="shared" si="23"/>
        <v>-0.01465850386</v>
      </c>
      <c r="V14" s="350">
        <f>((V11)+(V12))+(V13)</f>
        <v>41799.78</v>
      </c>
      <c r="W14" s="349">
        <f t="shared" si="24"/>
        <v>-0.103088888</v>
      </c>
      <c r="X14" s="350">
        <f>((X11)+(X12))+(X13)</f>
        <v>60223.13</v>
      </c>
      <c r="Y14" s="349">
        <f t="shared" si="25"/>
        <v>0.4407523197</v>
      </c>
      <c r="Z14" s="350">
        <f>((Z11)+(Z12))+(Z13)</f>
        <v>32020.75</v>
      </c>
      <c r="AA14" s="349">
        <f t="shared" si="27"/>
        <v>-0.4682981439</v>
      </c>
      <c r="AB14" s="350">
        <f>((AB11)+(AB12))+(AB13)</f>
        <v>47598.77</v>
      </c>
      <c r="AC14" s="349">
        <f t="shared" si="33"/>
        <v>0.4864976617</v>
      </c>
      <c r="AD14" s="350">
        <f>((AD11)+(AD12))+(AD13)</f>
        <v>67860.06</v>
      </c>
      <c r="AE14" s="349">
        <f t="shared" si="34"/>
        <v>0.4256683524</v>
      </c>
      <c r="AF14" s="350">
        <f>((AF11)+(AF12))+(AF13)</f>
        <v>30307.34</v>
      </c>
      <c r="AG14" s="349">
        <f t="shared" si="35"/>
        <v>-0.5533847155</v>
      </c>
      <c r="AH14" s="350">
        <f>((AH11)+(AH12))+(AH13)</f>
        <v>59823.94</v>
      </c>
      <c r="AI14" s="349">
        <f t="shared" si="36"/>
        <v>0.9739092906</v>
      </c>
      <c r="AJ14" s="350">
        <f>((AJ11)+(AJ12))+(AJ13)</f>
        <v>16536.4</v>
      </c>
      <c r="AK14" s="350">
        <f t="shared" si="29"/>
        <v>708023.73</v>
      </c>
      <c r="AM14" s="344">
        <f>average(Z14,AB14,AD14,AF14,AH14,)</f>
        <v>39601.81</v>
      </c>
    </row>
    <row r="15">
      <c r="A15" s="107" t="s">
        <v>162</v>
      </c>
      <c r="B15" s="112">
        <f>(B9)-(B14)</f>
        <v>30213.27</v>
      </c>
      <c r="C15" s="112"/>
      <c r="D15" s="112">
        <f>(D9)-(D14)</f>
        <v>29413.71</v>
      </c>
      <c r="E15" s="351">
        <f t="shared" si="18"/>
        <v>-0.02646386836</v>
      </c>
      <c r="F15" s="112">
        <f>(F9)-(F14)</f>
        <v>24627.42</v>
      </c>
      <c r="G15" s="345">
        <f t="shared" si="30"/>
        <v>-0.1627230975</v>
      </c>
      <c r="H15" s="112">
        <f>(H9)-(H14)</f>
        <v>8319.62</v>
      </c>
      <c r="I15" s="345">
        <f t="shared" si="19"/>
        <v>-0.6621806101</v>
      </c>
      <c r="J15" s="112">
        <f>(J9)-(J14)</f>
        <v>23860.2</v>
      </c>
      <c r="K15" s="345">
        <f t="shared" si="20"/>
        <v>1.867943488</v>
      </c>
      <c r="L15" s="112">
        <f>(L9)-(L14)</f>
        <v>17436.8</v>
      </c>
      <c r="M15" s="345">
        <f t="shared" si="31"/>
        <v>-0.2692098138</v>
      </c>
      <c r="N15" s="112">
        <f>(N9)-(N14)</f>
        <v>59496.35</v>
      </c>
      <c r="O15" s="345">
        <f t="shared" si="21"/>
        <v>2.412114035</v>
      </c>
      <c r="P15" s="112">
        <f>(P9)-(P14)</f>
        <v>-6869.35</v>
      </c>
      <c r="Q15" s="345">
        <f t="shared" si="32"/>
        <v>-1.115458343</v>
      </c>
      <c r="R15" s="112">
        <f>(R9)-(R14)</f>
        <v>32379.97</v>
      </c>
      <c r="S15" s="345">
        <f t="shared" si="22"/>
        <v>-5.713687612</v>
      </c>
      <c r="T15" s="112">
        <f>(T9)-(T14)</f>
        <v>27882.95</v>
      </c>
      <c r="U15" s="345">
        <f t="shared" si="23"/>
        <v>-0.1388827723</v>
      </c>
      <c r="V15" s="112">
        <f>(V9)-(V14)</f>
        <v>24463.71</v>
      </c>
      <c r="W15" s="345">
        <f t="shared" si="24"/>
        <v>-0.1226283446</v>
      </c>
      <c r="X15" s="112">
        <f>(X9)-(X14)</f>
        <v>18420.18</v>
      </c>
      <c r="Y15" s="345">
        <f t="shared" si="25"/>
        <v>-0.2470406165</v>
      </c>
      <c r="Z15" s="112">
        <f>(Z9)-(Z14)</f>
        <v>47840.43</v>
      </c>
      <c r="AA15" s="345">
        <f t="shared" si="27"/>
        <v>1.597174946</v>
      </c>
      <c r="AB15" s="112">
        <f>(AB9)-(AB14)</f>
        <v>41551.22</v>
      </c>
      <c r="AC15" s="345">
        <f t="shared" si="33"/>
        <v>-0.1314622381</v>
      </c>
      <c r="AD15" s="112">
        <f>(AD9)-(AD14)</f>
        <v>10640.64</v>
      </c>
      <c r="AE15" s="345">
        <f t="shared" si="34"/>
        <v>-0.7439151004</v>
      </c>
      <c r="AF15" s="112">
        <f>(AF9)-(AF14)</f>
        <v>45684.13</v>
      </c>
      <c r="AG15" s="345">
        <f t="shared" si="35"/>
        <v>3.293362993</v>
      </c>
      <c r="AH15" s="112">
        <f>(AH9)-(AH14)</f>
        <v>2097.31</v>
      </c>
      <c r="AI15" s="345">
        <f t="shared" si="36"/>
        <v>-0.9540910596</v>
      </c>
      <c r="AJ15" s="112">
        <f>(AJ9)-(AJ14)</f>
        <v>46260.85</v>
      </c>
      <c r="AK15" s="112">
        <f t="shared" si="29"/>
        <v>483719.41</v>
      </c>
      <c r="AL15" s="352"/>
    </row>
    <row r="16">
      <c r="A16" s="353" t="s">
        <v>287</v>
      </c>
      <c r="B16" s="354">
        <f>(B9-B14)/B9</f>
        <v>0.6333779857</v>
      </c>
      <c r="C16" s="354"/>
      <c r="D16" s="354">
        <f>(D9-D14)/D9</f>
        <v>0.5668190776</v>
      </c>
      <c r="E16" s="346">
        <f t="shared" si="18"/>
        <v>-0.1050856039</v>
      </c>
      <c r="F16" s="354">
        <f>(F9-F14)/F9</f>
        <v>0.5364903971</v>
      </c>
      <c r="G16" s="340">
        <f t="shared" si="30"/>
        <v>-0.0535068098</v>
      </c>
      <c r="H16" s="354">
        <f>(H9-H14)/H9</f>
        <v>0.1702607585</v>
      </c>
      <c r="I16" s="340">
        <f t="shared" si="19"/>
        <v>-0.6826396904</v>
      </c>
      <c r="J16" s="354">
        <f>(J9-J14)/J9</f>
        <v>0.4745505034</v>
      </c>
      <c r="K16" s="340">
        <f t="shared" si="20"/>
        <v>1.78719834</v>
      </c>
      <c r="L16" s="354">
        <f>(L9-L14)/L9</f>
        <v>0.3527370255</v>
      </c>
      <c r="M16" s="340">
        <f t="shared" si="31"/>
        <v>-0.2566923373</v>
      </c>
      <c r="N16" s="354">
        <f>(N9-N14)/N9</f>
        <v>0.5880828135</v>
      </c>
      <c r="O16" s="340">
        <f t="shared" si="21"/>
        <v>0.6671989922</v>
      </c>
      <c r="P16" s="354">
        <f>(P9-P14)/P9</f>
        <v>-0.1396083078</v>
      </c>
      <c r="Q16" s="340">
        <f t="shared" si="32"/>
        <v>-1.23739566</v>
      </c>
      <c r="R16" s="354">
        <f>(R9-R14)/R9</f>
        <v>0.4063882332</v>
      </c>
      <c r="S16" s="340">
        <f t="shared" si="22"/>
        <v>-3.910917263</v>
      </c>
      <c r="T16" s="354">
        <f>(T9-T14)/T9</f>
        <v>0.3743326026</v>
      </c>
      <c r="U16" s="340">
        <f t="shared" si="23"/>
        <v>-0.07887932765</v>
      </c>
      <c r="V16" s="354">
        <f>(V9-V14)/V9</f>
        <v>0.3691883721</v>
      </c>
      <c r="W16" s="340">
        <f t="shared" si="24"/>
        <v>-0.01374240572</v>
      </c>
      <c r="X16" s="354">
        <f>(X9-X14)/X9</f>
        <v>0.2342243733</v>
      </c>
      <c r="Y16" s="340">
        <f t="shared" si="25"/>
        <v>-0.3655694734</v>
      </c>
      <c r="Z16" s="354">
        <f>(Z9-Z14)/Z9</f>
        <v>0.5990448676</v>
      </c>
      <c r="AA16" s="340">
        <f t="shared" si="27"/>
        <v>1.557568451</v>
      </c>
      <c r="AB16" s="354">
        <f>(AB9-AB14)/AB9</f>
        <v>0.4660821611</v>
      </c>
      <c r="AC16" s="340">
        <f t="shared" si="33"/>
        <v>-0.2219578427</v>
      </c>
      <c r="AD16" s="354">
        <f>(AD9-AD14)/AD9</f>
        <v>0.1355483454</v>
      </c>
      <c r="AE16" s="340">
        <f t="shared" si="34"/>
        <v>-0.709174998</v>
      </c>
      <c r="AF16" s="354">
        <f>(AF9-AF14)/AF9</f>
        <v>0.6011744476</v>
      </c>
      <c r="AG16" s="340">
        <f t="shared" si="35"/>
        <v>3.435129368</v>
      </c>
      <c r="AH16" s="354">
        <f>(AH9-AH14)/AH9</f>
        <v>0.03387060177</v>
      </c>
      <c r="AI16" s="340">
        <f t="shared" si="36"/>
        <v>-0.9436592791</v>
      </c>
      <c r="AJ16" s="354">
        <f t="shared" ref="AJ16:AK16" si="37">(AJ9-AJ14)/AJ9</f>
        <v>0.7366699975</v>
      </c>
      <c r="AK16" s="354">
        <f t="shared" si="37"/>
        <v>0.4058923385</v>
      </c>
    </row>
    <row r="17">
      <c r="A17" s="107" t="s">
        <v>15</v>
      </c>
      <c r="B17" s="108"/>
      <c r="C17" s="108"/>
      <c r="D17" s="108"/>
      <c r="E17" s="341"/>
      <c r="F17" s="108"/>
      <c r="G17" s="340"/>
      <c r="H17" s="108"/>
      <c r="I17" s="340"/>
      <c r="J17" s="108"/>
      <c r="K17" s="345"/>
      <c r="L17" s="108"/>
      <c r="M17" s="340"/>
      <c r="N17" s="108"/>
      <c r="O17" s="347"/>
      <c r="P17" s="108"/>
      <c r="Q17" s="347"/>
      <c r="R17" s="108"/>
      <c r="S17" s="340"/>
      <c r="T17" s="108"/>
      <c r="U17" s="340"/>
      <c r="V17" s="108"/>
      <c r="W17" s="340"/>
      <c r="X17" s="108"/>
      <c r="Y17" s="340"/>
      <c r="Z17" s="108"/>
      <c r="AA17" s="340"/>
      <c r="AB17" s="108"/>
      <c r="AC17" s="340"/>
      <c r="AD17" s="108"/>
      <c r="AE17" s="340"/>
      <c r="AF17" s="108"/>
      <c r="AG17" s="340"/>
      <c r="AH17" s="108"/>
      <c r="AI17" s="340"/>
      <c r="AJ17" s="108"/>
      <c r="AK17" s="108"/>
    </row>
    <row r="18">
      <c r="A18" s="107" t="s">
        <v>163</v>
      </c>
      <c r="B18" s="109">
        <f>395</f>
        <v>395</v>
      </c>
      <c r="C18" s="109"/>
      <c r="D18" s="109">
        <f>30</f>
        <v>30</v>
      </c>
      <c r="E18" s="346">
        <f>(D18-B18)/B18</f>
        <v>-0.9240506329</v>
      </c>
      <c r="F18" s="109">
        <f>99.86</f>
        <v>99.86</v>
      </c>
      <c r="G18" s="340">
        <f t="shared" ref="G18:G20" si="38">(F18-D18)/D18</f>
        <v>2.328666667</v>
      </c>
      <c r="H18" s="109">
        <f>154.45</f>
        <v>154.45</v>
      </c>
      <c r="I18" s="340">
        <f>(H18-F18)/F18</f>
        <v>0.5466653315</v>
      </c>
      <c r="J18" s="109">
        <f>25.78</f>
        <v>25.78</v>
      </c>
      <c r="K18" s="340">
        <f>(J18-H18)/H18</f>
        <v>-0.8330851408</v>
      </c>
      <c r="L18" s="109">
        <f>27</f>
        <v>27</v>
      </c>
      <c r="M18" s="340">
        <f>(L18-J18)/J18</f>
        <v>0.04732350659</v>
      </c>
      <c r="N18" s="109">
        <f>30</f>
        <v>30</v>
      </c>
      <c r="O18" s="340">
        <f>(N18-L18)/L18</f>
        <v>0.1111111111</v>
      </c>
      <c r="P18" s="109">
        <f>30</f>
        <v>30</v>
      </c>
      <c r="Q18" s="340">
        <f>(P18-N18)/N18</f>
        <v>0</v>
      </c>
      <c r="R18" s="109">
        <f>96.07</f>
        <v>96.07</v>
      </c>
      <c r="S18" s="340">
        <f>(R18-P18)/P18</f>
        <v>2.202333333</v>
      </c>
      <c r="T18" s="109">
        <f>103.56</f>
        <v>103.56</v>
      </c>
      <c r="U18" s="340">
        <f>(T18-R18)/R18</f>
        <v>0.07796398459</v>
      </c>
      <c r="V18" s="109">
        <f>30</f>
        <v>30</v>
      </c>
      <c r="W18" s="340">
        <f>(V18-T18)/T18</f>
        <v>-0.7103128621</v>
      </c>
      <c r="X18" s="109">
        <f>1126.96</f>
        <v>1126.96</v>
      </c>
      <c r="Y18" s="340">
        <f>(X18-V18)/V18</f>
        <v>36.56533333</v>
      </c>
      <c r="Z18" s="109">
        <f>68.44</f>
        <v>68.44</v>
      </c>
      <c r="AA18" s="340">
        <f t="shared" ref="AA18:AA23" si="39">(Z18-X18)/X18</f>
        <v>-0.9392702492</v>
      </c>
      <c r="AB18" s="109">
        <f>70.48</f>
        <v>70.48</v>
      </c>
      <c r="AC18" s="340">
        <f>(AB18-Z18)/Z18</f>
        <v>0.02980713033</v>
      </c>
      <c r="AD18" s="109">
        <f>172.87</f>
        <v>172.87</v>
      </c>
      <c r="AE18" s="340">
        <f>(AD18-AB18)/AB18</f>
        <v>1.452752554</v>
      </c>
      <c r="AF18" s="109">
        <f>257.18</f>
        <v>257.18</v>
      </c>
      <c r="AG18" s="340">
        <f>(AF18-AD18)/AD18</f>
        <v>0.4877075259</v>
      </c>
      <c r="AH18" s="109">
        <f>20</f>
        <v>20</v>
      </c>
      <c r="AI18" s="340">
        <f>(AH18-AF18)/AF18</f>
        <v>-0.9222334552</v>
      </c>
      <c r="AJ18" s="109">
        <f>20</f>
        <v>20</v>
      </c>
      <c r="AK18" s="109">
        <f t="shared" ref="AK18:AK41" si="40">(((((((((((((((((B18)+(D18))+(F18))+(H18))+(J18))+(L18))+(N18))+(P18))+(R18))+(T18))+(V18))+(X18))+(Z18))+(AB18))+(AD18))+(AF18))+(AH18))+(AJ18)</f>
        <v>2757.65</v>
      </c>
    </row>
    <row r="19">
      <c r="A19" s="107" t="s">
        <v>164</v>
      </c>
      <c r="B19" s="109">
        <f>0</f>
        <v>0</v>
      </c>
      <c r="C19" s="109"/>
      <c r="D19" s="109">
        <f>671.5</f>
        <v>671.5</v>
      </c>
      <c r="E19" s="355">
        <v>0.0</v>
      </c>
      <c r="F19" s="109">
        <f>0</f>
        <v>0</v>
      </c>
      <c r="G19" s="340">
        <f t="shared" si="38"/>
        <v>-1</v>
      </c>
      <c r="H19" s="109">
        <f>0</f>
        <v>0</v>
      </c>
      <c r="I19" s="347">
        <v>0.0</v>
      </c>
      <c r="J19" s="109">
        <f>0</f>
        <v>0</v>
      </c>
      <c r="K19" s="347">
        <v>0.0</v>
      </c>
      <c r="L19" s="109">
        <f>0</f>
        <v>0</v>
      </c>
      <c r="M19" s="347">
        <v>0.0</v>
      </c>
      <c r="N19" s="109">
        <f>0</f>
        <v>0</v>
      </c>
      <c r="O19" s="347">
        <v>0.0</v>
      </c>
      <c r="P19" s="109">
        <f>0</f>
        <v>0</v>
      </c>
      <c r="Q19" s="347">
        <v>0.0</v>
      </c>
      <c r="R19" s="109">
        <f>0</f>
        <v>0</v>
      </c>
      <c r="S19" s="347">
        <v>0.0</v>
      </c>
      <c r="T19" s="109">
        <f>0</f>
        <v>0</v>
      </c>
      <c r="U19" s="347">
        <v>0.0</v>
      </c>
      <c r="V19" s="109">
        <f>0</f>
        <v>0</v>
      </c>
      <c r="W19" s="347">
        <v>0.0</v>
      </c>
      <c r="X19" s="109">
        <f>14035.42</f>
        <v>14035.42</v>
      </c>
      <c r="Y19" s="347">
        <v>0.0</v>
      </c>
      <c r="Z19" s="109">
        <f>0</f>
        <v>0</v>
      </c>
      <c r="AA19" s="340">
        <f t="shared" si="39"/>
        <v>-1</v>
      </c>
      <c r="AB19" s="109">
        <f>0</f>
        <v>0</v>
      </c>
      <c r="AC19" s="347">
        <v>0.0</v>
      </c>
      <c r="AD19" s="109">
        <f>0</f>
        <v>0</v>
      </c>
      <c r="AE19" s="347">
        <v>0.0</v>
      </c>
      <c r="AF19" s="109">
        <f>0</f>
        <v>0</v>
      </c>
      <c r="AG19" s="347">
        <v>0.0</v>
      </c>
      <c r="AH19" s="109">
        <f>0</f>
        <v>0</v>
      </c>
      <c r="AI19" s="347">
        <v>0.0</v>
      </c>
      <c r="AJ19" s="109">
        <f>0</f>
        <v>0</v>
      </c>
      <c r="AK19" s="109">
        <f t="shared" si="40"/>
        <v>14706.92</v>
      </c>
    </row>
    <row r="20">
      <c r="A20" s="107" t="s">
        <v>165</v>
      </c>
      <c r="B20" s="109">
        <f>24.95</f>
        <v>24.95</v>
      </c>
      <c r="C20" s="109"/>
      <c r="D20" s="109">
        <f>25.71</f>
        <v>25.71</v>
      </c>
      <c r="E20" s="346">
        <f t="shared" ref="E20:E21" si="41">(D20-B20)/B20</f>
        <v>0.03046092184</v>
      </c>
      <c r="F20" s="109">
        <f>5.4</f>
        <v>5.4</v>
      </c>
      <c r="G20" s="340">
        <f t="shared" si="38"/>
        <v>-0.7899649942</v>
      </c>
      <c r="H20" s="109">
        <f>285.31</f>
        <v>285.31</v>
      </c>
      <c r="I20" s="340">
        <f t="shared" ref="I20:I22" si="42">(H20-F20)/F20</f>
        <v>51.83518519</v>
      </c>
      <c r="J20" s="109">
        <f>279.88</f>
        <v>279.88</v>
      </c>
      <c r="K20" s="340">
        <f t="shared" ref="K20:K23" si="43">(J20-H20)/H20</f>
        <v>-0.01903193018</v>
      </c>
      <c r="L20" s="109">
        <f>268.6</f>
        <v>268.6</v>
      </c>
      <c r="M20" s="340">
        <f t="shared" ref="M20:M23" si="44">(L20-J20)/J20</f>
        <v>-0.04030298699</v>
      </c>
      <c r="N20" s="109">
        <f>435.83</f>
        <v>435.83</v>
      </c>
      <c r="O20" s="340">
        <f>(N20-L20)/L20</f>
        <v>0.6225986597</v>
      </c>
      <c r="P20" s="109">
        <f>30.95</f>
        <v>30.95</v>
      </c>
      <c r="Q20" s="340">
        <f>(P20-N20)/N20</f>
        <v>-0.9289860726</v>
      </c>
      <c r="R20" s="109">
        <f>233.3</f>
        <v>233.3</v>
      </c>
      <c r="S20" s="340">
        <f>(R20-P20)/P20</f>
        <v>6.537964459</v>
      </c>
      <c r="T20" s="109">
        <f>253.56</f>
        <v>253.56</v>
      </c>
      <c r="U20" s="340">
        <f t="shared" ref="U20:U23" si="45">(T20-R20)/R20</f>
        <v>0.08684097728</v>
      </c>
      <c r="V20" s="109">
        <f>272.27</f>
        <v>272.27</v>
      </c>
      <c r="W20" s="340">
        <f t="shared" ref="W20:W21" si="46">(V20-T20)/T20</f>
        <v>0.07378924121</v>
      </c>
      <c r="X20" s="109">
        <f>288.07</f>
        <v>288.07</v>
      </c>
      <c r="Y20" s="340">
        <f t="shared" ref="Y20:Y22" si="47">(X20-V20)/V20</f>
        <v>0.05803063136</v>
      </c>
      <c r="Z20" s="109">
        <f>55.37</f>
        <v>55.37</v>
      </c>
      <c r="AA20" s="340">
        <f t="shared" si="39"/>
        <v>-0.8077897733</v>
      </c>
      <c r="AB20" s="109">
        <f>298.4</f>
        <v>298.4</v>
      </c>
      <c r="AC20" s="340">
        <f t="shared" ref="AC20:AC21" si="48">(AB20-Z20)/Z20</f>
        <v>4.389199928</v>
      </c>
      <c r="AD20" s="109">
        <f>80.89</f>
        <v>80.89</v>
      </c>
      <c r="AE20" s="340">
        <f t="shared" ref="AE20:AE27" si="49">(AD20-AB20)/AB20</f>
        <v>-0.7289209115</v>
      </c>
      <c r="AF20" s="109">
        <f>73.62</f>
        <v>73.62</v>
      </c>
      <c r="AG20" s="340">
        <f t="shared" ref="AG20:AG21" si="50">(AF20-AD20)/AD20</f>
        <v>-0.08987513908</v>
      </c>
      <c r="AH20" s="109">
        <f>416.46</f>
        <v>416.46</v>
      </c>
      <c r="AI20" s="340">
        <f t="shared" ref="AI20:AI24" si="51">(AH20-AF20)/AF20</f>
        <v>4.656886716</v>
      </c>
      <c r="AJ20" s="109">
        <f>323.07</f>
        <v>323.07</v>
      </c>
      <c r="AK20" s="109">
        <f t="shared" si="40"/>
        <v>3651.64</v>
      </c>
    </row>
    <row r="21">
      <c r="A21" s="107" t="s">
        <v>166</v>
      </c>
      <c r="B21" s="109">
        <f>15.71</f>
        <v>15.71</v>
      </c>
      <c r="C21" s="109"/>
      <c r="D21" s="109">
        <f t="shared" ref="D21:D23" si="52">0</f>
        <v>0</v>
      </c>
      <c r="E21" s="346">
        <f t="shared" si="41"/>
        <v>-1</v>
      </c>
      <c r="F21" s="109">
        <f>10.05</f>
        <v>10.05</v>
      </c>
      <c r="G21" s="347">
        <v>0.0</v>
      </c>
      <c r="H21" s="109">
        <f>5.6</f>
        <v>5.6</v>
      </c>
      <c r="I21" s="340">
        <f t="shared" si="42"/>
        <v>-0.4427860697</v>
      </c>
      <c r="J21" s="109">
        <f>20.43</f>
        <v>20.43</v>
      </c>
      <c r="K21" s="340">
        <f t="shared" si="43"/>
        <v>2.648214286</v>
      </c>
      <c r="L21" s="109">
        <f>0</f>
        <v>0</v>
      </c>
      <c r="M21" s="340">
        <f t="shared" si="44"/>
        <v>-1</v>
      </c>
      <c r="N21" s="109">
        <f>0</f>
        <v>0</v>
      </c>
      <c r="O21" s="347">
        <v>0.0</v>
      </c>
      <c r="P21" s="109">
        <f t="shared" ref="P21:P22" si="53">0</f>
        <v>0</v>
      </c>
      <c r="Q21" s="347">
        <v>0.0</v>
      </c>
      <c r="R21" s="109">
        <f>1</f>
        <v>1</v>
      </c>
      <c r="S21" s="347">
        <v>0.0</v>
      </c>
      <c r="T21" s="109">
        <f>148.57</f>
        <v>148.57</v>
      </c>
      <c r="U21" s="340">
        <f t="shared" si="45"/>
        <v>147.57</v>
      </c>
      <c r="V21" s="109">
        <f>33.27</f>
        <v>33.27</v>
      </c>
      <c r="W21" s="340">
        <f t="shared" si="46"/>
        <v>-0.7760651545</v>
      </c>
      <c r="X21" s="109">
        <f>243.6</f>
        <v>243.6</v>
      </c>
      <c r="Y21" s="340">
        <f t="shared" si="47"/>
        <v>6.321911632</v>
      </c>
      <c r="Z21" s="109">
        <f>332.03</f>
        <v>332.03</v>
      </c>
      <c r="AA21" s="340">
        <f t="shared" si="39"/>
        <v>0.3630131363</v>
      </c>
      <c r="AB21" s="109">
        <f>1.75</f>
        <v>1.75</v>
      </c>
      <c r="AC21" s="340">
        <f t="shared" si="48"/>
        <v>-0.9947293919</v>
      </c>
      <c r="AD21" s="109">
        <f>1213</f>
        <v>1213</v>
      </c>
      <c r="AE21" s="340">
        <f t="shared" si="49"/>
        <v>692.1428571</v>
      </c>
      <c r="AF21" s="109">
        <f>11</f>
        <v>11</v>
      </c>
      <c r="AG21" s="340">
        <f t="shared" si="50"/>
        <v>-0.9909315746</v>
      </c>
      <c r="AH21" s="109">
        <f t="shared" ref="AH21:AH23" si="54">0</f>
        <v>0</v>
      </c>
      <c r="AI21" s="340">
        <f t="shared" si="51"/>
        <v>-1</v>
      </c>
      <c r="AJ21" s="109">
        <f t="shared" ref="AJ21:AJ31" si="55">0</f>
        <v>0</v>
      </c>
      <c r="AK21" s="109">
        <f t="shared" si="40"/>
        <v>2036.01</v>
      </c>
    </row>
    <row r="22" ht="15.75" customHeight="1">
      <c r="A22" s="107" t="s">
        <v>167</v>
      </c>
      <c r="B22" s="109">
        <f t="shared" ref="B22:B23" si="56">0</f>
        <v>0</v>
      </c>
      <c r="C22" s="109"/>
      <c r="D22" s="109">
        <f t="shared" si="52"/>
        <v>0</v>
      </c>
      <c r="E22" s="355">
        <v>0.0</v>
      </c>
      <c r="F22" s="109">
        <f>250</f>
        <v>250</v>
      </c>
      <c r="G22" s="347">
        <v>0.0</v>
      </c>
      <c r="H22" s="109">
        <f>250</f>
        <v>250</v>
      </c>
      <c r="I22" s="340">
        <f t="shared" si="42"/>
        <v>0</v>
      </c>
      <c r="J22" s="109">
        <f>381.82</f>
        <v>381.82</v>
      </c>
      <c r="K22" s="340">
        <f t="shared" si="43"/>
        <v>0.52728</v>
      </c>
      <c r="L22" s="109">
        <f>224.81</f>
        <v>224.81</v>
      </c>
      <c r="M22" s="340">
        <f t="shared" si="44"/>
        <v>-0.4112147085</v>
      </c>
      <c r="N22" s="109">
        <f>263.75</f>
        <v>263.75</v>
      </c>
      <c r="O22" s="340">
        <f>(N22-L22)/L22</f>
        <v>0.1732129354</v>
      </c>
      <c r="P22" s="109">
        <f t="shared" si="53"/>
        <v>0</v>
      </c>
      <c r="Q22" s="340">
        <f t="shared" ref="Q22:Q23" si="57">(P22-N22)/N22</f>
        <v>-1</v>
      </c>
      <c r="R22" s="109">
        <f>1236.81</f>
        <v>1236.81</v>
      </c>
      <c r="S22" s="347">
        <v>0.0</v>
      </c>
      <c r="T22" s="109">
        <f>0</f>
        <v>0</v>
      </c>
      <c r="U22" s="340">
        <f t="shared" si="45"/>
        <v>-1</v>
      </c>
      <c r="V22" s="109">
        <f>225.32</f>
        <v>225.32</v>
      </c>
      <c r="W22" s="347">
        <v>0.0</v>
      </c>
      <c r="X22" s="109">
        <f>1060</f>
        <v>1060</v>
      </c>
      <c r="Y22" s="340">
        <f t="shared" si="47"/>
        <v>3.70442038</v>
      </c>
      <c r="Z22" s="109">
        <f>0</f>
        <v>0</v>
      </c>
      <c r="AA22" s="340">
        <f t="shared" si="39"/>
        <v>-1</v>
      </c>
      <c r="AB22" s="109">
        <f>1000</f>
        <v>1000</v>
      </c>
      <c r="AC22" s="347">
        <v>0.0</v>
      </c>
      <c r="AD22" s="109">
        <f>0</f>
        <v>0</v>
      </c>
      <c r="AE22" s="340">
        <f t="shared" si="49"/>
        <v>-1</v>
      </c>
      <c r="AF22" s="109">
        <f>401</f>
        <v>401</v>
      </c>
      <c r="AG22" s="347">
        <v>0.0</v>
      </c>
      <c r="AH22" s="109">
        <f t="shared" si="54"/>
        <v>0</v>
      </c>
      <c r="AI22" s="340">
        <f t="shared" si="51"/>
        <v>-1</v>
      </c>
      <c r="AJ22" s="109">
        <f t="shared" si="55"/>
        <v>0</v>
      </c>
      <c r="AK22" s="109">
        <f t="shared" si="40"/>
        <v>5293.51</v>
      </c>
    </row>
    <row r="23" ht="15.75" customHeight="1">
      <c r="A23" s="107" t="s">
        <v>168</v>
      </c>
      <c r="B23" s="109">
        <f t="shared" si="56"/>
        <v>0</v>
      </c>
      <c r="C23" s="109"/>
      <c r="D23" s="109">
        <f t="shared" si="52"/>
        <v>0</v>
      </c>
      <c r="E23" s="355">
        <v>0.0</v>
      </c>
      <c r="F23" s="109">
        <f t="shared" ref="F23:F25" si="58">0</f>
        <v>0</v>
      </c>
      <c r="G23" s="347">
        <v>0.0</v>
      </c>
      <c r="H23" s="109">
        <f>30</f>
        <v>30</v>
      </c>
      <c r="I23" s="347">
        <v>0.0</v>
      </c>
      <c r="J23" s="109">
        <f>12</f>
        <v>12</v>
      </c>
      <c r="K23" s="340">
        <f t="shared" si="43"/>
        <v>-0.6</v>
      </c>
      <c r="L23" s="109">
        <f t="shared" ref="L23:L25" si="59">0</f>
        <v>0</v>
      </c>
      <c r="M23" s="340">
        <f t="shared" si="44"/>
        <v>-1</v>
      </c>
      <c r="N23" s="109">
        <f>20</f>
        <v>20</v>
      </c>
      <c r="O23" s="347">
        <v>0.0</v>
      </c>
      <c r="P23" s="109">
        <f>20</f>
        <v>20</v>
      </c>
      <c r="Q23" s="340">
        <f t="shared" si="57"/>
        <v>0</v>
      </c>
      <c r="R23" s="109">
        <f>40</f>
        <v>40</v>
      </c>
      <c r="S23" s="340">
        <f>(R23-P23)/P23</f>
        <v>1</v>
      </c>
      <c r="T23" s="109">
        <f>20</f>
        <v>20</v>
      </c>
      <c r="U23" s="340">
        <f t="shared" si="45"/>
        <v>-0.5</v>
      </c>
      <c r="V23" s="109">
        <f t="shared" ref="V23:V25" si="60">0</f>
        <v>0</v>
      </c>
      <c r="W23" s="340">
        <f>(V23-T23)/T23</f>
        <v>-1</v>
      </c>
      <c r="X23" s="109">
        <f>40</f>
        <v>40</v>
      </c>
      <c r="Y23" s="347">
        <v>0.0</v>
      </c>
      <c r="Z23" s="109">
        <f>20</f>
        <v>20</v>
      </c>
      <c r="AA23" s="340">
        <f t="shared" si="39"/>
        <v>-0.5</v>
      </c>
      <c r="AB23" s="109">
        <f>20</f>
        <v>20</v>
      </c>
      <c r="AC23" s="340">
        <f>(AB23-Z23)/Z23</f>
        <v>0</v>
      </c>
      <c r="AD23" s="109">
        <f>60</f>
        <v>60</v>
      </c>
      <c r="AE23" s="340">
        <f t="shared" si="49"/>
        <v>2</v>
      </c>
      <c r="AF23" s="109">
        <f>117.9</f>
        <v>117.9</v>
      </c>
      <c r="AG23" s="340">
        <f t="shared" ref="AG23:AG24" si="61">(AF23-AD23)/AD23</f>
        <v>0.965</v>
      </c>
      <c r="AH23" s="109">
        <f t="shared" si="54"/>
        <v>0</v>
      </c>
      <c r="AI23" s="340">
        <f t="shared" si="51"/>
        <v>-1</v>
      </c>
      <c r="AJ23" s="109">
        <f t="shared" si="55"/>
        <v>0</v>
      </c>
      <c r="AK23" s="109">
        <f t="shared" si="40"/>
        <v>399.9</v>
      </c>
    </row>
    <row r="24" ht="15.75" customHeight="1">
      <c r="A24" s="107" t="s">
        <v>169</v>
      </c>
      <c r="B24" s="109">
        <f>299</f>
        <v>299</v>
      </c>
      <c r="C24" s="109"/>
      <c r="D24" s="109">
        <f>-299</f>
        <v>-299</v>
      </c>
      <c r="E24" s="346">
        <f>(D24-B24)/B24</f>
        <v>-2</v>
      </c>
      <c r="F24" s="109">
        <f t="shared" si="58"/>
        <v>0</v>
      </c>
      <c r="G24" s="340">
        <f>(F24-D24)/D24</f>
        <v>-1</v>
      </c>
      <c r="H24" s="109">
        <f t="shared" ref="H24:H25" si="62">0</f>
        <v>0</v>
      </c>
      <c r="I24" s="347">
        <v>0.0</v>
      </c>
      <c r="J24" s="109">
        <f t="shared" ref="J24:J25" si="63">0</f>
        <v>0</v>
      </c>
      <c r="K24" s="347">
        <v>0.0</v>
      </c>
      <c r="L24" s="109">
        <f t="shared" si="59"/>
        <v>0</v>
      </c>
      <c r="M24" s="347">
        <v>0.0</v>
      </c>
      <c r="N24" s="109">
        <f t="shared" ref="N24:N25" si="64">0</f>
        <v>0</v>
      </c>
      <c r="O24" s="347">
        <v>0.0</v>
      </c>
      <c r="P24" s="109">
        <f t="shared" ref="P24:P25" si="65">0</f>
        <v>0</v>
      </c>
      <c r="Q24" s="347">
        <v>0.0</v>
      </c>
      <c r="R24" s="109">
        <f t="shared" ref="R24:R25" si="66">0</f>
        <v>0</v>
      </c>
      <c r="S24" s="347">
        <v>0.0</v>
      </c>
      <c r="T24" s="109">
        <f t="shared" ref="T24:T25" si="67">0</f>
        <v>0</v>
      </c>
      <c r="U24" s="347">
        <v>0.0</v>
      </c>
      <c r="V24" s="109">
        <f t="shared" si="60"/>
        <v>0</v>
      </c>
      <c r="W24" s="347">
        <v>0.0</v>
      </c>
      <c r="X24" s="109">
        <f t="shared" ref="X24:X25" si="68">0</f>
        <v>0</v>
      </c>
      <c r="Y24" s="347">
        <v>0.0</v>
      </c>
      <c r="Z24" s="109">
        <f>0</f>
        <v>0</v>
      </c>
      <c r="AA24" s="347">
        <v>0.0</v>
      </c>
      <c r="AB24" s="109">
        <f>26.68</f>
        <v>26.68</v>
      </c>
      <c r="AC24" s="347">
        <v>0.0</v>
      </c>
      <c r="AD24" s="109">
        <f>78.87</f>
        <v>78.87</v>
      </c>
      <c r="AE24" s="340">
        <f t="shared" si="49"/>
        <v>1.956146927</v>
      </c>
      <c r="AF24" s="109">
        <f>26.68</f>
        <v>26.68</v>
      </c>
      <c r="AG24" s="340">
        <f t="shared" si="61"/>
        <v>-0.6617218207</v>
      </c>
      <c r="AH24" s="109">
        <f>26.68</f>
        <v>26.68</v>
      </c>
      <c r="AI24" s="340">
        <f t="shared" si="51"/>
        <v>0</v>
      </c>
      <c r="AJ24" s="109">
        <f t="shared" si="55"/>
        <v>0</v>
      </c>
      <c r="AK24" s="109">
        <f t="shared" si="40"/>
        <v>158.91</v>
      </c>
    </row>
    <row r="25" ht="15.75" customHeight="1">
      <c r="A25" s="107" t="s">
        <v>170</v>
      </c>
      <c r="B25" s="109">
        <f>0</f>
        <v>0</v>
      </c>
      <c r="C25" s="109"/>
      <c r="D25" s="109">
        <f>0</f>
        <v>0</v>
      </c>
      <c r="E25" s="355">
        <v>0.0</v>
      </c>
      <c r="F25" s="109">
        <f t="shared" si="58"/>
        <v>0</v>
      </c>
      <c r="G25" s="347">
        <v>0.0</v>
      </c>
      <c r="H25" s="109">
        <f t="shared" si="62"/>
        <v>0</v>
      </c>
      <c r="I25" s="347">
        <v>0.0</v>
      </c>
      <c r="J25" s="109">
        <f t="shared" si="63"/>
        <v>0</v>
      </c>
      <c r="K25" s="347">
        <v>0.0</v>
      </c>
      <c r="L25" s="109">
        <f t="shared" si="59"/>
        <v>0</v>
      </c>
      <c r="M25" s="347">
        <v>0.0</v>
      </c>
      <c r="N25" s="109">
        <f t="shared" si="64"/>
        <v>0</v>
      </c>
      <c r="O25" s="347">
        <v>0.0</v>
      </c>
      <c r="P25" s="109">
        <f t="shared" si="65"/>
        <v>0</v>
      </c>
      <c r="Q25" s="347">
        <v>0.0</v>
      </c>
      <c r="R25" s="109">
        <f t="shared" si="66"/>
        <v>0</v>
      </c>
      <c r="S25" s="347">
        <v>0.0</v>
      </c>
      <c r="T25" s="109">
        <f t="shared" si="67"/>
        <v>0</v>
      </c>
      <c r="U25" s="347">
        <v>0.0</v>
      </c>
      <c r="V25" s="109">
        <f t="shared" si="60"/>
        <v>0</v>
      </c>
      <c r="W25" s="347">
        <v>0.0</v>
      </c>
      <c r="X25" s="109">
        <f t="shared" si="68"/>
        <v>0</v>
      </c>
      <c r="Y25" s="347">
        <v>0.0</v>
      </c>
      <c r="Z25" s="109">
        <f>121.72</f>
        <v>121.72</v>
      </c>
      <c r="AA25" s="347">
        <v>0.0</v>
      </c>
      <c r="AB25" s="109">
        <f>31.61</f>
        <v>31.61</v>
      </c>
      <c r="AC25" s="340">
        <f t="shared" ref="AC25:AC27" si="69">(AB25-Z25)/Z25</f>
        <v>-0.7403056195</v>
      </c>
      <c r="AD25" s="109">
        <f>0</f>
        <v>0</v>
      </c>
      <c r="AE25" s="340">
        <f t="shared" si="49"/>
        <v>-1</v>
      </c>
      <c r="AF25" s="109">
        <f>0</f>
        <v>0</v>
      </c>
      <c r="AG25" s="347">
        <v>0.0</v>
      </c>
      <c r="AH25" s="109">
        <f>0</f>
        <v>0</v>
      </c>
      <c r="AI25" s="347">
        <v>0.0</v>
      </c>
      <c r="AJ25" s="109">
        <f t="shared" si="55"/>
        <v>0</v>
      </c>
      <c r="AK25" s="109">
        <f t="shared" si="40"/>
        <v>153.33</v>
      </c>
    </row>
    <row r="26" ht="15.75" customHeight="1">
      <c r="A26" s="107" t="s">
        <v>172</v>
      </c>
      <c r="B26" s="109">
        <f>49.72</f>
        <v>49.72</v>
      </c>
      <c r="C26" s="109"/>
      <c r="D26" s="109">
        <f>50</f>
        <v>50</v>
      </c>
      <c r="E26" s="346">
        <f t="shared" ref="E26:E27" si="70">(D26-B26)/B26</f>
        <v>0.005631536605</v>
      </c>
      <c r="F26" s="109">
        <f>171.92</f>
        <v>171.92</v>
      </c>
      <c r="G26" s="340">
        <f t="shared" ref="G26:G27" si="71">(F26-D26)/D26</f>
        <v>2.4384</v>
      </c>
      <c r="H26" s="109">
        <f>372.88</f>
        <v>372.88</v>
      </c>
      <c r="I26" s="340">
        <f t="shared" ref="I26:I27" si="72">(H26-F26)/F26</f>
        <v>1.168915775</v>
      </c>
      <c r="J26" s="109">
        <f>181.9</f>
        <v>181.9</v>
      </c>
      <c r="K26" s="340">
        <f t="shared" ref="K26:K27" si="73">(J26-H26)/H26</f>
        <v>-0.5121754988</v>
      </c>
      <c r="L26" s="109">
        <f>20.98</f>
        <v>20.98</v>
      </c>
      <c r="M26" s="340">
        <f t="shared" ref="M26:M27" si="74">(L26-J26)/J26</f>
        <v>-0.8846619021</v>
      </c>
      <c r="N26" s="109">
        <f>100.38</f>
        <v>100.38</v>
      </c>
      <c r="O26" s="340">
        <f t="shared" ref="O26:O27" si="75">(N26-L26)/L26</f>
        <v>3.784556721</v>
      </c>
      <c r="P26" s="109">
        <f>80.26</f>
        <v>80.26</v>
      </c>
      <c r="Q26" s="340">
        <f t="shared" ref="Q26:Q27" si="76">(P26-N26)/N26</f>
        <v>-0.2004383343</v>
      </c>
      <c r="R26" s="109">
        <f>284.78</f>
        <v>284.78</v>
      </c>
      <c r="S26" s="340">
        <f t="shared" ref="S26:S27" si="77">(R26-P26)/P26</f>
        <v>2.548218291</v>
      </c>
      <c r="T26" s="109">
        <f>763.77</f>
        <v>763.77</v>
      </c>
      <c r="U26" s="340">
        <f t="shared" ref="U26:U27" si="78">(T26-R26)/R26</f>
        <v>1.681965026</v>
      </c>
      <c r="V26" s="109">
        <f>39.86</f>
        <v>39.86</v>
      </c>
      <c r="W26" s="340">
        <f t="shared" ref="W26:W27" si="79">(V26-T26)/T26</f>
        <v>-0.9478115139</v>
      </c>
      <c r="X26" s="109">
        <f>577.37</f>
        <v>577.37</v>
      </c>
      <c r="Y26" s="340">
        <f t="shared" ref="Y26:Y27" si="80">(X26-V26)/V26</f>
        <v>13.48494732</v>
      </c>
      <c r="Z26" s="109">
        <f>274.43</f>
        <v>274.43</v>
      </c>
      <c r="AA26" s="340">
        <f t="shared" ref="AA26:AA27" si="81">(Z26-X26)/X26</f>
        <v>-0.5246895405</v>
      </c>
      <c r="AB26" s="109">
        <f>96.45</f>
        <v>96.45</v>
      </c>
      <c r="AC26" s="340">
        <f t="shared" si="69"/>
        <v>-0.6485442554</v>
      </c>
      <c r="AD26" s="109">
        <f>206.29</f>
        <v>206.29</v>
      </c>
      <c r="AE26" s="340">
        <f t="shared" si="49"/>
        <v>1.138828409</v>
      </c>
      <c r="AF26" s="109">
        <f>361.71</f>
        <v>361.71</v>
      </c>
      <c r="AG26" s="340">
        <f t="shared" ref="AG26:AG27" si="82">(AF26-AD26)/AD26</f>
        <v>0.7534054002</v>
      </c>
      <c r="AH26" s="109">
        <f>11.19</f>
        <v>11.19</v>
      </c>
      <c r="AI26" s="340">
        <f t="shared" ref="AI26:AI27" si="83">(AH26-AF26)/AF26</f>
        <v>-0.9690636145</v>
      </c>
      <c r="AJ26" s="109">
        <f t="shared" si="55"/>
        <v>0</v>
      </c>
      <c r="AK26" s="109">
        <f t="shared" si="40"/>
        <v>3643.89</v>
      </c>
    </row>
    <row r="27" ht="15.75" customHeight="1">
      <c r="A27" s="107" t="s">
        <v>173</v>
      </c>
      <c r="B27" s="109">
        <f>361</f>
        <v>361</v>
      </c>
      <c r="C27" s="109"/>
      <c r="D27" s="109">
        <f>722.92</f>
        <v>722.92</v>
      </c>
      <c r="E27" s="346">
        <f t="shared" si="70"/>
        <v>1.002548476</v>
      </c>
      <c r="F27" s="109">
        <f>283.38</f>
        <v>283.38</v>
      </c>
      <c r="G27" s="340">
        <f t="shared" si="71"/>
        <v>-0.6080064184</v>
      </c>
      <c r="H27" s="109">
        <f>391.11</f>
        <v>391.11</v>
      </c>
      <c r="I27" s="340">
        <f t="shared" si="72"/>
        <v>0.3801609147</v>
      </c>
      <c r="J27" s="109">
        <f>248.18</f>
        <v>248.18</v>
      </c>
      <c r="K27" s="340">
        <f t="shared" si="73"/>
        <v>-0.3654470609</v>
      </c>
      <c r="L27" s="109">
        <f>759.33</f>
        <v>759.33</v>
      </c>
      <c r="M27" s="340">
        <f t="shared" si="74"/>
        <v>2.059593843</v>
      </c>
      <c r="N27" s="109">
        <f>550.49</f>
        <v>550.49</v>
      </c>
      <c r="O27" s="340">
        <f t="shared" si="75"/>
        <v>-0.275031936</v>
      </c>
      <c r="P27" s="109">
        <f>305.11</f>
        <v>305.11</v>
      </c>
      <c r="Q27" s="340">
        <f t="shared" si="76"/>
        <v>-0.4457483333</v>
      </c>
      <c r="R27" s="109">
        <f>838.38</f>
        <v>838.38</v>
      </c>
      <c r="S27" s="340">
        <f t="shared" si="77"/>
        <v>1.747795877</v>
      </c>
      <c r="T27" s="109">
        <f>2008.87</f>
        <v>2008.87</v>
      </c>
      <c r="U27" s="340">
        <f t="shared" si="78"/>
        <v>1.396133018</v>
      </c>
      <c r="V27" s="109">
        <f>1616.27</f>
        <v>1616.27</v>
      </c>
      <c r="W27" s="340">
        <f t="shared" si="79"/>
        <v>-0.1954332535</v>
      </c>
      <c r="X27" s="109">
        <f>488.22</f>
        <v>488.22</v>
      </c>
      <c r="Y27" s="340">
        <f t="shared" si="80"/>
        <v>-0.6979341323</v>
      </c>
      <c r="Z27" s="109">
        <f>998.5</f>
        <v>998.5</v>
      </c>
      <c r="AA27" s="340">
        <f t="shared" si="81"/>
        <v>1.045184548</v>
      </c>
      <c r="AB27" s="109">
        <f>1044.51</f>
        <v>1044.51</v>
      </c>
      <c r="AC27" s="340">
        <f t="shared" si="69"/>
        <v>0.04607911868</v>
      </c>
      <c r="AD27" s="109">
        <f>1011.81</f>
        <v>1011.81</v>
      </c>
      <c r="AE27" s="340">
        <f t="shared" si="49"/>
        <v>-0.03130654565</v>
      </c>
      <c r="AF27" s="109">
        <f>510.83</f>
        <v>510.83</v>
      </c>
      <c r="AG27" s="340">
        <f t="shared" si="82"/>
        <v>-0.4951324853</v>
      </c>
      <c r="AH27" s="109">
        <f>157.17</f>
        <v>157.17</v>
      </c>
      <c r="AI27" s="340">
        <f t="shared" si="83"/>
        <v>-0.6923242566</v>
      </c>
      <c r="AJ27" s="109">
        <f t="shared" si="55"/>
        <v>0</v>
      </c>
      <c r="AK27" s="109">
        <f t="shared" si="40"/>
        <v>12296.08</v>
      </c>
    </row>
    <row r="28" ht="15.75" customHeight="1">
      <c r="A28" s="107" t="s">
        <v>174</v>
      </c>
      <c r="B28" s="109">
        <f t="shared" ref="B28:B29" si="84">0</f>
        <v>0</v>
      </c>
      <c r="C28" s="109"/>
      <c r="D28" s="109">
        <f t="shared" ref="D28:D29" si="85">0</f>
        <v>0</v>
      </c>
      <c r="E28" s="355">
        <v>0.0</v>
      </c>
      <c r="F28" s="109">
        <f t="shared" ref="F28:F29" si="86">0</f>
        <v>0</v>
      </c>
      <c r="G28" s="347">
        <v>0.0</v>
      </c>
      <c r="H28" s="109">
        <f t="shared" ref="H28:H29" si="87">0</f>
        <v>0</v>
      </c>
      <c r="I28" s="347">
        <v>0.0</v>
      </c>
      <c r="J28" s="109">
        <f t="shared" ref="J28:J29" si="88">0</f>
        <v>0</v>
      </c>
      <c r="K28" s="347">
        <v>0.0</v>
      </c>
      <c r="L28" s="109">
        <f t="shared" ref="L28:L29" si="89">0</f>
        <v>0</v>
      </c>
      <c r="M28" s="347">
        <v>0.0</v>
      </c>
      <c r="N28" s="109">
        <f t="shared" ref="N28:N29" si="90">0</f>
        <v>0</v>
      </c>
      <c r="O28" s="347">
        <v>0.0</v>
      </c>
      <c r="P28" s="109">
        <f t="shared" ref="P28:P29" si="91">0</f>
        <v>0</v>
      </c>
      <c r="Q28" s="347">
        <v>0.0</v>
      </c>
      <c r="R28" s="109">
        <f t="shared" ref="R28:R29" si="92">0</f>
        <v>0</v>
      </c>
      <c r="S28" s="347">
        <v>0.0</v>
      </c>
      <c r="T28" s="109">
        <f t="shared" ref="T28:T29" si="93">0</f>
        <v>0</v>
      </c>
      <c r="U28" s="347">
        <v>0.0</v>
      </c>
      <c r="V28" s="109">
        <f t="shared" ref="V28:V29" si="94">0</f>
        <v>0</v>
      </c>
      <c r="W28" s="347">
        <v>0.0</v>
      </c>
      <c r="X28" s="109">
        <f t="shared" ref="X28:X29" si="95">0</f>
        <v>0</v>
      </c>
      <c r="Y28" s="347">
        <v>0.0</v>
      </c>
      <c r="Z28" s="109">
        <f>0</f>
        <v>0</v>
      </c>
      <c r="AA28" s="347">
        <v>0.0</v>
      </c>
      <c r="AB28" s="109">
        <f t="shared" ref="AB28:AB29" si="96">0</f>
        <v>0</v>
      </c>
      <c r="AC28" s="347">
        <v>0.0</v>
      </c>
      <c r="AD28" s="109">
        <f t="shared" ref="AD28:AD29" si="97">0</f>
        <v>0</v>
      </c>
      <c r="AE28" s="347">
        <v>0.0</v>
      </c>
      <c r="AF28" s="109">
        <f t="shared" ref="AF28:AF29" si="98">0</f>
        <v>0</v>
      </c>
      <c r="AG28" s="347">
        <v>0.0</v>
      </c>
      <c r="AH28" s="109">
        <f t="shared" ref="AH28:AH31" si="99">0</f>
        <v>0</v>
      </c>
      <c r="AI28" s="347">
        <v>0.0</v>
      </c>
      <c r="AJ28" s="109">
        <f t="shared" si="55"/>
        <v>0</v>
      </c>
      <c r="AK28" s="109">
        <f t="shared" si="40"/>
        <v>0</v>
      </c>
    </row>
    <row r="29" ht="15.75" customHeight="1">
      <c r="A29" s="107" t="s">
        <v>175</v>
      </c>
      <c r="B29" s="109">
        <f t="shared" si="84"/>
        <v>0</v>
      </c>
      <c r="C29" s="109"/>
      <c r="D29" s="109">
        <f t="shared" si="85"/>
        <v>0</v>
      </c>
      <c r="E29" s="355">
        <v>0.0</v>
      </c>
      <c r="F29" s="109">
        <f t="shared" si="86"/>
        <v>0</v>
      </c>
      <c r="G29" s="347">
        <v>0.0</v>
      </c>
      <c r="H29" s="109">
        <f t="shared" si="87"/>
        <v>0</v>
      </c>
      <c r="I29" s="347">
        <v>0.0</v>
      </c>
      <c r="J29" s="109">
        <f t="shared" si="88"/>
        <v>0</v>
      </c>
      <c r="K29" s="347">
        <v>0.0</v>
      </c>
      <c r="L29" s="109">
        <f t="shared" si="89"/>
        <v>0</v>
      </c>
      <c r="M29" s="347">
        <v>0.0</v>
      </c>
      <c r="N29" s="109">
        <f t="shared" si="90"/>
        <v>0</v>
      </c>
      <c r="O29" s="347">
        <v>0.0</v>
      </c>
      <c r="P29" s="109">
        <f t="shared" si="91"/>
        <v>0</v>
      </c>
      <c r="Q29" s="347">
        <v>0.0</v>
      </c>
      <c r="R29" s="109">
        <f t="shared" si="92"/>
        <v>0</v>
      </c>
      <c r="S29" s="347">
        <v>0.0</v>
      </c>
      <c r="T29" s="109">
        <f t="shared" si="93"/>
        <v>0</v>
      </c>
      <c r="U29" s="347">
        <v>0.0</v>
      </c>
      <c r="V29" s="109">
        <f t="shared" si="94"/>
        <v>0</v>
      </c>
      <c r="W29" s="347">
        <v>0.0</v>
      </c>
      <c r="X29" s="109">
        <f t="shared" si="95"/>
        <v>0</v>
      </c>
      <c r="Y29" s="347">
        <v>0.0</v>
      </c>
      <c r="Z29" s="109">
        <f>306.86</f>
        <v>306.86</v>
      </c>
      <c r="AA29" s="347">
        <v>0.0</v>
      </c>
      <c r="AB29" s="109">
        <f t="shared" si="96"/>
        <v>0</v>
      </c>
      <c r="AC29" s="340">
        <f t="shared" ref="AC29:AC31" si="100">(AB29-Z29)/Z29</f>
        <v>-1</v>
      </c>
      <c r="AD29" s="109">
        <f t="shared" si="97"/>
        <v>0</v>
      </c>
      <c r="AE29" s="347">
        <v>0.0</v>
      </c>
      <c r="AF29" s="109">
        <f t="shared" si="98"/>
        <v>0</v>
      </c>
      <c r="AG29" s="347">
        <v>0.0</v>
      </c>
      <c r="AH29" s="109">
        <f t="shared" si="99"/>
        <v>0</v>
      </c>
      <c r="AI29" s="347">
        <v>0.0</v>
      </c>
      <c r="AJ29" s="109">
        <f t="shared" si="55"/>
        <v>0</v>
      </c>
      <c r="AK29" s="109">
        <f t="shared" si="40"/>
        <v>306.86</v>
      </c>
    </row>
    <row r="30" ht="15.75" customHeight="1">
      <c r="A30" s="107" t="s">
        <v>176</v>
      </c>
      <c r="B30" s="109">
        <f>325.62</f>
        <v>325.62</v>
      </c>
      <c r="C30" s="109"/>
      <c r="D30" s="109">
        <f>313.06</f>
        <v>313.06</v>
      </c>
      <c r="E30" s="346">
        <f>(D30-B30)/B30</f>
        <v>-0.03857256925</v>
      </c>
      <c r="F30" s="109">
        <f>338.74</f>
        <v>338.74</v>
      </c>
      <c r="G30" s="340">
        <f>(F30-D30)/D30</f>
        <v>0.08202900402</v>
      </c>
      <c r="H30" s="109">
        <f>352.07</f>
        <v>352.07</v>
      </c>
      <c r="I30" s="340">
        <f>(H30-F30)/F30</f>
        <v>0.03935171518</v>
      </c>
      <c r="J30" s="109">
        <f>380.36</f>
        <v>380.36</v>
      </c>
      <c r="K30" s="340">
        <f>(J30-H30)/H30</f>
        <v>0.08035333882</v>
      </c>
      <c r="L30" s="109">
        <f>403.55</f>
        <v>403.55</v>
      </c>
      <c r="M30" s="340">
        <f>(L30-J30)/J30</f>
        <v>0.0609685561</v>
      </c>
      <c r="N30" s="109">
        <f>382.36</f>
        <v>382.36</v>
      </c>
      <c r="O30" s="340">
        <f>(N30-L30)/L30</f>
        <v>-0.05250898278</v>
      </c>
      <c r="P30" s="109">
        <f>400.29</f>
        <v>400.29</v>
      </c>
      <c r="Q30" s="340">
        <f>(P30-N30)/N30</f>
        <v>0.04689298044</v>
      </c>
      <c r="R30" s="109">
        <f>338.41</f>
        <v>338.41</v>
      </c>
      <c r="S30" s="340">
        <f>(R30-P30)/P30</f>
        <v>-0.1545879238</v>
      </c>
      <c r="T30" s="109">
        <f>313.29</f>
        <v>313.29</v>
      </c>
      <c r="U30" s="340">
        <f>(T30-R30)/R30</f>
        <v>-0.07422948494</v>
      </c>
      <c r="V30" s="109">
        <f>379.44</f>
        <v>379.44</v>
      </c>
      <c r="W30" s="340">
        <f>(V30-T30)/T30</f>
        <v>0.2111462223</v>
      </c>
      <c r="X30" s="109">
        <f>417.67</f>
        <v>417.67</v>
      </c>
      <c r="Y30" s="340">
        <f>(X30-V30)/V30</f>
        <v>0.1007537424</v>
      </c>
      <c r="Z30" s="109">
        <f>421.1</f>
        <v>421.1</v>
      </c>
      <c r="AA30" s="340">
        <f t="shared" ref="AA30:AA31" si="101">(Z30-X30)/X30</f>
        <v>0.008212224962</v>
      </c>
      <c r="AB30" s="109">
        <f>420.43</f>
        <v>420.43</v>
      </c>
      <c r="AC30" s="340">
        <f t="shared" si="100"/>
        <v>-0.001591071005</v>
      </c>
      <c r="AD30" s="109">
        <f>419.97</f>
        <v>419.97</v>
      </c>
      <c r="AE30" s="340">
        <f>(AD30-AB30)/AB30</f>
        <v>-0.001094117927</v>
      </c>
      <c r="AF30" s="109">
        <f>451.94</f>
        <v>451.94</v>
      </c>
      <c r="AG30" s="340">
        <f>(AF30-AD30)/AD30</f>
        <v>0.07612448508</v>
      </c>
      <c r="AH30" s="109">
        <f t="shared" si="99"/>
        <v>0</v>
      </c>
      <c r="AI30" s="340">
        <f>(AH30-AF30)/AF30</f>
        <v>-1</v>
      </c>
      <c r="AJ30" s="109">
        <f t="shared" si="55"/>
        <v>0</v>
      </c>
      <c r="AK30" s="109">
        <f t="shared" si="40"/>
        <v>6058.3</v>
      </c>
    </row>
    <row r="31" ht="15.75" customHeight="1">
      <c r="A31" s="107" t="s">
        <v>177</v>
      </c>
      <c r="B31" s="109">
        <f t="shared" ref="B31:B32" si="102">0</f>
        <v>0</v>
      </c>
      <c r="C31" s="109"/>
      <c r="D31" s="109">
        <f t="shared" ref="D31:D32" si="103">0</f>
        <v>0</v>
      </c>
      <c r="E31" s="355">
        <v>0.0</v>
      </c>
      <c r="F31" s="109">
        <f t="shared" ref="F31:F32" si="104">0</f>
        <v>0</v>
      </c>
      <c r="G31" s="347">
        <v>0.0</v>
      </c>
      <c r="H31" s="109">
        <f t="shared" ref="H31:H32" si="105">0</f>
        <v>0</v>
      </c>
      <c r="I31" s="347">
        <v>0.0</v>
      </c>
      <c r="J31" s="109">
        <f t="shared" ref="J31:J32" si="106">0</f>
        <v>0</v>
      </c>
      <c r="K31" s="347">
        <v>0.0</v>
      </c>
      <c r="L31" s="109">
        <f t="shared" ref="L31:L32" si="107">0</f>
        <v>0</v>
      </c>
      <c r="M31" s="347">
        <v>0.0</v>
      </c>
      <c r="N31" s="109">
        <f t="shared" ref="N31:N32" si="108">0</f>
        <v>0</v>
      </c>
      <c r="O31" s="347">
        <v>0.0</v>
      </c>
      <c r="P31" s="109">
        <f t="shared" ref="P31:P32" si="109">0</f>
        <v>0</v>
      </c>
      <c r="Q31" s="347">
        <v>0.0</v>
      </c>
      <c r="R31" s="109">
        <f t="shared" ref="R31:R32" si="110">0</f>
        <v>0</v>
      </c>
      <c r="S31" s="347">
        <v>0.0</v>
      </c>
      <c r="T31" s="109">
        <f t="shared" ref="T31:T32" si="111">0</f>
        <v>0</v>
      </c>
      <c r="U31" s="347">
        <v>0.0</v>
      </c>
      <c r="V31" s="109">
        <f t="shared" ref="V31:V32" si="112">0</f>
        <v>0</v>
      </c>
      <c r="W31" s="347">
        <v>0.0</v>
      </c>
      <c r="X31" s="109">
        <f>259.39</f>
        <v>259.39</v>
      </c>
      <c r="Y31" s="347">
        <v>0.0</v>
      </c>
      <c r="Z31" s="109">
        <f>5</f>
        <v>5</v>
      </c>
      <c r="AA31" s="340">
        <f t="shared" si="101"/>
        <v>-0.9807240063</v>
      </c>
      <c r="AB31" s="109">
        <f>0</f>
        <v>0</v>
      </c>
      <c r="AC31" s="340">
        <f t="shared" si="100"/>
        <v>-1</v>
      </c>
      <c r="AD31" s="109">
        <f>0</f>
        <v>0</v>
      </c>
      <c r="AE31" s="347">
        <v>0.0</v>
      </c>
      <c r="AF31" s="109">
        <f>0</f>
        <v>0</v>
      </c>
      <c r="AG31" s="347">
        <v>0.0</v>
      </c>
      <c r="AH31" s="109">
        <f t="shared" si="99"/>
        <v>0</v>
      </c>
      <c r="AI31" s="347">
        <v>0.0</v>
      </c>
      <c r="AJ31" s="109">
        <f t="shared" si="55"/>
        <v>0</v>
      </c>
      <c r="AK31" s="109">
        <f t="shared" si="40"/>
        <v>264.39</v>
      </c>
    </row>
    <row r="32" ht="15.75" customHeight="1">
      <c r="A32" s="107" t="s">
        <v>178</v>
      </c>
      <c r="B32" s="109">
        <f t="shared" si="102"/>
        <v>0</v>
      </c>
      <c r="C32" s="109"/>
      <c r="D32" s="109">
        <f t="shared" si="103"/>
        <v>0</v>
      </c>
      <c r="E32" s="355">
        <v>0.0</v>
      </c>
      <c r="F32" s="109">
        <f t="shared" si="104"/>
        <v>0</v>
      </c>
      <c r="G32" s="347">
        <v>0.0</v>
      </c>
      <c r="H32" s="109">
        <f t="shared" si="105"/>
        <v>0</v>
      </c>
      <c r="I32" s="347">
        <v>0.0</v>
      </c>
      <c r="J32" s="109">
        <f t="shared" si="106"/>
        <v>0</v>
      </c>
      <c r="K32" s="347">
        <v>0.0</v>
      </c>
      <c r="L32" s="109">
        <f t="shared" si="107"/>
        <v>0</v>
      </c>
      <c r="M32" s="347">
        <v>0.0</v>
      </c>
      <c r="N32" s="109">
        <f t="shared" si="108"/>
        <v>0</v>
      </c>
      <c r="O32" s="347">
        <v>0.0</v>
      </c>
      <c r="P32" s="109">
        <f t="shared" si="109"/>
        <v>0</v>
      </c>
      <c r="Q32" s="347">
        <v>0.0</v>
      </c>
      <c r="R32" s="109">
        <f t="shared" si="110"/>
        <v>0</v>
      </c>
      <c r="S32" s="347">
        <v>0.0</v>
      </c>
      <c r="T32" s="109">
        <f t="shared" si="111"/>
        <v>0</v>
      </c>
      <c r="U32" s="347">
        <v>0.0</v>
      </c>
      <c r="V32" s="109">
        <f t="shared" si="112"/>
        <v>0</v>
      </c>
      <c r="W32" s="347">
        <v>0.0</v>
      </c>
      <c r="X32" s="109">
        <f>0</f>
        <v>0</v>
      </c>
      <c r="Y32" s="347">
        <v>0.0</v>
      </c>
      <c r="Z32" s="109">
        <f>0</f>
        <v>0</v>
      </c>
      <c r="AA32" s="347">
        <v>0.0</v>
      </c>
      <c r="AB32" s="109">
        <f>150</f>
        <v>150</v>
      </c>
      <c r="AC32" s="347">
        <v>0.0</v>
      </c>
      <c r="AD32" s="109">
        <f>175</f>
        <v>175</v>
      </c>
      <c r="AE32" s="340">
        <f t="shared" ref="AE32:AE33" si="113">(AD32-AB32)/AB32</f>
        <v>0.1666666667</v>
      </c>
      <c r="AF32" s="109">
        <f>250</f>
        <v>250</v>
      </c>
      <c r="AG32" s="340">
        <f t="shared" ref="AG32:AG33" si="114">(AF32-AD32)/AD32</f>
        <v>0.4285714286</v>
      </c>
      <c r="AH32" s="109">
        <f>160</f>
        <v>160</v>
      </c>
      <c r="AI32" s="340">
        <f t="shared" ref="AI32:AI33" si="115">(AH32-AF32)/AF32</f>
        <v>-0.36</v>
      </c>
      <c r="AJ32" s="109">
        <f>150</f>
        <v>150</v>
      </c>
      <c r="AK32" s="109">
        <f t="shared" si="40"/>
        <v>885</v>
      </c>
    </row>
    <row r="33" ht="15.75" customHeight="1">
      <c r="A33" s="107" t="s">
        <v>179</v>
      </c>
      <c r="B33" s="109">
        <f>5253.87</f>
        <v>5253.87</v>
      </c>
      <c r="C33" s="109"/>
      <c r="D33" s="109">
        <f>7465.73</f>
        <v>7465.73</v>
      </c>
      <c r="E33" s="346">
        <f t="shared" ref="E33:E36" si="116">(D33-B33)/B33</f>
        <v>0.4209963322</v>
      </c>
      <c r="F33" s="109">
        <f>6953.69</f>
        <v>6953.69</v>
      </c>
      <c r="G33" s="340">
        <f t="shared" ref="G33:G35" si="117">(F33-D33)/D33</f>
        <v>-0.06858538951</v>
      </c>
      <c r="H33" s="109">
        <f>8028.09</f>
        <v>8028.09</v>
      </c>
      <c r="I33" s="340">
        <f>(H33-F33)/F33</f>
        <v>0.1545078944</v>
      </c>
      <c r="J33" s="109">
        <f>8776.46</f>
        <v>8776.46</v>
      </c>
      <c r="K33" s="340">
        <f>(J33-H33)/H33</f>
        <v>0.09321893501</v>
      </c>
      <c r="L33" s="109">
        <f>7659.95</f>
        <v>7659.95</v>
      </c>
      <c r="M33" s="340">
        <f t="shared" ref="M33:M36" si="118">(L33-J33)/J33</f>
        <v>-0.1272164403</v>
      </c>
      <c r="N33" s="109">
        <f>13862.76</f>
        <v>13862.76</v>
      </c>
      <c r="O33" s="340">
        <f>(N33-L33)/L33</f>
        <v>0.8097716043</v>
      </c>
      <c r="P33" s="109">
        <f>8670.61</f>
        <v>8670.61</v>
      </c>
      <c r="Q33" s="340">
        <f t="shared" ref="Q33:Q36" si="119">(P33-N33)/N33</f>
        <v>-0.3745394135</v>
      </c>
      <c r="R33" s="109">
        <f>8627.85</f>
        <v>8627.85</v>
      </c>
      <c r="S33" s="340">
        <f t="shared" ref="S33:S36" si="120">(R33-P33)/P33</f>
        <v>-0.004931602275</v>
      </c>
      <c r="T33" s="109">
        <f>9394.96</f>
        <v>9394.96</v>
      </c>
      <c r="U33" s="340">
        <f>(T33-R33)/R33</f>
        <v>0.0889109106</v>
      </c>
      <c r="V33" s="109">
        <f>9541.93</f>
        <v>9541.93</v>
      </c>
      <c r="W33" s="340">
        <f t="shared" ref="W33:W36" si="121">(V33-T33)/T33</f>
        <v>0.01564349396</v>
      </c>
      <c r="X33" s="109">
        <f>14717.95</f>
        <v>14717.95</v>
      </c>
      <c r="Y33" s="340">
        <f>(X33-V33)/V33</f>
        <v>0.5424500075</v>
      </c>
      <c r="Z33" s="109">
        <f>10673.57</f>
        <v>10673.57</v>
      </c>
      <c r="AA33" s="340">
        <f>(Z33-X33)/X33</f>
        <v>-0.2747923454</v>
      </c>
      <c r="AB33" s="109">
        <f>10616.25</f>
        <v>10616.25</v>
      </c>
      <c r="AC33" s="340">
        <f t="shared" ref="AC33:AC35" si="122">(AB33-Z33)/Z33</f>
        <v>-0.005370274426</v>
      </c>
      <c r="AD33" s="109">
        <f>11420.68</f>
        <v>11420.68</v>
      </c>
      <c r="AE33" s="340">
        <f t="shared" si="113"/>
        <v>0.0757734605</v>
      </c>
      <c r="AF33" s="109">
        <f>9464.12</f>
        <v>9464.12</v>
      </c>
      <c r="AG33" s="340">
        <f t="shared" si="114"/>
        <v>-0.1713172946</v>
      </c>
      <c r="AH33" s="109">
        <f>14104.65</f>
        <v>14104.65</v>
      </c>
      <c r="AI33" s="340">
        <f t="shared" si="115"/>
        <v>0.4903287363</v>
      </c>
      <c r="AJ33" s="109">
        <f>5512.13</f>
        <v>5512.13</v>
      </c>
      <c r="AK33" s="109">
        <f t="shared" si="40"/>
        <v>170745.25</v>
      </c>
    </row>
    <row r="34" ht="15.75" customHeight="1">
      <c r="A34" s="107" t="s">
        <v>180</v>
      </c>
      <c r="B34" s="109">
        <f>109.95</f>
        <v>109.95</v>
      </c>
      <c r="C34" s="109"/>
      <c r="D34" s="109">
        <f>23.2</f>
        <v>23.2</v>
      </c>
      <c r="E34" s="346">
        <f t="shared" si="116"/>
        <v>-0.7889949977</v>
      </c>
      <c r="F34" s="109">
        <f>0</f>
        <v>0</v>
      </c>
      <c r="G34" s="340">
        <f t="shared" si="117"/>
        <v>-1</v>
      </c>
      <c r="H34" s="109">
        <f>0</f>
        <v>0</v>
      </c>
      <c r="I34" s="347">
        <v>0.0</v>
      </c>
      <c r="J34" s="109">
        <f>11.6</f>
        <v>11.6</v>
      </c>
      <c r="K34" s="347">
        <v>0.0</v>
      </c>
      <c r="L34" s="109">
        <f>0</f>
        <v>0</v>
      </c>
      <c r="M34" s="340">
        <f t="shared" si="118"/>
        <v>-1</v>
      </c>
      <c r="N34" s="109">
        <f>115.55</f>
        <v>115.55</v>
      </c>
      <c r="O34" s="347">
        <v>0.0</v>
      </c>
      <c r="P34" s="109">
        <f>1.52</f>
        <v>1.52</v>
      </c>
      <c r="Q34" s="340">
        <f t="shared" si="119"/>
        <v>-0.9868455214</v>
      </c>
      <c r="R34" s="109">
        <f>0</f>
        <v>0</v>
      </c>
      <c r="S34" s="340">
        <f t="shared" si="120"/>
        <v>-1</v>
      </c>
      <c r="T34" s="109">
        <f>48.6</f>
        <v>48.6</v>
      </c>
      <c r="U34" s="347">
        <v>0.0</v>
      </c>
      <c r="V34" s="109">
        <f>0</f>
        <v>0</v>
      </c>
      <c r="W34" s="340">
        <f t="shared" si="121"/>
        <v>-1</v>
      </c>
      <c r="X34" s="109">
        <f>0</f>
        <v>0</v>
      </c>
      <c r="Y34" s="347">
        <v>0.0</v>
      </c>
      <c r="Z34" s="109">
        <f>90</f>
        <v>90</v>
      </c>
      <c r="AA34" s="347">
        <v>0.0</v>
      </c>
      <c r="AB34" s="109">
        <f>0</f>
        <v>0</v>
      </c>
      <c r="AC34" s="340">
        <f t="shared" si="122"/>
        <v>-1</v>
      </c>
      <c r="AD34" s="109">
        <f>0</f>
        <v>0</v>
      </c>
      <c r="AE34" s="347">
        <v>0.0</v>
      </c>
      <c r="AF34" s="109">
        <f>0</f>
        <v>0</v>
      </c>
      <c r="AG34" s="347">
        <v>0.0</v>
      </c>
      <c r="AH34" s="109">
        <f>0</f>
        <v>0</v>
      </c>
      <c r="AI34" s="347">
        <v>0.0</v>
      </c>
      <c r="AJ34" s="109">
        <f>0</f>
        <v>0</v>
      </c>
      <c r="AK34" s="109">
        <f t="shared" si="40"/>
        <v>400.42</v>
      </c>
    </row>
    <row r="35" ht="15.75" customHeight="1">
      <c r="A35" s="107" t="s">
        <v>181</v>
      </c>
      <c r="B35" s="109">
        <f>51.51</f>
        <v>51.51</v>
      </c>
      <c r="C35" s="109"/>
      <c r="D35" s="109">
        <f>1114.85</f>
        <v>1114.85</v>
      </c>
      <c r="E35" s="346">
        <f t="shared" si="116"/>
        <v>20.64337022</v>
      </c>
      <c r="F35" s="109">
        <f>1390.96</f>
        <v>1390.96</v>
      </c>
      <c r="G35" s="340">
        <f t="shared" si="117"/>
        <v>0.2476656052</v>
      </c>
      <c r="H35" s="109">
        <f>2727.41</f>
        <v>2727.41</v>
      </c>
      <c r="I35" s="340">
        <f t="shared" ref="I35:I36" si="123">(H35-F35)/F35</f>
        <v>0.9608112383</v>
      </c>
      <c r="J35" s="109">
        <f>3948.81</f>
        <v>3948.81</v>
      </c>
      <c r="K35" s="340">
        <f t="shared" ref="K35:K36" si="124">(J35-H35)/H35</f>
        <v>0.4478241262</v>
      </c>
      <c r="L35" s="109">
        <f>2591.91</f>
        <v>2591.91</v>
      </c>
      <c r="M35" s="340">
        <f t="shared" si="118"/>
        <v>-0.3436225091</v>
      </c>
      <c r="N35" s="109">
        <f>6196.44</f>
        <v>6196.44</v>
      </c>
      <c r="O35" s="340">
        <f t="shared" ref="O35:O36" si="125">(N35-L35)/L35</f>
        <v>1.390684862</v>
      </c>
      <c r="P35" s="109">
        <f>4432.85</f>
        <v>4432.85</v>
      </c>
      <c r="Q35" s="340">
        <f t="shared" si="119"/>
        <v>-0.2846134232</v>
      </c>
      <c r="R35" s="109">
        <f>4159.68</f>
        <v>4159.68</v>
      </c>
      <c r="S35" s="340">
        <f t="shared" si="120"/>
        <v>-0.06162401164</v>
      </c>
      <c r="T35" s="109">
        <f>4055.76</f>
        <v>4055.76</v>
      </c>
      <c r="U35" s="340">
        <f t="shared" ref="U35:U36" si="126">(T35-R35)/R35</f>
        <v>-0.02498269098</v>
      </c>
      <c r="V35" s="109">
        <f>4273.58</f>
        <v>4273.58</v>
      </c>
      <c r="W35" s="340">
        <f t="shared" si="121"/>
        <v>0.05370633371</v>
      </c>
      <c r="X35" s="109">
        <f>1665.19</f>
        <v>1665.19</v>
      </c>
      <c r="Y35" s="340">
        <f>(X35-V35)/V35</f>
        <v>-0.6103524446</v>
      </c>
      <c r="Z35" s="109">
        <f>4385.45</f>
        <v>4385.45</v>
      </c>
      <c r="AA35" s="340">
        <f t="shared" ref="AA35:AA36" si="127">(Z35-X35)/X35</f>
        <v>1.633603373</v>
      </c>
      <c r="AB35" s="109">
        <f>4694.04</f>
        <v>4694.04</v>
      </c>
      <c r="AC35" s="340">
        <f t="shared" si="122"/>
        <v>0.07036678106</v>
      </c>
      <c r="AD35" s="109">
        <f>3942.38</f>
        <v>3942.38</v>
      </c>
      <c r="AE35" s="340">
        <f t="shared" ref="AE35:AE36" si="128">(AD35-AB35)/AB35</f>
        <v>-0.160130719</v>
      </c>
      <c r="AF35" s="109">
        <f>4788.57</f>
        <v>4788.57</v>
      </c>
      <c r="AG35" s="340">
        <f t="shared" ref="AG35:AG37" si="129">(AF35-AD35)/AD35</f>
        <v>0.2146393803</v>
      </c>
      <c r="AH35" s="109">
        <f>5025.73</f>
        <v>5025.73</v>
      </c>
      <c r="AI35" s="340">
        <f t="shared" ref="AI35:AI36" si="130">(AH35-AF35)/AF35</f>
        <v>0.04952626776</v>
      </c>
      <c r="AJ35" s="109">
        <f>2535.73</f>
        <v>2535.73</v>
      </c>
      <c r="AK35" s="109">
        <f t="shared" si="40"/>
        <v>61980.85</v>
      </c>
    </row>
    <row r="36" ht="15.75" customHeight="1">
      <c r="A36" s="107" t="s">
        <v>182</v>
      </c>
      <c r="B36" s="109">
        <f>114.77</f>
        <v>114.77</v>
      </c>
      <c r="C36" s="109"/>
      <c r="D36" s="109">
        <f t="shared" ref="D36:D38" si="131">0</f>
        <v>0</v>
      </c>
      <c r="E36" s="346">
        <f t="shared" si="116"/>
        <v>-1</v>
      </c>
      <c r="F36" s="109">
        <f>105</f>
        <v>105</v>
      </c>
      <c r="G36" s="347">
        <v>0.0</v>
      </c>
      <c r="H36" s="109">
        <f>1.92</f>
        <v>1.92</v>
      </c>
      <c r="I36" s="340">
        <f t="shared" si="123"/>
        <v>-0.9817142857</v>
      </c>
      <c r="J36" s="109">
        <f>223.16</f>
        <v>223.16</v>
      </c>
      <c r="K36" s="340">
        <f t="shared" si="124"/>
        <v>115.2291667</v>
      </c>
      <c r="L36" s="109">
        <f>234.51</f>
        <v>234.51</v>
      </c>
      <c r="M36" s="340">
        <f t="shared" si="118"/>
        <v>0.05086036924</v>
      </c>
      <c r="N36" s="109">
        <f>122.25</f>
        <v>122.25</v>
      </c>
      <c r="O36" s="340">
        <f t="shared" si="125"/>
        <v>-0.4787002686</v>
      </c>
      <c r="P36" s="109">
        <f>74.36</f>
        <v>74.36</v>
      </c>
      <c r="Q36" s="340">
        <f t="shared" si="119"/>
        <v>-0.3917382413</v>
      </c>
      <c r="R36" s="109">
        <f>114.47</f>
        <v>114.47</v>
      </c>
      <c r="S36" s="340">
        <f t="shared" si="120"/>
        <v>0.5394029048</v>
      </c>
      <c r="T36" s="109">
        <f>419.5</f>
        <v>419.5</v>
      </c>
      <c r="U36" s="340">
        <f t="shared" si="126"/>
        <v>2.664715646</v>
      </c>
      <c r="V36" s="109">
        <f t="shared" ref="V36:V37" si="132">0</f>
        <v>0</v>
      </c>
      <c r="W36" s="340">
        <f t="shared" si="121"/>
        <v>-1</v>
      </c>
      <c r="X36" s="109">
        <f>218.87</f>
        <v>218.87</v>
      </c>
      <c r="Y36" s="347">
        <v>0.0</v>
      </c>
      <c r="Z36" s="109">
        <f t="shared" ref="Z36:Z38" si="133">0</f>
        <v>0</v>
      </c>
      <c r="AA36" s="340">
        <f t="shared" si="127"/>
        <v>-1</v>
      </c>
      <c r="AB36" s="109">
        <f>18.01</f>
        <v>18.01</v>
      </c>
      <c r="AC36" s="347">
        <v>0.0</v>
      </c>
      <c r="AD36" s="109">
        <f>290.68</f>
        <v>290.68</v>
      </c>
      <c r="AE36" s="340">
        <f t="shared" si="128"/>
        <v>15.13992227</v>
      </c>
      <c r="AF36" s="109">
        <f>302.97</f>
        <v>302.97</v>
      </c>
      <c r="AG36" s="340">
        <f t="shared" si="129"/>
        <v>0.04228017063</v>
      </c>
      <c r="AH36" s="109">
        <f t="shared" ref="AH36:AH38" si="134">0</f>
        <v>0</v>
      </c>
      <c r="AI36" s="340">
        <f t="shared" si="130"/>
        <v>-1</v>
      </c>
      <c r="AJ36" s="109">
        <f t="shared" ref="AJ36:AJ38" si="135">0</f>
        <v>0</v>
      </c>
      <c r="AK36" s="109">
        <f t="shared" si="40"/>
        <v>2240.47</v>
      </c>
    </row>
    <row r="37" ht="15.75" customHeight="1">
      <c r="A37" s="107" t="s">
        <v>236</v>
      </c>
      <c r="B37" s="109">
        <f t="shared" ref="B37:B38" si="136">0</f>
        <v>0</v>
      </c>
      <c r="C37" s="109"/>
      <c r="D37" s="109">
        <f t="shared" si="131"/>
        <v>0</v>
      </c>
      <c r="E37" s="355">
        <v>0.0</v>
      </c>
      <c r="F37" s="109">
        <f t="shared" ref="F37:F38" si="137">0</f>
        <v>0</v>
      </c>
      <c r="G37" s="347">
        <v>0.0</v>
      </c>
      <c r="H37" s="109">
        <f t="shared" ref="H37:H38" si="138">0</f>
        <v>0</v>
      </c>
      <c r="I37" s="347">
        <v>0.0</v>
      </c>
      <c r="J37" s="109">
        <f t="shared" ref="J37:J38" si="139">0</f>
        <v>0</v>
      </c>
      <c r="K37" s="347">
        <v>0.0</v>
      </c>
      <c r="L37" s="109">
        <f t="shared" ref="L37:L38" si="140">0</f>
        <v>0</v>
      </c>
      <c r="M37" s="347">
        <v>0.0</v>
      </c>
      <c r="N37" s="109">
        <f t="shared" ref="N37:N38" si="141">0</f>
        <v>0</v>
      </c>
      <c r="O37" s="347">
        <v>0.0</v>
      </c>
      <c r="P37" s="109">
        <f t="shared" ref="P37:P38" si="142">0</f>
        <v>0</v>
      </c>
      <c r="Q37" s="347">
        <v>0.0</v>
      </c>
      <c r="R37" s="109">
        <f>0</f>
        <v>0</v>
      </c>
      <c r="S37" s="347">
        <v>0.0</v>
      </c>
      <c r="T37" s="109">
        <f t="shared" ref="T37:T38" si="143">0</f>
        <v>0</v>
      </c>
      <c r="U37" s="347">
        <v>0.0</v>
      </c>
      <c r="V37" s="109">
        <f t="shared" si="132"/>
        <v>0</v>
      </c>
      <c r="W37" s="347">
        <v>0.0</v>
      </c>
      <c r="X37" s="109">
        <f t="shared" ref="X37:X38" si="144">0</f>
        <v>0</v>
      </c>
      <c r="Y37" s="347">
        <v>0.0</v>
      </c>
      <c r="Z37" s="109">
        <f t="shared" si="133"/>
        <v>0</v>
      </c>
      <c r="AA37" s="347">
        <v>0.0</v>
      </c>
      <c r="AB37" s="109">
        <f t="shared" ref="AB37:AB38" si="145">0</f>
        <v>0</v>
      </c>
      <c r="AC37" s="347">
        <v>0.0</v>
      </c>
      <c r="AD37" s="109">
        <f>85.31</f>
        <v>85.31</v>
      </c>
      <c r="AE37" s="347">
        <v>0.0</v>
      </c>
      <c r="AF37" s="109">
        <f t="shared" ref="AF37:AF38" si="146">0</f>
        <v>0</v>
      </c>
      <c r="AG37" s="340">
        <f t="shared" si="129"/>
        <v>-1</v>
      </c>
      <c r="AH37" s="109">
        <f t="shared" si="134"/>
        <v>0</v>
      </c>
      <c r="AI37" s="347">
        <v>0.0</v>
      </c>
      <c r="AJ37" s="109">
        <f t="shared" si="135"/>
        <v>0</v>
      </c>
      <c r="AK37" s="109">
        <f t="shared" si="40"/>
        <v>85.31</v>
      </c>
    </row>
    <row r="38" ht="15.75" customHeight="1">
      <c r="A38" s="107" t="s">
        <v>183</v>
      </c>
      <c r="B38" s="109">
        <f t="shared" si="136"/>
        <v>0</v>
      </c>
      <c r="C38" s="109"/>
      <c r="D38" s="109">
        <f t="shared" si="131"/>
        <v>0</v>
      </c>
      <c r="E38" s="355">
        <v>0.0</v>
      </c>
      <c r="F38" s="109">
        <f t="shared" si="137"/>
        <v>0</v>
      </c>
      <c r="G38" s="347">
        <v>0.0</v>
      </c>
      <c r="H38" s="109">
        <f t="shared" si="138"/>
        <v>0</v>
      </c>
      <c r="I38" s="347">
        <v>0.0</v>
      </c>
      <c r="J38" s="109">
        <f t="shared" si="139"/>
        <v>0</v>
      </c>
      <c r="K38" s="347">
        <v>0.0</v>
      </c>
      <c r="L38" s="109">
        <f t="shared" si="140"/>
        <v>0</v>
      </c>
      <c r="M38" s="347">
        <v>0.0</v>
      </c>
      <c r="N38" s="109">
        <f t="shared" si="141"/>
        <v>0</v>
      </c>
      <c r="O38" s="347">
        <v>0.0</v>
      </c>
      <c r="P38" s="109">
        <f t="shared" si="142"/>
        <v>0</v>
      </c>
      <c r="Q38" s="347">
        <v>0.0</v>
      </c>
      <c r="R38" s="109">
        <f>21.38</f>
        <v>21.38</v>
      </c>
      <c r="S38" s="347">
        <v>0.0</v>
      </c>
      <c r="T38" s="109">
        <f t="shared" si="143"/>
        <v>0</v>
      </c>
      <c r="U38" s="340">
        <f t="shared" ref="U38:U42" si="147">(T38-R38)/R38</f>
        <v>-1</v>
      </c>
      <c r="V38" s="109">
        <f>10.69</f>
        <v>10.69</v>
      </c>
      <c r="W38" s="347">
        <v>0.0</v>
      </c>
      <c r="X38" s="109">
        <f t="shared" si="144"/>
        <v>0</v>
      </c>
      <c r="Y38" s="340">
        <f t="shared" ref="Y38:Y42" si="148">(X38-V38)/V38</f>
        <v>-1</v>
      </c>
      <c r="Z38" s="109">
        <f t="shared" si="133"/>
        <v>0</v>
      </c>
      <c r="AA38" s="347">
        <v>0.0</v>
      </c>
      <c r="AB38" s="109">
        <f t="shared" si="145"/>
        <v>0</v>
      </c>
      <c r="AC38" s="347">
        <v>0.0</v>
      </c>
      <c r="AD38" s="109">
        <f>0</f>
        <v>0</v>
      </c>
      <c r="AE38" s="347">
        <v>0.0</v>
      </c>
      <c r="AF38" s="109">
        <f t="shared" si="146"/>
        <v>0</v>
      </c>
      <c r="AG38" s="347">
        <v>0.0</v>
      </c>
      <c r="AH38" s="109">
        <f t="shared" si="134"/>
        <v>0</v>
      </c>
      <c r="AI38" s="347">
        <v>0.0</v>
      </c>
      <c r="AJ38" s="109">
        <f t="shared" si="135"/>
        <v>0</v>
      </c>
      <c r="AK38" s="109">
        <f t="shared" si="40"/>
        <v>32.07</v>
      </c>
    </row>
    <row r="39" ht="15.75" customHeight="1">
      <c r="A39" s="348" t="s">
        <v>184</v>
      </c>
      <c r="B39" s="112">
        <f>((((((((((((((((((((B18)+(B19))+(B20))+(B21))+(B22))+(B23))+(B24))+(B25))+(B26))+(B27))+(B28))+(B29))+(B30))+(B31))+(B32))+(B33))+(B34))+(B35))+(B36))+(B37))+(B38)</f>
        <v>7001.1</v>
      </c>
      <c r="C39" s="112"/>
      <c r="D39" s="112">
        <f>((((((((((((((((((((D18)+(D19))+(D20))+(D21))+(D22))+(D23))+(D24))+(D25))+(D26))+(D27))+(D28))+(D29))+(D30))+(D31))+(D32))+(D33))+(D34))+(D35))+(D36))+(D37))+(D38)</f>
        <v>10117.97</v>
      </c>
      <c r="E39" s="356">
        <f t="shared" ref="E39:E42" si="149">(D39-B39)/B39</f>
        <v>0.4451971833</v>
      </c>
      <c r="F39" s="112">
        <f>((((((((((((((((((((F18)+(F19))+(F20))+(F21))+(F22))+(F23))+(F24))+(F25))+(F26))+(F27))+(F28))+(F29))+(F30))+(F31))+(F32))+(F33))+(F34))+(F35))+(F36))+(F37))+(F38)</f>
        <v>9609</v>
      </c>
      <c r="G39" s="349">
        <f t="shared" ref="G39:G42" si="150">(F39-D39)/D39</f>
        <v>-0.0503035688</v>
      </c>
      <c r="H39" s="112">
        <f>((((((((((((((((((((H18)+(H19))+(H20))+(H21))+(H22))+(H23))+(H24))+(H25))+(H26))+(H27))+(H28))+(H29))+(H30))+(H31))+(H32))+(H33))+(H34))+(H35))+(H36))+(H37))+(H38)</f>
        <v>12598.84</v>
      </c>
      <c r="I39" s="349">
        <f t="shared" ref="I39:I42" si="151">(H39-F39)/F39</f>
        <v>0.3111499636</v>
      </c>
      <c r="J39" s="350">
        <f>((((((((((((((((((((J18)+(J19))+(J20))+(J21))+(J22))+(J23))+(J24))+(J25))+(J26))+(J27))+(J28))+(J29))+(J30))+(J31))+(J32))+(J33))+(J34))+(J35))+(J36))+(J37))+(J38)</f>
        <v>14490.38</v>
      </c>
      <c r="K39" s="349">
        <f t="shared" ref="K39:K42" si="152">(J39-H39)/H39</f>
        <v>0.1501360443</v>
      </c>
      <c r="L39" s="350">
        <f>((((((((((((((((((((L18)+(L19))+(L20))+(L21))+(L22))+(L23))+(L24))+(L25))+(L26))+(L27))+(L28))+(L29))+(L30))+(L31))+(L32))+(L33))+(L34))+(L35))+(L36))+(L37))+(L38)</f>
        <v>12190.64</v>
      </c>
      <c r="M39" s="349">
        <f t="shared" ref="M39:M42" si="153">(L39-J39)/J39</f>
        <v>-0.1587080532</v>
      </c>
      <c r="N39" s="112">
        <f>((((((((((((((((((((N18)+(N19))+(N20))+(N21))+(N22))+(N23))+(N24))+(N25))+(N26))+(N27))+(N28))+(N29))+(N30))+(N31))+(N32))+(N33))+(N34))+(N35))+(N36))+(N37))+(N38)</f>
        <v>22079.81</v>
      </c>
      <c r="O39" s="349">
        <f t="shared" ref="O39:O42" si="154">(N39-L39)/L39</f>
        <v>0.8112100759</v>
      </c>
      <c r="P39" s="350">
        <f>((((((((((((((((((((P18)+(P19))+(P20))+(P21))+(P22))+(P23))+(P24))+(P25))+(P26))+(P27))+(P28))+(P29))+(P30))+(P31))+(P32))+(P33))+(P34))+(P35))+(P36))+(P37))+(P38)</f>
        <v>14045.95</v>
      </c>
      <c r="Q39" s="349">
        <f t="shared" ref="Q39:Q42" si="155">(P39-N39)/N39</f>
        <v>-0.3638554861</v>
      </c>
      <c r="R39" s="350">
        <f>((((((((((((((((((((R18)+(R19))+(R20))+(R21))+(R22))+(R23))+(R24))+(R25))+(R26))+(R27))+(R28))+(R29))+(R30))+(R31))+(R32))+(R33))+(R34))+(R35))+(R36))+(R37))+(R38)</f>
        <v>15992.13</v>
      </c>
      <c r="S39" s="349">
        <f t="shared" ref="S39:S42" si="156">(R39-P39)/P39</f>
        <v>0.1385580897</v>
      </c>
      <c r="T39" s="350">
        <f>((((((((((((((((((((T18)+(T19))+(T20))+(T21))+(T22))+(T23))+(T24))+(T25))+(T26))+(T27))+(T28))+(T29))+(T30))+(T31))+(T32))+(T33))+(T34))+(T35))+(T36))+(T37))+(T38)</f>
        <v>17530.44</v>
      </c>
      <c r="U39" s="349">
        <f t="shared" si="147"/>
        <v>0.09619168929</v>
      </c>
      <c r="V39" s="350">
        <f>((((((((((((((((((((V18)+(V19))+(V20))+(V21))+(V22))+(V23))+(V24))+(V25))+(V26))+(V27))+(V28))+(V29))+(V30))+(V31))+(V32))+(V33))+(V34))+(V35))+(V36))+(V37))+(V38)</f>
        <v>16422.63</v>
      </c>
      <c r="W39" s="349">
        <f t="shared" ref="W39:W42" si="157">(V39-T39)/T39</f>
        <v>-0.06319350798</v>
      </c>
      <c r="X39" s="350">
        <f>((((((((((((((((((((X18)+(X19))+(X20))+(X21))+(X22))+(X23))+(X24))+(X25))+(X26))+(X27))+(X28))+(X29))+(X30))+(X31))+(X32))+(X33))+(X34))+(X35))+(X36))+(X37))+(X38)</f>
        <v>35138.71</v>
      </c>
      <c r="Y39" s="349">
        <f t="shared" si="148"/>
        <v>1.13965181</v>
      </c>
      <c r="Z39" s="350">
        <f>((((((((((((((((((((Z18)+(Z19))+(Z20))+(Z21))+(Z22))+(Z23))+(Z24))+(Z25))+(Z26))+(Z27))+(Z28))+(Z29))+(Z30))+(Z31))+(Z32))+(Z33))+(Z34))+(Z35))+(Z36))+(Z37))+(Z38)</f>
        <v>17752.47</v>
      </c>
      <c r="AA39" s="349">
        <f t="shared" ref="AA39:AA42" si="158">(Z39-X39)/X39</f>
        <v>-0.4947887956</v>
      </c>
      <c r="AB39" s="350">
        <f>((((((((((((((((((((AB18)+(AB19))+(AB20))+(AB21))+(AB22))+(AB23))+(AB24))+(AB25))+(AB26))+(AB27))+(AB28))+(AB29))+(AB30))+(AB31))+(AB32))+(AB33))+(AB34))+(AB35))+(AB36))+(AB37))+(AB38)</f>
        <v>18488.61</v>
      </c>
      <c r="AC39" s="349">
        <f t="shared" ref="AC39:AC42" si="159">(AB39-Z39)/Z39</f>
        <v>0.04146690573</v>
      </c>
      <c r="AD39" s="350">
        <f>((((((((((((((((((((AD18)+(AD19))+(AD20))+(AD21))+(AD22))+(AD23))+(AD24))+(AD25))+(AD26))+(AD27))+(AD28))+(AD29))+(AD30))+(AD31))+(AD32))+(AD33))+(AD34))+(AD35))+(AD36))+(AD37))+(AD38)</f>
        <v>19157.75</v>
      </c>
      <c r="AE39" s="349">
        <f t="shared" ref="AE39:AE42" si="160">(AD39-AB39)/AB39</f>
        <v>0.03619201227</v>
      </c>
      <c r="AF39" s="350">
        <f>((((((((((((((((((((AF18)+(AF19))+(AF20))+(AF21))+(AF22))+(AF23))+(AF24))+(AF25))+(AF26))+(AF27))+(AF28))+(AF29))+(AF30))+(AF31))+(AF32))+(AF33))+(AF34))+(AF35))+(AF36))+(AF37))+(AF38)</f>
        <v>17017.52</v>
      </c>
      <c r="AG39" s="349">
        <f t="shared" ref="AG39:AG42" si="161">(AF39-AD39)/AD39</f>
        <v>-0.1117161462</v>
      </c>
      <c r="AH39" s="350">
        <f>((((((((((((((((((((AH18)+(AH19))+(AH20))+(AH21))+(AH22))+(AH23))+(AH24))+(AH25))+(AH26))+(AH27))+(AH28))+(AH29))+(AH30))+(AH31))+(AH32))+(AH33))+(AH34))+(AH35))+(AH36))+(AH37))+(AH38)</f>
        <v>19921.88</v>
      </c>
      <c r="AI39" s="349">
        <f t="shared" ref="AI39:AI42" si="162">(AH39-AF39)/AF39</f>
        <v>0.1706688166</v>
      </c>
      <c r="AJ39" s="350">
        <f>((((((((((((((((((((AJ18)+(AJ19))+(AJ20))+(AJ21))+(AJ22))+(AJ23))+(AJ24))+(AJ25))+(AJ26))+(AJ27))+(AJ28))+(AJ29))+(AJ30))+(AJ31))+(AJ32))+(AJ33))+(AJ34))+(AJ35))+(AJ36))+(AJ37))+(AJ38)</f>
        <v>8540.93</v>
      </c>
      <c r="AK39" s="350">
        <f t="shared" si="40"/>
        <v>288096.76</v>
      </c>
    </row>
    <row r="40" ht="15.75" customHeight="1">
      <c r="A40" s="337" t="s">
        <v>185</v>
      </c>
      <c r="B40" s="112">
        <f>(B15)-(B39)</f>
        <v>23212.17</v>
      </c>
      <c r="C40" s="112"/>
      <c r="D40" s="112">
        <f>(D15)-(D39)</f>
        <v>19295.74</v>
      </c>
      <c r="E40" s="356">
        <f t="shared" si="149"/>
        <v>-0.168723131</v>
      </c>
      <c r="F40" s="112">
        <f>(F15)-(F39)</f>
        <v>15018.42</v>
      </c>
      <c r="G40" s="357">
        <f t="shared" si="150"/>
        <v>-0.2216717265</v>
      </c>
      <c r="H40" s="112">
        <f>(H15)-(H39)</f>
        <v>-4279.22</v>
      </c>
      <c r="I40" s="349">
        <f t="shared" si="151"/>
        <v>-1.284931438</v>
      </c>
      <c r="J40" s="350">
        <f>(J15)-(J39)</f>
        <v>9369.82</v>
      </c>
      <c r="K40" s="349">
        <f t="shared" si="152"/>
        <v>-3.189609321</v>
      </c>
      <c r="L40" s="350">
        <f>(L15)-(L39)</f>
        <v>5246.16</v>
      </c>
      <c r="M40" s="349">
        <f t="shared" si="153"/>
        <v>-0.4401002367</v>
      </c>
      <c r="N40" s="112">
        <f>(N15)-(N39)</f>
        <v>37416.54</v>
      </c>
      <c r="O40" s="349">
        <f t="shared" si="154"/>
        <v>6.132176678</v>
      </c>
      <c r="P40" s="350">
        <f>(P15)-(P39)</f>
        <v>-20915.3</v>
      </c>
      <c r="Q40" s="349">
        <f t="shared" si="155"/>
        <v>-1.558985411</v>
      </c>
      <c r="R40" s="350">
        <f>(R15)-(R39)</f>
        <v>16387.84</v>
      </c>
      <c r="S40" s="349">
        <f t="shared" si="156"/>
        <v>-1.783533585</v>
      </c>
      <c r="T40" s="350">
        <f>(T15)-(T39)</f>
        <v>10352.51</v>
      </c>
      <c r="U40" s="349">
        <f t="shared" si="147"/>
        <v>-0.3682809937</v>
      </c>
      <c r="V40" s="350">
        <f>(V15)-(V39)</f>
        <v>8041.08</v>
      </c>
      <c r="W40" s="349">
        <f t="shared" si="157"/>
        <v>-0.2232724238</v>
      </c>
      <c r="X40" s="350">
        <f>(X15)-(X39)</f>
        <v>-16718.53</v>
      </c>
      <c r="Y40" s="349">
        <f t="shared" si="148"/>
        <v>-3.079139867</v>
      </c>
      <c r="Z40" s="350">
        <f>(Z15)-(Z39)</f>
        <v>30087.96</v>
      </c>
      <c r="AA40" s="349">
        <f t="shared" si="158"/>
        <v>-2.799677364</v>
      </c>
      <c r="AB40" s="350">
        <f>(AB15)-(AB39)</f>
        <v>23062.61</v>
      </c>
      <c r="AC40" s="349">
        <f t="shared" si="159"/>
        <v>-0.2334937297</v>
      </c>
      <c r="AD40" s="350">
        <f>(AD15)-(AD39)</f>
        <v>-8517.11</v>
      </c>
      <c r="AE40" s="349">
        <f t="shared" si="160"/>
        <v>-1.369303821</v>
      </c>
      <c r="AF40" s="350">
        <f>(AF15)-(AF39)</f>
        <v>28666.61</v>
      </c>
      <c r="AG40" s="349">
        <f t="shared" si="161"/>
        <v>-4.365767261</v>
      </c>
      <c r="AH40" s="350">
        <f>(AH15)-(AH39)</f>
        <v>-17824.57</v>
      </c>
      <c r="AI40" s="349">
        <f t="shared" si="162"/>
        <v>-1.621788555</v>
      </c>
      <c r="AJ40" s="350">
        <f>(AJ15)-(AJ39)</f>
        <v>37719.92</v>
      </c>
      <c r="AK40" s="350">
        <f t="shared" si="40"/>
        <v>195622.65</v>
      </c>
    </row>
    <row r="41" ht="15.75" customHeight="1">
      <c r="A41" s="107" t="s">
        <v>186</v>
      </c>
      <c r="B41" s="112">
        <f>(B40)+(0)</f>
        <v>23212.17</v>
      </c>
      <c r="C41" s="112"/>
      <c r="D41" s="112">
        <f>(D40)+(0)</f>
        <v>19295.74</v>
      </c>
      <c r="E41" s="341">
        <f t="shared" si="149"/>
        <v>-0.168723131</v>
      </c>
      <c r="F41" s="112">
        <f>(F40)+(0)</f>
        <v>15018.42</v>
      </c>
      <c r="G41" s="345">
        <f t="shared" si="150"/>
        <v>-0.2216717265</v>
      </c>
      <c r="H41" s="112">
        <f>(H40)+(0)</f>
        <v>-4279.22</v>
      </c>
      <c r="I41" s="345">
        <f t="shared" si="151"/>
        <v>-1.284931438</v>
      </c>
      <c r="J41" s="112">
        <f>(J40)+(0)</f>
        <v>9369.82</v>
      </c>
      <c r="K41" s="345">
        <f t="shared" si="152"/>
        <v>-3.189609321</v>
      </c>
      <c r="L41" s="112">
        <f>(L40)+(0)</f>
        <v>5246.16</v>
      </c>
      <c r="M41" s="345">
        <f t="shared" si="153"/>
        <v>-0.4401002367</v>
      </c>
      <c r="N41" s="112">
        <f>(N40)+(0)</f>
        <v>37416.54</v>
      </c>
      <c r="O41" s="345">
        <f t="shared" si="154"/>
        <v>6.132176678</v>
      </c>
      <c r="P41" s="112">
        <f>(P40)+(0)</f>
        <v>-20915.3</v>
      </c>
      <c r="Q41" s="345">
        <f t="shared" si="155"/>
        <v>-1.558985411</v>
      </c>
      <c r="R41" s="112">
        <f>(R40)+(0)</f>
        <v>16387.84</v>
      </c>
      <c r="S41" s="345">
        <f t="shared" si="156"/>
        <v>-1.783533585</v>
      </c>
      <c r="T41" s="112">
        <f>(T40)+(0)</f>
        <v>10352.51</v>
      </c>
      <c r="U41" s="345">
        <f t="shared" si="147"/>
        <v>-0.3682809937</v>
      </c>
      <c r="V41" s="112">
        <f>(V40)+(0)</f>
        <v>8041.08</v>
      </c>
      <c r="W41" s="345">
        <f t="shared" si="157"/>
        <v>-0.2232724238</v>
      </c>
      <c r="X41" s="112">
        <f>(X40)+(0)</f>
        <v>-16718.53</v>
      </c>
      <c r="Y41" s="345">
        <f t="shared" si="148"/>
        <v>-3.079139867</v>
      </c>
      <c r="Z41" s="112">
        <f>(Z40)+(0)</f>
        <v>30087.96</v>
      </c>
      <c r="AA41" s="345">
        <f t="shared" si="158"/>
        <v>-2.799677364</v>
      </c>
      <c r="AB41" s="112">
        <f>(AB40)+(0)</f>
        <v>23062.61</v>
      </c>
      <c r="AC41" s="345">
        <f t="shared" si="159"/>
        <v>-0.2334937297</v>
      </c>
      <c r="AD41" s="112">
        <f>(AD40)+(0)</f>
        <v>-8517.11</v>
      </c>
      <c r="AE41" s="345">
        <f t="shared" si="160"/>
        <v>-1.369303821</v>
      </c>
      <c r="AF41" s="112">
        <f>(AF40)+(0)</f>
        <v>28666.61</v>
      </c>
      <c r="AG41" s="345">
        <f t="shared" si="161"/>
        <v>-4.365767261</v>
      </c>
      <c r="AH41" s="112">
        <f>(AH40)+(0)</f>
        <v>-17824.57</v>
      </c>
      <c r="AI41" s="345">
        <f t="shared" si="162"/>
        <v>-1.621788555</v>
      </c>
      <c r="AJ41" s="112">
        <f>(AJ40)+(0)</f>
        <v>37719.92</v>
      </c>
      <c r="AK41" s="112">
        <f t="shared" si="40"/>
        <v>195622.65</v>
      </c>
    </row>
    <row r="42" ht="15.75" customHeight="1">
      <c r="A42" s="353" t="s">
        <v>288</v>
      </c>
      <c r="B42" s="358">
        <f>B41/B9</f>
        <v>0.4866099392</v>
      </c>
      <c r="C42" s="358"/>
      <c r="D42" s="358">
        <f>D41/D9</f>
        <v>0.3718399872</v>
      </c>
      <c r="E42" s="346">
        <f t="shared" si="149"/>
        <v>-0.2358561608</v>
      </c>
      <c r="F42" s="358">
        <f>F41/F9</f>
        <v>0.3271653348</v>
      </c>
      <c r="G42" s="340">
        <f t="shared" si="150"/>
        <v>-0.1201448309</v>
      </c>
      <c r="H42" s="358">
        <f>H41/H9</f>
        <v>-0.08757410109</v>
      </c>
      <c r="I42" s="340">
        <f t="shared" si="151"/>
        <v>-1.267675367</v>
      </c>
      <c r="J42" s="358">
        <f>J41/J9</f>
        <v>0.1863543808</v>
      </c>
      <c r="K42" s="340">
        <f t="shared" si="152"/>
        <v>-3.127962246</v>
      </c>
      <c r="L42" s="358">
        <f>L41/L9</f>
        <v>0.1061269771</v>
      </c>
      <c r="M42" s="340">
        <f t="shared" si="153"/>
        <v>-0.4305098888</v>
      </c>
      <c r="N42" s="358">
        <f>N41/N9</f>
        <v>0.3698382189</v>
      </c>
      <c r="O42" s="340">
        <f t="shared" si="154"/>
        <v>2.484865291</v>
      </c>
      <c r="P42" s="358">
        <f>P41/P9</f>
        <v>-0.4250692773</v>
      </c>
      <c r="Q42" s="340">
        <f t="shared" si="155"/>
        <v>-2.149338428</v>
      </c>
      <c r="R42" s="358">
        <f>R41/R9</f>
        <v>0.2056773167</v>
      </c>
      <c r="S42" s="340">
        <f t="shared" si="156"/>
        <v>-1.483867754</v>
      </c>
      <c r="T42" s="358">
        <f>T41/T9</f>
        <v>0.1389839314</v>
      </c>
      <c r="U42" s="340">
        <f t="shared" si="147"/>
        <v>-0.3242622293</v>
      </c>
      <c r="V42" s="358">
        <f>V41/V9</f>
        <v>0.1213500828</v>
      </c>
      <c r="W42" s="340">
        <f t="shared" si="157"/>
        <v>-0.1268768874</v>
      </c>
      <c r="X42" s="358">
        <f>X41/X9</f>
        <v>-0.2125868049</v>
      </c>
      <c r="Y42" s="340">
        <f t="shared" si="148"/>
        <v>-2.751847217</v>
      </c>
      <c r="Z42" s="358">
        <f>Z41/Z9</f>
        <v>0.3767532611</v>
      </c>
      <c r="AA42" s="340">
        <f t="shared" si="158"/>
        <v>-2.772232577</v>
      </c>
      <c r="AB42" s="358">
        <f>AB41/AB9</f>
        <v>0.2586944766</v>
      </c>
      <c r="AC42" s="340">
        <f t="shared" si="159"/>
        <v>-0.3133583613</v>
      </c>
      <c r="AD42" s="358">
        <f>AD41/AD9</f>
        <v>-0.1084972491</v>
      </c>
      <c r="AE42" s="340">
        <f t="shared" si="160"/>
        <v>-1.419403037</v>
      </c>
      <c r="AF42" s="358">
        <f>AF41/AF9</f>
        <v>0.3772345765</v>
      </c>
      <c r="AG42" s="340">
        <f t="shared" si="161"/>
        <v>-4.476904527</v>
      </c>
      <c r="AH42" s="358">
        <f>AH41/AH9</f>
        <v>-0.2878586915</v>
      </c>
      <c r="AI42" s="340">
        <f t="shared" si="162"/>
        <v>-1.763076106</v>
      </c>
      <c r="AJ42" s="358">
        <f t="shared" ref="AJ42:AK42" si="163">AJ41/AJ9</f>
        <v>0.6006619717</v>
      </c>
      <c r="AK42" s="358">
        <f t="shared" si="163"/>
        <v>0.1641483332</v>
      </c>
    </row>
    <row r="43" ht="15.75" customHeight="1"/>
    <row r="44" ht="15.75" customHeight="1">
      <c r="I44" s="359"/>
    </row>
    <row r="45" ht="15.75" customHeight="1">
      <c r="A45" s="185"/>
      <c r="B45" s="360" t="s">
        <v>289</v>
      </c>
    </row>
    <row r="46" ht="15.75" customHeight="1"/>
    <row r="47" ht="15.75" customHeight="1">
      <c r="B47" s="105" t="s">
        <v>290</v>
      </c>
      <c r="C47" s="105"/>
      <c r="D47" s="105" t="s">
        <v>291</v>
      </c>
      <c r="E47" s="105"/>
      <c r="F47" s="105" t="s">
        <v>292</v>
      </c>
      <c r="G47" s="105"/>
      <c r="H47" s="105" t="s">
        <v>293</v>
      </c>
      <c r="I47" s="105"/>
      <c r="J47" s="105" t="s">
        <v>294</v>
      </c>
      <c r="K47" s="105"/>
      <c r="L47" s="105" t="s">
        <v>295</v>
      </c>
      <c r="M47" s="361"/>
      <c r="X47" s="344">
        <f>sum(X40,V40,T40,R40,P40,N40,L40,J40,H40,F40,D40,B40)</f>
        <v>102427.23</v>
      </c>
    </row>
    <row r="48" ht="15.75" customHeight="1">
      <c r="A48" s="353" t="s">
        <v>296</v>
      </c>
      <c r="B48" s="362">
        <f>sum(B9:F9)</f>
        <v>145499.1579</v>
      </c>
      <c r="C48" s="362"/>
      <c r="D48" s="362">
        <f>sum(H9:L9)</f>
        <v>148576.5234</v>
      </c>
      <c r="E48" s="362"/>
      <c r="F48" s="362">
        <f>sum(N9:R9)</f>
        <v>230052.433</v>
      </c>
      <c r="G48" s="362"/>
      <c r="H48" s="363">
        <v>218996.0</v>
      </c>
      <c r="I48" s="362"/>
      <c r="J48" s="363">
        <v>247511.0</v>
      </c>
      <c r="K48" s="362"/>
      <c r="L48" s="362">
        <f>sum(AF9:AJ9)</f>
        <v>200709.7529</v>
      </c>
      <c r="M48" s="36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>
      <c r="M57" s="352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>
      <c r="A68" s="364" t="s">
        <v>297</v>
      </c>
    </row>
    <row r="69" ht="15.75" customHeight="1">
      <c r="A69" s="365">
        <f>(L48/B48)^(1/6)-1</f>
        <v>0.05507823972</v>
      </c>
    </row>
    <row r="70" ht="15.75" customHeight="1">
      <c r="B70" s="105" t="s">
        <v>290</v>
      </c>
      <c r="C70" s="105" t="s">
        <v>291</v>
      </c>
      <c r="D70" s="105" t="s">
        <v>292</v>
      </c>
      <c r="E70" s="105" t="s">
        <v>293</v>
      </c>
      <c r="F70" s="105" t="s">
        <v>298</v>
      </c>
      <c r="G70" s="105" t="s">
        <v>295</v>
      </c>
      <c r="H70" s="361"/>
      <c r="I70" s="361"/>
      <c r="J70" s="361"/>
      <c r="K70" s="361"/>
      <c r="L70" s="361"/>
    </row>
    <row r="71" ht="15.75" customHeight="1">
      <c r="A71" s="353" t="s">
        <v>299</v>
      </c>
      <c r="B71" s="362">
        <f>sum(B15,D15,F15)</f>
        <v>84254.4</v>
      </c>
      <c r="C71" s="362">
        <f>sum(H15,J15,L15)</f>
        <v>49616.62</v>
      </c>
      <c r="D71" s="362">
        <f>sum(N15,P15,R15)</f>
        <v>85006.97</v>
      </c>
      <c r="E71" s="362">
        <f>sum(T15,V15,X15)</f>
        <v>70766.84</v>
      </c>
      <c r="F71" s="362">
        <f>sum(Z15,AB15,AD15)</f>
        <v>100032.29</v>
      </c>
      <c r="G71" s="362">
        <f>sum(AF15,AH15,AJ15)</f>
        <v>94042.29</v>
      </c>
    </row>
    <row r="72" ht="15.75" customHeight="1">
      <c r="A72" s="353" t="s">
        <v>234</v>
      </c>
      <c r="B72" s="362">
        <f>sum(B9,D9,F9)</f>
        <v>145499.07</v>
      </c>
      <c r="C72" s="362">
        <f>sum(H9,J9,L9)</f>
        <v>148576.43</v>
      </c>
      <c r="D72" s="362">
        <f>sum(N9,P9,R9)</f>
        <v>230051.9</v>
      </c>
      <c r="E72" s="362">
        <f>sum(T9,V9,X9)</f>
        <v>219393.9</v>
      </c>
      <c r="F72" s="362">
        <f>sum(Z9,AB9,AD9)</f>
        <v>247511.87</v>
      </c>
      <c r="G72" s="362">
        <f>sum(AF9,AH9,AJ9)</f>
        <v>200709.97</v>
      </c>
      <c r="H72" s="352"/>
    </row>
    <row r="73" ht="15.75" customHeight="1">
      <c r="A73" s="353" t="s">
        <v>300</v>
      </c>
      <c r="B73" s="354">
        <f t="shared" ref="B73:G73" si="164">B71/B72</f>
        <v>0.5790717425</v>
      </c>
      <c r="C73" s="354">
        <f t="shared" si="164"/>
        <v>0.3339467774</v>
      </c>
      <c r="D73" s="354">
        <f t="shared" si="164"/>
        <v>0.3695121405</v>
      </c>
      <c r="E73" s="354">
        <f t="shared" si="164"/>
        <v>0.3225560966</v>
      </c>
      <c r="F73" s="354">
        <f t="shared" si="164"/>
        <v>0.4041514857</v>
      </c>
      <c r="G73" s="354">
        <f t="shared" si="164"/>
        <v>0.4685481743</v>
      </c>
    </row>
    <row r="74" ht="15.75" customHeight="1">
      <c r="B74" s="105" t="s">
        <v>290</v>
      </c>
      <c r="C74" s="105" t="s">
        <v>291</v>
      </c>
      <c r="D74" s="105" t="s">
        <v>292</v>
      </c>
      <c r="E74" s="105" t="s">
        <v>293</v>
      </c>
      <c r="F74" s="105" t="s">
        <v>298</v>
      </c>
      <c r="G74" s="105" t="s">
        <v>295</v>
      </c>
    </row>
    <row r="75" ht="15.75" customHeight="1">
      <c r="B75" s="354">
        <v>0.5790717425204162</v>
      </c>
      <c r="C75" s="354">
        <v>0.3339467774262715</v>
      </c>
      <c r="D75" s="354">
        <v>0.36951214052133446</v>
      </c>
      <c r="E75" s="354">
        <v>0.4989830465966108</v>
      </c>
      <c r="F75" s="354">
        <v>0.13174367243447274</v>
      </c>
      <c r="G75" s="354">
        <v>0.4685481742635904</v>
      </c>
    </row>
    <row r="76" ht="15.75" customHeight="1">
      <c r="A76" s="353"/>
      <c r="B76" s="354"/>
      <c r="C76" s="354"/>
      <c r="D76" s="354"/>
      <c r="E76" s="354"/>
      <c r="F76" s="354"/>
      <c r="G76" s="354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AK1"/>
    <mergeCell ref="B2:AK2"/>
    <mergeCell ref="B3:AK3"/>
    <mergeCell ref="B45:AK45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14"/>
  </cols>
  <sheetData>
    <row r="2">
      <c r="A2" s="366"/>
      <c r="B2" s="367" t="s">
        <v>301</v>
      </c>
      <c r="C2" s="368"/>
      <c r="D2" s="367" t="s">
        <v>302</v>
      </c>
      <c r="E2" s="369"/>
      <c r="F2" s="367" t="s">
        <v>303</v>
      </c>
      <c r="G2" s="369"/>
      <c r="H2" s="367" t="s">
        <v>304</v>
      </c>
      <c r="I2" s="369"/>
      <c r="J2" s="367" t="s">
        <v>305</v>
      </c>
      <c r="K2" s="369"/>
      <c r="L2" s="367" t="s">
        <v>306</v>
      </c>
      <c r="M2" s="370" t="s">
        <v>47</v>
      </c>
    </row>
    <row r="3">
      <c r="A3" s="371" t="s">
        <v>153</v>
      </c>
      <c r="B3" s="372"/>
      <c r="C3" s="373"/>
      <c r="D3" s="140"/>
      <c r="E3" s="374"/>
      <c r="F3" s="140"/>
      <c r="G3" s="373"/>
      <c r="H3" s="140"/>
      <c r="I3" s="373"/>
      <c r="J3" s="140"/>
      <c r="K3" s="373"/>
      <c r="L3" s="140"/>
      <c r="M3" s="245"/>
    </row>
    <row r="4">
      <c r="A4" s="375" t="s">
        <v>154</v>
      </c>
      <c r="B4" s="372">
        <f>SUM('Profit and Loss'!B7,'Profit and Loss'!D7,'Profit and Loss'!F7)</f>
        <v>0</v>
      </c>
      <c r="C4" s="373"/>
      <c r="D4" s="140">
        <f>SUM('Profit and Loss'!H7,'Profit and Loss'!J7,'Profit and Loss'!L7)</f>
        <v>0</v>
      </c>
      <c r="E4" s="376">
        <v>0.0</v>
      </c>
      <c r="F4" s="140">
        <f>SUM('Profit and Loss'!N7,'Profit and Loss'!P7,'Profit and Loss'!R7)</f>
        <v>0</v>
      </c>
      <c r="G4" s="376">
        <v>0.0</v>
      </c>
      <c r="H4" s="140">
        <f>SUM('Profit and Loss'!T7,'Profit and Loss'!V7,'Profit and Loss'!X7)</f>
        <v>0</v>
      </c>
      <c r="I4" s="376">
        <v>0.0</v>
      </c>
      <c r="J4" s="140">
        <f>SUM('Profit and Loss'!Z7,'Profit and Loss'!AB7,'Profit and Loss'!AD7)</f>
        <v>1000</v>
      </c>
      <c r="K4" s="376">
        <v>0.0</v>
      </c>
      <c r="L4" s="140">
        <f>SUM('Profit and Loss'!AF7,'Profit and Loss'!AH7,'Profit and Loss'!AJ7)</f>
        <v>0</v>
      </c>
      <c r="M4" s="377">
        <f t="shared" ref="M4:M6" si="1">SUM(B4,D4,F4,H4,J4,L4)</f>
        <v>1000</v>
      </c>
    </row>
    <row r="5">
      <c r="A5" s="378" t="s">
        <v>155</v>
      </c>
      <c r="B5" s="372">
        <f>SUM('Profit and Loss'!B8,'Profit and Loss'!D8,'Profit and Loss'!F8)</f>
        <v>145499.07</v>
      </c>
      <c r="C5" s="373"/>
      <c r="D5" s="140">
        <f>SUM('Profit and Loss'!H8,'Profit and Loss'!J8,'Profit and Loss'!L8)</f>
        <v>148576.43</v>
      </c>
      <c r="E5" s="374">
        <f t="shared" ref="E5:E6" si="2">(D5-B5)/B5</f>
        <v>0.02115037574</v>
      </c>
      <c r="F5" s="140">
        <f>SUM('Profit and Loss'!N8,'Profit and Loss'!P8,'Profit and Loss'!R8)</f>
        <v>230051.9</v>
      </c>
      <c r="G5" s="374">
        <f t="shared" ref="G5:G6" si="3">(F5-D5)/D5</f>
        <v>0.5483741264</v>
      </c>
      <c r="H5" s="140">
        <f>SUM('Profit and Loss'!T8,'Profit and Loss'!V8,'Profit and Loss'!X8)</f>
        <v>296650.76</v>
      </c>
      <c r="I5" s="374">
        <f t="shared" ref="I5:I6" si="4">(H5-F5)/F5</f>
        <v>0.2894949357</v>
      </c>
      <c r="J5" s="140">
        <f>SUM('Profit and Loss'!Z8,'Profit and Loss'!AB8,'Profit and Loss'!AD8)</f>
        <v>168857.19</v>
      </c>
      <c r="K5" s="374">
        <f t="shared" ref="K5:K6" si="5">(J5-H5)/H5</f>
        <v>-0.4307879407</v>
      </c>
      <c r="L5" s="140">
        <f>SUM('Profit and Loss'!AF8,'Profit and Loss'!AH8,'Profit and Loss'!AJ8)</f>
        <v>200709.97</v>
      </c>
      <c r="M5" s="377">
        <f t="shared" si="1"/>
        <v>1190345.32</v>
      </c>
    </row>
    <row r="6">
      <c r="A6" s="379" t="s">
        <v>156</v>
      </c>
      <c r="B6" s="380">
        <f>SUM('Profit and Loss'!B9,'Profit and Loss'!D9,'Profit and Loss'!F9)</f>
        <v>145499.07</v>
      </c>
      <c r="C6" s="381"/>
      <c r="D6" s="382">
        <f>SUM('Profit and Loss'!H9,'Profit and Loss'!J9,'Profit and Loss'!L9)</f>
        <v>148576.43</v>
      </c>
      <c r="E6" s="383">
        <f t="shared" si="2"/>
        <v>0.02115037574</v>
      </c>
      <c r="F6" s="382">
        <f>SUM('Profit and Loss'!N9,'Profit and Loss'!P9,'Profit and Loss'!R9)</f>
        <v>230051.9</v>
      </c>
      <c r="G6" s="383">
        <f t="shared" si="3"/>
        <v>0.5483741264</v>
      </c>
      <c r="H6" s="382">
        <f>SUM('Profit and Loss'!T9,'Profit and Loss'!V9,'Profit and Loss'!X9)</f>
        <v>219393.9</v>
      </c>
      <c r="I6" s="383">
        <f t="shared" si="4"/>
        <v>-0.04632867627</v>
      </c>
      <c r="J6" s="382">
        <f>SUM('Profit and Loss'!Z9,'Profit and Loss'!AB9,'Profit and Loss'!AD9)</f>
        <v>247511.87</v>
      </c>
      <c r="K6" s="383">
        <f t="shared" si="5"/>
        <v>0.128162041</v>
      </c>
      <c r="L6" s="382">
        <f>SUM('Profit and Loss'!AF9,'Profit and Loss'!AH9,'Profit and Loss'!AJ9)</f>
        <v>200709.97</v>
      </c>
      <c r="M6" s="384">
        <f t="shared" si="1"/>
        <v>1191743.14</v>
      </c>
    </row>
    <row r="7">
      <c r="A7" s="371" t="s">
        <v>157</v>
      </c>
      <c r="B7" s="372"/>
      <c r="C7" s="373"/>
      <c r="D7" s="140"/>
      <c r="E7" s="374"/>
      <c r="F7" s="140"/>
      <c r="G7" s="374"/>
      <c r="H7" s="140"/>
      <c r="I7" s="374"/>
      <c r="J7" s="140"/>
      <c r="K7" s="374"/>
      <c r="L7" s="140"/>
      <c r="M7" s="237"/>
    </row>
    <row r="8">
      <c r="A8" s="375" t="s">
        <v>158</v>
      </c>
      <c r="B8" s="372">
        <f>SUM('Profit and Loss'!B11,'Profit and Loss'!D11,'Profit and Loss'!F11)</f>
        <v>1535.8</v>
      </c>
      <c r="C8" s="373"/>
      <c r="D8" s="140">
        <f>SUM('Profit and Loss'!H11,'Profit and Loss'!J11,'Profit and Loss'!L11)</f>
        <v>25261</v>
      </c>
      <c r="E8" s="374">
        <f t="shared" ref="E8:E13" si="6">(D8-B8)/B8</f>
        <v>15.44810522</v>
      </c>
      <c r="F8" s="140">
        <f>SUM('Profit and Loss'!N11,'Profit and Loss'!P11,'Profit and Loss'!R11)</f>
        <v>50785</v>
      </c>
      <c r="G8" s="374">
        <f t="shared" ref="G8:G13" si="7">(F8-D8)/D8</f>
        <v>1.010411306</v>
      </c>
      <c r="H8" s="140">
        <f>SUM('Profit and Loss'!T11,'Profit and Loss'!V11,'Profit and Loss'!X11)</f>
        <v>42785</v>
      </c>
      <c r="I8" s="374">
        <f t="shared" ref="I8:I13" si="8">(H8-F8)/F8</f>
        <v>-0.1575268288</v>
      </c>
      <c r="J8" s="140">
        <f>SUM('Profit and Loss'!Z11,'Profit and Loss'!AB11,'Profit and Loss'!AD11)</f>
        <v>50848</v>
      </c>
      <c r="K8" s="374">
        <f t="shared" ref="K8:K13" si="9">(J8-H8)/H8</f>
        <v>0.1884538974</v>
      </c>
      <c r="L8" s="140">
        <f>SUM('Profit and Loss'!AF11,'Profit and Loss'!AH11,'Profit and Loss'!AJ11)</f>
        <v>22725</v>
      </c>
      <c r="M8" s="377">
        <f t="shared" ref="M8:M12" si="10">SUM(B8,D8,F8,H8,J8,L8)</f>
        <v>193939.8</v>
      </c>
    </row>
    <row r="9">
      <c r="A9" s="375" t="s">
        <v>159</v>
      </c>
      <c r="B9" s="372">
        <f>SUM('Profit and Loss'!B12,'Profit and Loss'!D12,'Profit and Loss'!F12)</f>
        <v>538.92</v>
      </c>
      <c r="C9" s="373"/>
      <c r="D9" s="140">
        <f>SUM('Profit and Loss'!H12,'Profit and Loss'!J12,'Profit and Loss'!L12)</f>
        <v>305.29</v>
      </c>
      <c r="E9" s="374">
        <f t="shared" si="6"/>
        <v>-0.4335151785</v>
      </c>
      <c r="F9" s="140">
        <f>SUM('Profit and Loss'!N12,'Profit and Loss'!P12,'Profit and Loss'!R12)</f>
        <v>304.05</v>
      </c>
      <c r="G9" s="374">
        <f t="shared" si="7"/>
        <v>-0.004061711815</v>
      </c>
      <c r="H9" s="140">
        <f>SUM('Profit and Loss'!T12,'Profit and Loss'!V12,'Profit and Loss'!X12)</f>
        <v>384.48</v>
      </c>
      <c r="I9" s="374">
        <f t="shared" si="8"/>
        <v>0.2645288604</v>
      </c>
      <c r="J9" s="140">
        <f>SUM('Profit and Loss'!Z12,'Profit and Loss'!AB12,'Profit and Loss'!AD12)</f>
        <v>0</v>
      </c>
      <c r="K9" s="374">
        <f t="shared" si="9"/>
        <v>-1</v>
      </c>
      <c r="L9" s="140">
        <f>SUM('Profit and Loss'!AF12,'Profit and Loss'!AH12,'Profit and Loss'!AJ12)</f>
        <v>0</v>
      </c>
      <c r="M9" s="377">
        <f t="shared" si="10"/>
        <v>1532.74</v>
      </c>
    </row>
    <row r="10">
      <c r="A10" s="375" t="s">
        <v>160</v>
      </c>
      <c r="B10" s="372">
        <f>SUM('Profit and Loss'!B13,'Profit and Loss'!D13,'Profit and Loss'!F13)</f>
        <v>59169.95</v>
      </c>
      <c r="C10" s="373"/>
      <c r="D10" s="140">
        <f>SUM('Profit and Loss'!H13,'Profit and Loss'!J13,'Profit and Loss'!L13)</f>
        <v>73393.52</v>
      </c>
      <c r="E10" s="374">
        <f t="shared" si="6"/>
        <v>0.2403850265</v>
      </c>
      <c r="F10" s="140">
        <f>SUM('Profit and Loss'!N13,'Profit and Loss'!P13,'Profit and Loss'!R13)</f>
        <v>93955.88</v>
      </c>
      <c r="G10" s="374">
        <f t="shared" si="7"/>
        <v>0.2801658784</v>
      </c>
      <c r="H10" s="140">
        <f>SUM('Profit and Loss'!T13,'Profit and Loss'!V13,'Profit and Loss'!X13)</f>
        <v>105457.58</v>
      </c>
      <c r="I10" s="374">
        <f t="shared" si="8"/>
        <v>0.122415968</v>
      </c>
      <c r="J10" s="140">
        <f>SUM('Profit and Loss'!Z13,'Profit and Loss'!AB13,'Profit and Loss'!AD13)</f>
        <v>96631.58</v>
      </c>
      <c r="K10" s="374">
        <f t="shared" si="9"/>
        <v>-0.08369241926</v>
      </c>
      <c r="L10" s="140">
        <f>SUM('Profit and Loss'!AF13,'Profit and Loss'!AH13,'Profit and Loss'!AJ13)</f>
        <v>83942.68</v>
      </c>
      <c r="M10" s="377">
        <f t="shared" si="10"/>
        <v>512551.19</v>
      </c>
    </row>
    <row r="11">
      <c r="A11" s="385" t="s">
        <v>161</v>
      </c>
      <c r="B11" s="380">
        <f>SUM('Profit and Loss'!B14,'Profit and Loss'!D14,'Profit and Loss'!F14)</f>
        <v>61244.67</v>
      </c>
      <c r="C11" s="381"/>
      <c r="D11" s="382">
        <f>SUM('Profit and Loss'!H14,'Profit and Loss'!J14,'Profit and Loss'!L14)</f>
        <v>98959.81</v>
      </c>
      <c r="E11" s="383">
        <f t="shared" si="6"/>
        <v>0.6158109759</v>
      </c>
      <c r="F11" s="382">
        <f>SUM('Profit and Loss'!N14,'Profit and Loss'!P14,'Profit and Loss'!R14)</f>
        <v>145044.93</v>
      </c>
      <c r="G11" s="383">
        <f t="shared" si="7"/>
        <v>0.4656953161</v>
      </c>
      <c r="H11" s="382">
        <f>SUM('Profit and Loss'!T14,'Profit and Loss'!V14,'Profit and Loss'!X14)</f>
        <v>148627.06</v>
      </c>
      <c r="I11" s="383">
        <f t="shared" si="8"/>
        <v>0.02469669226</v>
      </c>
      <c r="J11" s="382">
        <f>SUM('Profit and Loss'!Z14,'Profit and Loss'!AB14,'Profit and Loss'!AD14)</f>
        <v>147479.58</v>
      </c>
      <c r="K11" s="383">
        <f t="shared" si="9"/>
        <v>-0.007720532183</v>
      </c>
      <c r="L11" s="382">
        <f>SUM('Profit and Loss'!AF14,'Profit and Loss'!AH14,'Profit and Loss'!AJ14)</f>
        <v>106667.68</v>
      </c>
      <c r="M11" s="384">
        <f t="shared" si="10"/>
        <v>708023.73</v>
      </c>
    </row>
    <row r="12">
      <c r="A12" s="379" t="s">
        <v>162</v>
      </c>
      <c r="B12" s="386">
        <f>SUM('Profit and Loss'!B15,'Profit and Loss'!D15,'Profit and Loss'!F15)</f>
        <v>84254.4</v>
      </c>
      <c r="C12" s="387"/>
      <c r="D12" s="388">
        <f>SUM('Profit and Loss'!H15,'Profit and Loss'!J15,'Profit and Loss'!L15)</f>
        <v>49616.62</v>
      </c>
      <c r="E12" s="383">
        <f t="shared" si="6"/>
        <v>-0.4111094495</v>
      </c>
      <c r="F12" s="382">
        <f>SUM('Profit and Loss'!N15,'Profit and Loss'!P15,'Profit and Loss'!R15)</f>
        <v>85006.97</v>
      </c>
      <c r="G12" s="383">
        <f t="shared" si="7"/>
        <v>0.7132761159</v>
      </c>
      <c r="H12" s="382">
        <f>SUM('Profit and Loss'!T15,'Profit and Loss'!V15,'Profit and Loss'!X15)</f>
        <v>70766.84</v>
      </c>
      <c r="I12" s="383">
        <f t="shared" si="8"/>
        <v>-0.1675172048</v>
      </c>
      <c r="J12" s="382">
        <f>SUM('Profit and Loss'!Z15,'Profit and Loss'!AB15,'Profit and Loss'!AD15)</f>
        <v>100032.29</v>
      </c>
      <c r="K12" s="383">
        <f t="shared" si="9"/>
        <v>0.4135475033</v>
      </c>
      <c r="L12" s="382">
        <f>SUM('Profit and Loss'!AF15,'Profit and Loss'!AH15,'Profit and Loss'!AJ15)</f>
        <v>94042.29</v>
      </c>
      <c r="M12" s="384">
        <f t="shared" si="10"/>
        <v>483719.41</v>
      </c>
    </row>
    <row r="13">
      <c r="A13" s="389" t="s">
        <v>287</v>
      </c>
      <c r="B13" s="390">
        <f>(B6-B11)/B6</f>
        <v>0.5790717425</v>
      </c>
      <c r="C13" s="391"/>
      <c r="D13" s="390">
        <f>(D6-D11)/D6</f>
        <v>0.3339467774</v>
      </c>
      <c r="E13" s="392">
        <f t="shared" si="6"/>
        <v>-0.4233067288</v>
      </c>
      <c r="F13" s="390">
        <f>(F6-F11)/F6</f>
        <v>0.3695121405</v>
      </c>
      <c r="G13" s="392">
        <f t="shared" si="7"/>
        <v>0.1065000937</v>
      </c>
      <c r="H13" s="390">
        <f>(H6-H11)/H6</f>
        <v>0.3225560966</v>
      </c>
      <c r="I13" s="392">
        <f t="shared" si="8"/>
        <v>-0.1270757812</v>
      </c>
      <c r="J13" s="390">
        <f>(J6-J11)/J6</f>
        <v>0.4041514857</v>
      </c>
      <c r="K13" s="392">
        <f t="shared" si="9"/>
        <v>0.2529649572</v>
      </c>
      <c r="L13" s="390">
        <f t="shared" ref="L13:M13" si="11">(L6-L11)/L6</f>
        <v>0.4685481743</v>
      </c>
      <c r="M13" s="393">
        <f t="shared" si="11"/>
        <v>0.4058923385</v>
      </c>
    </row>
    <row r="14">
      <c r="A14" s="375" t="s">
        <v>15</v>
      </c>
      <c r="B14" s="372"/>
      <c r="C14" s="373"/>
      <c r="D14" s="140"/>
      <c r="E14" s="374"/>
      <c r="F14" s="140"/>
      <c r="G14" s="374"/>
      <c r="H14" s="140"/>
      <c r="I14" s="374"/>
      <c r="J14" s="140"/>
      <c r="K14" s="374"/>
      <c r="L14" s="140"/>
      <c r="M14" s="377">
        <f t="shared" ref="M14:M38" si="12">SUM(B14,D14,F14,H14,J14,L14)</f>
        <v>0</v>
      </c>
    </row>
    <row r="15">
      <c r="A15" s="375" t="s">
        <v>163</v>
      </c>
      <c r="B15" s="372">
        <f>SUM('Profit and Loss'!B18,'Profit and Loss'!D18,'Profit and Loss'!F18)</f>
        <v>524.86</v>
      </c>
      <c r="C15" s="373"/>
      <c r="D15" s="140">
        <f>SUM('Profit and Loss'!H18,'Profit and Loss'!J18,'Profit and Loss'!L18)</f>
        <v>207.23</v>
      </c>
      <c r="E15" s="374">
        <f t="shared" ref="E15:E19" si="13">(D15-B15)/B15</f>
        <v>-0.6051709027</v>
      </c>
      <c r="F15" s="140">
        <f>SUM('Profit and Loss'!N18,'Profit and Loss'!P18,'Profit and Loss'!R18)</f>
        <v>156.07</v>
      </c>
      <c r="G15" s="374">
        <f>(F15-D15)/D15</f>
        <v>-0.2468754524</v>
      </c>
      <c r="H15" s="140">
        <f>SUM('Profit and Loss'!T18,'Profit and Loss'!V18,'Profit and Loss'!X18)</f>
        <v>1260.52</v>
      </c>
      <c r="I15" s="374">
        <f>(H15-F15)/F15</f>
        <v>7.07663228</v>
      </c>
      <c r="J15" s="140">
        <f>SUM('Profit and Loss'!Z18,'Profit and Loss'!AB18,'Profit and Loss'!AD18)</f>
        <v>311.79</v>
      </c>
      <c r="K15" s="374">
        <f t="shared" ref="K15:K20" si="14">(J15-H15)/H15</f>
        <v>-0.7526497001</v>
      </c>
      <c r="L15" s="140">
        <f>SUM('Profit and Loss'!AF18,'Profit and Loss'!AH18,'Profit and Loss'!AJ18)</f>
        <v>297.18</v>
      </c>
      <c r="M15" s="377">
        <f t="shared" si="12"/>
        <v>2757.65</v>
      </c>
    </row>
    <row r="16">
      <c r="A16" s="375" t="s">
        <v>164</v>
      </c>
      <c r="B16" s="372">
        <f>SUM('Profit and Loss'!B19,'Profit and Loss'!D19,'Profit and Loss'!F19)</f>
        <v>671.5</v>
      </c>
      <c r="C16" s="373"/>
      <c r="D16" s="140">
        <f>SUM('Profit and Loss'!H19,'Profit and Loss'!J19,'Profit and Loss'!L19)</f>
        <v>0</v>
      </c>
      <c r="E16" s="374">
        <f t="shared" si="13"/>
        <v>-1</v>
      </c>
      <c r="F16" s="140">
        <f>SUM('Profit and Loss'!N19,'Profit and Loss'!P19,'Profit and Loss'!R19)</f>
        <v>0</v>
      </c>
      <c r="G16" s="376">
        <v>0.0</v>
      </c>
      <c r="H16" s="140">
        <f>SUM('Profit and Loss'!T19,'Profit and Loss'!V19,'Profit and Loss'!X19)</f>
        <v>14035.42</v>
      </c>
      <c r="I16" s="376">
        <v>0.0</v>
      </c>
      <c r="J16" s="140">
        <f>SUM('Profit and Loss'!Z19,'Profit and Loss'!AB19,'Profit and Loss'!AD19)</f>
        <v>0</v>
      </c>
      <c r="K16" s="374">
        <f t="shared" si="14"/>
        <v>-1</v>
      </c>
      <c r="L16" s="140">
        <f>SUM('Profit and Loss'!AF19,'Profit and Loss'!AH19,'Profit and Loss'!AJ19)</f>
        <v>0</v>
      </c>
      <c r="M16" s="377">
        <f t="shared" si="12"/>
        <v>14706.92</v>
      </c>
    </row>
    <row r="17">
      <c r="A17" s="375" t="s">
        <v>165</v>
      </c>
      <c r="B17" s="372">
        <f>SUM('Profit and Loss'!B20,'Profit and Loss'!D20,'Profit and Loss'!F20)</f>
        <v>56.06</v>
      </c>
      <c r="C17" s="373"/>
      <c r="D17" s="140">
        <f>SUM('Profit and Loss'!H20,'Profit and Loss'!J20,'Profit and Loss'!L20)</f>
        <v>833.79</v>
      </c>
      <c r="E17" s="374">
        <f t="shared" si="13"/>
        <v>13.8731716</v>
      </c>
      <c r="F17" s="140">
        <f>SUM('Profit and Loss'!N20,'Profit and Loss'!P20,'Profit and Loss'!R20)</f>
        <v>700.08</v>
      </c>
      <c r="G17" s="374">
        <f t="shared" ref="G17:G20" si="15">(F17-D17)/D17</f>
        <v>-0.1603641205</v>
      </c>
      <c r="H17" s="140">
        <f>SUM('Profit and Loss'!T20,'Profit and Loss'!V20,'Profit and Loss'!X20)</f>
        <v>813.9</v>
      </c>
      <c r="I17" s="374">
        <f t="shared" ref="I17:I20" si="16">(H17-F17)/F17</f>
        <v>0.1625814193</v>
      </c>
      <c r="J17" s="140">
        <f>SUM('Profit and Loss'!Z20,'Profit and Loss'!AB20,'Profit and Loss'!AD20)</f>
        <v>434.66</v>
      </c>
      <c r="K17" s="374">
        <f t="shared" si="14"/>
        <v>-0.4659540484</v>
      </c>
      <c r="L17" s="140">
        <f>SUM('Profit and Loss'!AF20,'Profit and Loss'!AH20,'Profit and Loss'!AJ20)</f>
        <v>813.15</v>
      </c>
      <c r="M17" s="377">
        <f t="shared" si="12"/>
        <v>3651.64</v>
      </c>
    </row>
    <row r="18">
      <c r="A18" s="375" t="s">
        <v>166</v>
      </c>
      <c r="B18" s="372">
        <f>SUM('Profit and Loss'!B21,'Profit and Loss'!D21,'Profit and Loss'!F21)</f>
        <v>25.76</v>
      </c>
      <c r="C18" s="373"/>
      <c r="D18" s="140">
        <f>SUM('Profit and Loss'!H21,'Profit and Loss'!J21,'Profit and Loss'!L21)</f>
        <v>26.03</v>
      </c>
      <c r="E18" s="374">
        <f t="shared" si="13"/>
        <v>0.01048136646</v>
      </c>
      <c r="F18" s="140">
        <f>SUM('Profit and Loss'!N21,'Profit and Loss'!P21,'Profit and Loss'!R21)</f>
        <v>1</v>
      </c>
      <c r="G18" s="374">
        <f t="shared" si="15"/>
        <v>-0.9615827891</v>
      </c>
      <c r="H18" s="140">
        <f>SUM('Profit and Loss'!T21,'Profit and Loss'!V21,'Profit and Loss'!X21)</f>
        <v>425.44</v>
      </c>
      <c r="I18" s="374">
        <f t="shared" si="16"/>
        <v>424.44</v>
      </c>
      <c r="J18" s="140">
        <f>SUM('Profit and Loss'!Z21,'Profit and Loss'!AB21,'Profit and Loss'!AD21)</f>
        <v>1546.78</v>
      </c>
      <c r="K18" s="374">
        <f t="shared" si="14"/>
        <v>2.635718315</v>
      </c>
      <c r="L18" s="140">
        <f>SUM('Profit and Loss'!AF21,'Profit and Loss'!AH21,'Profit and Loss'!AJ21)</f>
        <v>11</v>
      </c>
      <c r="M18" s="377">
        <f t="shared" si="12"/>
        <v>2036.01</v>
      </c>
    </row>
    <row r="19">
      <c r="A19" s="375" t="s">
        <v>167</v>
      </c>
      <c r="B19" s="372">
        <f>SUM('Profit and Loss'!B22,'Profit and Loss'!D22,'Profit and Loss'!F22)</f>
        <v>250</v>
      </c>
      <c r="C19" s="373"/>
      <c r="D19" s="140">
        <f>SUM('Profit and Loss'!H22,'Profit and Loss'!J22,'Profit and Loss'!L22)</f>
        <v>856.63</v>
      </c>
      <c r="E19" s="374">
        <f t="shared" si="13"/>
        <v>2.42652</v>
      </c>
      <c r="F19" s="140">
        <f>SUM('Profit and Loss'!N22,'Profit and Loss'!P22,'Profit and Loss'!R22)</f>
        <v>1500.56</v>
      </c>
      <c r="G19" s="374">
        <f t="shared" si="15"/>
        <v>0.7517014347</v>
      </c>
      <c r="H19" s="140">
        <f>SUM('Profit and Loss'!T22,'Profit and Loss'!V22,'Profit and Loss'!X22)</f>
        <v>1285.32</v>
      </c>
      <c r="I19" s="374">
        <f t="shared" si="16"/>
        <v>-0.1434397825</v>
      </c>
      <c r="J19" s="140">
        <f>SUM('Profit and Loss'!Z22,'Profit and Loss'!AB22,'Profit and Loss'!AD22)</f>
        <v>1000</v>
      </c>
      <c r="K19" s="374">
        <f t="shared" si="14"/>
        <v>-0.2219836305</v>
      </c>
      <c r="L19" s="140">
        <f>SUM('Profit and Loss'!AF22,'Profit and Loss'!AH22,'Profit and Loss'!AJ22)</f>
        <v>401</v>
      </c>
      <c r="M19" s="377">
        <f t="shared" si="12"/>
        <v>5293.51</v>
      </c>
    </row>
    <row r="20">
      <c r="A20" s="375" t="s">
        <v>168</v>
      </c>
      <c r="B20" s="372">
        <f>SUM('Profit and Loss'!B23,'Profit and Loss'!D23,'Profit and Loss'!F23)</f>
        <v>0</v>
      </c>
      <c r="C20" s="373"/>
      <c r="D20" s="140">
        <f>SUM('Profit and Loss'!H23,'Profit and Loss'!J23,'Profit and Loss'!L23)</f>
        <v>42</v>
      </c>
      <c r="E20" s="376">
        <v>0.0</v>
      </c>
      <c r="F20" s="140">
        <f>SUM('Profit and Loss'!N23,'Profit and Loss'!P23,'Profit and Loss'!R23)</f>
        <v>80</v>
      </c>
      <c r="G20" s="374">
        <f t="shared" si="15"/>
        <v>0.9047619048</v>
      </c>
      <c r="H20" s="140">
        <f>SUM('Profit and Loss'!T23,'Profit and Loss'!V23,'Profit and Loss'!X23)</f>
        <v>60</v>
      </c>
      <c r="I20" s="374">
        <f t="shared" si="16"/>
        <v>-0.25</v>
      </c>
      <c r="J20" s="140">
        <f>SUM('Profit and Loss'!Z23,'Profit and Loss'!AB23,'Profit and Loss'!AD23)</f>
        <v>100</v>
      </c>
      <c r="K20" s="374">
        <f t="shared" si="14"/>
        <v>0.6666666667</v>
      </c>
      <c r="L20" s="140">
        <f>SUM('Profit and Loss'!AF23,'Profit and Loss'!AH23,'Profit and Loss'!AJ23)</f>
        <v>117.9</v>
      </c>
      <c r="M20" s="377">
        <f t="shared" si="12"/>
        <v>399.9</v>
      </c>
    </row>
    <row r="21">
      <c r="A21" s="375" t="s">
        <v>169</v>
      </c>
      <c r="B21" s="372">
        <f>SUM('Profit and Loss'!B24,'Profit and Loss'!D24,'Profit and Loss'!F24)</f>
        <v>0</v>
      </c>
      <c r="C21" s="373"/>
      <c r="D21" s="140">
        <f>SUM('Profit and Loss'!H24,'Profit and Loss'!J24,'Profit and Loss'!L24)</f>
        <v>0</v>
      </c>
      <c r="E21" s="376">
        <v>0.0</v>
      </c>
      <c r="F21" s="140">
        <f>SUM('Profit and Loss'!N24,'Profit and Loss'!P24,'Profit and Loss'!R24)</f>
        <v>0</v>
      </c>
      <c r="G21" s="376">
        <v>0.0</v>
      </c>
      <c r="H21" s="140">
        <f>SUM('Profit and Loss'!T24,'Profit and Loss'!V24,'Profit and Loss'!X24)</f>
        <v>0</v>
      </c>
      <c r="I21" s="376">
        <v>0.0</v>
      </c>
      <c r="J21" s="140">
        <f>SUM('Profit and Loss'!Z24,'Profit and Loss'!AB24,'Profit and Loss'!AD24)</f>
        <v>105.55</v>
      </c>
      <c r="K21" s="376">
        <v>0.0</v>
      </c>
      <c r="L21" s="140">
        <f>SUM('Profit and Loss'!AF24,'Profit and Loss'!AH24,'Profit and Loss'!AJ24)</f>
        <v>53.36</v>
      </c>
      <c r="M21" s="377">
        <f t="shared" si="12"/>
        <v>158.91</v>
      </c>
    </row>
    <row r="22">
      <c r="A22" s="375" t="s">
        <v>170</v>
      </c>
      <c r="B22" s="372">
        <f>SUM('Profit and Loss'!B25,'Profit and Loss'!D25,'Profit and Loss'!F25)</f>
        <v>0</v>
      </c>
      <c r="C22" s="373"/>
      <c r="D22" s="140">
        <f>SUM('Profit and Loss'!H25,'Profit and Loss'!J25,'Profit and Loss'!L25)</f>
        <v>0</v>
      </c>
      <c r="E22" s="376">
        <v>0.0</v>
      </c>
      <c r="F22" s="140">
        <f>SUM('Profit and Loss'!N25,'Profit and Loss'!P25,'Profit and Loss'!R25)</f>
        <v>0</v>
      </c>
      <c r="G22" s="376">
        <v>0.0</v>
      </c>
      <c r="H22" s="140">
        <f>SUM('Profit and Loss'!T25,'Profit and Loss'!V25,'Profit and Loss'!X25)</f>
        <v>0</v>
      </c>
      <c r="I22" s="376">
        <v>0.0</v>
      </c>
      <c r="J22" s="140">
        <f>SUM('Profit and Loss'!Z25,'Profit and Loss'!AB25,'Profit and Loss'!AD25)</f>
        <v>153.33</v>
      </c>
      <c r="K22" s="376">
        <v>0.0</v>
      </c>
      <c r="L22" s="140">
        <f>SUM('Profit and Loss'!AF25,'Profit and Loss'!AH25,'Profit and Loss'!AJ25)</f>
        <v>0</v>
      </c>
      <c r="M22" s="377">
        <f t="shared" si="12"/>
        <v>153.33</v>
      </c>
    </row>
    <row r="23">
      <c r="A23" s="375" t="s">
        <v>172</v>
      </c>
      <c r="B23" s="372">
        <f>SUM('Profit and Loss'!B26,'Profit and Loss'!D26,'Profit and Loss'!F26)</f>
        <v>271.64</v>
      </c>
      <c r="C23" s="373"/>
      <c r="D23" s="140">
        <f>SUM('Profit and Loss'!H26,'Profit and Loss'!J26,'Profit and Loss'!L26)</f>
        <v>575.76</v>
      </c>
      <c r="E23" s="374">
        <f t="shared" ref="E23:E24" si="17">(D23-B23)/B23</f>
        <v>1.119570019</v>
      </c>
      <c r="F23" s="140">
        <f>SUM('Profit and Loss'!N26,'Profit and Loss'!P26,'Profit and Loss'!R26)</f>
        <v>465.42</v>
      </c>
      <c r="G23" s="374">
        <f t="shared" ref="G23:G24" si="18">(F23-D23)/D23</f>
        <v>-0.191642351</v>
      </c>
      <c r="H23" s="140">
        <f>SUM('Profit and Loss'!T26,'Profit and Loss'!V26,'Profit and Loss'!X26)</f>
        <v>1381</v>
      </c>
      <c r="I23" s="374">
        <f t="shared" ref="I23:I24" si="19">(H23-F23)/F23</f>
        <v>1.96721241</v>
      </c>
      <c r="J23" s="140">
        <f>SUM('Profit and Loss'!Z26,'Profit and Loss'!AB26,'Profit and Loss'!AD26)</f>
        <v>577.17</v>
      </c>
      <c r="K23" s="374">
        <f t="shared" ref="K23:K24" si="20">(J23-H23)/H23</f>
        <v>-0.5820637219</v>
      </c>
      <c r="L23" s="140">
        <f>SUM('Profit and Loss'!AF26,'Profit and Loss'!AH26,'Profit and Loss'!AJ26)</f>
        <v>372.9</v>
      </c>
      <c r="M23" s="377">
        <f t="shared" si="12"/>
        <v>3643.89</v>
      </c>
    </row>
    <row r="24">
      <c r="A24" s="375" t="s">
        <v>173</v>
      </c>
      <c r="B24" s="372">
        <f>SUM('Profit and Loss'!B27,'Profit and Loss'!D27,'Profit and Loss'!F27)</f>
        <v>1367.3</v>
      </c>
      <c r="C24" s="373"/>
      <c r="D24" s="140">
        <f>SUM('Profit and Loss'!H27,'Profit and Loss'!J27,'Profit and Loss'!L27)</f>
        <v>1398.62</v>
      </c>
      <c r="E24" s="374">
        <f t="shared" si="17"/>
        <v>0.02290645798</v>
      </c>
      <c r="F24" s="140">
        <f>SUM('Profit and Loss'!N27,'Profit and Loss'!P27,'Profit and Loss'!R27)</f>
        <v>1693.98</v>
      </c>
      <c r="G24" s="374">
        <f t="shared" si="18"/>
        <v>0.2111795913</v>
      </c>
      <c r="H24" s="140">
        <f>SUM('Profit and Loss'!T27,'Profit and Loss'!V27,'Profit and Loss'!X27)</f>
        <v>4113.36</v>
      </c>
      <c r="I24" s="374">
        <f t="shared" si="19"/>
        <v>1.428222293</v>
      </c>
      <c r="J24" s="140">
        <f>SUM('Profit and Loss'!Z27,'Profit and Loss'!AB27,'Profit and Loss'!AD27)</f>
        <v>3054.82</v>
      </c>
      <c r="K24" s="374">
        <f t="shared" si="20"/>
        <v>-0.2573419297</v>
      </c>
      <c r="L24" s="140">
        <f>SUM('Profit and Loss'!AF27,'Profit and Loss'!AH27,'Profit and Loss'!AJ27)</f>
        <v>668</v>
      </c>
      <c r="M24" s="377">
        <f t="shared" si="12"/>
        <v>12296.08</v>
      </c>
    </row>
    <row r="25">
      <c r="A25" s="375" t="s">
        <v>174</v>
      </c>
      <c r="B25" s="372">
        <f>SUM('Profit and Loss'!B28,'Profit and Loss'!D28,'Profit and Loss'!F28)</f>
        <v>0</v>
      </c>
      <c r="C25" s="373"/>
      <c r="D25" s="140">
        <f>SUM('Profit and Loss'!H28,'Profit and Loss'!J28,'Profit and Loss'!L28)</f>
        <v>0</v>
      </c>
      <c r="E25" s="376">
        <v>0.0</v>
      </c>
      <c r="F25" s="140">
        <f>SUM('Profit and Loss'!N28,'Profit and Loss'!P28,'Profit and Loss'!R28)</f>
        <v>0</v>
      </c>
      <c r="G25" s="376">
        <v>0.0</v>
      </c>
      <c r="H25" s="140">
        <f>SUM('Profit and Loss'!T28,'Profit and Loss'!V28,'Profit and Loss'!X28)</f>
        <v>0</v>
      </c>
      <c r="I25" s="376">
        <v>0.0</v>
      </c>
      <c r="J25" s="140">
        <f>SUM('Profit and Loss'!Z28,'Profit and Loss'!AB28,'Profit and Loss'!AD28)</f>
        <v>0</v>
      </c>
      <c r="K25" s="376">
        <v>0.0</v>
      </c>
      <c r="L25" s="140">
        <f>SUM('Profit and Loss'!AF28,'Profit and Loss'!AH28,'Profit and Loss'!AJ28)</f>
        <v>0</v>
      </c>
      <c r="M25" s="377">
        <f t="shared" si="12"/>
        <v>0</v>
      </c>
    </row>
    <row r="26">
      <c r="A26" s="375" t="s">
        <v>175</v>
      </c>
      <c r="B26" s="372">
        <f>SUM('Profit and Loss'!B29,'Profit and Loss'!D29,'Profit and Loss'!F29)</f>
        <v>0</v>
      </c>
      <c r="C26" s="373"/>
      <c r="D26" s="140">
        <f>SUM('Profit and Loss'!H29,'Profit and Loss'!J29,'Profit and Loss'!L29)</f>
        <v>0</v>
      </c>
      <c r="E26" s="376">
        <v>0.0</v>
      </c>
      <c r="F26" s="140">
        <f>SUM('Profit and Loss'!N29,'Profit and Loss'!P29,'Profit and Loss'!R29)</f>
        <v>0</v>
      </c>
      <c r="G26" s="376">
        <v>0.0</v>
      </c>
      <c r="H26" s="140">
        <f>SUM('Profit and Loss'!T29,'Profit and Loss'!V29,'Profit and Loss'!X29)</f>
        <v>0</v>
      </c>
      <c r="I26" s="376">
        <v>0.0</v>
      </c>
      <c r="J26" s="140">
        <f>SUM('Profit and Loss'!Z29,'Profit and Loss'!AB29,'Profit and Loss'!AD29)</f>
        <v>306.86</v>
      </c>
      <c r="K26" s="376">
        <v>0.0</v>
      </c>
      <c r="L26" s="140">
        <f>SUM('Profit and Loss'!AF29,'Profit and Loss'!AH29,'Profit and Loss'!AJ29)</f>
        <v>0</v>
      </c>
      <c r="M26" s="377">
        <f t="shared" si="12"/>
        <v>306.86</v>
      </c>
    </row>
    <row r="27">
      <c r="A27" s="375" t="s">
        <v>176</v>
      </c>
      <c r="B27" s="372">
        <f>SUM('Profit and Loss'!B30,'Profit and Loss'!D30,'Profit and Loss'!F30)</f>
        <v>977.42</v>
      </c>
      <c r="C27" s="373"/>
      <c r="D27" s="140">
        <f>SUM('Profit and Loss'!H30,'Profit and Loss'!J30,'Profit and Loss'!L30)</f>
        <v>1135.98</v>
      </c>
      <c r="E27" s="374">
        <f>(D27-B27)/B27</f>
        <v>0.1622229952</v>
      </c>
      <c r="F27" s="140">
        <f>SUM('Profit and Loss'!N30,'Profit and Loss'!P30,'Profit and Loss'!R30)</f>
        <v>1121.06</v>
      </c>
      <c r="G27" s="374">
        <f>(F27-D27)/D27</f>
        <v>-0.01313403405</v>
      </c>
      <c r="H27" s="140">
        <f>SUM('Profit and Loss'!T30,'Profit and Loss'!V30,'Profit and Loss'!X30)</f>
        <v>1110.4</v>
      </c>
      <c r="I27" s="374">
        <f>(H27-F27)/F27</f>
        <v>-0.009508857688</v>
      </c>
      <c r="J27" s="140">
        <f>SUM('Profit and Loss'!Z30,'Profit and Loss'!AB30,'Profit and Loss'!AD30)</f>
        <v>1261.5</v>
      </c>
      <c r="K27" s="374">
        <f t="shared" ref="K27:K28" si="21">(J27-H27)/H27</f>
        <v>0.1360770893</v>
      </c>
      <c r="L27" s="140">
        <f>SUM('Profit and Loss'!AF30,'Profit and Loss'!AH30,'Profit and Loss'!AJ30)</f>
        <v>451.94</v>
      </c>
      <c r="M27" s="377">
        <f t="shared" si="12"/>
        <v>6058.3</v>
      </c>
    </row>
    <row r="28">
      <c r="A28" s="375" t="s">
        <v>177</v>
      </c>
      <c r="B28" s="372">
        <f>SUM('Profit and Loss'!B31,'Profit and Loss'!D31,'Profit and Loss'!F31)</f>
        <v>0</v>
      </c>
      <c r="C28" s="373"/>
      <c r="D28" s="140">
        <f>SUM('Profit and Loss'!H31,'Profit and Loss'!J31,'Profit and Loss'!L31)</f>
        <v>0</v>
      </c>
      <c r="E28" s="376">
        <v>0.0</v>
      </c>
      <c r="F28" s="140">
        <f>SUM('Profit and Loss'!N31,'Profit and Loss'!P31,'Profit and Loss'!R31)</f>
        <v>0</v>
      </c>
      <c r="G28" s="376">
        <v>0.0</v>
      </c>
      <c r="H28" s="140">
        <f>SUM('Profit and Loss'!T31,'Profit and Loss'!V31,'Profit and Loss'!X31)</f>
        <v>259.39</v>
      </c>
      <c r="I28" s="376">
        <v>0.0</v>
      </c>
      <c r="J28" s="140">
        <f>SUM('Profit and Loss'!Z31,'Profit and Loss'!AB31,'Profit and Loss'!AD31)</f>
        <v>5</v>
      </c>
      <c r="K28" s="374">
        <f t="shared" si="21"/>
        <v>-0.9807240063</v>
      </c>
      <c r="L28" s="140">
        <f>SUM('Profit and Loss'!AF31,'Profit and Loss'!AH31,'Profit and Loss'!AJ31)</f>
        <v>0</v>
      </c>
      <c r="M28" s="377">
        <f t="shared" si="12"/>
        <v>264.39</v>
      </c>
    </row>
    <row r="29">
      <c r="A29" s="375" t="s">
        <v>178</v>
      </c>
      <c r="B29" s="372">
        <f>SUM('Profit and Loss'!B32,'Profit and Loss'!D32,'Profit and Loss'!F32)</f>
        <v>0</v>
      </c>
      <c r="C29" s="373"/>
      <c r="D29" s="140">
        <f>SUM('Profit and Loss'!H32,'Profit and Loss'!J32,'Profit and Loss'!L32)</f>
        <v>0</v>
      </c>
      <c r="E29" s="376">
        <v>0.0</v>
      </c>
      <c r="F29" s="140">
        <f>SUM('Profit and Loss'!N32,'Profit and Loss'!P32,'Profit and Loss'!R32)</f>
        <v>0</v>
      </c>
      <c r="G29" s="376">
        <v>0.0</v>
      </c>
      <c r="H29" s="140">
        <f>SUM('Profit and Loss'!T32,'Profit and Loss'!V32,'Profit and Loss'!X32)</f>
        <v>0</v>
      </c>
      <c r="I29" s="376">
        <v>0.0</v>
      </c>
      <c r="J29" s="140">
        <f>SUM('Profit and Loss'!Z32,'Profit and Loss'!AB32,'Profit and Loss'!AD32)</f>
        <v>325</v>
      </c>
      <c r="K29" s="376">
        <v>0.0</v>
      </c>
      <c r="L29" s="140">
        <f>SUM('Profit and Loss'!AF32,'Profit and Loss'!AH32,'Profit and Loss'!AJ32)</f>
        <v>560</v>
      </c>
      <c r="M29" s="377">
        <f t="shared" si="12"/>
        <v>885</v>
      </c>
    </row>
    <row r="30">
      <c r="A30" s="375" t="s">
        <v>179</v>
      </c>
      <c r="B30" s="372">
        <f>SUM('Profit and Loss'!B33,'Profit and Loss'!D33,'Profit and Loss'!F33)</f>
        <v>19673.29</v>
      </c>
      <c r="C30" s="373"/>
      <c r="D30" s="140">
        <f>SUM('Profit and Loss'!H33,'Profit and Loss'!J33,'Profit and Loss'!L33)</f>
        <v>24464.5</v>
      </c>
      <c r="E30" s="374">
        <f t="shared" ref="E30:E33" si="22">(D30-B30)/B30</f>
        <v>0.2435388285</v>
      </c>
      <c r="F30" s="140">
        <f>SUM('Profit and Loss'!N33,'Profit and Loss'!P33,'Profit and Loss'!R33)</f>
        <v>31161.22</v>
      </c>
      <c r="G30" s="374">
        <f t="shared" ref="G30:G33" si="23">(F30-D30)/D30</f>
        <v>0.2737321425</v>
      </c>
      <c r="H30" s="140">
        <f>SUM('Profit and Loss'!T33,'Profit and Loss'!V33,'Profit and Loss'!X33)</f>
        <v>33654.84</v>
      </c>
      <c r="I30" s="374">
        <f t="shared" ref="I30:I33" si="24">(H30-F30)/F30</f>
        <v>0.08002318266</v>
      </c>
      <c r="J30" s="140">
        <f>SUM('Profit and Loss'!Z33,'Profit and Loss'!AB33,'Profit and Loss'!AD33)</f>
        <v>32710.5</v>
      </c>
      <c r="K30" s="374">
        <f t="shared" ref="K30:K33" si="25">(J30-H30)/H30</f>
        <v>-0.02805955993</v>
      </c>
      <c r="L30" s="140">
        <f>SUM('Profit and Loss'!AF33,'Profit and Loss'!AH33,'Profit and Loss'!AJ33)</f>
        <v>29080.9</v>
      </c>
      <c r="M30" s="377">
        <f t="shared" si="12"/>
        <v>170745.25</v>
      </c>
    </row>
    <row r="31">
      <c r="A31" s="375" t="s">
        <v>180</v>
      </c>
      <c r="B31" s="372">
        <f>SUM('Profit and Loss'!B34,'Profit and Loss'!D34,'Profit and Loss'!F34)</f>
        <v>133.15</v>
      </c>
      <c r="C31" s="373"/>
      <c r="D31" s="140">
        <f>SUM('Profit and Loss'!H34,'Profit and Loss'!J34,'Profit and Loss'!L34)</f>
        <v>11.6</v>
      </c>
      <c r="E31" s="374">
        <f t="shared" si="22"/>
        <v>-0.9128802103</v>
      </c>
      <c r="F31" s="140">
        <f>SUM('Profit and Loss'!N34,'Profit and Loss'!P34,'Profit and Loss'!R34)</f>
        <v>117.07</v>
      </c>
      <c r="G31" s="374">
        <f t="shared" si="23"/>
        <v>9.092241379</v>
      </c>
      <c r="H31" s="140">
        <f>SUM('Profit and Loss'!T34,'Profit and Loss'!V34,'Profit and Loss'!X34)</f>
        <v>48.6</v>
      </c>
      <c r="I31" s="374">
        <f t="shared" si="24"/>
        <v>-0.5848637567</v>
      </c>
      <c r="J31" s="140">
        <f>SUM('Profit and Loss'!Z34,'Profit and Loss'!AB34,'Profit and Loss'!AD34)</f>
        <v>90</v>
      </c>
      <c r="K31" s="374">
        <f t="shared" si="25"/>
        <v>0.8518518519</v>
      </c>
      <c r="L31" s="140">
        <f>SUM('Profit and Loss'!AF34,'Profit and Loss'!AH34,'Profit and Loss'!AJ34)</f>
        <v>0</v>
      </c>
      <c r="M31" s="377">
        <f t="shared" si="12"/>
        <v>400.42</v>
      </c>
    </row>
    <row r="32">
      <c r="A32" s="375" t="s">
        <v>181</v>
      </c>
      <c r="B32" s="372">
        <f>SUM('Profit and Loss'!B35,'Profit and Loss'!D35,'Profit and Loss'!F35)</f>
        <v>2557.32</v>
      </c>
      <c r="C32" s="373"/>
      <c r="D32" s="140">
        <f>SUM('Profit and Loss'!H35,'Profit and Loss'!J35,'Profit and Loss'!L35)</f>
        <v>9268.13</v>
      </c>
      <c r="E32" s="374">
        <f t="shared" si="22"/>
        <v>2.624157321</v>
      </c>
      <c r="F32" s="140">
        <f>SUM('Profit and Loss'!N35,'Profit and Loss'!P35,'Profit and Loss'!R35)</f>
        <v>14788.97</v>
      </c>
      <c r="G32" s="374">
        <f t="shared" si="23"/>
        <v>0.5956800347</v>
      </c>
      <c r="H32" s="140">
        <f>SUM('Profit and Loss'!T35,'Profit and Loss'!V35,'Profit and Loss'!X35)</f>
        <v>9994.53</v>
      </c>
      <c r="I32" s="374">
        <f t="shared" si="24"/>
        <v>-0.324190258</v>
      </c>
      <c r="J32" s="140">
        <f>SUM('Profit and Loss'!Z35,'Profit and Loss'!AB35,'Profit and Loss'!AD35)</f>
        <v>13021.87</v>
      </c>
      <c r="K32" s="374">
        <f t="shared" si="25"/>
        <v>0.3028996861</v>
      </c>
      <c r="L32" s="140">
        <f>SUM('Profit and Loss'!AF35,'Profit and Loss'!AH35,'Profit and Loss'!AJ35)</f>
        <v>12350.03</v>
      </c>
      <c r="M32" s="377">
        <f t="shared" si="12"/>
        <v>61980.85</v>
      </c>
    </row>
    <row r="33">
      <c r="A33" s="375" t="s">
        <v>182</v>
      </c>
      <c r="B33" s="372">
        <f>SUM('Profit and Loss'!B36,'Profit and Loss'!D36,'Profit and Loss'!F36)</f>
        <v>219.77</v>
      </c>
      <c r="C33" s="373"/>
      <c r="D33" s="140">
        <f>SUM('Profit and Loss'!H36,'Profit and Loss'!J36,'Profit and Loss'!L36)</f>
        <v>459.59</v>
      </c>
      <c r="E33" s="374">
        <f t="shared" si="22"/>
        <v>1.091231742</v>
      </c>
      <c r="F33" s="140">
        <f>SUM('Profit and Loss'!N36,'Profit and Loss'!P36,'Profit and Loss'!R36)</f>
        <v>311.08</v>
      </c>
      <c r="G33" s="374">
        <f t="shared" si="23"/>
        <v>-0.3231358385</v>
      </c>
      <c r="H33" s="140">
        <f>SUM('Profit and Loss'!T36,'Profit and Loss'!V36,'Profit and Loss'!X36)</f>
        <v>638.37</v>
      </c>
      <c r="I33" s="374">
        <f t="shared" si="24"/>
        <v>1.052108782</v>
      </c>
      <c r="J33" s="140">
        <f>SUM('Profit and Loss'!Z36,'Profit and Loss'!AB36,'Profit and Loss'!AD36)</f>
        <v>308.69</v>
      </c>
      <c r="K33" s="374">
        <f t="shared" si="25"/>
        <v>-0.5164403089</v>
      </c>
      <c r="L33" s="140">
        <f>SUM('Profit and Loss'!AF36,'Profit and Loss'!AH36,'Profit and Loss'!AJ36)</f>
        <v>302.97</v>
      </c>
      <c r="M33" s="377">
        <f t="shared" si="12"/>
        <v>2240.47</v>
      </c>
    </row>
    <row r="34">
      <c r="A34" s="375" t="s">
        <v>236</v>
      </c>
      <c r="B34" s="372">
        <f>SUM('Profit and Loss'!B37,'Profit and Loss'!D37,'Profit and Loss'!F37)</f>
        <v>0</v>
      </c>
      <c r="C34" s="373"/>
      <c r="D34" s="140">
        <f>SUM('Profit and Loss'!H37,'Profit and Loss'!J37,'Profit and Loss'!L37)</f>
        <v>0</v>
      </c>
      <c r="E34" s="376">
        <v>0.0</v>
      </c>
      <c r="F34" s="140">
        <f>SUM('Profit and Loss'!N37,'Profit and Loss'!P37,'Profit and Loss'!R37)</f>
        <v>0</v>
      </c>
      <c r="G34" s="376">
        <v>0.0</v>
      </c>
      <c r="H34" s="140">
        <f>SUM('Profit and Loss'!T37,'Profit and Loss'!V37,'Profit and Loss'!X37)</f>
        <v>0</v>
      </c>
      <c r="I34" s="376">
        <v>0.0</v>
      </c>
      <c r="J34" s="140">
        <f>SUM('Profit and Loss'!Z37,'Profit and Loss'!AB37,'Profit and Loss'!AD37)</f>
        <v>85.31</v>
      </c>
      <c r="K34" s="376">
        <v>0.0</v>
      </c>
      <c r="L34" s="140">
        <f>SUM('Profit and Loss'!AF37,'Profit and Loss'!AH37,'Profit and Loss'!AJ37)</f>
        <v>0</v>
      </c>
      <c r="M34" s="377">
        <f t="shared" si="12"/>
        <v>85.31</v>
      </c>
    </row>
    <row r="35">
      <c r="A35" s="375" t="s">
        <v>183</v>
      </c>
      <c r="B35" s="372">
        <f>SUM('Profit and Loss'!B38,'Profit and Loss'!D38,'Profit and Loss'!F38)</f>
        <v>0</v>
      </c>
      <c r="C35" s="373"/>
      <c r="D35" s="140">
        <f>SUM('Profit and Loss'!H38,'Profit and Loss'!J38,'Profit and Loss'!L38)</f>
        <v>0</v>
      </c>
      <c r="E35" s="376">
        <v>0.0</v>
      </c>
      <c r="F35" s="140">
        <f>SUM('Profit and Loss'!N38,'Profit and Loss'!P38,'Profit and Loss'!R38)</f>
        <v>21.38</v>
      </c>
      <c r="G35" s="376">
        <v>0.0</v>
      </c>
      <c r="H35" s="140">
        <f>SUM('Profit and Loss'!T38,'Profit and Loss'!V38,'Profit and Loss'!X38)</f>
        <v>10.69</v>
      </c>
      <c r="I35" s="374">
        <f t="shared" ref="I35:I39" si="26">(H35-F35)/F35</f>
        <v>-0.5</v>
      </c>
      <c r="J35" s="140">
        <f>SUM('Profit and Loss'!Z38,'Profit and Loss'!AB38,'Profit and Loss'!AD38)</f>
        <v>0</v>
      </c>
      <c r="K35" s="374">
        <f t="shared" ref="K35:K39" si="27">(J35-H35)/H35</f>
        <v>-1</v>
      </c>
      <c r="L35" s="140">
        <f>SUM('Profit and Loss'!AF38,'Profit and Loss'!AH38,'Profit and Loss'!AJ38)</f>
        <v>0</v>
      </c>
      <c r="M35" s="377">
        <f t="shared" si="12"/>
        <v>32.07</v>
      </c>
    </row>
    <row r="36">
      <c r="A36" s="385" t="s">
        <v>184</v>
      </c>
      <c r="B36" s="380">
        <f>SUM('Profit and Loss'!B39,'Profit and Loss'!D39,'Profit and Loss'!F39)</f>
        <v>26728.07</v>
      </c>
      <c r="C36" s="381"/>
      <c r="D36" s="382">
        <f>SUM('Profit and Loss'!H39,'Profit and Loss'!J39,'Profit and Loss'!L39)</f>
        <v>39279.86</v>
      </c>
      <c r="E36" s="383">
        <f t="shared" ref="E36:E39" si="28">(D36-B36)/B36</f>
        <v>0.4696107875</v>
      </c>
      <c r="F36" s="382">
        <f>SUM('Profit and Loss'!N39,'Profit and Loss'!P39,'Profit and Loss'!R39)</f>
        <v>52117.89</v>
      </c>
      <c r="G36" s="383">
        <f t="shared" ref="G36:G39" si="29">(F36-D36)/D36</f>
        <v>0.3268349225</v>
      </c>
      <c r="H36" s="382">
        <f>SUM('Profit and Loss'!T39,'Profit and Loss'!V39,'Profit and Loss'!X39)</f>
        <v>69091.78</v>
      </c>
      <c r="I36" s="383">
        <f t="shared" si="26"/>
        <v>0.3256826015</v>
      </c>
      <c r="J36" s="382">
        <f>SUM('Profit and Loss'!Z39,'Profit and Loss'!AB39,'Profit and Loss'!AD39)</f>
        <v>55398.83</v>
      </c>
      <c r="K36" s="383">
        <f t="shared" si="27"/>
        <v>-0.198184936</v>
      </c>
      <c r="L36" s="382">
        <f>SUM('Profit and Loss'!AF39,'Profit and Loss'!AH39,'Profit and Loss'!AJ39)</f>
        <v>45480.33</v>
      </c>
      <c r="M36" s="384">
        <f t="shared" si="12"/>
        <v>288096.76</v>
      </c>
    </row>
    <row r="37">
      <c r="A37" s="379" t="s">
        <v>185</v>
      </c>
      <c r="B37" s="380">
        <f>SUM('Profit and Loss'!B40,'Profit and Loss'!D40,'Profit and Loss'!F40)</f>
        <v>57526.33</v>
      </c>
      <c r="C37" s="381"/>
      <c r="D37" s="382">
        <f>SUM('Profit and Loss'!H40,'Profit and Loss'!J40,'Profit and Loss'!L40)</f>
        <v>10336.76</v>
      </c>
      <c r="E37" s="383">
        <f t="shared" si="28"/>
        <v>-0.8203125421</v>
      </c>
      <c r="F37" s="382">
        <f>SUM('Profit and Loss'!N40,'Profit and Loss'!P40,'Profit and Loss'!R40)</f>
        <v>32889.08</v>
      </c>
      <c r="G37" s="383">
        <f t="shared" si="29"/>
        <v>2.181759081</v>
      </c>
      <c r="H37" s="382">
        <f>SUM('Profit and Loss'!T40,'Profit and Loss'!V40,'Profit and Loss'!X40)</f>
        <v>1675.06</v>
      </c>
      <c r="I37" s="383">
        <f t="shared" si="26"/>
        <v>-0.9490694176</v>
      </c>
      <c r="J37" s="382">
        <f>SUM('Profit and Loss'!Z40,'Profit and Loss'!AB40,'Profit and Loss'!AD40)</f>
        <v>44633.46</v>
      </c>
      <c r="K37" s="383">
        <f t="shared" si="27"/>
        <v>25.64588731</v>
      </c>
      <c r="L37" s="382">
        <f>SUM('Profit and Loss'!AF40,'Profit and Loss'!AH40,'Profit and Loss'!AJ40)</f>
        <v>48561.96</v>
      </c>
      <c r="M37" s="384">
        <f t="shared" si="12"/>
        <v>195622.65</v>
      </c>
    </row>
    <row r="38">
      <c r="A38" s="371" t="s">
        <v>186</v>
      </c>
      <c r="B38" s="394">
        <f>SUM('Profit and Loss'!B41,'Profit and Loss'!D41,'Profit and Loss'!F41)</f>
        <v>57526.33</v>
      </c>
      <c r="C38" s="387"/>
      <c r="D38" s="395">
        <f>SUM('Profit and Loss'!H41,'Profit and Loss'!J41,'Profit and Loss'!L41)</f>
        <v>10336.76</v>
      </c>
      <c r="E38" s="374">
        <f t="shared" si="28"/>
        <v>-0.8203125421</v>
      </c>
      <c r="F38" s="395">
        <f>SUM('Profit and Loss'!N41,'Profit and Loss'!P41,'Profit and Loss'!R41)</f>
        <v>32889.08</v>
      </c>
      <c r="G38" s="374">
        <f t="shared" si="29"/>
        <v>2.181759081</v>
      </c>
      <c r="H38" s="395">
        <f>SUM('Profit and Loss'!T41,'Profit and Loss'!V41,'Profit and Loss'!X41)</f>
        <v>1675.06</v>
      </c>
      <c r="I38" s="374">
        <f t="shared" si="26"/>
        <v>-0.9490694176</v>
      </c>
      <c r="J38" s="395">
        <f>SUM('Profit and Loss'!Z41,'Profit and Loss'!AB41,'Profit and Loss'!AD41)</f>
        <v>44633.46</v>
      </c>
      <c r="K38" s="374">
        <f t="shared" si="27"/>
        <v>25.64588731</v>
      </c>
      <c r="L38" s="395">
        <f>SUM('Profit and Loss'!AF41,'Profit and Loss'!AH41,'Profit and Loss'!AJ41)</f>
        <v>48561.96</v>
      </c>
      <c r="M38" s="396">
        <f t="shared" si="12"/>
        <v>195622.65</v>
      </c>
    </row>
    <row r="39">
      <c r="A39" s="397" t="s">
        <v>288</v>
      </c>
      <c r="B39" s="398">
        <f>B38/B6</f>
        <v>0.3953724928</v>
      </c>
      <c r="C39" s="399"/>
      <c r="D39" s="398">
        <f>D38/D6</f>
        <v>0.06957200412</v>
      </c>
      <c r="E39" s="374">
        <f t="shared" si="28"/>
        <v>-0.8240342831</v>
      </c>
      <c r="F39" s="398">
        <f>F38/F6</f>
        <v>0.1429637399</v>
      </c>
      <c r="G39" s="374">
        <f t="shared" si="29"/>
        <v>1.054903287</v>
      </c>
      <c r="H39" s="398">
        <f>H38/H6</f>
        <v>0.00763494336</v>
      </c>
      <c r="I39" s="374">
        <f t="shared" si="26"/>
        <v>-0.946595246</v>
      </c>
      <c r="J39" s="398">
        <f>J38/J6</f>
        <v>0.1803285636</v>
      </c>
      <c r="K39" s="374">
        <f t="shared" si="27"/>
        <v>22.6188476</v>
      </c>
      <c r="L39" s="398">
        <f t="shared" ref="L39:M39" si="30">L38/L6</f>
        <v>0.2419509106</v>
      </c>
      <c r="M39" s="400">
        <f t="shared" si="30"/>
        <v>0.1641483332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2.71"/>
    <col customWidth="1" min="2" max="4" width="16.86"/>
    <col customWidth="1" min="5" max="7" width="15.43"/>
    <col customWidth="1" min="8" max="13" width="17.14"/>
    <col customWidth="1" min="14" max="14" width="17.57"/>
    <col customWidth="1" min="15" max="15" width="18.57"/>
    <col customWidth="1" min="16" max="16" width="17.57"/>
    <col customWidth="1" min="17" max="22" width="17.14"/>
    <col customWidth="1" min="23" max="25" width="17.0"/>
    <col customWidth="1" min="26" max="39" width="17.14"/>
    <col customWidth="1" min="40" max="40" width="20.29"/>
    <col customWidth="1" min="41" max="43" width="16.14"/>
    <col customWidth="1" min="44" max="46" width="15.86"/>
    <col customWidth="1" min="47" max="48" width="16.43"/>
    <col customWidth="1" min="49" max="49" width="17.57"/>
    <col customWidth="1" min="50" max="52" width="15.71"/>
    <col customWidth="1" min="53" max="55" width="15.29"/>
    <col customWidth="1" min="56" max="57" width="15.57"/>
    <col customWidth="1" min="58" max="58" width="14.29"/>
    <col customWidth="1" min="59" max="61" width="15.29"/>
    <col customWidth="1" min="62" max="64" width="15.57"/>
    <col customWidth="1" min="65" max="67" width="15.86"/>
    <col customWidth="1" min="68" max="70" width="16.71"/>
    <col customWidth="1" min="71" max="73" width="15.86"/>
    <col customWidth="1" min="74" max="76" width="15.71"/>
    <col customWidth="1" min="77" max="79" width="17.0"/>
  </cols>
  <sheetData>
    <row r="1" ht="19.5" customHeight="1">
      <c r="A1" s="121" t="s">
        <v>93</v>
      </c>
      <c r="B1" s="3"/>
      <c r="C1" s="3"/>
      <c r="D1" s="3"/>
      <c r="E1" s="33"/>
      <c r="F1" s="186"/>
      <c r="G1" s="33"/>
      <c r="N1" s="2"/>
      <c r="O1" s="187" t="s">
        <v>191</v>
      </c>
      <c r="P1" s="215"/>
      <c r="Q1" s="188"/>
      <c r="R1" s="188"/>
      <c r="T1" s="189">
        <f>$F$19+($F$20*7)</f>
        <v>38513.44</v>
      </c>
      <c r="U1" s="189"/>
      <c r="V1" s="189"/>
      <c r="W1" s="189">
        <f>T1*2</f>
        <v>77026.88</v>
      </c>
      <c r="X1" s="189"/>
      <c r="Y1" s="189"/>
      <c r="Z1" s="190"/>
      <c r="AA1" s="117"/>
      <c r="AB1" s="117"/>
      <c r="AC1" s="117"/>
      <c r="AD1" s="117"/>
      <c r="AE1" s="117"/>
    </row>
    <row r="2">
      <c r="A2" s="33" t="s">
        <v>188</v>
      </c>
      <c r="B2" s="3"/>
      <c r="C2" s="3"/>
      <c r="D2" s="3"/>
      <c r="E2" s="117"/>
      <c r="F2" s="191">
        <f>180*I2</f>
        <v>4500</v>
      </c>
      <c r="G2" s="117"/>
      <c r="H2" s="2"/>
      <c r="I2" s="2">
        <v>25.0</v>
      </c>
      <c r="J2" s="2"/>
      <c r="O2" s="192"/>
      <c r="T2" s="191"/>
      <c r="U2" s="117"/>
      <c r="V2" s="117"/>
      <c r="W2" s="117"/>
      <c r="X2" s="117"/>
      <c r="Y2" s="117"/>
      <c r="Z2" s="191"/>
      <c r="AA2" s="117"/>
      <c r="AB2" s="117"/>
      <c r="AC2" s="117"/>
      <c r="AD2" s="117"/>
      <c r="AE2" s="117"/>
      <c r="AF2" s="117"/>
      <c r="AG2" s="117"/>
      <c r="AH2" s="117"/>
    </row>
    <row r="3">
      <c r="A3" s="33" t="s">
        <v>21</v>
      </c>
      <c r="B3" s="102"/>
      <c r="C3" s="102" t="s">
        <v>23</v>
      </c>
      <c r="D3" s="102"/>
      <c r="E3" s="117"/>
      <c r="F3" s="191">
        <v>65.0</v>
      </c>
      <c r="G3" s="117"/>
      <c r="O3" s="192"/>
      <c r="T3" s="191" t="s">
        <v>192</v>
      </c>
      <c r="U3" s="117"/>
      <c r="V3" s="117"/>
      <c r="W3" s="122">
        <v>250.0</v>
      </c>
      <c r="X3" s="122"/>
      <c r="Y3" s="122"/>
      <c r="Z3" s="193">
        <v>500.0</v>
      </c>
      <c r="AA3" s="122"/>
      <c r="AB3" s="122"/>
      <c r="AC3" s="117"/>
      <c r="AD3" s="117"/>
      <c r="AE3" s="117"/>
    </row>
    <row r="4">
      <c r="A4" s="33"/>
      <c r="B4" s="3"/>
      <c r="C4" s="3" t="s">
        <v>25</v>
      </c>
      <c r="D4" s="3"/>
      <c r="E4" s="117"/>
      <c r="F4" s="191">
        <v>27.0</v>
      </c>
      <c r="G4" s="117"/>
      <c r="N4" s="119"/>
      <c r="O4" s="194" t="s">
        <v>193</v>
      </c>
      <c r="P4" s="119"/>
      <c r="Q4" s="195"/>
      <c r="R4" s="195">
        <v>5.0</v>
      </c>
      <c r="T4" s="196">
        <f>R4*7</f>
        <v>35</v>
      </c>
      <c r="U4" s="123"/>
      <c r="V4" s="123"/>
      <c r="W4" s="117">
        <f>T4*$W$3+$T$1</f>
        <v>47263.44</v>
      </c>
      <c r="X4" s="117"/>
      <c r="Y4" s="117"/>
      <c r="Z4" s="191">
        <f>$Z$3*T4+$W$1</f>
        <v>94526.88</v>
      </c>
      <c r="AA4" s="117"/>
      <c r="AB4" s="117"/>
      <c r="AC4" s="117"/>
      <c r="AD4" s="117"/>
      <c r="AE4" s="117"/>
    </row>
    <row r="5">
      <c r="A5" s="33"/>
      <c r="B5" s="3"/>
      <c r="C5" s="3" t="s">
        <v>26</v>
      </c>
      <c r="D5" s="3"/>
      <c r="E5" s="117"/>
      <c r="F5" s="191">
        <v>18.0</v>
      </c>
      <c r="G5" s="117"/>
      <c r="N5" s="33"/>
      <c r="O5" s="197" t="s">
        <v>194</v>
      </c>
      <c r="P5" s="33"/>
      <c r="Q5" s="123"/>
      <c r="R5" s="123">
        <v>115.0</v>
      </c>
      <c r="T5" s="196">
        <v>115.0</v>
      </c>
      <c r="U5" s="123"/>
      <c r="V5" s="123"/>
      <c r="W5" s="117">
        <f t="shared" ref="W5:W6" si="1">T5*$W$3</f>
        <v>28750</v>
      </c>
      <c r="X5" s="117"/>
      <c r="Y5" s="117"/>
      <c r="Z5" s="191">
        <f t="shared" ref="Z5:Z6" si="2">$Z$3*T5</f>
        <v>57500</v>
      </c>
      <c r="AA5" s="117"/>
      <c r="AB5" s="117"/>
      <c r="AC5" s="117"/>
      <c r="AD5" s="117"/>
      <c r="AE5" s="117"/>
    </row>
    <row r="6">
      <c r="A6" s="33"/>
      <c r="B6" s="3"/>
      <c r="C6" s="3" t="s">
        <v>40</v>
      </c>
      <c r="D6" s="3"/>
      <c r="E6" s="117"/>
      <c r="F6" s="191">
        <v>18.0</v>
      </c>
      <c r="G6" s="117"/>
      <c r="N6" s="33"/>
      <c r="O6" s="197" t="s">
        <v>195</v>
      </c>
      <c r="P6" s="33"/>
      <c r="Q6" s="123"/>
      <c r="R6" s="123">
        <v>230.0</v>
      </c>
      <c r="T6" s="196">
        <v>230.0</v>
      </c>
      <c r="U6" s="123"/>
      <c r="V6" s="123"/>
      <c r="W6" s="117">
        <f t="shared" si="1"/>
        <v>57500</v>
      </c>
      <c r="X6" s="117"/>
      <c r="Y6" s="117"/>
      <c r="Z6" s="191">
        <f t="shared" si="2"/>
        <v>115000</v>
      </c>
      <c r="AA6" s="117"/>
      <c r="AB6" s="117"/>
      <c r="AC6" s="117"/>
      <c r="AD6" s="117"/>
      <c r="AE6" s="117"/>
    </row>
    <row r="7">
      <c r="A7" s="33"/>
      <c r="B7" s="3"/>
      <c r="C7" s="3" t="s">
        <v>41</v>
      </c>
      <c r="D7" s="3"/>
      <c r="E7" s="117"/>
      <c r="F7" s="191">
        <v>0.03</v>
      </c>
      <c r="G7" s="117"/>
      <c r="N7" s="141"/>
      <c r="O7" s="198" t="s">
        <v>193</v>
      </c>
      <c r="P7" s="141"/>
      <c r="Q7" s="142"/>
      <c r="R7" s="142">
        <v>7.0</v>
      </c>
      <c r="T7" s="196"/>
      <c r="U7" s="123"/>
      <c r="V7" s="123"/>
      <c r="W7" s="117"/>
      <c r="X7" s="117"/>
      <c r="Y7" s="117"/>
      <c r="Z7" s="191">
        <f>$L$25*T7</f>
        <v>0</v>
      </c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</row>
    <row r="8">
      <c r="A8" s="33"/>
      <c r="B8" s="3"/>
      <c r="C8" s="3" t="s">
        <v>42</v>
      </c>
      <c r="D8" s="3"/>
      <c r="E8" s="117"/>
      <c r="F8" s="191">
        <v>0.15</v>
      </c>
      <c r="G8" s="117"/>
      <c r="N8" s="119"/>
      <c r="O8" s="194" t="s">
        <v>254</v>
      </c>
      <c r="P8" s="119"/>
      <c r="Q8" s="123"/>
      <c r="R8" s="123">
        <v>25.0</v>
      </c>
      <c r="T8" s="196">
        <f t="shared" ref="T8:T10" si="3">R8*7</f>
        <v>175</v>
      </c>
      <c r="U8" s="123"/>
      <c r="V8" s="123"/>
      <c r="W8" s="117">
        <f t="shared" ref="W8:W10" si="4">T8*$W$3+$T$1</f>
        <v>82263.44</v>
      </c>
      <c r="X8" s="117"/>
      <c r="Y8" s="117"/>
      <c r="Z8" s="191">
        <f t="shared" ref="Z8:Z10" si="5">$Z$3*T8+$W$1</f>
        <v>164526.88</v>
      </c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</row>
    <row r="9">
      <c r="A9" s="199" t="s">
        <v>43</v>
      </c>
      <c r="B9" s="200"/>
      <c r="C9" s="200" t="s">
        <v>44</v>
      </c>
      <c r="D9" s="200"/>
      <c r="E9" s="201"/>
      <c r="F9" s="201">
        <v>650.0</v>
      </c>
      <c r="G9" s="117"/>
      <c r="H9" s="401"/>
      <c r="I9" s="202" t="s">
        <v>255</v>
      </c>
      <c r="J9" s="401"/>
      <c r="K9" s="402"/>
      <c r="L9" s="203">
        <v>4500.0</v>
      </c>
      <c r="M9" s="402"/>
      <c r="N9" s="119"/>
      <c r="O9" s="194" t="s">
        <v>256</v>
      </c>
      <c r="P9" s="119"/>
      <c r="Q9" s="123"/>
      <c r="R9" s="123">
        <v>35.0</v>
      </c>
      <c r="T9" s="196">
        <f t="shared" si="3"/>
        <v>245</v>
      </c>
      <c r="U9" s="123"/>
      <c r="V9" s="123"/>
      <c r="W9" s="117">
        <f t="shared" si="4"/>
        <v>99763.44</v>
      </c>
      <c r="X9" s="117"/>
      <c r="Y9" s="117"/>
      <c r="Z9" s="191">
        <f t="shared" si="5"/>
        <v>199526.88</v>
      </c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</row>
    <row r="10">
      <c r="A10" s="33"/>
      <c r="B10" s="3"/>
      <c r="C10" s="3" t="s">
        <v>46</v>
      </c>
      <c r="D10" s="3"/>
      <c r="E10" s="117"/>
      <c r="F10" s="117">
        <v>150.0</v>
      </c>
      <c r="G10" s="117"/>
      <c r="H10" s="141"/>
      <c r="I10" s="204" t="s">
        <v>257</v>
      </c>
      <c r="J10" s="141"/>
      <c r="K10" s="402"/>
      <c r="L10" s="203">
        <v>15000.0</v>
      </c>
      <c r="M10" s="402"/>
      <c r="N10" s="119"/>
      <c r="O10" s="194" t="s">
        <v>258</v>
      </c>
      <c r="P10" s="119"/>
      <c r="Q10" s="123"/>
      <c r="R10" s="123">
        <v>45.0</v>
      </c>
      <c r="T10" s="196">
        <f t="shared" si="3"/>
        <v>315</v>
      </c>
      <c r="U10" s="123"/>
      <c r="V10" s="123"/>
      <c r="W10" s="117">
        <f t="shared" si="4"/>
        <v>117263.44</v>
      </c>
      <c r="X10" s="117"/>
      <c r="Y10" s="117"/>
      <c r="Z10" s="191">
        <f t="shared" si="5"/>
        <v>234526.88</v>
      </c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</row>
    <row r="11">
      <c r="A11" s="33"/>
      <c r="B11" s="3"/>
      <c r="C11" s="3" t="s">
        <v>48</v>
      </c>
      <c r="D11" s="3"/>
      <c r="E11" s="117"/>
      <c r="F11" s="191">
        <v>10.0</v>
      </c>
      <c r="G11" s="117"/>
      <c r="O11" s="192"/>
      <c r="T11" s="191"/>
      <c r="U11" s="117"/>
      <c r="V11" s="117"/>
      <c r="W11" s="117"/>
      <c r="X11" s="117"/>
      <c r="Y11" s="117"/>
      <c r="Z11" s="191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</row>
    <row r="12">
      <c r="A12" s="33"/>
      <c r="B12" s="3"/>
      <c r="C12" s="3" t="s">
        <v>49</v>
      </c>
      <c r="D12" s="3"/>
      <c r="E12" s="117"/>
      <c r="F12" s="191">
        <v>8.0</v>
      </c>
      <c r="G12" s="117"/>
      <c r="N12" s="2"/>
      <c r="O12" s="205" t="s">
        <v>199</v>
      </c>
      <c r="P12" s="2"/>
      <c r="Q12" s="123"/>
      <c r="R12" s="123">
        <v>80.0</v>
      </c>
      <c r="T12" s="191">
        <f>R12*7</f>
        <v>560</v>
      </c>
      <c r="U12" s="117"/>
      <c r="V12" s="117"/>
      <c r="W12" s="117">
        <f>T12*W3</f>
        <v>140000</v>
      </c>
      <c r="X12" s="117"/>
      <c r="Y12" s="117"/>
      <c r="Z12" s="191"/>
      <c r="AA12" s="117"/>
      <c r="AB12" s="117"/>
      <c r="AC12" s="117"/>
      <c r="AD12" s="117"/>
      <c r="AE12" s="117"/>
    </row>
    <row r="13">
      <c r="A13" s="33"/>
      <c r="B13" s="3"/>
      <c r="C13" s="3" t="s">
        <v>50</v>
      </c>
      <c r="D13" s="3"/>
      <c r="E13" s="117"/>
      <c r="F13" s="191">
        <v>15.0</v>
      </c>
      <c r="G13" s="117"/>
      <c r="O13" s="206"/>
      <c r="P13" s="188"/>
      <c r="Q13" s="188"/>
      <c r="R13" s="188"/>
      <c r="T13" s="207"/>
      <c r="U13" s="188"/>
      <c r="V13" s="188"/>
      <c r="W13" s="188"/>
      <c r="X13" s="188"/>
      <c r="Y13" s="188"/>
      <c r="Z13" s="207"/>
    </row>
    <row r="14">
      <c r="B14" s="2"/>
      <c r="C14" s="2" t="s">
        <v>52</v>
      </c>
      <c r="D14" s="2"/>
      <c r="E14" s="117"/>
      <c r="F14" s="191">
        <v>400.0</v>
      </c>
      <c r="G14" s="117"/>
      <c r="N14" s="117"/>
      <c r="O14" s="117"/>
      <c r="P14" s="117"/>
    </row>
    <row r="15">
      <c r="B15" s="2"/>
      <c r="C15" s="2" t="s">
        <v>54</v>
      </c>
      <c r="D15" s="2"/>
      <c r="E15" s="117"/>
      <c r="F15" s="191">
        <v>60.0</v>
      </c>
      <c r="G15" s="117"/>
      <c r="N15" s="117"/>
      <c r="O15" s="117"/>
      <c r="P15" s="117"/>
      <c r="Q15" s="403" t="s">
        <v>307</v>
      </c>
      <c r="R15" s="403" t="s">
        <v>308</v>
      </c>
    </row>
    <row r="16">
      <c r="B16" s="2"/>
      <c r="C16" s="2" t="s">
        <v>56</v>
      </c>
      <c r="D16" s="2"/>
      <c r="E16" s="117"/>
      <c r="F16" s="191">
        <v>45.0</v>
      </c>
      <c r="G16" s="117"/>
      <c r="N16" s="401"/>
      <c r="O16" s="208" t="s">
        <v>255</v>
      </c>
      <c r="P16" s="404"/>
      <c r="Q16" s="405"/>
      <c r="R16" s="209">
        <v>0.0</v>
      </c>
    </row>
    <row r="17">
      <c r="B17" s="2"/>
      <c r="C17" s="2" t="s">
        <v>57</v>
      </c>
      <c r="D17" s="2"/>
      <c r="E17" s="117"/>
      <c r="F17" s="191">
        <v>25.0</v>
      </c>
      <c r="G17" s="117"/>
      <c r="N17" s="141"/>
      <c r="O17" s="210" t="s">
        <v>257</v>
      </c>
      <c r="P17" s="406">
        <v>0.8</v>
      </c>
      <c r="Q17" s="407"/>
      <c r="R17" s="211">
        <v>20000.0</v>
      </c>
    </row>
    <row r="18">
      <c r="B18" s="2"/>
      <c r="C18" s="2" t="s">
        <v>59</v>
      </c>
      <c r="D18" s="2"/>
      <c r="E18" s="117"/>
      <c r="F18" s="191">
        <v>125.0</v>
      </c>
      <c r="G18" s="117"/>
      <c r="N18" s="141"/>
      <c r="O18" s="210" t="s">
        <v>259</v>
      </c>
      <c r="P18" s="406">
        <v>0.1</v>
      </c>
      <c r="Q18" s="407"/>
      <c r="R18" s="211">
        <v>2500.0</v>
      </c>
    </row>
    <row r="19">
      <c r="A19" s="212"/>
      <c r="B19" s="213"/>
      <c r="C19" s="213" t="s">
        <v>189</v>
      </c>
      <c r="D19" s="213"/>
      <c r="E19" s="189"/>
      <c r="F19" s="190">
        <f>SUM(F2:F18)</f>
        <v>6116.18</v>
      </c>
      <c r="G19" s="117"/>
      <c r="N19" s="141"/>
      <c r="O19" s="210" t="s">
        <v>260</v>
      </c>
      <c r="P19" s="408"/>
      <c r="Q19" s="407"/>
      <c r="R19" s="211">
        <v>0.0</v>
      </c>
    </row>
    <row r="20">
      <c r="A20" s="214"/>
      <c r="B20" s="215"/>
      <c r="C20" s="215" t="s">
        <v>190</v>
      </c>
      <c r="D20" s="215"/>
      <c r="E20" s="409"/>
      <c r="F20" s="216">
        <f>SUM(F2:F8)</f>
        <v>4628.18</v>
      </c>
      <c r="G20" s="117"/>
      <c r="N20" s="141"/>
      <c r="O20" s="210" t="s">
        <v>261</v>
      </c>
      <c r="P20" s="408"/>
      <c r="Q20" s="407"/>
      <c r="R20" s="211">
        <v>0.0</v>
      </c>
    </row>
    <row r="21" ht="15.75" customHeight="1">
      <c r="A21" s="2"/>
      <c r="B21" s="410"/>
      <c r="C21" s="217" t="s">
        <v>223</v>
      </c>
      <c r="D21" s="411"/>
      <c r="E21" s="412"/>
      <c r="F21" s="218">
        <v>0.0</v>
      </c>
      <c r="G21" s="413"/>
      <c r="N21" s="141"/>
      <c r="O21" s="210" t="s">
        <v>262</v>
      </c>
      <c r="P21" s="408"/>
      <c r="Q21" s="407"/>
      <c r="R21" s="211">
        <v>0.0</v>
      </c>
    </row>
    <row r="22" ht="15.75" customHeight="1">
      <c r="A22" s="2"/>
      <c r="B22" s="414"/>
      <c r="C22" s="219" t="s">
        <v>225</v>
      </c>
      <c r="D22" s="414"/>
      <c r="E22" s="415"/>
      <c r="F22" s="220">
        <v>0.1</v>
      </c>
      <c r="G22" s="415"/>
      <c r="N22" s="141"/>
      <c r="O22" s="416" t="s">
        <v>263</v>
      </c>
      <c r="P22" s="417"/>
      <c r="Q22" s="418"/>
      <c r="R22" s="419">
        <v>0.0</v>
      </c>
    </row>
    <row r="23" ht="15.75" customHeight="1">
      <c r="A23" s="2"/>
      <c r="B23" s="420"/>
      <c r="C23" s="221" t="s">
        <v>227</v>
      </c>
      <c r="D23" s="420"/>
      <c r="E23" s="421"/>
      <c r="F23" s="222">
        <v>163.5</v>
      </c>
      <c r="G23" s="421"/>
      <c r="H23" s="117"/>
      <c r="I23" s="117"/>
      <c r="J23" s="117"/>
      <c r="K23" s="117"/>
      <c r="L23" s="117"/>
      <c r="M23" s="117"/>
      <c r="N23" s="143"/>
      <c r="O23" s="422" t="s">
        <v>264</v>
      </c>
      <c r="P23" s="423">
        <v>0.1</v>
      </c>
      <c r="Q23" s="424"/>
      <c r="R23" s="211">
        <v>2500.0</v>
      </c>
      <c r="T23" s="225" t="s">
        <v>265</v>
      </c>
      <c r="AD23" s="225"/>
      <c r="AE23" s="225"/>
    </row>
    <row r="24" ht="15.75" customHeight="1">
      <c r="A24" s="2"/>
      <c r="B24" s="420"/>
      <c r="C24" s="221" t="s">
        <v>229</v>
      </c>
      <c r="D24" s="420"/>
      <c r="E24" s="421"/>
      <c r="F24" s="222">
        <v>0.5</v>
      </c>
      <c r="G24" s="421"/>
      <c r="H24" s="117"/>
      <c r="I24" s="117"/>
      <c r="J24" s="117"/>
      <c r="K24" s="117"/>
      <c r="L24" s="117"/>
      <c r="M24" s="117"/>
      <c r="N24" s="117"/>
      <c r="O24" s="425" t="s">
        <v>41</v>
      </c>
      <c r="P24" s="426" t="s">
        <v>309</v>
      </c>
      <c r="Q24" s="427"/>
      <c r="R24" s="428">
        <v>0.0</v>
      </c>
      <c r="AC24" s="226" t="s">
        <v>266</v>
      </c>
      <c r="AD24" s="226"/>
      <c r="AE24" s="226"/>
    </row>
    <row r="25" ht="15.75" customHeight="1">
      <c r="A25" s="227" t="s">
        <v>267</v>
      </c>
      <c r="B25" s="414"/>
      <c r="C25" s="228" t="s">
        <v>231</v>
      </c>
      <c r="D25" s="429"/>
      <c r="E25" s="430"/>
      <c r="F25" s="229">
        <v>0.05</v>
      </c>
      <c r="G25" s="415"/>
      <c r="H25" s="122"/>
      <c r="I25" s="122"/>
      <c r="J25" s="122"/>
      <c r="K25" s="122"/>
      <c r="L25" s="122"/>
      <c r="M25" s="122"/>
      <c r="N25" s="117"/>
      <c r="O25" s="117"/>
      <c r="P25" s="117"/>
      <c r="AC25" s="141" t="s">
        <v>268</v>
      </c>
      <c r="AD25" s="141"/>
      <c r="AE25" s="141"/>
    </row>
    <row r="26" ht="15.75" customHeight="1">
      <c r="A26" s="119" t="s">
        <v>269</v>
      </c>
      <c r="B26" s="195"/>
      <c r="C26" s="195" t="s">
        <v>270</v>
      </c>
      <c r="D26" s="195"/>
      <c r="E26" s="195"/>
      <c r="F26" s="195">
        <v>75.0</v>
      </c>
      <c r="G26" s="195"/>
      <c r="H26" s="230"/>
      <c r="I26" s="230">
        <v>0.75</v>
      </c>
      <c r="J26" s="230"/>
      <c r="K26" s="117"/>
      <c r="L26" s="117">
        <f t="shared" ref="L26:L29" si="6">F26*I26</f>
        <v>56.25</v>
      </c>
      <c r="M26" s="117"/>
      <c r="N26" s="117"/>
      <c r="O26" s="117"/>
      <c r="P26" s="117"/>
      <c r="W26" s="226"/>
      <c r="X26" s="226"/>
      <c r="Y26" s="226"/>
      <c r="AC26" s="141" t="s">
        <v>271</v>
      </c>
      <c r="AD26" s="141"/>
      <c r="AE26" s="141"/>
    </row>
    <row r="27" ht="15.75" customHeight="1">
      <c r="B27" s="141"/>
      <c r="C27" s="141" t="s">
        <v>272</v>
      </c>
      <c r="D27" s="141"/>
      <c r="E27" s="195"/>
      <c r="F27" s="195">
        <v>65.0</v>
      </c>
      <c r="G27" s="195"/>
      <c r="H27" s="230"/>
      <c r="I27" s="230">
        <v>0.25</v>
      </c>
      <c r="J27" s="230"/>
      <c r="K27" s="117"/>
      <c r="L27" s="117">
        <f t="shared" si="6"/>
        <v>16.25</v>
      </c>
      <c r="M27" s="117"/>
      <c r="N27" s="117"/>
      <c r="O27" s="231"/>
      <c r="P27" s="201"/>
      <c r="Q27" s="431"/>
      <c r="R27" s="232" t="s">
        <v>222</v>
      </c>
      <c r="T27" s="141" t="s">
        <v>273</v>
      </c>
      <c r="U27" s="141"/>
      <c r="V27" s="141"/>
      <c r="W27" s="2"/>
      <c r="X27" s="2"/>
      <c r="Y27" s="2"/>
      <c r="Z27" s="50"/>
      <c r="AA27" s="50"/>
      <c r="AB27" s="50"/>
      <c r="AC27" s="141" t="s">
        <v>274</v>
      </c>
      <c r="AD27" s="141"/>
      <c r="AE27" s="141"/>
    </row>
    <row r="28" ht="15.75" customHeight="1">
      <c r="A28" s="33"/>
      <c r="B28" s="195"/>
      <c r="C28" s="195" t="s">
        <v>275</v>
      </c>
      <c r="D28" s="195"/>
      <c r="E28" s="195"/>
      <c r="F28" s="195">
        <v>100.0</v>
      </c>
      <c r="G28" s="195"/>
      <c r="H28" s="230"/>
      <c r="I28" s="230">
        <v>0.2</v>
      </c>
      <c r="J28" s="230"/>
      <c r="K28" s="117"/>
      <c r="L28" s="117">
        <f t="shared" si="6"/>
        <v>20</v>
      </c>
      <c r="M28" s="117"/>
      <c r="N28" s="117"/>
      <c r="O28" s="233" t="s">
        <v>224</v>
      </c>
      <c r="P28" s="117"/>
      <c r="Q28" s="235"/>
      <c r="R28" s="234">
        <v>180000.0</v>
      </c>
      <c r="T28" s="141" t="s">
        <v>276</v>
      </c>
      <c r="U28" s="141"/>
      <c r="V28" s="141"/>
      <c r="W28" s="235">
        <v>12.0</v>
      </c>
      <c r="X28" s="235"/>
      <c r="Y28" s="235"/>
      <c r="Z28" s="235">
        <v>2.0</v>
      </c>
      <c r="AA28" s="235"/>
      <c r="AB28" s="235"/>
      <c r="AC28" s="141" t="s">
        <v>277</v>
      </c>
      <c r="AD28" s="141"/>
      <c r="AE28" s="141"/>
    </row>
    <row r="29" ht="15.75" customHeight="1">
      <c r="A29" s="33"/>
      <c r="B29" s="195"/>
      <c r="C29" s="195" t="s">
        <v>278</v>
      </c>
      <c r="D29" s="195"/>
      <c r="E29" s="195"/>
      <c r="F29" s="195">
        <v>80.0</v>
      </c>
      <c r="G29" s="195"/>
      <c r="H29" s="230"/>
      <c r="I29" s="230">
        <v>0.15</v>
      </c>
      <c r="J29" s="230"/>
      <c r="K29" s="117"/>
      <c r="L29" s="117">
        <f t="shared" si="6"/>
        <v>12</v>
      </c>
      <c r="M29" s="117"/>
      <c r="N29" s="117"/>
      <c r="O29" s="233" t="s">
        <v>226</v>
      </c>
      <c r="P29" s="117"/>
      <c r="Q29" s="141"/>
      <c r="R29" s="236">
        <v>0.0</v>
      </c>
      <c r="T29" s="141" t="s">
        <v>279</v>
      </c>
      <c r="U29" s="141"/>
      <c r="V29" s="141"/>
      <c r="W29" s="235">
        <v>60.0</v>
      </c>
      <c r="X29" s="235"/>
      <c r="Y29" s="235"/>
      <c r="Z29" s="235">
        <v>10.0</v>
      </c>
      <c r="AA29" s="235"/>
      <c r="AB29" s="235"/>
      <c r="AC29" s="141" t="s">
        <v>280</v>
      </c>
      <c r="AD29" s="141"/>
      <c r="AE29" s="141"/>
    </row>
    <row r="30" ht="15.75" customHeight="1">
      <c r="A30" s="33"/>
      <c r="B30" s="123"/>
      <c r="C30" s="123"/>
      <c r="D30" s="123"/>
      <c r="E30" s="123"/>
      <c r="F30" s="123"/>
      <c r="G30" s="123"/>
      <c r="H30" s="117"/>
      <c r="I30" s="117"/>
      <c r="J30" s="117"/>
      <c r="K30" s="117"/>
      <c r="L30" s="117">
        <f>SUM(L26:L29)</f>
        <v>104.5</v>
      </c>
      <c r="M30" s="117"/>
      <c r="N30" s="117"/>
      <c r="O30" s="233" t="s">
        <v>228</v>
      </c>
      <c r="P30" s="117"/>
      <c r="R30" s="237"/>
      <c r="T30" s="141" t="s">
        <v>27</v>
      </c>
      <c r="U30" s="141"/>
      <c r="V30" s="141"/>
      <c r="W30" s="235">
        <v>240.0</v>
      </c>
      <c r="X30" s="235"/>
      <c r="Y30" s="235"/>
      <c r="Z30" s="235">
        <v>40.0</v>
      </c>
      <c r="AA30" s="235"/>
      <c r="AB30" s="235"/>
      <c r="AC30" s="141" t="s">
        <v>281</v>
      </c>
      <c r="AD30" s="141"/>
      <c r="AE30" s="141"/>
    </row>
    <row r="31" ht="15.75" customHeight="1">
      <c r="B31" s="238"/>
      <c r="C31" s="238">
        <v>2023.0</v>
      </c>
      <c r="D31" s="238"/>
      <c r="E31" s="117"/>
      <c r="F31" s="117"/>
      <c r="G31" s="117"/>
      <c r="H31" s="117"/>
      <c r="I31" s="117"/>
      <c r="J31" s="117"/>
      <c r="K31" s="117"/>
      <c r="L31" s="117">
        <f>L30*1.2</f>
        <v>125.4</v>
      </c>
      <c r="M31" s="117"/>
      <c r="N31" s="117"/>
      <c r="O31" s="233" t="s">
        <v>230</v>
      </c>
      <c r="P31" s="117"/>
      <c r="R31" s="237"/>
      <c r="W31" s="2"/>
      <c r="X31" s="2"/>
      <c r="Y31" s="2"/>
      <c r="Z31" s="239"/>
      <c r="AA31" s="239"/>
      <c r="AB31" s="239"/>
      <c r="AO31" s="238">
        <v>2024.0</v>
      </c>
      <c r="AP31" s="238"/>
      <c r="AQ31" s="238"/>
    </row>
    <row r="32" ht="15.75" customHeight="1">
      <c r="A32" s="240" t="s">
        <v>222</v>
      </c>
      <c r="B32" s="241"/>
      <c r="C32" s="241"/>
      <c r="D32" s="24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432"/>
      <c r="R32" s="433">
        <f>sum(R28:R31)</f>
        <v>180000</v>
      </c>
      <c r="S32" s="432"/>
      <c r="T32" s="243"/>
      <c r="U32" s="243"/>
      <c r="V32" s="243"/>
      <c r="W32" s="243"/>
      <c r="X32" s="243"/>
      <c r="Y32" s="243"/>
      <c r="Z32" s="243"/>
      <c r="AA32" s="24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  <c r="AS32" s="243"/>
      <c r="AT32" s="243"/>
      <c r="AU32" s="243"/>
      <c r="AV32" s="243"/>
      <c r="AW32" s="243"/>
      <c r="AX32" s="243"/>
      <c r="AY32" s="243"/>
      <c r="AZ32" s="243"/>
      <c r="BA32" s="244"/>
      <c r="BB32" s="244"/>
      <c r="BC32" s="244"/>
      <c r="BD32" s="243"/>
      <c r="BE32" s="243"/>
      <c r="BF32" s="243"/>
      <c r="BG32" s="243"/>
      <c r="BH32" s="243"/>
      <c r="BI32" s="243"/>
      <c r="BJ32" s="243"/>
      <c r="BK32" s="243"/>
      <c r="BL32" s="243"/>
      <c r="BM32" s="243"/>
      <c r="BN32" s="243"/>
      <c r="BO32" s="243"/>
      <c r="BP32" s="243"/>
      <c r="BQ32" s="243"/>
      <c r="BR32" s="243"/>
      <c r="BS32" s="243"/>
      <c r="BT32" s="243"/>
      <c r="BU32" s="243"/>
      <c r="BV32" s="243"/>
      <c r="BW32" s="243"/>
      <c r="BX32" s="243"/>
      <c r="BY32" s="245"/>
    </row>
    <row r="33" ht="15.75" customHeight="1">
      <c r="A33" s="246" t="s">
        <v>282</v>
      </c>
      <c r="B33" s="247"/>
      <c r="C33" s="247">
        <f>R33</f>
        <v>6</v>
      </c>
      <c r="D33" s="247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50"/>
      <c r="R33" s="150">
        <v>6.0</v>
      </c>
      <c r="S33" s="150"/>
      <c r="T33" s="151"/>
      <c r="U33" s="151"/>
      <c r="V33" s="151"/>
      <c r="W33" s="248"/>
      <c r="X33" s="248"/>
      <c r="Y33" s="248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0">
        <v>6.0</v>
      </c>
      <c r="AP33" s="150"/>
      <c r="AQ33" s="150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51"/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434"/>
      <c r="BX33" s="434"/>
      <c r="BY33" s="249"/>
      <c r="BZ33" s="435"/>
      <c r="CA33" s="435"/>
    </row>
    <row r="34" ht="15.75" customHeight="1">
      <c r="A34" s="178" t="s">
        <v>237</v>
      </c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>
        <v>63655.75</v>
      </c>
      <c r="M34" s="179"/>
      <c r="N34" s="179"/>
      <c r="O34" s="179">
        <f>63655.75+$R$32</f>
        <v>243655.75</v>
      </c>
      <c r="P34" s="179"/>
      <c r="Q34" s="179"/>
      <c r="R34" s="179">
        <f>$O$74+$R$72</f>
        <v>172368.75</v>
      </c>
      <c r="S34" s="179"/>
      <c r="T34" s="179">
        <f>$R$74+$T$72+45000</f>
        <v>131877.67</v>
      </c>
      <c r="U34" s="179"/>
      <c r="V34" s="179"/>
      <c r="W34" s="179">
        <f>$T$74+$W$72</f>
        <v>53186.59</v>
      </c>
      <c r="X34" s="179"/>
      <c r="Y34" s="179"/>
      <c r="Z34" s="179">
        <f>$W$74+$Z$72</f>
        <v>-3344.49</v>
      </c>
      <c r="AA34" s="179"/>
      <c r="AB34" s="179"/>
      <c r="AC34" s="179">
        <f>$Z$74+$AC$72</f>
        <v>-45715.57</v>
      </c>
      <c r="AD34" s="179"/>
      <c r="AE34" s="179"/>
      <c r="AF34" s="179">
        <f>$AC$74+$AF$72</f>
        <v>-73926.65</v>
      </c>
      <c r="AG34" s="179"/>
      <c r="AH34" s="179"/>
      <c r="AI34" s="179">
        <f>$AF$74+$AI$72</f>
        <v>-87977.73</v>
      </c>
      <c r="AJ34" s="179"/>
      <c r="AK34" s="179"/>
      <c r="AL34" s="179">
        <f>$AI$74+$AL$72</f>
        <v>263824.2951</v>
      </c>
      <c r="AM34" s="250"/>
      <c r="AN34" s="250"/>
      <c r="AO34" s="179">
        <f>$AI$74+$AO$72</f>
        <v>-109925.89</v>
      </c>
      <c r="AP34" s="178"/>
      <c r="AQ34" s="178"/>
      <c r="AR34" s="179">
        <f>$AO$74+$AR$72</f>
        <v>-152169.05</v>
      </c>
      <c r="AS34" s="436"/>
      <c r="AT34" s="436"/>
      <c r="AU34" s="251">
        <f>$AR$74+$AU$72</f>
        <v>-180372.21</v>
      </c>
      <c r="AV34" s="436"/>
      <c r="AW34" s="436"/>
      <c r="AX34" s="179">
        <f>$AU$74+$AX$72</f>
        <v>-194535.37</v>
      </c>
      <c r="AY34" s="178"/>
      <c r="AZ34" s="178"/>
      <c r="BA34" s="179">
        <f>$AX$74+$BA$72</f>
        <v>-191778.53</v>
      </c>
      <c r="BB34" s="178"/>
      <c r="BC34" s="178"/>
      <c r="BD34" s="179">
        <f>$BA$74+$BD$72</f>
        <v>-154059.69</v>
      </c>
      <c r="BE34" s="178"/>
      <c r="BF34" s="73"/>
      <c r="BG34" s="179">
        <f>$BD$74+$BG$72</f>
        <v>-101919.85</v>
      </c>
      <c r="BH34" s="178"/>
      <c r="BI34" s="178"/>
      <c r="BJ34" s="179">
        <f>$BG$74+$BJ$72</f>
        <v>-49780.01</v>
      </c>
      <c r="BK34" s="178"/>
      <c r="BL34" s="178"/>
      <c r="BM34" s="179">
        <f>$BJ$74+$BM$72</f>
        <v>2359.83</v>
      </c>
      <c r="BN34" s="178"/>
      <c r="BO34" s="178"/>
      <c r="BP34" s="179">
        <f>$BM$74+$BP$72</f>
        <v>54499.67</v>
      </c>
      <c r="BQ34" s="178"/>
      <c r="BR34" s="178"/>
      <c r="BS34" s="179">
        <f>$BP$74+$BS$72</f>
        <v>106639.51</v>
      </c>
      <c r="BT34" s="178"/>
      <c r="BU34" s="178"/>
      <c r="BV34" s="179">
        <f>$BS$74+$BV$72</f>
        <v>158779.35</v>
      </c>
      <c r="BW34" s="436"/>
      <c r="BX34" s="436"/>
      <c r="BY34" s="251">
        <f>BV74+BY72</f>
        <v>1446115.35</v>
      </c>
      <c r="BZ34" s="437"/>
      <c r="CA34" s="437"/>
    </row>
    <row r="35" ht="15.75" customHeight="1">
      <c r="A35" s="124"/>
      <c r="B35" s="152" t="s">
        <v>310</v>
      </c>
      <c r="C35" s="152" t="s">
        <v>311</v>
      </c>
      <c r="D35" s="152" t="s">
        <v>312</v>
      </c>
      <c r="E35" s="152" t="s">
        <v>313</v>
      </c>
      <c r="F35" s="152" t="s">
        <v>314</v>
      </c>
      <c r="G35" s="152" t="s">
        <v>315</v>
      </c>
      <c r="H35" s="152" t="s">
        <v>316</v>
      </c>
      <c r="I35" s="152" t="s">
        <v>317</v>
      </c>
      <c r="J35" s="152" t="s">
        <v>318</v>
      </c>
      <c r="K35" s="152" t="s">
        <v>319</v>
      </c>
      <c r="L35" s="152" t="s">
        <v>320</v>
      </c>
      <c r="M35" s="152" t="s">
        <v>321</v>
      </c>
      <c r="N35" s="152" t="s">
        <v>322</v>
      </c>
      <c r="O35" s="152" t="s">
        <v>323</v>
      </c>
      <c r="P35" s="152" t="s">
        <v>324</v>
      </c>
      <c r="Q35" s="152" t="s">
        <v>325</v>
      </c>
      <c r="R35" s="152" t="s">
        <v>326</v>
      </c>
      <c r="S35" s="152" t="s">
        <v>327</v>
      </c>
      <c r="T35" s="438" t="s">
        <v>328</v>
      </c>
      <c r="U35" s="438" t="s">
        <v>329</v>
      </c>
      <c r="V35" s="438" t="s">
        <v>330</v>
      </c>
      <c r="W35" s="438" t="s">
        <v>331</v>
      </c>
      <c r="X35" s="438" t="s">
        <v>332</v>
      </c>
      <c r="Y35" s="438" t="s">
        <v>333</v>
      </c>
      <c r="Z35" s="438" t="s">
        <v>334</v>
      </c>
      <c r="AA35" s="438" t="s">
        <v>335</v>
      </c>
      <c r="AB35" s="438" t="s">
        <v>336</v>
      </c>
      <c r="AC35" s="438" t="s">
        <v>337</v>
      </c>
      <c r="AD35" s="438" t="s">
        <v>338</v>
      </c>
      <c r="AE35" s="438" t="s">
        <v>339</v>
      </c>
      <c r="AF35" s="438" t="s">
        <v>340</v>
      </c>
      <c r="AG35" s="438" t="s">
        <v>341</v>
      </c>
      <c r="AH35" s="438" t="s">
        <v>342</v>
      </c>
      <c r="AI35" s="438" t="s">
        <v>343</v>
      </c>
      <c r="AJ35" s="438" t="s">
        <v>344</v>
      </c>
      <c r="AK35" s="438" t="s">
        <v>345</v>
      </c>
      <c r="AL35" s="439" t="s">
        <v>346</v>
      </c>
      <c r="AM35" s="440" t="s">
        <v>347</v>
      </c>
      <c r="AN35" s="440" t="s">
        <v>348</v>
      </c>
      <c r="AO35" s="438" t="s">
        <v>310</v>
      </c>
      <c r="AP35" s="438" t="s">
        <v>349</v>
      </c>
      <c r="AQ35" s="438" t="s">
        <v>350</v>
      </c>
      <c r="AR35" s="438" t="s">
        <v>313</v>
      </c>
      <c r="AS35" s="441" t="s">
        <v>314</v>
      </c>
      <c r="AT35" s="441" t="s">
        <v>315</v>
      </c>
      <c r="AU35" s="441" t="s">
        <v>351</v>
      </c>
      <c r="AV35" s="441" t="s">
        <v>352</v>
      </c>
      <c r="AW35" s="441" t="s">
        <v>353</v>
      </c>
      <c r="AX35" s="438" t="s">
        <v>354</v>
      </c>
      <c r="AY35" s="438" t="s">
        <v>355</v>
      </c>
      <c r="AZ35" s="438" t="s">
        <v>356</v>
      </c>
      <c r="BA35" s="438" t="s">
        <v>357</v>
      </c>
      <c r="BB35" s="438" t="s">
        <v>358</v>
      </c>
      <c r="BC35" s="438" t="s">
        <v>359</v>
      </c>
      <c r="BD35" s="152" t="s">
        <v>360</v>
      </c>
      <c r="BE35" s="152" t="s">
        <v>361</v>
      </c>
      <c r="BF35" s="152" t="s">
        <v>327</v>
      </c>
      <c r="BG35" s="438" t="s">
        <v>362</v>
      </c>
      <c r="BH35" s="438" t="s">
        <v>363</v>
      </c>
      <c r="BI35" s="438" t="s">
        <v>364</v>
      </c>
      <c r="BJ35" s="152" t="s">
        <v>365</v>
      </c>
      <c r="BK35" s="152" t="s">
        <v>332</v>
      </c>
      <c r="BL35" s="152" t="s">
        <v>333</v>
      </c>
      <c r="BM35" s="152" t="s">
        <v>334</v>
      </c>
      <c r="BN35" s="152" t="s">
        <v>335</v>
      </c>
      <c r="BO35" s="152" t="s">
        <v>336</v>
      </c>
      <c r="BP35" s="152" t="s">
        <v>337</v>
      </c>
      <c r="BQ35" s="152" t="s">
        <v>338</v>
      </c>
      <c r="BR35" s="152" t="s">
        <v>339</v>
      </c>
      <c r="BS35" s="152" t="s">
        <v>340</v>
      </c>
      <c r="BT35" s="152" t="s">
        <v>341</v>
      </c>
      <c r="BU35" s="152" t="s">
        <v>342</v>
      </c>
      <c r="BV35" s="152" t="s">
        <v>343</v>
      </c>
      <c r="BW35" s="152" t="s">
        <v>366</v>
      </c>
      <c r="BX35" s="152" t="s">
        <v>367</v>
      </c>
      <c r="BY35" s="439" t="s">
        <v>368</v>
      </c>
      <c r="BZ35" s="442" t="s">
        <v>369</v>
      </c>
      <c r="CA35" s="443" t="s">
        <v>370</v>
      </c>
    </row>
    <row r="36" ht="15.75" customHeight="1">
      <c r="A36" s="255" t="s">
        <v>213</v>
      </c>
      <c r="B36" s="255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5"/>
      <c r="Q36" s="256"/>
      <c r="R36" s="256">
        <v>0.0</v>
      </c>
      <c r="S36" s="256"/>
      <c r="T36" s="256">
        <f>R33*40</f>
        <v>240</v>
      </c>
      <c r="U36" s="256"/>
      <c r="V36" s="256"/>
      <c r="W36" s="256">
        <f>80*R33</f>
        <v>480</v>
      </c>
      <c r="X36" s="256"/>
      <c r="Y36" s="256"/>
      <c r="Z36" s="256">
        <f>120*R33</f>
        <v>720</v>
      </c>
      <c r="AA36" s="256"/>
      <c r="AB36" s="256"/>
      <c r="AC36" s="257">
        <f>160*R33</f>
        <v>960</v>
      </c>
      <c r="AD36" s="257"/>
      <c r="AE36" s="257"/>
      <c r="AF36" s="256">
        <f>200*R33</f>
        <v>1200</v>
      </c>
      <c r="AG36" s="256"/>
      <c r="AH36" s="256"/>
      <c r="AI36" s="256">
        <f>240*R33</f>
        <v>1440</v>
      </c>
      <c r="AJ36" s="256"/>
      <c r="AK36" s="256"/>
      <c r="AL36" s="258"/>
      <c r="AM36" s="259"/>
      <c r="AN36" s="259"/>
      <c r="AO36" s="256">
        <f>AI36</f>
        <v>1440</v>
      </c>
      <c r="AP36" s="256"/>
      <c r="AQ36" s="256"/>
      <c r="AR36" s="256">
        <f>(60*$AO$33)+AI36</f>
        <v>1800</v>
      </c>
      <c r="AS36" s="256"/>
      <c r="AT36" s="256"/>
      <c r="AU36" s="256">
        <f>(120*$AO$33)+AI36</f>
        <v>2160</v>
      </c>
      <c r="AV36" s="256"/>
      <c r="AW36" s="256"/>
      <c r="AX36" s="256">
        <f>(180*$AO$33)+AI36</f>
        <v>2520</v>
      </c>
      <c r="AY36" s="256"/>
      <c r="AZ36" s="256"/>
      <c r="BA36" s="256">
        <f>(240*$AO$33)+AI36</f>
        <v>2880</v>
      </c>
      <c r="BB36" s="256"/>
      <c r="BC36" s="256"/>
      <c r="BD36" s="256">
        <f>(260*$AO$33)+AI36</f>
        <v>3000</v>
      </c>
      <c r="BE36" s="256"/>
      <c r="BF36" s="256"/>
      <c r="BG36" s="256">
        <f>(260*$AO$33)+AI36</f>
        <v>3000</v>
      </c>
      <c r="BH36" s="256"/>
      <c r="BI36" s="256"/>
      <c r="BJ36" s="256">
        <f>(260*$AO$33)+AI36</f>
        <v>3000</v>
      </c>
      <c r="BK36" s="256"/>
      <c r="BL36" s="256"/>
      <c r="BM36" s="256">
        <f>(260*$AO$33)+AI36</f>
        <v>3000</v>
      </c>
      <c r="BN36" s="256"/>
      <c r="BO36" s="256"/>
      <c r="BP36" s="256">
        <f>(260*$AO$33)+AI36</f>
        <v>3000</v>
      </c>
      <c r="BQ36" s="256"/>
      <c r="BR36" s="256"/>
      <c r="BS36" s="256">
        <f>(260*$AO$33)+AI36</f>
        <v>3000</v>
      </c>
      <c r="BT36" s="256"/>
      <c r="BU36" s="256"/>
      <c r="BV36" s="256">
        <f>(260*$AO$33)+AI36</f>
        <v>3000</v>
      </c>
      <c r="BW36" s="256"/>
      <c r="BX36" s="256"/>
      <c r="BY36" s="260"/>
      <c r="BZ36" s="444"/>
      <c r="CA36" s="444"/>
    </row>
    <row r="37" ht="15.75" customHeight="1">
      <c r="A37" s="261" t="s">
        <v>12</v>
      </c>
      <c r="B37" s="263">
        <v>80000.0</v>
      </c>
      <c r="C37" s="262">
        <f>101218</f>
        <v>101218</v>
      </c>
      <c r="D37" s="262"/>
      <c r="E37" s="262">
        <f>84000</f>
        <v>84000</v>
      </c>
      <c r="F37" s="445">
        <f>'P&amp;L'!O9</f>
        <v>89149.99</v>
      </c>
      <c r="G37" s="446"/>
      <c r="H37" s="447">
        <v>88200.0</v>
      </c>
      <c r="I37" s="262">
        <f>'P&amp;L'!P9</f>
        <v>78500.7</v>
      </c>
      <c r="J37" s="262"/>
      <c r="K37" s="263">
        <v>92610.0</v>
      </c>
      <c r="L37" s="262">
        <f>'P&amp;L'!Q9</f>
        <v>75991.47</v>
      </c>
      <c r="M37" s="262"/>
      <c r="N37" s="263">
        <v>97000.0</v>
      </c>
      <c r="O37" s="262">
        <f>'P&amp;L'!R9</f>
        <v>61921.25</v>
      </c>
      <c r="P37" s="262"/>
      <c r="Q37" s="263">
        <v>70000.0</v>
      </c>
      <c r="R37" s="263">
        <v>62972.0</v>
      </c>
      <c r="S37" s="263"/>
      <c r="T37" s="263">
        <v>70000.0</v>
      </c>
      <c r="U37" s="263"/>
      <c r="V37" s="263"/>
      <c r="W37" s="263">
        <v>80000.0</v>
      </c>
      <c r="X37" s="263"/>
      <c r="Y37" s="263"/>
      <c r="Z37" s="263">
        <v>90000.0</v>
      </c>
      <c r="AA37" s="263"/>
      <c r="AB37" s="263"/>
      <c r="AC37" s="263">
        <v>90000.0</v>
      </c>
      <c r="AD37" s="263"/>
      <c r="AE37" s="263"/>
      <c r="AF37" s="263">
        <v>90000.0</v>
      </c>
      <c r="AG37" s="263"/>
      <c r="AH37" s="263"/>
      <c r="AI37" s="263">
        <v>90000.0</v>
      </c>
      <c r="AJ37" s="263"/>
      <c r="AK37" s="263"/>
      <c r="AL37" s="264">
        <f>(B37+E37+H37+K37+N37+Q37+T37+W37+Z37+AC37+AF37+AI37)</f>
        <v>1021810</v>
      </c>
      <c r="AM37" s="448">
        <f t="shared" ref="AM37:AM41" si="7">SUM(C37,F37,I37,L37,O37,R37,U37,X37,AA37,AD37,AG37,AJ37)</f>
        <v>469753.41</v>
      </c>
      <c r="AN37" s="449"/>
      <c r="AO37" s="263">
        <v>100000.0</v>
      </c>
      <c r="AP37" s="263"/>
      <c r="AQ37" s="263"/>
      <c r="AR37" s="263">
        <v>100000.0</v>
      </c>
      <c r="AS37" s="263"/>
      <c r="AT37" s="263"/>
      <c r="AU37" s="263">
        <v>100000.0</v>
      </c>
      <c r="AV37" s="263"/>
      <c r="AW37" s="263"/>
      <c r="AX37" s="263">
        <v>100000.0</v>
      </c>
      <c r="AY37" s="263"/>
      <c r="AZ37" s="263"/>
      <c r="BA37" s="263">
        <v>100000.0</v>
      </c>
      <c r="BB37" s="263"/>
      <c r="BC37" s="263"/>
      <c r="BD37" s="263">
        <v>100000.0</v>
      </c>
      <c r="BE37" s="263"/>
      <c r="BF37" s="262"/>
      <c r="BG37" s="263">
        <v>100000.0</v>
      </c>
      <c r="BH37" s="263"/>
      <c r="BI37" s="263"/>
      <c r="BJ37" s="263">
        <v>100000.0</v>
      </c>
      <c r="BK37" s="263"/>
      <c r="BL37" s="263"/>
      <c r="BM37" s="263">
        <v>100000.0</v>
      </c>
      <c r="BN37" s="263"/>
      <c r="BO37" s="263"/>
      <c r="BP37" s="263">
        <v>100000.0</v>
      </c>
      <c r="BQ37" s="263"/>
      <c r="BR37" s="263"/>
      <c r="BS37" s="263">
        <v>100000.0</v>
      </c>
      <c r="BT37" s="263"/>
      <c r="BU37" s="263"/>
      <c r="BV37" s="263">
        <v>100000.0</v>
      </c>
      <c r="BW37" s="263"/>
      <c r="BX37" s="263"/>
      <c r="BY37" s="266">
        <f t="shared" ref="BY37:BY46" si="8">SUM(AO37:BD37,BG37:BV37)</f>
        <v>1200000</v>
      </c>
      <c r="BZ37" s="444"/>
      <c r="CA37" s="444"/>
    </row>
    <row r="38" ht="15.75" customHeight="1">
      <c r="A38" s="267" t="s">
        <v>233</v>
      </c>
      <c r="B38" s="268"/>
      <c r="C38" s="268"/>
      <c r="D38" s="268"/>
      <c r="E38" s="268"/>
      <c r="F38" s="450"/>
      <c r="G38" s="451"/>
      <c r="H38" s="452"/>
      <c r="I38" s="268"/>
      <c r="J38" s="268"/>
      <c r="K38" s="268"/>
      <c r="L38" s="268"/>
      <c r="M38" s="268"/>
      <c r="N38" s="268"/>
      <c r="O38" s="268"/>
      <c r="P38" s="268"/>
      <c r="Q38" s="268"/>
      <c r="R38" s="268" t="str">
        <f>Investment!B36</f>
        <v/>
      </c>
      <c r="S38" s="268"/>
      <c r="T38" s="268" t="str">
        <f>Investment!C36</f>
        <v/>
      </c>
      <c r="U38" s="268"/>
      <c r="V38" s="268"/>
      <c r="W38" s="268" t="str">
        <f>Investment!D36</f>
        <v/>
      </c>
      <c r="X38" s="268"/>
      <c r="Y38" s="268"/>
      <c r="Z38" s="268">
        <f>T36*80</f>
        <v>19200</v>
      </c>
      <c r="AA38" s="268"/>
      <c r="AB38" s="268"/>
      <c r="AC38" s="268">
        <f>W36*80</f>
        <v>38400</v>
      </c>
      <c r="AD38" s="268"/>
      <c r="AE38" s="268"/>
      <c r="AF38" s="268">
        <f>Z36*80</f>
        <v>57600</v>
      </c>
      <c r="AG38" s="268"/>
      <c r="AH38" s="268"/>
      <c r="AI38" s="268">
        <f>AC36*80</f>
        <v>76800</v>
      </c>
      <c r="AJ38" s="268"/>
      <c r="AK38" s="268"/>
      <c r="AL38" s="453">
        <f>SUM(Z38:AI38)</f>
        <v>192000</v>
      </c>
      <c r="AM38" s="284">
        <f t="shared" si="7"/>
        <v>0</v>
      </c>
      <c r="AN38" s="454"/>
      <c r="AO38" s="268">
        <f>80*AO36</f>
        <v>115200</v>
      </c>
      <c r="AP38" s="268"/>
      <c r="AQ38" s="268"/>
      <c r="AR38" s="268">
        <f>80*AR36</f>
        <v>144000</v>
      </c>
      <c r="AS38" s="268"/>
      <c r="AT38" s="268"/>
      <c r="AU38" s="268">
        <f>80*AU36</f>
        <v>172800</v>
      </c>
      <c r="AV38" s="268"/>
      <c r="AW38" s="268"/>
      <c r="AX38" s="268">
        <f>80*AX36</f>
        <v>201600</v>
      </c>
      <c r="AY38" s="268"/>
      <c r="AZ38" s="268"/>
      <c r="BA38" s="268">
        <f>80*BA36</f>
        <v>230400</v>
      </c>
      <c r="BB38" s="268"/>
      <c r="BC38" s="268"/>
      <c r="BD38" s="268">
        <f>80*BD36</f>
        <v>240000</v>
      </c>
      <c r="BE38" s="268"/>
      <c r="BF38" s="268"/>
      <c r="BG38" s="268">
        <f>80*BG36</f>
        <v>240000</v>
      </c>
      <c r="BH38" s="268"/>
      <c r="BI38" s="268"/>
      <c r="BJ38" s="268">
        <f>80*BJ36</f>
        <v>240000</v>
      </c>
      <c r="BK38" s="268"/>
      <c r="BL38" s="268"/>
      <c r="BM38" s="268">
        <f>80*BM36</f>
        <v>240000</v>
      </c>
      <c r="BN38" s="268"/>
      <c r="BO38" s="268"/>
      <c r="BP38" s="268">
        <f>80*BP36</f>
        <v>240000</v>
      </c>
      <c r="BQ38" s="268"/>
      <c r="BR38" s="268"/>
      <c r="BS38" s="268">
        <f>80*BS36</f>
        <v>240000</v>
      </c>
      <c r="BT38" s="268"/>
      <c r="BU38" s="268"/>
      <c r="BV38" s="268">
        <f>80*BV36</f>
        <v>240000</v>
      </c>
      <c r="BW38" s="455"/>
      <c r="BX38" s="455"/>
      <c r="BY38" s="266">
        <f t="shared" si="8"/>
        <v>2544000</v>
      </c>
      <c r="BZ38" s="444"/>
      <c r="CA38" s="444"/>
    </row>
    <row r="39" ht="15.75" customHeight="1">
      <c r="A39" s="271" t="s">
        <v>234</v>
      </c>
      <c r="B39" s="272">
        <f t="shared" ref="B39:C39" si="9">SUM(B37:B38)</f>
        <v>80000</v>
      </c>
      <c r="C39" s="272">
        <f t="shared" si="9"/>
        <v>101218</v>
      </c>
      <c r="D39" s="456">
        <f>(C39-B39)/B39</f>
        <v>0.265225</v>
      </c>
      <c r="E39" s="457">
        <f t="shared" ref="E39:F39" si="10">SUM(E37:E38)</f>
        <v>84000</v>
      </c>
      <c r="F39" s="272">
        <f t="shared" si="10"/>
        <v>89149.99</v>
      </c>
      <c r="G39" s="458">
        <f>(F39-E39)/E39</f>
        <v>0.06130940476</v>
      </c>
      <c r="H39" s="272">
        <f t="shared" ref="H39:I39" si="11">SUM(H37:H38)</f>
        <v>88200</v>
      </c>
      <c r="I39" s="272">
        <f t="shared" si="11"/>
        <v>78500.7</v>
      </c>
      <c r="J39" s="459">
        <f>(I39-H39)/H39</f>
        <v>-0.1099693878</v>
      </c>
      <c r="K39" s="272">
        <f t="shared" ref="K39:L39" si="12">SUM(K37:K38)</f>
        <v>92610</v>
      </c>
      <c r="L39" s="272">
        <f t="shared" si="12"/>
        <v>75991.47</v>
      </c>
      <c r="M39" s="459">
        <f>(L39-K39)/K39</f>
        <v>-0.1794463881</v>
      </c>
      <c r="N39" s="457">
        <f t="shared" ref="N39:O39" si="13">SUM(N37:N38)</f>
        <v>97000</v>
      </c>
      <c r="O39" s="272">
        <f t="shared" si="13"/>
        <v>61921.25</v>
      </c>
      <c r="P39" s="459">
        <f>(O39-N39)/N39</f>
        <v>-0.3616365979</v>
      </c>
      <c r="Q39" s="457">
        <v>70000.0</v>
      </c>
      <c r="R39" s="272">
        <f>SUM(R37:R38)</f>
        <v>62972</v>
      </c>
      <c r="S39" s="459">
        <f>(R39-Q39)/Q39</f>
        <v>-0.1004</v>
      </c>
      <c r="T39" s="272">
        <f>SUM(T37:T38)</f>
        <v>70000</v>
      </c>
      <c r="U39" s="272"/>
      <c r="V39" s="272"/>
      <c r="W39" s="272">
        <f>SUM(W37:W38)</f>
        <v>80000</v>
      </c>
      <c r="X39" s="272"/>
      <c r="Y39" s="272"/>
      <c r="Z39" s="272">
        <f>SUM(Z37:Z38)</f>
        <v>109200</v>
      </c>
      <c r="AA39" s="272"/>
      <c r="AB39" s="272"/>
      <c r="AC39" s="272">
        <f>SUM(AC37:AC38)</f>
        <v>128400</v>
      </c>
      <c r="AD39" s="272"/>
      <c r="AE39" s="272"/>
      <c r="AF39" s="272">
        <f>SUM(AF37:AF38)</f>
        <v>147600</v>
      </c>
      <c r="AG39" s="272"/>
      <c r="AH39" s="272"/>
      <c r="AI39" s="272">
        <f>SUM(AI37:AI38)</f>
        <v>166800</v>
      </c>
      <c r="AJ39" s="272"/>
      <c r="AK39" s="272"/>
      <c r="AL39" s="460">
        <f>SUM(C39:AI39)</f>
        <v>1603562.985</v>
      </c>
      <c r="AM39" s="284">
        <f t="shared" si="7"/>
        <v>469753.41</v>
      </c>
      <c r="AN39" s="461"/>
      <c r="AO39" s="275">
        <f>SUM(AO37:AO38)</f>
        <v>215200</v>
      </c>
      <c r="AP39" s="275"/>
      <c r="AQ39" s="275"/>
      <c r="AR39" s="275">
        <f>SUM(AR37:AR38)</f>
        <v>244000</v>
      </c>
      <c r="AS39" s="276"/>
      <c r="AT39" s="276"/>
      <c r="AU39" s="276">
        <f>SUM(AU37:AU38)</f>
        <v>272800</v>
      </c>
      <c r="AV39" s="276"/>
      <c r="AW39" s="276"/>
      <c r="AX39" s="275">
        <f>SUM(AX37:AX38)</f>
        <v>301600</v>
      </c>
      <c r="AY39" s="275"/>
      <c r="AZ39" s="275"/>
      <c r="BA39" s="275">
        <f>SUM(BA37:BA38)</f>
        <v>330400</v>
      </c>
      <c r="BB39" s="275"/>
      <c r="BC39" s="275"/>
      <c r="BD39" s="275">
        <f>SUM(BD37:BD38)</f>
        <v>340000</v>
      </c>
      <c r="BE39" s="275"/>
      <c r="BF39" s="275"/>
      <c r="BG39" s="275">
        <f>SUM(BG37:BG38)</f>
        <v>340000</v>
      </c>
      <c r="BH39" s="275"/>
      <c r="BI39" s="275"/>
      <c r="BJ39" s="275">
        <f>SUM(BJ37:BJ38)</f>
        <v>340000</v>
      </c>
      <c r="BK39" s="275"/>
      <c r="BL39" s="275"/>
      <c r="BM39" s="275">
        <f>SUM(BM37:BM38)</f>
        <v>340000</v>
      </c>
      <c r="BN39" s="275"/>
      <c r="BO39" s="275"/>
      <c r="BP39" s="275">
        <f>SUM(BP37:BP38)</f>
        <v>340000</v>
      </c>
      <c r="BQ39" s="275"/>
      <c r="BR39" s="275"/>
      <c r="BS39" s="275">
        <f>SUM(BS37:BS38)</f>
        <v>340000</v>
      </c>
      <c r="BT39" s="275"/>
      <c r="BU39" s="275"/>
      <c r="BV39" s="275">
        <f>SUM(BV37:BV38)</f>
        <v>340000</v>
      </c>
      <c r="BW39" s="462"/>
      <c r="BX39" s="462"/>
      <c r="BY39" s="266">
        <f t="shared" si="8"/>
        <v>3744000</v>
      </c>
      <c r="BZ39" s="444"/>
      <c r="CA39" s="444"/>
    </row>
    <row r="40" ht="15.75" customHeight="1">
      <c r="A40" s="277" t="s">
        <v>215</v>
      </c>
      <c r="B40" s="277"/>
      <c r="C40" s="277"/>
      <c r="D40" s="277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8"/>
      <c r="R40" s="278"/>
      <c r="S40" s="278"/>
      <c r="T40" s="278">
        <f>$R$4*T36</f>
        <v>1200</v>
      </c>
      <c r="U40" s="278"/>
      <c r="V40" s="278"/>
      <c r="W40" s="278">
        <f>$R$4*W36</f>
        <v>2400</v>
      </c>
      <c r="X40" s="278"/>
      <c r="Y40" s="278"/>
      <c r="Z40" s="278">
        <f>$R$4*Z36</f>
        <v>3600</v>
      </c>
      <c r="AA40" s="278"/>
      <c r="AB40" s="278"/>
      <c r="AC40" s="278">
        <f>$R$4*AC36</f>
        <v>4800</v>
      </c>
      <c r="AD40" s="278"/>
      <c r="AE40" s="278"/>
      <c r="AF40" s="278">
        <f>$R$4*AF36</f>
        <v>6000</v>
      </c>
      <c r="AG40" s="278"/>
      <c r="AH40" s="278"/>
      <c r="AI40" s="278">
        <f>$R$4*AI36</f>
        <v>7200</v>
      </c>
      <c r="AJ40" s="278"/>
      <c r="AK40" s="278"/>
      <c r="AL40" s="463">
        <f>SUM(T40:AI40)</f>
        <v>25200</v>
      </c>
      <c r="AM40" s="284">
        <f t="shared" si="7"/>
        <v>0</v>
      </c>
      <c r="AN40" s="464"/>
      <c r="AO40" s="278">
        <f>$R$4*AO36</f>
        <v>7200</v>
      </c>
      <c r="AP40" s="278"/>
      <c r="AQ40" s="278"/>
      <c r="AR40" s="278">
        <f>$R$4*AR36</f>
        <v>9000</v>
      </c>
      <c r="AS40" s="281"/>
      <c r="AT40" s="281"/>
      <c r="AU40" s="281">
        <f>$R$4*AU36</f>
        <v>10800</v>
      </c>
      <c r="AV40" s="281"/>
      <c r="AW40" s="281"/>
      <c r="AX40" s="278">
        <f>$R$4*AX36</f>
        <v>12600</v>
      </c>
      <c r="AY40" s="278"/>
      <c r="AZ40" s="278"/>
      <c r="BA40" s="278">
        <f>$R$4*BA36</f>
        <v>14400</v>
      </c>
      <c r="BB40" s="278"/>
      <c r="BC40" s="278"/>
      <c r="BD40" s="278">
        <f>$R$4*BD36</f>
        <v>15000</v>
      </c>
      <c r="BE40" s="278"/>
      <c r="BF40" s="278"/>
      <c r="BG40" s="278">
        <f>$R$4*BG36</f>
        <v>15000</v>
      </c>
      <c r="BH40" s="278"/>
      <c r="BI40" s="278"/>
      <c r="BJ40" s="278">
        <f>$R$4*BJ36</f>
        <v>15000</v>
      </c>
      <c r="BK40" s="278"/>
      <c r="BL40" s="278"/>
      <c r="BM40" s="278">
        <f>$R$4*BM36</f>
        <v>15000</v>
      </c>
      <c r="BN40" s="278"/>
      <c r="BO40" s="278"/>
      <c r="BP40" s="278">
        <f>$R$4*BP36</f>
        <v>15000</v>
      </c>
      <c r="BQ40" s="278"/>
      <c r="BR40" s="278"/>
      <c r="BS40" s="278">
        <f>$R$4*BS36</f>
        <v>15000</v>
      </c>
      <c r="BT40" s="278"/>
      <c r="BU40" s="278"/>
      <c r="BV40" s="278">
        <f>$R$4*BV36</f>
        <v>15000</v>
      </c>
      <c r="BW40" s="278"/>
      <c r="BX40" s="278"/>
      <c r="BY40" s="266">
        <f t="shared" si="8"/>
        <v>159000</v>
      </c>
      <c r="BZ40" s="444"/>
      <c r="CA40" s="444"/>
    </row>
    <row r="41" ht="15.75" customHeight="1">
      <c r="A41" s="282" t="s">
        <v>216</v>
      </c>
      <c r="B41" s="282"/>
      <c r="C41" s="282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/>
      <c r="P41" s="282"/>
      <c r="Q41" s="283"/>
      <c r="R41" s="283"/>
      <c r="S41" s="283"/>
      <c r="T41" s="283">
        <f>T36*$L$30</f>
        <v>25080</v>
      </c>
      <c r="U41" s="283"/>
      <c r="V41" s="283"/>
      <c r="W41" s="283">
        <f>(W36-T36)*$L$30</f>
        <v>25080</v>
      </c>
      <c r="X41" s="283"/>
      <c r="Y41" s="283"/>
      <c r="Z41" s="283">
        <f>(Z36-W36)*$L$30</f>
        <v>25080</v>
      </c>
      <c r="AA41" s="283"/>
      <c r="AB41" s="283"/>
      <c r="AC41" s="283">
        <f>(AC36-Z36)*$L$30</f>
        <v>25080</v>
      </c>
      <c r="AD41" s="283"/>
      <c r="AE41" s="283"/>
      <c r="AF41" s="283">
        <f>(AF36-AC36)*$L$30</f>
        <v>25080</v>
      </c>
      <c r="AG41" s="283"/>
      <c r="AH41" s="283"/>
      <c r="AI41" s="283">
        <f>(AI36-AF36)*$L$30</f>
        <v>25080</v>
      </c>
      <c r="AJ41" s="283"/>
      <c r="AK41" s="283"/>
      <c r="AL41" s="453">
        <f>SUM(C41:AI41)</f>
        <v>150480</v>
      </c>
      <c r="AM41" s="284">
        <f t="shared" si="7"/>
        <v>0</v>
      </c>
      <c r="AN41" s="465"/>
      <c r="AO41" s="285">
        <f>(AO36-AI36)*$L$30</f>
        <v>0</v>
      </c>
      <c r="AP41" s="285"/>
      <c r="AQ41" s="285"/>
      <c r="AR41" s="286">
        <f>(AR36-AO36)*$L$30</f>
        <v>37620</v>
      </c>
      <c r="AS41" s="286"/>
      <c r="AT41" s="286"/>
      <c r="AU41" s="286">
        <f>(AU36-AR36)*$L$30</f>
        <v>37620</v>
      </c>
      <c r="AV41" s="286"/>
      <c r="AW41" s="286"/>
      <c r="AX41" s="286">
        <f>(AX36-AU36)*$L$30</f>
        <v>37620</v>
      </c>
      <c r="AY41" s="286"/>
      <c r="AZ41" s="286"/>
      <c r="BA41" s="286">
        <f>(BA36-AX36)*$L$30</f>
        <v>37620</v>
      </c>
      <c r="BB41" s="286"/>
      <c r="BC41" s="286"/>
      <c r="BD41" s="286">
        <f>(BD36-BA36)*$L$30</f>
        <v>12540</v>
      </c>
      <c r="BE41" s="286"/>
      <c r="BF41" s="286"/>
      <c r="BG41" s="286">
        <f>(BG36-BD36)*$L$30</f>
        <v>0</v>
      </c>
      <c r="BH41" s="286"/>
      <c r="BI41" s="286"/>
      <c r="BJ41" s="286">
        <f>(BJ36-BG36)*$L$30</f>
        <v>0</v>
      </c>
      <c r="BK41" s="286"/>
      <c r="BL41" s="286"/>
      <c r="BM41" s="286">
        <f>(BM36-BJ36)*$L$30</f>
        <v>0</v>
      </c>
      <c r="BN41" s="286"/>
      <c r="BO41" s="286"/>
      <c r="BP41" s="286">
        <f>(BP36-BM36)*$L$30</f>
        <v>0</v>
      </c>
      <c r="BQ41" s="286"/>
      <c r="BR41" s="286"/>
      <c r="BS41" s="286">
        <f>(BS36-BP36)*$L$30</f>
        <v>0</v>
      </c>
      <c r="BT41" s="286"/>
      <c r="BU41" s="286"/>
      <c r="BV41" s="286">
        <f>(BV36-BS36)*$L$30</f>
        <v>0</v>
      </c>
      <c r="BW41" s="286"/>
      <c r="BX41" s="286"/>
      <c r="BY41" s="266">
        <f t="shared" si="8"/>
        <v>163020</v>
      </c>
      <c r="BZ41" s="444"/>
      <c r="CA41" s="444"/>
    </row>
    <row r="42" ht="15.75" customHeight="1">
      <c r="A42" s="282" t="s">
        <v>225</v>
      </c>
      <c r="B42" s="282"/>
      <c r="C42" s="282"/>
      <c r="D42" s="282"/>
      <c r="E42" s="282"/>
      <c r="F42" s="282"/>
      <c r="G42" s="282"/>
      <c r="H42" s="282"/>
      <c r="I42" s="282"/>
      <c r="J42" s="282"/>
      <c r="K42" s="282"/>
      <c r="L42" s="282"/>
      <c r="M42" s="282"/>
      <c r="N42" s="282"/>
      <c r="O42" s="282"/>
      <c r="P42" s="282"/>
      <c r="Q42" s="287"/>
      <c r="R42" s="287">
        <f>R41*0.1</f>
        <v>0</v>
      </c>
      <c r="S42" s="287"/>
      <c r="T42" s="287">
        <f>T41*0.1</f>
        <v>2508</v>
      </c>
      <c r="U42" s="287"/>
      <c r="V42" s="287"/>
      <c r="W42" s="287">
        <f>W41*0.1</f>
        <v>2508</v>
      </c>
      <c r="X42" s="287"/>
      <c r="Y42" s="287"/>
      <c r="Z42" s="287">
        <f>Z41*0.1</f>
        <v>2508</v>
      </c>
      <c r="AA42" s="287"/>
      <c r="AB42" s="287"/>
      <c r="AC42" s="287">
        <f>AC41*0.1</f>
        <v>2508</v>
      </c>
      <c r="AD42" s="287"/>
      <c r="AE42" s="287"/>
      <c r="AF42" s="287">
        <f>AF41*0.1</f>
        <v>2508</v>
      </c>
      <c r="AG42" s="287"/>
      <c r="AH42" s="287"/>
      <c r="AI42" s="287">
        <f>AI41*0.1</f>
        <v>2508</v>
      </c>
      <c r="AJ42" s="287"/>
      <c r="AK42" s="287"/>
      <c r="AL42" s="466">
        <f t="shared" ref="AL42:AM42" si="14">AL41*0.1</f>
        <v>15048</v>
      </c>
      <c r="AM42" s="467">
        <f t="shared" si="14"/>
        <v>0</v>
      </c>
      <c r="AN42" s="468"/>
      <c r="AO42" s="287">
        <f>AO41*0.1</f>
        <v>0</v>
      </c>
      <c r="AP42" s="287"/>
      <c r="AQ42" s="287"/>
      <c r="AR42" s="287">
        <f>AR41*0.1</f>
        <v>3762</v>
      </c>
      <c r="AS42" s="287"/>
      <c r="AT42" s="287"/>
      <c r="AU42" s="287">
        <f>AU41*0.1</f>
        <v>3762</v>
      </c>
      <c r="AV42" s="287"/>
      <c r="AW42" s="287"/>
      <c r="AX42" s="287">
        <f>AX41*0.1</f>
        <v>3762</v>
      </c>
      <c r="AY42" s="287"/>
      <c r="AZ42" s="287"/>
      <c r="BA42" s="287">
        <f>BA41*0.1</f>
        <v>3762</v>
      </c>
      <c r="BB42" s="287"/>
      <c r="BC42" s="287"/>
      <c r="BD42" s="287">
        <f>BD41*0.1</f>
        <v>1254</v>
      </c>
      <c r="BE42" s="287"/>
      <c r="BF42" s="287"/>
      <c r="BG42" s="287">
        <f>BG41*0.1</f>
        <v>0</v>
      </c>
      <c r="BH42" s="287"/>
      <c r="BI42" s="287"/>
      <c r="BJ42" s="287">
        <f>BJ41*0.1</f>
        <v>0</v>
      </c>
      <c r="BK42" s="287"/>
      <c r="BL42" s="287"/>
      <c r="BM42" s="287">
        <f>BM41*0.1</f>
        <v>0</v>
      </c>
      <c r="BN42" s="287"/>
      <c r="BO42" s="287"/>
      <c r="BP42" s="287">
        <f>BP41*0.1</f>
        <v>0</v>
      </c>
      <c r="BQ42" s="287"/>
      <c r="BR42" s="287"/>
      <c r="BS42" s="287">
        <f>BS41*0.1</f>
        <v>0</v>
      </c>
      <c r="BT42" s="287"/>
      <c r="BU42" s="287"/>
      <c r="BV42" s="287">
        <f>BV41*0.1</f>
        <v>0</v>
      </c>
      <c r="BW42" s="469"/>
      <c r="BX42" s="469"/>
      <c r="BY42" s="266">
        <f t="shared" si="8"/>
        <v>16302</v>
      </c>
      <c r="BZ42" s="444"/>
      <c r="CA42" s="444"/>
    </row>
    <row r="43" ht="15.75" customHeight="1">
      <c r="A43" s="282" t="s">
        <v>231</v>
      </c>
      <c r="B43" s="282"/>
      <c r="C43" s="282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7"/>
      <c r="R43" s="287">
        <f>R41*0.05</f>
        <v>0</v>
      </c>
      <c r="S43" s="287"/>
      <c r="T43" s="287">
        <f>T41*0.05</f>
        <v>1254</v>
      </c>
      <c r="U43" s="287"/>
      <c r="V43" s="287"/>
      <c r="W43" s="287">
        <f>W41*0.05</f>
        <v>1254</v>
      </c>
      <c r="X43" s="287"/>
      <c r="Y43" s="287"/>
      <c r="Z43" s="287">
        <f>Z41*0.05</f>
        <v>1254</v>
      </c>
      <c r="AA43" s="287"/>
      <c r="AB43" s="287"/>
      <c r="AC43" s="287">
        <f>AC41*0.05</f>
        <v>1254</v>
      </c>
      <c r="AD43" s="287"/>
      <c r="AE43" s="287"/>
      <c r="AF43" s="287">
        <f>AF41*0.05</f>
        <v>1254</v>
      </c>
      <c r="AG43" s="287"/>
      <c r="AH43" s="287"/>
      <c r="AI43" s="287">
        <f>AI41*0.05</f>
        <v>1254</v>
      </c>
      <c r="AJ43" s="287"/>
      <c r="AK43" s="287"/>
      <c r="AL43" s="466">
        <f t="shared" ref="AL43:AM43" si="15">AL41*0.05</f>
        <v>7524</v>
      </c>
      <c r="AM43" s="467">
        <f t="shared" si="15"/>
        <v>0</v>
      </c>
      <c r="AN43" s="470"/>
      <c r="AO43" s="287">
        <f>AO41*0.05</f>
        <v>0</v>
      </c>
      <c r="AP43" s="287"/>
      <c r="AQ43" s="287"/>
      <c r="AR43" s="287">
        <f>AR41*0.05</f>
        <v>1881</v>
      </c>
      <c r="AS43" s="291"/>
      <c r="AT43" s="291"/>
      <c r="AU43" s="291">
        <f>AU41*0.05</f>
        <v>1881</v>
      </c>
      <c r="AV43" s="291"/>
      <c r="AW43" s="291"/>
      <c r="AX43" s="287">
        <f>AX41*0.05</f>
        <v>1881</v>
      </c>
      <c r="AY43" s="287"/>
      <c r="AZ43" s="287"/>
      <c r="BA43" s="287">
        <f>BA41*0.05</f>
        <v>1881</v>
      </c>
      <c r="BB43" s="287"/>
      <c r="BC43" s="287"/>
      <c r="BD43" s="287">
        <f>BD41*0.05</f>
        <v>627</v>
      </c>
      <c r="BE43" s="287"/>
      <c r="BF43" s="287"/>
      <c r="BG43" s="287">
        <f>BG41*0.05</f>
        <v>0</v>
      </c>
      <c r="BH43" s="287"/>
      <c r="BI43" s="287"/>
      <c r="BJ43" s="287">
        <f>BJ41*0.05</f>
        <v>0</v>
      </c>
      <c r="BK43" s="287"/>
      <c r="BL43" s="287"/>
      <c r="BM43" s="287">
        <f>BM41*0.05</f>
        <v>0</v>
      </c>
      <c r="BN43" s="287"/>
      <c r="BO43" s="287"/>
      <c r="BP43" s="287">
        <f>BP41*0.05</f>
        <v>0</v>
      </c>
      <c r="BQ43" s="287"/>
      <c r="BR43" s="287"/>
      <c r="BS43" s="287">
        <f>BS41*0.05</f>
        <v>0</v>
      </c>
      <c r="BT43" s="287"/>
      <c r="BU43" s="287"/>
      <c r="BV43" s="287">
        <f>BV41*0.05</f>
        <v>0</v>
      </c>
      <c r="BW43" s="469"/>
      <c r="BX43" s="469"/>
      <c r="BY43" s="266">
        <f t="shared" si="8"/>
        <v>8151</v>
      </c>
      <c r="BZ43" s="444"/>
      <c r="CA43" s="444"/>
    </row>
    <row r="44" ht="15.75" customHeight="1">
      <c r="A44" s="282" t="s">
        <v>217</v>
      </c>
      <c r="B44" s="282"/>
      <c r="C44" s="282"/>
      <c r="D44" s="282"/>
      <c r="E44" s="282"/>
      <c r="F44" s="282"/>
      <c r="G44" s="282"/>
      <c r="H44" s="282"/>
      <c r="I44" s="282"/>
      <c r="J44" s="282"/>
      <c r="K44" s="282"/>
      <c r="L44" s="282"/>
      <c r="M44" s="282"/>
      <c r="N44" s="282"/>
      <c r="O44" s="282"/>
      <c r="P44" s="282"/>
      <c r="Q44" s="283"/>
      <c r="R44" s="283">
        <f>F19*C33</f>
        <v>36697.08</v>
      </c>
      <c r="S44" s="283"/>
      <c r="T44" s="283">
        <f>$F$20*$C$33</f>
        <v>27769.08</v>
      </c>
      <c r="U44" s="283"/>
      <c r="V44" s="283"/>
      <c r="W44" s="283">
        <f>$F$20*$C$33</f>
        <v>27769.08</v>
      </c>
      <c r="X44" s="283"/>
      <c r="Y44" s="283"/>
      <c r="Z44" s="283">
        <f>$F$20*$C$33</f>
        <v>27769.08</v>
      </c>
      <c r="AA44" s="283"/>
      <c r="AB44" s="283"/>
      <c r="AC44" s="283">
        <f>$F$20*$C$33</f>
        <v>27769.08</v>
      </c>
      <c r="AD44" s="283"/>
      <c r="AE44" s="283"/>
      <c r="AF44" s="283">
        <f>$F$20*$C$33</f>
        <v>27769.08</v>
      </c>
      <c r="AG44" s="283"/>
      <c r="AH44" s="283"/>
      <c r="AI44" s="283">
        <f>$F$20*$C$33</f>
        <v>27769.08</v>
      </c>
      <c r="AJ44" s="283"/>
      <c r="AK44" s="283"/>
      <c r="AL44" s="453">
        <f>SUM(R44:AI44)</f>
        <v>203311.56</v>
      </c>
      <c r="AM44" s="284">
        <f t="shared" ref="AM44:AM72" si="16">SUM(C44,F44,I44,L44,O44,R44,U44,X44,AA44,AD44,AG44,AJ44)</f>
        <v>36697.08</v>
      </c>
      <c r="AN44" s="471"/>
      <c r="AO44" s="283">
        <f>F19*$AO$33+$AI$44</f>
        <v>64466.16</v>
      </c>
      <c r="AP44" s="283"/>
      <c r="AQ44" s="283"/>
      <c r="AR44" s="283">
        <f>$F$20*$AO$33+$AI$44</f>
        <v>55538.16</v>
      </c>
      <c r="AS44" s="283"/>
      <c r="AT44" s="283"/>
      <c r="AU44" s="283">
        <f>$F$20*$AO$33+$AI$44</f>
        <v>55538.16</v>
      </c>
      <c r="AV44" s="283"/>
      <c r="AW44" s="283"/>
      <c r="AX44" s="283">
        <f>$F$20*$AO$33+$AI$44</f>
        <v>55538.16</v>
      </c>
      <c r="AY44" s="283"/>
      <c r="AZ44" s="283"/>
      <c r="BA44" s="283">
        <f>$F$20*$AO$33+$AI$44</f>
        <v>55538.16</v>
      </c>
      <c r="BB44" s="283"/>
      <c r="BC44" s="283"/>
      <c r="BD44" s="283">
        <f>$F$20*$AO$33+$AI$44</f>
        <v>55538.16</v>
      </c>
      <c r="BE44" s="283"/>
      <c r="BF44" s="283"/>
      <c r="BG44" s="283">
        <f>$F$20*$AO$33+$AI$44</f>
        <v>55538.16</v>
      </c>
      <c r="BH44" s="283"/>
      <c r="BI44" s="283"/>
      <c r="BJ44" s="283">
        <f>$F$20*$AO$33+$AI$44</f>
        <v>55538.16</v>
      </c>
      <c r="BK44" s="283"/>
      <c r="BL44" s="283"/>
      <c r="BM44" s="283">
        <f>$F$20*$AO$33+$AI$44</f>
        <v>55538.16</v>
      </c>
      <c r="BN44" s="283"/>
      <c r="BO44" s="283"/>
      <c r="BP44" s="283">
        <f>$F$20*$AO$33+$AI$44</f>
        <v>55538.16</v>
      </c>
      <c r="BQ44" s="283"/>
      <c r="BR44" s="283"/>
      <c r="BS44" s="283">
        <f>$F$20*$AO$33+$AI$44</f>
        <v>55538.16</v>
      </c>
      <c r="BT44" s="283"/>
      <c r="BU44" s="283"/>
      <c r="BV44" s="283">
        <f>$F$20*$AO$33+$AI$44</f>
        <v>55538.16</v>
      </c>
      <c r="BW44" s="278"/>
      <c r="BX44" s="278"/>
      <c r="BY44" s="266">
        <f t="shared" si="8"/>
        <v>675385.92</v>
      </c>
      <c r="BZ44" s="444"/>
      <c r="CA44" s="444"/>
    </row>
    <row r="45" ht="15.75" customHeight="1">
      <c r="A45" s="282" t="s">
        <v>218</v>
      </c>
      <c r="B45" s="282"/>
      <c r="C45" s="282"/>
      <c r="D45" s="282"/>
      <c r="E45" s="282"/>
      <c r="F45" s="282"/>
      <c r="G45" s="282"/>
      <c r="H45" s="282"/>
      <c r="I45" s="282"/>
      <c r="J45" s="282"/>
      <c r="K45" s="282"/>
      <c r="L45" s="282"/>
      <c r="M45" s="282"/>
      <c r="N45" s="282"/>
      <c r="O45" s="282"/>
      <c r="P45" s="282"/>
      <c r="Q45" s="283"/>
      <c r="R45" s="283"/>
      <c r="S45" s="283"/>
      <c r="T45" s="283"/>
      <c r="U45" s="283"/>
      <c r="V45" s="283"/>
      <c r="W45" s="283"/>
      <c r="X45" s="283"/>
      <c r="Y45" s="283"/>
      <c r="Z45" s="283"/>
      <c r="AA45" s="283"/>
      <c r="AB45" s="283"/>
      <c r="AC45" s="283"/>
      <c r="AD45" s="283"/>
      <c r="AE45" s="283"/>
      <c r="AF45" s="283"/>
      <c r="AG45" s="283"/>
      <c r="AH45" s="283"/>
      <c r="AI45" s="283"/>
      <c r="AJ45" s="283"/>
      <c r="AK45" s="283"/>
      <c r="AL45" s="453">
        <f t="shared" ref="AL45:AL46" si="17">SUM(C45:AI45)</f>
        <v>0</v>
      </c>
      <c r="AM45" s="284">
        <f t="shared" si="16"/>
        <v>0</v>
      </c>
      <c r="AN45" s="472"/>
      <c r="AO45" s="293">
        <f>(AR36-AO36)*12</f>
        <v>4320</v>
      </c>
      <c r="AP45" s="293"/>
      <c r="AQ45" s="293"/>
      <c r="AR45" s="293">
        <f>(AU36-AR36)*12</f>
        <v>4320</v>
      </c>
      <c r="AS45" s="293"/>
      <c r="AT45" s="293"/>
      <c r="AU45" s="293">
        <f>(AX36-AU36)*12</f>
        <v>4320</v>
      </c>
      <c r="AV45" s="293"/>
      <c r="AW45" s="293"/>
      <c r="AX45" s="293">
        <f>(BA36-AX36)*12</f>
        <v>4320</v>
      </c>
      <c r="AY45" s="293"/>
      <c r="AZ45" s="293"/>
      <c r="BA45" s="293">
        <f>(BD36-BA36)*12</f>
        <v>1440</v>
      </c>
      <c r="BB45" s="293"/>
      <c r="BC45" s="293"/>
      <c r="BD45" s="293">
        <f>(BG36-BD36)*12</f>
        <v>0</v>
      </c>
      <c r="BE45" s="293"/>
      <c r="BF45" s="283"/>
      <c r="BG45" s="293">
        <f>(BJ36-BG36)*12</f>
        <v>0</v>
      </c>
      <c r="BH45" s="293"/>
      <c r="BI45" s="293"/>
      <c r="BJ45" s="293">
        <f>(BM36-BJ36)*12</f>
        <v>0</v>
      </c>
      <c r="BK45" s="293"/>
      <c r="BL45" s="293"/>
      <c r="BM45" s="293">
        <f>(BP36-BM36)*12</f>
        <v>0</v>
      </c>
      <c r="BN45" s="293"/>
      <c r="BO45" s="293"/>
      <c r="BP45" s="293">
        <f>(BS36-BP36)*12</f>
        <v>0</v>
      </c>
      <c r="BQ45" s="293"/>
      <c r="BR45" s="293"/>
      <c r="BS45" s="293">
        <f>(BV36-BS36)*12</f>
        <v>0</v>
      </c>
      <c r="BT45" s="293"/>
      <c r="BU45" s="293"/>
      <c r="BV45" s="294">
        <v>0.0</v>
      </c>
      <c r="BW45" s="473"/>
      <c r="BX45" s="473"/>
      <c r="BY45" s="266">
        <f t="shared" si="8"/>
        <v>18720</v>
      </c>
      <c r="BZ45" s="444"/>
      <c r="CA45" s="444"/>
    </row>
    <row r="46" ht="15.75" customHeight="1">
      <c r="A46" s="168" t="s">
        <v>235</v>
      </c>
      <c r="B46" s="474">
        <v>35000.0</v>
      </c>
      <c r="C46" s="132">
        <f>'P&amp;L'!N14</f>
        <v>32020.75</v>
      </c>
      <c r="D46" s="132"/>
      <c r="E46" s="474">
        <v>40000.0</v>
      </c>
      <c r="F46" s="132">
        <f>'P&amp;L'!O14</f>
        <v>47598.77</v>
      </c>
      <c r="G46" s="132"/>
      <c r="H46" s="474">
        <v>40000.0</v>
      </c>
      <c r="I46" s="132">
        <f>'P&amp;L'!P14</f>
        <v>67860.06</v>
      </c>
      <c r="J46" s="132"/>
      <c r="K46" s="474">
        <v>45000.0</v>
      </c>
      <c r="L46" s="132">
        <f>'P&amp;L'!Q14</f>
        <v>30307.34</v>
      </c>
      <c r="M46" s="132"/>
      <c r="N46" s="474">
        <v>45000.0</v>
      </c>
      <c r="O46" s="132">
        <f>'P&amp;L'!R14</f>
        <v>27023.96</v>
      </c>
      <c r="P46" s="132"/>
      <c r="Q46" s="474">
        <v>45000.0</v>
      </c>
      <c r="R46" s="132">
        <f>'P&amp;L'!S14</f>
        <v>48000</v>
      </c>
      <c r="S46" s="132"/>
      <c r="T46" s="132">
        <f>'P&amp;L'!T14</f>
        <v>48000</v>
      </c>
      <c r="U46" s="132"/>
      <c r="V46" s="132"/>
      <c r="W46" s="132">
        <f>'P&amp;L'!U14</f>
        <v>48000</v>
      </c>
      <c r="X46" s="132"/>
      <c r="Y46" s="132"/>
      <c r="Z46" s="132">
        <f>'P&amp;L'!V14</f>
        <v>48000</v>
      </c>
      <c r="AA46" s="132"/>
      <c r="AB46" s="132"/>
      <c r="AC46" s="132">
        <f>'P&amp;L'!W14</f>
        <v>48000</v>
      </c>
      <c r="AD46" s="132"/>
      <c r="AE46" s="132"/>
      <c r="AF46" s="132">
        <f>'P&amp;L'!X14</f>
        <v>48000</v>
      </c>
      <c r="AG46" s="132"/>
      <c r="AH46" s="132"/>
      <c r="AI46" s="132">
        <f>'P&amp;L'!Y14</f>
        <v>48000</v>
      </c>
      <c r="AJ46" s="132"/>
      <c r="AK46" s="132"/>
      <c r="AL46" s="460">
        <f t="shared" si="17"/>
        <v>755810.88</v>
      </c>
      <c r="AM46" s="284">
        <f t="shared" si="16"/>
        <v>252810.88</v>
      </c>
      <c r="AN46" s="475"/>
      <c r="AO46" s="132">
        <v>48000.0</v>
      </c>
      <c r="AP46" s="132"/>
      <c r="AQ46" s="132"/>
      <c r="AR46" s="132">
        <v>48000.0</v>
      </c>
      <c r="AS46" s="296"/>
      <c r="AT46" s="296"/>
      <c r="AU46" s="296">
        <v>48000.0</v>
      </c>
      <c r="AV46" s="296"/>
      <c r="AW46" s="296"/>
      <c r="AX46" s="132">
        <v>48000.0</v>
      </c>
      <c r="AY46" s="132"/>
      <c r="AZ46" s="132"/>
      <c r="BA46" s="132">
        <v>48000.0</v>
      </c>
      <c r="BB46" s="132"/>
      <c r="BC46" s="132"/>
      <c r="BD46" s="132">
        <v>48000.0</v>
      </c>
      <c r="BE46" s="132"/>
      <c r="BF46" s="132"/>
      <c r="BG46" s="132">
        <v>48000.0</v>
      </c>
      <c r="BH46" s="132"/>
      <c r="BI46" s="132"/>
      <c r="BJ46" s="132">
        <v>48000.0</v>
      </c>
      <c r="BK46" s="132"/>
      <c r="BL46" s="132"/>
      <c r="BM46" s="132">
        <v>48000.0</v>
      </c>
      <c r="BN46" s="132"/>
      <c r="BO46" s="132"/>
      <c r="BP46" s="132">
        <v>48000.0</v>
      </c>
      <c r="BQ46" s="132"/>
      <c r="BR46" s="132"/>
      <c r="BS46" s="132">
        <v>48000.0</v>
      </c>
      <c r="BT46" s="132"/>
      <c r="BU46" s="132"/>
      <c r="BV46" s="132">
        <v>48000.0</v>
      </c>
      <c r="BW46" s="476"/>
      <c r="BX46" s="476"/>
      <c r="BY46" s="266">
        <f t="shared" si="8"/>
        <v>576000</v>
      </c>
      <c r="BZ46" s="444"/>
      <c r="CA46" s="444"/>
    </row>
    <row r="47" ht="15.75" customHeight="1">
      <c r="A47" s="169" t="s">
        <v>219</v>
      </c>
      <c r="B47" s="170">
        <f t="shared" ref="B47:C47" si="18">SUM(B40:B46)</f>
        <v>35000</v>
      </c>
      <c r="C47" s="170">
        <f t="shared" si="18"/>
        <v>32020.75</v>
      </c>
      <c r="D47" s="477">
        <f t="shared" ref="D47:D48" si="24">(C47-B47)/B47</f>
        <v>-0.08512142857</v>
      </c>
      <c r="E47" s="170">
        <f t="shared" ref="E47:F47" si="19">SUM(E40:E46)</f>
        <v>40000</v>
      </c>
      <c r="F47" s="170">
        <f t="shared" si="19"/>
        <v>47598.77</v>
      </c>
      <c r="G47" s="478">
        <f t="shared" ref="G47:G48" si="26">(F47-E47)/E47</f>
        <v>0.18996925</v>
      </c>
      <c r="H47" s="170">
        <f t="shared" ref="H47:I47" si="20">SUM(H40:H46)</f>
        <v>40000</v>
      </c>
      <c r="I47" s="170">
        <f t="shared" si="20"/>
        <v>67860.06</v>
      </c>
      <c r="J47" s="478">
        <f t="shared" ref="J47:J48" si="28">(I47-H47)/H47</f>
        <v>0.6965015</v>
      </c>
      <c r="K47" s="170">
        <f t="shared" ref="K47:L47" si="21">SUM(K40:K46)</f>
        <v>45000</v>
      </c>
      <c r="L47" s="170">
        <f t="shared" si="21"/>
        <v>30307.34</v>
      </c>
      <c r="M47" s="477">
        <f t="shared" ref="M47:M48" si="30">(L47-K47)/K47</f>
        <v>-0.3265035556</v>
      </c>
      <c r="N47" s="170">
        <f t="shared" ref="N47:O47" si="22">SUM(N40:N46)</f>
        <v>45000</v>
      </c>
      <c r="O47" s="170">
        <f t="shared" si="22"/>
        <v>27023.96</v>
      </c>
      <c r="P47" s="477">
        <f t="shared" ref="P47:P48" si="32">(O47-N47)/N47</f>
        <v>-0.3994675556</v>
      </c>
      <c r="Q47" s="479">
        <v>45000.0</v>
      </c>
      <c r="R47" s="170">
        <f>SUM(R40:R46)</f>
        <v>84697.08</v>
      </c>
      <c r="S47" s="478">
        <f t="shared" ref="S47:S48" si="33">(R47-Q47)/Q47</f>
        <v>0.8821573333</v>
      </c>
      <c r="T47" s="170">
        <f>SUM(T40:T46)</f>
        <v>105811.08</v>
      </c>
      <c r="U47" s="170"/>
      <c r="V47" s="170"/>
      <c r="W47" s="170">
        <f>SUM(W40:W46)</f>
        <v>107011.08</v>
      </c>
      <c r="X47" s="170"/>
      <c r="Y47" s="170"/>
      <c r="Z47" s="170">
        <f>SUM(Z40:Z46)</f>
        <v>108211.08</v>
      </c>
      <c r="AA47" s="170"/>
      <c r="AB47" s="170"/>
      <c r="AC47" s="170">
        <f>SUM(AC40:AC46)</f>
        <v>109411.08</v>
      </c>
      <c r="AD47" s="170"/>
      <c r="AE47" s="170"/>
      <c r="AF47" s="170">
        <f>SUM(AF40:AF46)</f>
        <v>110611.08</v>
      </c>
      <c r="AG47" s="170"/>
      <c r="AH47" s="170"/>
      <c r="AI47" s="170">
        <f>SUM(AI40:AI46)</f>
        <v>111811.08</v>
      </c>
      <c r="AJ47" s="170"/>
      <c r="AK47" s="170"/>
      <c r="AL47" s="480">
        <f>SUM(AL40:AL46)</f>
        <v>1157374.44</v>
      </c>
      <c r="AM47" s="284">
        <f t="shared" si="16"/>
        <v>289507.96</v>
      </c>
      <c r="AN47" s="481"/>
      <c r="AO47" s="170">
        <f>SUM(AO40:AO46)</f>
        <v>123986.16</v>
      </c>
      <c r="AP47" s="169"/>
      <c r="AQ47" s="169"/>
      <c r="AR47" s="170">
        <f>SUM(AR40:AR46)</f>
        <v>160121.16</v>
      </c>
      <c r="AS47" s="482"/>
      <c r="AT47" s="482"/>
      <c r="AU47" s="299">
        <f>SUM(AU40:AU46)</f>
        <v>161921.16</v>
      </c>
      <c r="AV47" s="482"/>
      <c r="AW47" s="482"/>
      <c r="AX47" s="170">
        <f>SUM(AX40:AX46)</f>
        <v>163721.16</v>
      </c>
      <c r="AY47" s="169"/>
      <c r="AZ47" s="169"/>
      <c r="BA47" s="170">
        <f>SUM(BA40:BA46)</f>
        <v>162641.16</v>
      </c>
      <c r="BB47" s="169"/>
      <c r="BC47" s="169"/>
      <c r="BD47" s="170">
        <f>SUM(BD40:BD46)</f>
        <v>132959.16</v>
      </c>
      <c r="BE47" s="169"/>
      <c r="BF47" s="171"/>
      <c r="BG47" s="170">
        <f>SUM(BG40:BG46)</f>
        <v>118538.16</v>
      </c>
      <c r="BH47" s="169"/>
      <c r="BI47" s="169"/>
      <c r="BJ47" s="170">
        <f>SUM(BJ40:BJ46)</f>
        <v>118538.16</v>
      </c>
      <c r="BK47" s="169"/>
      <c r="BL47" s="169"/>
      <c r="BM47" s="170">
        <f>SUM(BM40:BM46)</f>
        <v>118538.16</v>
      </c>
      <c r="BN47" s="169"/>
      <c r="BO47" s="169"/>
      <c r="BP47" s="170">
        <f>SUM(BP40:BP46)</f>
        <v>118538.16</v>
      </c>
      <c r="BQ47" s="169"/>
      <c r="BR47" s="169"/>
      <c r="BS47" s="170">
        <f>SUM(BS40:BS46)</f>
        <v>118538.16</v>
      </c>
      <c r="BT47" s="169"/>
      <c r="BU47" s="169"/>
      <c r="BV47" s="170">
        <f>SUM(BV40:BV46)</f>
        <v>118538.16</v>
      </c>
      <c r="BW47" s="169"/>
      <c r="BX47" s="169"/>
      <c r="BY47" s="300">
        <f>SUM(BY40:BY46)</f>
        <v>1616578.92</v>
      </c>
      <c r="BZ47" s="483"/>
      <c r="CA47" s="483"/>
    </row>
    <row r="48" ht="15.75" customHeight="1">
      <c r="A48" s="130" t="s">
        <v>162</v>
      </c>
      <c r="B48" s="170">
        <f t="shared" ref="B48:C48" si="23">B39-B47</f>
        <v>45000</v>
      </c>
      <c r="C48" s="170">
        <f t="shared" si="23"/>
        <v>69197.25</v>
      </c>
      <c r="D48" s="478">
        <f t="shared" si="24"/>
        <v>0.5377166667</v>
      </c>
      <c r="E48" s="170">
        <f t="shared" ref="E48:F48" si="25">E39-E47</f>
        <v>44000</v>
      </c>
      <c r="F48" s="170">
        <f t="shared" si="25"/>
        <v>41551.22</v>
      </c>
      <c r="G48" s="477">
        <f t="shared" si="26"/>
        <v>-0.05565409091</v>
      </c>
      <c r="H48" s="170">
        <f t="shared" ref="H48:I48" si="27">H39-H47</f>
        <v>48200</v>
      </c>
      <c r="I48" s="170">
        <f t="shared" si="27"/>
        <v>10640.64</v>
      </c>
      <c r="J48" s="477">
        <f t="shared" si="28"/>
        <v>-0.779239834</v>
      </c>
      <c r="K48" s="170">
        <f t="shared" ref="K48:L48" si="29">K39-K47</f>
        <v>47610</v>
      </c>
      <c r="L48" s="170">
        <f t="shared" si="29"/>
        <v>45684.13</v>
      </c>
      <c r="M48" s="477">
        <f t="shared" si="30"/>
        <v>-0.04045095568</v>
      </c>
      <c r="N48" s="170">
        <f t="shared" ref="N48:O48" si="31">N39-N47</f>
        <v>52000</v>
      </c>
      <c r="O48" s="170">
        <f t="shared" si="31"/>
        <v>34897.29</v>
      </c>
      <c r="P48" s="477">
        <f t="shared" si="32"/>
        <v>-0.3288982692</v>
      </c>
      <c r="Q48" s="170">
        <f>Q39-Q47</f>
        <v>25000</v>
      </c>
      <c r="R48" s="170">
        <f>R9-R17</f>
        <v>-19965</v>
      </c>
      <c r="S48" s="477">
        <f t="shared" si="33"/>
        <v>-1.7986</v>
      </c>
      <c r="T48" s="170">
        <f>T39-T47</f>
        <v>-35811.08</v>
      </c>
      <c r="U48" s="170"/>
      <c r="V48" s="170"/>
      <c r="W48" s="170">
        <f>W39-W47</f>
        <v>-27011.08</v>
      </c>
      <c r="X48" s="170"/>
      <c r="Y48" s="170"/>
      <c r="Z48" s="170">
        <f>Z39-Z47</f>
        <v>988.92</v>
      </c>
      <c r="AA48" s="170"/>
      <c r="AB48" s="170"/>
      <c r="AC48" s="170">
        <f>AC39-AC47</f>
        <v>18988.92</v>
      </c>
      <c r="AD48" s="170"/>
      <c r="AE48" s="170"/>
      <c r="AF48" s="170">
        <f>AF39-AF47</f>
        <v>36988.92</v>
      </c>
      <c r="AG48" s="170"/>
      <c r="AH48" s="170"/>
      <c r="AI48" s="170">
        <f>AI39-AI47</f>
        <v>54988.92</v>
      </c>
      <c r="AJ48" s="170"/>
      <c r="AK48" s="170"/>
      <c r="AL48" s="480">
        <f>AL39-AL46</f>
        <v>847752.1051</v>
      </c>
      <c r="AM48" s="284">
        <f t="shared" si="16"/>
        <v>182005.53</v>
      </c>
      <c r="AN48" s="481"/>
      <c r="AO48" s="301">
        <f>AO39-AO47</f>
        <v>91213.84</v>
      </c>
      <c r="AP48" s="301"/>
      <c r="AQ48" s="301"/>
      <c r="AR48" s="301">
        <f>AR39-AR47</f>
        <v>83878.84</v>
      </c>
      <c r="AS48" s="302"/>
      <c r="AT48" s="302"/>
      <c r="AU48" s="302">
        <f>AU39-AU47</f>
        <v>110878.84</v>
      </c>
      <c r="AV48" s="302"/>
      <c r="AW48" s="302"/>
      <c r="AX48" s="301">
        <f>AX39-AX47</f>
        <v>137878.84</v>
      </c>
      <c r="AY48" s="301"/>
      <c r="AZ48" s="301"/>
      <c r="BA48" s="301">
        <f>BA39-BA47</f>
        <v>167758.84</v>
      </c>
      <c r="BB48" s="301"/>
      <c r="BC48" s="301"/>
      <c r="BD48" s="301">
        <f>BD39-BD47</f>
        <v>207040.84</v>
      </c>
      <c r="BE48" s="301"/>
      <c r="BF48" s="301"/>
      <c r="BG48" s="301">
        <f>BG39-BG47</f>
        <v>221461.84</v>
      </c>
      <c r="BH48" s="301"/>
      <c r="BI48" s="301"/>
      <c r="BJ48" s="301">
        <f>BJ39-BJ47</f>
        <v>221461.84</v>
      </c>
      <c r="BK48" s="301"/>
      <c r="BL48" s="301"/>
      <c r="BM48" s="301">
        <f>BM39-BM47</f>
        <v>221461.84</v>
      </c>
      <c r="BN48" s="301"/>
      <c r="BO48" s="301"/>
      <c r="BP48" s="301">
        <f>BP39-BP47</f>
        <v>221461.84</v>
      </c>
      <c r="BQ48" s="301"/>
      <c r="BR48" s="301"/>
      <c r="BS48" s="301">
        <f>BS39-BS47</f>
        <v>221461.84</v>
      </c>
      <c r="BT48" s="301"/>
      <c r="BU48" s="301"/>
      <c r="BV48" s="301">
        <f>BV39-BV47</f>
        <v>221461.84</v>
      </c>
      <c r="BW48" s="170"/>
      <c r="BX48" s="170"/>
      <c r="BY48" s="303">
        <f>BY39-BY46</f>
        <v>3168000</v>
      </c>
      <c r="BZ48" s="484"/>
      <c r="CA48" s="484"/>
    </row>
    <row r="49" ht="15.75" customHeight="1">
      <c r="A49" s="107" t="s">
        <v>15</v>
      </c>
      <c r="B49" s="485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486"/>
      <c r="AM49" s="284">
        <f t="shared" si="16"/>
        <v>0</v>
      </c>
      <c r="AN49" s="487"/>
      <c r="AO49" s="134"/>
      <c r="AP49" s="134"/>
      <c r="AQ49" s="134"/>
      <c r="AR49" s="134"/>
      <c r="AS49" s="306"/>
      <c r="AT49" s="306"/>
      <c r="AU49" s="306"/>
      <c r="AV49" s="306"/>
      <c r="AW49" s="306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307"/>
      <c r="BZ49" s="483"/>
      <c r="CA49" s="483"/>
    </row>
    <row r="50" ht="15.75" customHeight="1">
      <c r="A50" s="127" t="s">
        <v>163</v>
      </c>
      <c r="B50" s="172"/>
      <c r="C50" s="172">
        <f>'P&amp;L'!N17</f>
        <v>68.44</v>
      </c>
      <c r="D50" s="172"/>
      <c r="E50" s="172"/>
      <c r="F50" s="172">
        <f>'P&amp;L'!O17</f>
        <v>70.48</v>
      </c>
      <c r="G50" s="172"/>
      <c r="H50" s="172"/>
      <c r="I50" s="172">
        <f>'P&amp;L'!P17</f>
        <v>172.87</v>
      </c>
      <c r="J50" s="172"/>
      <c r="K50" s="172"/>
      <c r="L50" s="172">
        <f>'P&amp;L'!Q17</f>
        <v>257.18</v>
      </c>
      <c r="M50" s="172"/>
      <c r="N50" s="172"/>
      <c r="O50" s="172">
        <f>'P&amp;L'!R17</f>
        <v>0</v>
      </c>
      <c r="P50" s="172"/>
      <c r="Q50" s="172"/>
      <c r="R50" s="172">
        <f>142+$R$18</f>
        <v>2642</v>
      </c>
      <c r="S50" s="172"/>
      <c r="T50" s="172">
        <f>$R$18</f>
        <v>2500</v>
      </c>
      <c r="U50" s="172"/>
      <c r="V50" s="172"/>
      <c r="W50" s="172">
        <f>$R$18</f>
        <v>2500</v>
      </c>
      <c r="X50" s="172"/>
      <c r="Y50" s="172"/>
      <c r="Z50" s="172">
        <f>$R$18</f>
        <v>2500</v>
      </c>
      <c r="AA50" s="172"/>
      <c r="AB50" s="172"/>
      <c r="AC50" s="172">
        <f>$R$18</f>
        <v>2500</v>
      </c>
      <c r="AD50" s="172"/>
      <c r="AE50" s="172"/>
      <c r="AF50" s="172">
        <f>$R$18</f>
        <v>2500</v>
      </c>
      <c r="AG50" s="172"/>
      <c r="AH50" s="172"/>
      <c r="AI50" s="172">
        <f>$R$18</f>
        <v>2500</v>
      </c>
      <c r="AJ50" s="172"/>
      <c r="AK50" s="172"/>
      <c r="AL50" s="488">
        <f t="shared" ref="AL50:AL70" si="34">SUM(C50:AI50)</f>
        <v>18210.97</v>
      </c>
      <c r="AM50" s="284">
        <f t="shared" si="16"/>
        <v>3210.97</v>
      </c>
      <c r="AN50" s="487"/>
      <c r="AO50" s="172">
        <f>142+$R$18</f>
        <v>2642</v>
      </c>
      <c r="AP50" s="172"/>
      <c r="AQ50" s="172"/>
      <c r="AR50" s="172">
        <f>142+$R$18</f>
        <v>2642</v>
      </c>
      <c r="AS50" s="172"/>
      <c r="AT50" s="172"/>
      <c r="AU50" s="172">
        <f>142+$R$18</f>
        <v>2642</v>
      </c>
      <c r="AV50" s="172"/>
      <c r="AW50" s="172"/>
      <c r="AX50" s="172">
        <f>142+$R$18</f>
        <v>2642</v>
      </c>
      <c r="AY50" s="172"/>
      <c r="AZ50" s="172"/>
      <c r="BA50" s="172">
        <f>142+$R$18</f>
        <v>2642</v>
      </c>
      <c r="BB50" s="172"/>
      <c r="BC50" s="172"/>
      <c r="BD50" s="172">
        <f>142+$R$18</f>
        <v>2642</v>
      </c>
      <c r="BE50" s="172"/>
      <c r="BF50" s="172"/>
      <c r="BG50" s="172">
        <f>142+$R$18</f>
        <v>2642</v>
      </c>
      <c r="BH50" s="172"/>
      <c r="BI50" s="172"/>
      <c r="BJ50" s="172">
        <f>142+$R$18</f>
        <v>2642</v>
      </c>
      <c r="BK50" s="172"/>
      <c r="BL50" s="172"/>
      <c r="BM50" s="172">
        <f>142+$R$18</f>
        <v>2642</v>
      </c>
      <c r="BN50" s="172"/>
      <c r="BO50" s="172"/>
      <c r="BP50" s="172">
        <f>142+$R$18</f>
        <v>2642</v>
      </c>
      <c r="BQ50" s="172"/>
      <c r="BR50" s="172"/>
      <c r="BS50" s="172">
        <f>142+$R$18</f>
        <v>2642</v>
      </c>
      <c r="BT50" s="172"/>
      <c r="BU50" s="172"/>
      <c r="BV50" s="172">
        <f>142+$R$18</f>
        <v>2642</v>
      </c>
      <c r="BW50" s="172"/>
      <c r="BX50" s="172"/>
      <c r="BY50" s="304">
        <f t="shared" ref="BY50:BY70" si="35">SUM(AO50:BV50)</f>
        <v>31704</v>
      </c>
      <c r="BZ50" s="489"/>
      <c r="CA50" s="489"/>
    </row>
    <row r="51" ht="15.75" customHeight="1">
      <c r="A51" s="127" t="s">
        <v>164</v>
      </c>
      <c r="B51" s="172"/>
      <c r="C51" s="172">
        <f>'P&amp;L'!N18</f>
        <v>0</v>
      </c>
      <c r="D51" s="172"/>
      <c r="E51" s="172"/>
      <c r="F51" s="172">
        <f>'P&amp;L'!O18</f>
        <v>0</v>
      </c>
      <c r="G51" s="172"/>
      <c r="H51" s="172"/>
      <c r="I51" s="172">
        <f>'P&amp;L'!P18</f>
        <v>0</v>
      </c>
      <c r="J51" s="172"/>
      <c r="K51" s="172"/>
      <c r="L51" s="172">
        <f>'P&amp;L'!Q18</f>
        <v>0</v>
      </c>
      <c r="M51" s="172"/>
      <c r="N51" s="172"/>
      <c r="O51" s="172">
        <f>'P&amp;L'!R18</f>
        <v>0</v>
      </c>
      <c r="P51" s="172"/>
      <c r="Q51" s="172"/>
      <c r="R51" s="172" t="str">
        <f>'P&amp;L'!S18</f>
        <v/>
      </c>
      <c r="S51" s="172"/>
      <c r="T51" s="172" t="str">
        <f>'P&amp;L'!T18</f>
        <v/>
      </c>
      <c r="U51" s="172"/>
      <c r="V51" s="172"/>
      <c r="W51" s="172" t="str">
        <f>'P&amp;L'!U18</f>
        <v/>
      </c>
      <c r="X51" s="172"/>
      <c r="Y51" s="172"/>
      <c r="Z51" s="172" t="str">
        <f>'P&amp;L'!V18</f>
        <v/>
      </c>
      <c r="AA51" s="172"/>
      <c r="AB51" s="172"/>
      <c r="AC51" s="172" t="str">
        <f>'P&amp;L'!W18</f>
        <v/>
      </c>
      <c r="AD51" s="172"/>
      <c r="AE51" s="172"/>
      <c r="AF51" s="172" t="str">
        <f>'P&amp;L'!X18</f>
        <v/>
      </c>
      <c r="AG51" s="172"/>
      <c r="AH51" s="172"/>
      <c r="AI51" s="172" t="str">
        <f>'P&amp;L'!Y18</f>
        <v/>
      </c>
      <c r="AJ51" s="172"/>
      <c r="AK51" s="172"/>
      <c r="AL51" s="488">
        <f t="shared" si="34"/>
        <v>0</v>
      </c>
      <c r="AM51" s="284">
        <f t="shared" si="16"/>
        <v>0</v>
      </c>
      <c r="AN51" s="490"/>
      <c r="AO51" s="129"/>
      <c r="AP51" s="129"/>
      <c r="AQ51" s="129"/>
      <c r="AR51" s="129"/>
      <c r="AS51" s="309"/>
      <c r="AT51" s="309"/>
      <c r="AU51" s="309"/>
      <c r="AV51" s="309"/>
      <c r="AW51" s="30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9"/>
      <c r="BS51" s="129"/>
      <c r="BT51" s="129"/>
      <c r="BU51" s="129"/>
      <c r="BV51" s="129"/>
      <c r="BW51" s="134"/>
      <c r="BX51" s="134"/>
      <c r="BY51" s="304">
        <f t="shared" si="35"/>
        <v>0</v>
      </c>
      <c r="BZ51" s="489"/>
      <c r="CA51" s="489"/>
    </row>
    <row r="52" ht="15.75" customHeight="1">
      <c r="A52" s="127" t="s">
        <v>165</v>
      </c>
      <c r="B52" s="172"/>
      <c r="C52" s="172">
        <f>'P&amp;L'!N19</f>
        <v>55.37</v>
      </c>
      <c r="D52" s="172"/>
      <c r="E52" s="172"/>
      <c r="F52" s="172">
        <f>'P&amp;L'!O19</f>
        <v>298.4</v>
      </c>
      <c r="G52" s="172"/>
      <c r="H52" s="172"/>
      <c r="I52" s="172">
        <f>'P&amp;L'!P19</f>
        <v>80.89</v>
      </c>
      <c r="J52" s="172"/>
      <c r="K52" s="172"/>
      <c r="L52" s="172">
        <f>'P&amp;L'!Q19</f>
        <v>73.62</v>
      </c>
      <c r="M52" s="172"/>
      <c r="N52" s="172"/>
      <c r="O52" s="172">
        <f>'P&amp;L'!R19</f>
        <v>41.5</v>
      </c>
      <c r="P52" s="172"/>
      <c r="Q52" s="172"/>
      <c r="R52" s="172">
        <f>'P&amp;L'!S19</f>
        <v>110</v>
      </c>
      <c r="S52" s="172"/>
      <c r="T52" s="172">
        <f>'P&amp;L'!T19</f>
        <v>110</v>
      </c>
      <c r="U52" s="172"/>
      <c r="V52" s="172"/>
      <c r="W52" s="172">
        <f>'P&amp;L'!U19</f>
        <v>110</v>
      </c>
      <c r="X52" s="172"/>
      <c r="Y52" s="172"/>
      <c r="Z52" s="172">
        <f>'P&amp;L'!V19</f>
        <v>110</v>
      </c>
      <c r="AA52" s="172"/>
      <c r="AB52" s="172"/>
      <c r="AC52" s="172">
        <f>'P&amp;L'!W19</f>
        <v>110</v>
      </c>
      <c r="AD52" s="172"/>
      <c r="AE52" s="172"/>
      <c r="AF52" s="172">
        <f>'P&amp;L'!X19</f>
        <v>110</v>
      </c>
      <c r="AG52" s="172"/>
      <c r="AH52" s="172"/>
      <c r="AI52" s="172">
        <f>'P&amp;L'!Y19</f>
        <v>110</v>
      </c>
      <c r="AJ52" s="172"/>
      <c r="AK52" s="172"/>
      <c r="AL52" s="488">
        <f t="shared" si="34"/>
        <v>1319.78</v>
      </c>
      <c r="AM52" s="284">
        <f t="shared" si="16"/>
        <v>659.78</v>
      </c>
      <c r="AN52" s="487"/>
      <c r="AO52" s="172">
        <v>110.0</v>
      </c>
      <c r="AP52" s="172"/>
      <c r="AQ52" s="172"/>
      <c r="AR52" s="172">
        <v>110.0</v>
      </c>
      <c r="AS52" s="172"/>
      <c r="AT52" s="172"/>
      <c r="AU52" s="172">
        <v>110.0</v>
      </c>
      <c r="AV52" s="172"/>
      <c r="AW52" s="172"/>
      <c r="AX52" s="172">
        <v>110.0</v>
      </c>
      <c r="AY52" s="172"/>
      <c r="AZ52" s="172"/>
      <c r="BA52" s="172">
        <v>110.0</v>
      </c>
      <c r="BB52" s="172"/>
      <c r="BC52" s="172"/>
      <c r="BD52" s="172">
        <v>110.0</v>
      </c>
      <c r="BE52" s="172"/>
      <c r="BF52" s="129"/>
      <c r="BG52" s="172">
        <v>110.0</v>
      </c>
      <c r="BH52" s="172"/>
      <c r="BI52" s="172"/>
      <c r="BJ52" s="172">
        <v>110.0</v>
      </c>
      <c r="BK52" s="172"/>
      <c r="BL52" s="172"/>
      <c r="BM52" s="172">
        <v>110.0</v>
      </c>
      <c r="BN52" s="172"/>
      <c r="BO52" s="172"/>
      <c r="BP52" s="172">
        <v>110.0</v>
      </c>
      <c r="BQ52" s="172"/>
      <c r="BR52" s="172"/>
      <c r="BS52" s="172">
        <v>110.0</v>
      </c>
      <c r="BT52" s="172"/>
      <c r="BU52" s="172"/>
      <c r="BV52" s="172">
        <v>110.0</v>
      </c>
      <c r="BW52" s="172"/>
      <c r="BX52" s="172"/>
      <c r="BY52" s="304">
        <f t="shared" si="35"/>
        <v>1320</v>
      </c>
      <c r="BZ52" s="489"/>
      <c r="CA52" s="489"/>
    </row>
    <row r="53" ht="15.75" customHeight="1">
      <c r="A53" s="127" t="s">
        <v>166</v>
      </c>
      <c r="B53" s="172"/>
      <c r="C53" s="172">
        <f>'P&amp;L'!N20</f>
        <v>332.03</v>
      </c>
      <c r="D53" s="172"/>
      <c r="E53" s="172"/>
      <c r="F53" s="172">
        <f>'P&amp;L'!O20</f>
        <v>1.75</v>
      </c>
      <c r="G53" s="172"/>
      <c r="H53" s="172"/>
      <c r="I53" s="172">
        <f>'P&amp;L'!P20</f>
        <v>1213</v>
      </c>
      <c r="J53" s="172"/>
      <c r="K53" s="172"/>
      <c r="L53" s="172">
        <f>'P&amp;L'!Q20</f>
        <v>11</v>
      </c>
      <c r="M53" s="172"/>
      <c r="N53" s="172"/>
      <c r="O53" s="172">
        <f>'P&amp;L'!R20</f>
        <v>0</v>
      </c>
      <c r="P53" s="172"/>
      <c r="Q53" s="172"/>
      <c r="R53" s="172">
        <f>'P&amp;L'!S20</f>
        <v>390</v>
      </c>
      <c r="S53" s="172"/>
      <c r="T53" s="172">
        <f>'P&amp;L'!T20</f>
        <v>390</v>
      </c>
      <c r="U53" s="172"/>
      <c r="V53" s="172"/>
      <c r="W53" s="172">
        <f>'P&amp;L'!U20</f>
        <v>390</v>
      </c>
      <c r="X53" s="172"/>
      <c r="Y53" s="172"/>
      <c r="Z53" s="172">
        <f>'P&amp;L'!V20</f>
        <v>390</v>
      </c>
      <c r="AA53" s="172"/>
      <c r="AB53" s="172"/>
      <c r="AC53" s="172">
        <f>'P&amp;L'!W20</f>
        <v>390</v>
      </c>
      <c r="AD53" s="172"/>
      <c r="AE53" s="172"/>
      <c r="AF53" s="172">
        <f>'P&amp;L'!X20</f>
        <v>390</v>
      </c>
      <c r="AG53" s="172"/>
      <c r="AH53" s="172"/>
      <c r="AI53" s="172">
        <f>'P&amp;L'!Y20</f>
        <v>390</v>
      </c>
      <c r="AJ53" s="172"/>
      <c r="AK53" s="172"/>
      <c r="AL53" s="488">
        <f t="shared" si="34"/>
        <v>4287.78</v>
      </c>
      <c r="AM53" s="284">
        <f t="shared" si="16"/>
        <v>1947.78</v>
      </c>
      <c r="AN53" s="487"/>
      <c r="AO53" s="172">
        <v>390.0</v>
      </c>
      <c r="AP53" s="172"/>
      <c r="AQ53" s="172"/>
      <c r="AR53" s="172">
        <v>390.0</v>
      </c>
      <c r="AS53" s="172"/>
      <c r="AT53" s="172"/>
      <c r="AU53" s="172">
        <v>390.0</v>
      </c>
      <c r="AV53" s="172"/>
      <c r="AW53" s="172"/>
      <c r="AX53" s="172">
        <v>390.0</v>
      </c>
      <c r="AY53" s="172"/>
      <c r="AZ53" s="172"/>
      <c r="BA53" s="172">
        <v>390.0</v>
      </c>
      <c r="BB53" s="172"/>
      <c r="BC53" s="172"/>
      <c r="BD53" s="172">
        <v>390.0</v>
      </c>
      <c r="BE53" s="172"/>
      <c r="BF53" s="129"/>
      <c r="BG53" s="172">
        <v>390.0</v>
      </c>
      <c r="BH53" s="172"/>
      <c r="BI53" s="172"/>
      <c r="BJ53" s="172">
        <v>390.0</v>
      </c>
      <c r="BK53" s="172"/>
      <c r="BL53" s="172"/>
      <c r="BM53" s="172">
        <v>390.0</v>
      </c>
      <c r="BN53" s="172"/>
      <c r="BO53" s="172"/>
      <c r="BP53" s="172">
        <v>390.0</v>
      </c>
      <c r="BQ53" s="172"/>
      <c r="BR53" s="172"/>
      <c r="BS53" s="172">
        <v>390.0</v>
      </c>
      <c r="BT53" s="172"/>
      <c r="BU53" s="172"/>
      <c r="BV53" s="172">
        <v>390.0</v>
      </c>
      <c r="BW53" s="172"/>
      <c r="BX53" s="172"/>
      <c r="BY53" s="304">
        <f t="shared" si="35"/>
        <v>4680</v>
      </c>
      <c r="BZ53" s="489"/>
      <c r="CA53" s="489"/>
    </row>
    <row r="54" ht="15.75" customHeight="1">
      <c r="A54" s="127" t="s">
        <v>167</v>
      </c>
      <c r="B54" s="172"/>
      <c r="C54" s="172">
        <f>'P&amp;L'!N21</f>
        <v>0</v>
      </c>
      <c r="D54" s="172"/>
      <c r="E54" s="172"/>
      <c r="F54" s="172">
        <f>'P&amp;L'!O21</f>
        <v>1000</v>
      </c>
      <c r="G54" s="172"/>
      <c r="H54" s="172"/>
      <c r="I54" s="172">
        <f>'P&amp;L'!P21</f>
        <v>0</v>
      </c>
      <c r="J54" s="172"/>
      <c r="K54" s="172"/>
      <c r="L54" s="172">
        <f>'P&amp;L'!Q21</f>
        <v>401</v>
      </c>
      <c r="M54" s="172"/>
      <c r="N54" s="172"/>
      <c r="O54" s="172">
        <f>'P&amp;L'!R21</f>
        <v>0</v>
      </c>
      <c r="P54" s="172"/>
      <c r="Q54" s="172"/>
      <c r="R54" s="172">
        <f>4500+$R$16</f>
        <v>4500</v>
      </c>
      <c r="S54" s="172"/>
      <c r="T54" s="172">
        <f>4500+$R$16</f>
        <v>4500</v>
      </c>
      <c r="U54" s="172"/>
      <c r="V54" s="172"/>
      <c r="W54" s="172">
        <f>4500+$R$16</f>
        <v>4500</v>
      </c>
      <c r="X54" s="172"/>
      <c r="Y54" s="172"/>
      <c r="Z54" s="172">
        <f>4500+$R$16</f>
        <v>4500</v>
      </c>
      <c r="AA54" s="172"/>
      <c r="AB54" s="172"/>
      <c r="AC54" s="172">
        <f>4500+$R$16</f>
        <v>4500</v>
      </c>
      <c r="AD54" s="172"/>
      <c r="AE54" s="172"/>
      <c r="AF54" s="172">
        <f>4500+$R$16</f>
        <v>4500</v>
      </c>
      <c r="AG54" s="172"/>
      <c r="AH54" s="172"/>
      <c r="AI54" s="172">
        <f>4500+$R$16</f>
        <v>4500</v>
      </c>
      <c r="AJ54" s="172"/>
      <c r="AK54" s="172"/>
      <c r="AL54" s="488">
        <f t="shared" si="34"/>
        <v>32901</v>
      </c>
      <c r="AM54" s="284">
        <f t="shared" si="16"/>
        <v>5901</v>
      </c>
      <c r="AN54" s="490"/>
      <c r="AO54" s="125">
        <f>4500+$R$16</f>
        <v>4500</v>
      </c>
      <c r="AP54" s="125"/>
      <c r="AQ54" s="125"/>
      <c r="AR54" s="125">
        <f>4500+$R$16</f>
        <v>4500</v>
      </c>
      <c r="AS54" s="125"/>
      <c r="AT54" s="125"/>
      <c r="AU54" s="125">
        <f>4500+$R$16</f>
        <v>4500</v>
      </c>
      <c r="AV54" s="125"/>
      <c r="AW54" s="125"/>
      <c r="AX54" s="125">
        <f>4500+$R$16</f>
        <v>4500</v>
      </c>
      <c r="AY54" s="125"/>
      <c r="AZ54" s="125"/>
      <c r="BA54" s="125">
        <f>4500+$R$16</f>
        <v>4500</v>
      </c>
      <c r="BB54" s="125"/>
      <c r="BC54" s="125"/>
      <c r="BD54" s="125">
        <f>4500+$R$16</f>
        <v>4500</v>
      </c>
      <c r="BE54" s="125"/>
      <c r="BF54" s="125"/>
      <c r="BG54" s="125">
        <f>4500+$R$16</f>
        <v>4500</v>
      </c>
      <c r="BH54" s="125"/>
      <c r="BI54" s="125"/>
      <c r="BJ54" s="125">
        <f>4500+$R$16</f>
        <v>4500</v>
      </c>
      <c r="BK54" s="125"/>
      <c r="BL54" s="125"/>
      <c r="BM54" s="125">
        <f>4500+$R$16</f>
        <v>4500</v>
      </c>
      <c r="BN54" s="125"/>
      <c r="BO54" s="125"/>
      <c r="BP54" s="125">
        <f>4500+$R$16</f>
        <v>4500</v>
      </c>
      <c r="BQ54" s="125"/>
      <c r="BR54" s="125"/>
      <c r="BS54" s="125">
        <f>4500+$R$16</f>
        <v>4500</v>
      </c>
      <c r="BT54" s="125"/>
      <c r="BU54" s="125"/>
      <c r="BV54" s="125">
        <f>4500+$R$16</f>
        <v>4500</v>
      </c>
      <c r="BW54" s="172"/>
      <c r="BX54" s="172"/>
      <c r="BY54" s="304">
        <f t="shared" si="35"/>
        <v>54000</v>
      </c>
      <c r="BZ54" s="489"/>
      <c r="CA54" s="489"/>
    </row>
    <row r="55" ht="15.75" customHeight="1">
      <c r="A55" s="127" t="s">
        <v>168</v>
      </c>
      <c r="B55" s="172"/>
      <c r="C55" s="172">
        <f>'P&amp;L'!N22</f>
        <v>20</v>
      </c>
      <c r="D55" s="172"/>
      <c r="E55" s="172"/>
      <c r="F55" s="172">
        <f>'P&amp;L'!O22</f>
        <v>20</v>
      </c>
      <c r="G55" s="172"/>
      <c r="H55" s="172"/>
      <c r="I55" s="172">
        <f>'P&amp;L'!P22</f>
        <v>60</v>
      </c>
      <c r="J55" s="172"/>
      <c r="K55" s="172"/>
      <c r="L55" s="172">
        <f>'P&amp;L'!Q22</f>
        <v>117.9</v>
      </c>
      <c r="M55" s="172"/>
      <c r="N55" s="172"/>
      <c r="O55" s="172">
        <f>'P&amp;L'!R22</f>
        <v>0</v>
      </c>
      <c r="P55" s="172"/>
      <c r="Q55" s="172"/>
      <c r="R55" s="172" t="str">
        <f>'P&amp;L'!S22</f>
        <v/>
      </c>
      <c r="S55" s="172"/>
      <c r="T55" s="172" t="str">
        <f>'P&amp;L'!T22</f>
        <v/>
      </c>
      <c r="U55" s="172"/>
      <c r="V55" s="172"/>
      <c r="W55" s="172" t="str">
        <f>'P&amp;L'!U22</f>
        <v/>
      </c>
      <c r="X55" s="172"/>
      <c r="Y55" s="172"/>
      <c r="Z55" s="172" t="str">
        <f>'P&amp;L'!V22</f>
        <v/>
      </c>
      <c r="AA55" s="172"/>
      <c r="AB55" s="172"/>
      <c r="AC55" s="172" t="str">
        <f>'P&amp;L'!W22</f>
        <v/>
      </c>
      <c r="AD55" s="172"/>
      <c r="AE55" s="172"/>
      <c r="AF55" s="172" t="str">
        <f>'P&amp;L'!X22</f>
        <v/>
      </c>
      <c r="AG55" s="172"/>
      <c r="AH55" s="172"/>
      <c r="AI55" s="172" t="str">
        <f>'P&amp;L'!Y22</f>
        <v/>
      </c>
      <c r="AJ55" s="172"/>
      <c r="AK55" s="172"/>
      <c r="AL55" s="488">
        <f t="shared" si="34"/>
        <v>217.9</v>
      </c>
      <c r="AM55" s="284">
        <f t="shared" si="16"/>
        <v>217.9</v>
      </c>
      <c r="AN55" s="490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9"/>
      <c r="BS55" s="129"/>
      <c r="BT55" s="129"/>
      <c r="BU55" s="129"/>
      <c r="BV55" s="129"/>
      <c r="BW55" s="134"/>
      <c r="BX55" s="134"/>
      <c r="BY55" s="304">
        <f t="shared" si="35"/>
        <v>0</v>
      </c>
      <c r="BZ55" s="489"/>
      <c r="CA55" s="489"/>
    </row>
    <row r="56" ht="15.75" customHeight="1">
      <c r="A56" s="127" t="s">
        <v>169</v>
      </c>
      <c r="B56" s="172"/>
      <c r="C56" s="172">
        <f>'P&amp;L'!N23</f>
        <v>0</v>
      </c>
      <c r="D56" s="172"/>
      <c r="E56" s="172"/>
      <c r="F56" s="172">
        <f>'P&amp;L'!O23</f>
        <v>26.68</v>
      </c>
      <c r="G56" s="172"/>
      <c r="H56" s="172"/>
      <c r="I56" s="172">
        <f>'P&amp;L'!P23</f>
        <v>78.87</v>
      </c>
      <c r="J56" s="172"/>
      <c r="K56" s="172"/>
      <c r="L56" s="172">
        <f>'P&amp;L'!Q23</f>
        <v>26.68</v>
      </c>
      <c r="M56" s="172"/>
      <c r="N56" s="172"/>
      <c r="O56" s="172">
        <f>'P&amp;L'!R23</f>
        <v>0</v>
      </c>
      <c r="P56" s="172"/>
      <c r="Q56" s="172"/>
      <c r="R56" s="172" t="str">
        <f>'P&amp;L'!S23</f>
        <v/>
      </c>
      <c r="S56" s="172"/>
      <c r="T56" s="172" t="str">
        <f>'P&amp;L'!T23</f>
        <v/>
      </c>
      <c r="U56" s="172"/>
      <c r="V56" s="172"/>
      <c r="W56" s="172" t="str">
        <f>'P&amp;L'!U23</f>
        <v/>
      </c>
      <c r="X56" s="172"/>
      <c r="Y56" s="172"/>
      <c r="Z56" s="172" t="str">
        <f>'P&amp;L'!V23</f>
        <v/>
      </c>
      <c r="AA56" s="172"/>
      <c r="AB56" s="172"/>
      <c r="AC56" s="172" t="str">
        <f>'P&amp;L'!W23</f>
        <v/>
      </c>
      <c r="AD56" s="172"/>
      <c r="AE56" s="172"/>
      <c r="AF56" s="172" t="str">
        <f>'P&amp;L'!X23</f>
        <v/>
      </c>
      <c r="AG56" s="172"/>
      <c r="AH56" s="172"/>
      <c r="AI56" s="172" t="str">
        <f>'P&amp;L'!Y23</f>
        <v/>
      </c>
      <c r="AJ56" s="172"/>
      <c r="AK56" s="172"/>
      <c r="AL56" s="488">
        <f t="shared" si="34"/>
        <v>132.23</v>
      </c>
      <c r="AM56" s="284">
        <f t="shared" si="16"/>
        <v>132.23</v>
      </c>
      <c r="AN56" s="490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  <c r="BK56" s="129"/>
      <c r="BL56" s="129"/>
      <c r="BM56" s="129"/>
      <c r="BN56" s="129"/>
      <c r="BO56" s="129"/>
      <c r="BP56" s="129"/>
      <c r="BQ56" s="129"/>
      <c r="BR56" s="129"/>
      <c r="BS56" s="129"/>
      <c r="BT56" s="129"/>
      <c r="BU56" s="129"/>
      <c r="BV56" s="129"/>
      <c r="BW56" s="134"/>
      <c r="BX56" s="134"/>
      <c r="BY56" s="304">
        <f t="shared" si="35"/>
        <v>0</v>
      </c>
      <c r="BZ56" s="489"/>
      <c r="CA56" s="489"/>
    </row>
    <row r="57" ht="15.75" customHeight="1">
      <c r="A57" s="127" t="s">
        <v>170</v>
      </c>
      <c r="B57" s="172"/>
      <c r="C57" s="172">
        <f>'P&amp;L'!N24</f>
        <v>121.72</v>
      </c>
      <c r="D57" s="172"/>
      <c r="E57" s="172"/>
      <c r="F57" s="172">
        <f>'P&amp;L'!O24</f>
        <v>31.61</v>
      </c>
      <c r="G57" s="172"/>
      <c r="H57" s="172"/>
      <c r="I57" s="172">
        <f>'P&amp;L'!P24</f>
        <v>0</v>
      </c>
      <c r="J57" s="172"/>
      <c r="K57" s="172"/>
      <c r="L57" s="172">
        <f>'P&amp;L'!Q24</f>
        <v>0</v>
      </c>
      <c r="M57" s="172"/>
      <c r="N57" s="172"/>
      <c r="O57" s="172">
        <f>'P&amp;L'!R24</f>
        <v>0</v>
      </c>
      <c r="P57" s="172"/>
      <c r="Q57" s="172"/>
      <c r="R57" s="172">
        <f>$R$19</f>
        <v>0</v>
      </c>
      <c r="S57" s="172"/>
      <c r="T57" s="172">
        <f>$R$19</f>
        <v>0</v>
      </c>
      <c r="U57" s="172"/>
      <c r="V57" s="172"/>
      <c r="W57" s="172">
        <f>$R$19</f>
        <v>0</v>
      </c>
      <c r="X57" s="172"/>
      <c r="Y57" s="172"/>
      <c r="Z57" s="172">
        <f>$R$19</f>
        <v>0</v>
      </c>
      <c r="AA57" s="172"/>
      <c r="AB57" s="172"/>
      <c r="AC57" s="172">
        <f>$R$19</f>
        <v>0</v>
      </c>
      <c r="AD57" s="172"/>
      <c r="AE57" s="172"/>
      <c r="AF57" s="172">
        <f>$R$19</f>
        <v>0</v>
      </c>
      <c r="AG57" s="172"/>
      <c r="AH57" s="172"/>
      <c r="AI57" s="172">
        <f>$R$19</f>
        <v>0</v>
      </c>
      <c r="AJ57" s="172"/>
      <c r="AK57" s="172"/>
      <c r="AL57" s="488">
        <f t="shared" si="34"/>
        <v>153.33</v>
      </c>
      <c r="AM57" s="284">
        <f t="shared" si="16"/>
        <v>153.33</v>
      </c>
      <c r="AN57" s="490"/>
      <c r="AO57" s="136">
        <f>$R$19</f>
        <v>0</v>
      </c>
      <c r="AP57" s="136"/>
      <c r="AQ57" s="136"/>
      <c r="AR57" s="136">
        <f>$R$19</f>
        <v>0</v>
      </c>
      <c r="AS57" s="136"/>
      <c r="AT57" s="136"/>
      <c r="AU57" s="136">
        <f>$R$19</f>
        <v>0</v>
      </c>
      <c r="AV57" s="136"/>
      <c r="AW57" s="136"/>
      <c r="AX57" s="136">
        <f>$R$19</f>
        <v>0</v>
      </c>
      <c r="AY57" s="136"/>
      <c r="AZ57" s="136"/>
      <c r="BA57" s="136">
        <f>$R$19</f>
        <v>0</v>
      </c>
      <c r="BB57" s="136"/>
      <c r="BC57" s="136"/>
      <c r="BD57" s="136">
        <f>$R$19</f>
        <v>0</v>
      </c>
      <c r="BE57" s="136"/>
      <c r="BF57" s="136"/>
      <c r="BG57" s="136">
        <f>$R$19</f>
        <v>0</v>
      </c>
      <c r="BH57" s="136"/>
      <c r="BI57" s="136"/>
      <c r="BJ57" s="136">
        <f>$R$19</f>
        <v>0</v>
      </c>
      <c r="BK57" s="136"/>
      <c r="BL57" s="136"/>
      <c r="BM57" s="136">
        <f>$R$19</f>
        <v>0</v>
      </c>
      <c r="BN57" s="136"/>
      <c r="BO57" s="136"/>
      <c r="BP57" s="136">
        <f>$R$19</f>
        <v>0</v>
      </c>
      <c r="BQ57" s="136"/>
      <c r="BR57" s="136"/>
      <c r="BS57" s="136">
        <f>$R$19</f>
        <v>0</v>
      </c>
      <c r="BT57" s="136"/>
      <c r="BU57" s="136"/>
      <c r="BV57" s="136">
        <f>$R$19</f>
        <v>0</v>
      </c>
      <c r="BW57" s="135"/>
      <c r="BX57" s="135"/>
      <c r="BY57" s="304">
        <f t="shared" si="35"/>
        <v>0</v>
      </c>
      <c r="BZ57" s="489"/>
      <c r="CA57" s="489"/>
    </row>
    <row r="58" ht="15.75" customHeight="1">
      <c r="A58" s="127" t="s">
        <v>172</v>
      </c>
      <c r="B58" s="172"/>
      <c r="C58" s="172">
        <f>'P&amp;L'!N25</f>
        <v>274.43</v>
      </c>
      <c r="D58" s="172"/>
      <c r="E58" s="172"/>
      <c r="F58" s="172">
        <f>'P&amp;L'!O25</f>
        <v>96.45</v>
      </c>
      <c r="G58" s="172"/>
      <c r="H58" s="172"/>
      <c r="I58" s="172">
        <f>'P&amp;L'!P25</f>
        <v>206.29</v>
      </c>
      <c r="J58" s="172"/>
      <c r="K58" s="172"/>
      <c r="L58" s="172">
        <f>'P&amp;L'!Q25</f>
        <v>361.71</v>
      </c>
      <c r="M58" s="172"/>
      <c r="N58" s="172"/>
      <c r="O58" s="172">
        <f>'P&amp;L'!R25</f>
        <v>0</v>
      </c>
      <c r="P58" s="172"/>
      <c r="Q58" s="172"/>
      <c r="R58" s="172">
        <f>'P&amp;L'!S25</f>
        <v>200</v>
      </c>
      <c r="S58" s="172"/>
      <c r="T58" s="172">
        <f>'P&amp;L'!T25</f>
        <v>200</v>
      </c>
      <c r="U58" s="172"/>
      <c r="V58" s="172"/>
      <c r="W58" s="172">
        <f>'P&amp;L'!U25</f>
        <v>200</v>
      </c>
      <c r="X58" s="172"/>
      <c r="Y58" s="172"/>
      <c r="Z58" s="172">
        <f>'P&amp;L'!V25</f>
        <v>200</v>
      </c>
      <c r="AA58" s="172"/>
      <c r="AB58" s="172"/>
      <c r="AC58" s="172">
        <f>'P&amp;L'!W25</f>
        <v>200</v>
      </c>
      <c r="AD58" s="172"/>
      <c r="AE58" s="172"/>
      <c r="AF58" s="172">
        <f>'P&amp;L'!X25</f>
        <v>200</v>
      </c>
      <c r="AG58" s="172"/>
      <c r="AH58" s="172"/>
      <c r="AI58" s="172">
        <f>'P&amp;L'!Y25</f>
        <v>200</v>
      </c>
      <c r="AJ58" s="172"/>
      <c r="AK58" s="172"/>
      <c r="AL58" s="488">
        <f t="shared" si="34"/>
        <v>2338.88</v>
      </c>
      <c r="AM58" s="284">
        <f t="shared" si="16"/>
        <v>1138.88</v>
      </c>
      <c r="AN58" s="487"/>
      <c r="AO58" s="172">
        <v>200.0</v>
      </c>
      <c r="AP58" s="172"/>
      <c r="AQ58" s="172"/>
      <c r="AR58" s="172">
        <v>200.0</v>
      </c>
      <c r="AS58" s="172"/>
      <c r="AT58" s="172"/>
      <c r="AU58" s="172">
        <v>200.0</v>
      </c>
      <c r="AV58" s="172"/>
      <c r="AW58" s="172"/>
      <c r="AX58" s="172">
        <v>200.0</v>
      </c>
      <c r="AY58" s="172"/>
      <c r="AZ58" s="172"/>
      <c r="BA58" s="172">
        <v>200.0</v>
      </c>
      <c r="BB58" s="172"/>
      <c r="BC58" s="172"/>
      <c r="BD58" s="172">
        <v>200.0</v>
      </c>
      <c r="BE58" s="172"/>
      <c r="BF58" s="129"/>
      <c r="BG58" s="172">
        <v>200.0</v>
      </c>
      <c r="BH58" s="172"/>
      <c r="BI58" s="172"/>
      <c r="BJ58" s="172">
        <v>200.0</v>
      </c>
      <c r="BK58" s="172"/>
      <c r="BL58" s="172"/>
      <c r="BM58" s="172">
        <v>200.0</v>
      </c>
      <c r="BN58" s="172"/>
      <c r="BO58" s="172"/>
      <c r="BP58" s="172">
        <v>200.0</v>
      </c>
      <c r="BQ58" s="172"/>
      <c r="BR58" s="172"/>
      <c r="BS58" s="172">
        <v>200.0</v>
      </c>
      <c r="BT58" s="172"/>
      <c r="BU58" s="172"/>
      <c r="BV58" s="172">
        <v>200.0</v>
      </c>
      <c r="BW58" s="172"/>
      <c r="BX58" s="172"/>
      <c r="BY58" s="304">
        <f t="shared" si="35"/>
        <v>2400</v>
      </c>
      <c r="BZ58" s="489"/>
      <c r="CA58" s="489"/>
    </row>
    <row r="59" ht="15.75" customHeight="1">
      <c r="A59" s="127" t="s">
        <v>173</v>
      </c>
      <c r="B59" s="172"/>
      <c r="C59" s="172">
        <f>'P&amp;L'!N26</f>
        <v>998.5</v>
      </c>
      <c r="D59" s="172"/>
      <c r="E59" s="172"/>
      <c r="F59" s="172">
        <f>'P&amp;L'!O26</f>
        <v>1044.51</v>
      </c>
      <c r="G59" s="172"/>
      <c r="H59" s="172"/>
      <c r="I59" s="172">
        <f>'P&amp;L'!P26</f>
        <v>1011.81</v>
      </c>
      <c r="J59" s="172"/>
      <c r="K59" s="172"/>
      <c r="L59" s="172">
        <f>'P&amp;L'!Q26</f>
        <v>510.83</v>
      </c>
      <c r="M59" s="172"/>
      <c r="N59" s="172"/>
      <c r="O59" s="172">
        <f>'P&amp;L'!R26</f>
        <v>0</v>
      </c>
      <c r="P59" s="172"/>
      <c r="Q59" s="172"/>
      <c r="R59" s="172">
        <f>900+$R$20</f>
        <v>900</v>
      </c>
      <c r="S59" s="172"/>
      <c r="T59" s="172">
        <f>900+$R$20</f>
        <v>900</v>
      </c>
      <c r="U59" s="172"/>
      <c r="V59" s="172"/>
      <c r="W59" s="172">
        <f>900+$R$20</f>
        <v>900</v>
      </c>
      <c r="X59" s="172"/>
      <c r="Y59" s="172"/>
      <c r="Z59" s="172">
        <f>900+$R$20</f>
        <v>900</v>
      </c>
      <c r="AA59" s="172"/>
      <c r="AB59" s="172"/>
      <c r="AC59" s="172">
        <f>900+$R$20</f>
        <v>900</v>
      </c>
      <c r="AD59" s="172"/>
      <c r="AE59" s="172"/>
      <c r="AF59" s="172">
        <f>900+$R$20</f>
        <v>900</v>
      </c>
      <c r="AG59" s="172"/>
      <c r="AH59" s="172"/>
      <c r="AI59" s="172">
        <f>900+$R$20</f>
        <v>900</v>
      </c>
      <c r="AJ59" s="172"/>
      <c r="AK59" s="172"/>
      <c r="AL59" s="488">
        <f t="shared" si="34"/>
        <v>9865.65</v>
      </c>
      <c r="AM59" s="284">
        <f t="shared" si="16"/>
        <v>4465.65</v>
      </c>
      <c r="AN59" s="487"/>
      <c r="AO59" s="172">
        <f>900+$R$20</f>
        <v>900</v>
      </c>
      <c r="AP59" s="172"/>
      <c r="AQ59" s="172"/>
      <c r="AR59" s="172">
        <f>900+$R$20</f>
        <v>900</v>
      </c>
      <c r="AS59" s="172"/>
      <c r="AT59" s="172"/>
      <c r="AU59" s="172">
        <f>900+$R$20</f>
        <v>900</v>
      </c>
      <c r="AV59" s="172"/>
      <c r="AW59" s="172"/>
      <c r="AX59" s="172">
        <f>900+$R$20</f>
        <v>900</v>
      </c>
      <c r="AY59" s="172"/>
      <c r="AZ59" s="172"/>
      <c r="BA59" s="172">
        <f>900+$R$20</f>
        <v>900</v>
      </c>
      <c r="BB59" s="172"/>
      <c r="BC59" s="172"/>
      <c r="BD59" s="172">
        <f>900+$R$20</f>
        <v>900</v>
      </c>
      <c r="BE59" s="172"/>
      <c r="BF59" s="172"/>
      <c r="BG59" s="172">
        <f>900+$R$20</f>
        <v>900</v>
      </c>
      <c r="BH59" s="172"/>
      <c r="BI59" s="172"/>
      <c r="BJ59" s="172">
        <f>900+$R$20</f>
        <v>900</v>
      </c>
      <c r="BK59" s="172"/>
      <c r="BL59" s="172"/>
      <c r="BM59" s="172">
        <f>900+$R$20</f>
        <v>900</v>
      </c>
      <c r="BN59" s="172"/>
      <c r="BO59" s="172"/>
      <c r="BP59" s="172">
        <f>900+$R$20</f>
        <v>900</v>
      </c>
      <c r="BQ59" s="172"/>
      <c r="BR59" s="172"/>
      <c r="BS59" s="172">
        <f>900+$R$20</f>
        <v>900</v>
      </c>
      <c r="BT59" s="172"/>
      <c r="BU59" s="172"/>
      <c r="BV59" s="172">
        <f>900+$R$20</f>
        <v>900</v>
      </c>
      <c r="BW59" s="172"/>
      <c r="BX59" s="172"/>
      <c r="BY59" s="304">
        <f t="shared" si="35"/>
        <v>10800</v>
      </c>
      <c r="BZ59" s="489"/>
      <c r="CA59" s="489"/>
    </row>
    <row r="60" ht="15.75" customHeight="1">
      <c r="A60" s="127" t="s">
        <v>174</v>
      </c>
      <c r="B60" s="172"/>
      <c r="C60" s="172">
        <f>'P&amp;L'!N27</f>
        <v>0</v>
      </c>
      <c r="D60" s="172"/>
      <c r="E60" s="172"/>
      <c r="F60" s="172">
        <f>'P&amp;L'!O27</f>
        <v>0</v>
      </c>
      <c r="G60" s="172"/>
      <c r="H60" s="172"/>
      <c r="I60" s="172">
        <f>'P&amp;L'!P27</f>
        <v>0</v>
      </c>
      <c r="J60" s="172"/>
      <c r="K60" s="172"/>
      <c r="L60" s="172">
        <f>'P&amp;L'!Q27</f>
        <v>0</v>
      </c>
      <c r="M60" s="172"/>
      <c r="N60" s="172"/>
      <c r="O60" s="172">
        <f>'P&amp;L'!R27</f>
        <v>0</v>
      </c>
      <c r="P60" s="172"/>
      <c r="Q60" s="172"/>
      <c r="R60" s="172" t="str">
        <f>'P&amp;L'!S27</f>
        <v/>
      </c>
      <c r="S60" s="172"/>
      <c r="T60" s="172" t="str">
        <f>'P&amp;L'!T27</f>
        <v/>
      </c>
      <c r="U60" s="172"/>
      <c r="V60" s="172"/>
      <c r="W60" s="172" t="str">
        <f>'P&amp;L'!U27</f>
        <v/>
      </c>
      <c r="X60" s="172"/>
      <c r="Y60" s="172"/>
      <c r="Z60" s="172" t="str">
        <f>'P&amp;L'!V27</f>
        <v/>
      </c>
      <c r="AA60" s="172"/>
      <c r="AB60" s="172"/>
      <c r="AC60" s="172" t="str">
        <f>'P&amp;L'!W27</f>
        <v/>
      </c>
      <c r="AD60" s="172"/>
      <c r="AE60" s="172"/>
      <c r="AF60" s="172" t="str">
        <f>'P&amp;L'!X27</f>
        <v/>
      </c>
      <c r="AG60" s="172"/>
      <c r="AH60" s="172"/>
      <c r="AI60" s="172" t="str">
        <f>'P&amp;L'!Y27</f>
        <v/>
      </c>
      <c r="AJ60" s="172"/>
      <c r="AK60" s="172"/>
      <c r="AL60" s="488">
        <f t="shared" si="34"/>
        <v>0</v>
      </c>
      <c r="AM60" s="284">
        <f t="shared" si="16"/>
        <v>0</v>
      </c>
      <c r="AN60" s="490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29"/>
      <c r="BI60" s="129"/>
      <c r="BJ60" s="129"/>
      <c r="BK60" s="129"/>
      <c r="BL60" s="129"/>
      <c r="BM60" s="129"/>
      <c r="BN60" s="129"/>
      <c r="BO60" s="129"/>
      <c r="BP60" s="129"/>
      <c r="BQ60" s="129"/>
      <c r="BR60" s="129"/>
      <c r="BS60" s="129"/>
      <c r="BT60" s="129"/>
      <c r="BU60" s="129"/>
      <c r="BV60" s="129"/>
      <c r="BW60" s="134"/>
      <c r="BX60" s="134"/>
      <c r="BY60" s="304">
        <f t="shared" si="35"/>
        <v>0</v>
      </c>
      <c r="BZ60" s="489"/>
      <c r="CA60" s="489"/>
    </row>
    <row r="61" ht="15.75" customHeight="1">
      <c r="A61" s="127" t="s">
        <v>175</v>
      </c>
      <c r="B61" s="172"/>
      <c r="C61" s="172">
        <f>'P&amp;L'!N28</f>
        <v>306.86</v>
      </c>
      <c r="D61" s="172"/>
      <c r="E61" s="172"/>
      <c r="F61" s="172">
        <f>'P&amp;L'!O28</f>
        <v>0</v>
      </c>
      <c r="G61" s="172"/>
      <c r="H61" s="172"/>
      <c r="I61" s="172">
        <f>'P&amp;L'!P28</f>
        <v>0</v>
      </c>
      <c r="J61" s="172"/>
      <c r="K61" s="172"/>
      <c r="L61" s="172">
        <f>'P&amp;L'!Q28</f>
        <v>0</v>
      </c>
      <c r="M61" s="172"/>
      <c r="N61" s="172"/>
      <c r="O61" s="172">
        <f>'P&amp;L'!R28</f>
        <v>0</v>
      </c>
      <c r="P61" s="172"/>
      <c r="Q61" s="172"/>
      <c r="R61" s="172" t="str">
        <f>'P&amp;L'!S28</f>
        <v/>
      </c>
      <c r="S61" s="172"/>
      <c r="T61" s="172" t="str">
        <f>'P&amp;L'!T28</f>
        <v/>
      </c>
      <c r="U61" s="172"/>
      <c r="V61" s="172"/>
      <c r="W61" s="172" t="str">
        <f>'P&amp;L'!U28</f>
        <v/>
      </c>
      <c r="X61" s="172"/>
      <c r="Y61" s="172"/>
      <c r="Z61" s="172" t="str">
        <f>'P&amp;L'!V28</f>
        <v/>
      </c>
      <c r="AA61" s="172"/>
      <c r="AB61" s="172"/>
      <c r="AC61" s="172" t="str">
        <f>'P&amp;L'!W28</f>
        <v/>
      </c>
      <c r="AD61" s="172"/>
      <c r="AE61" s="172"/>
      <c r="AF61" s="172" t="str">
        <f>'P&amp;L'!X28</f>
        <v/>
      </c>
      <c r="AG61" s="172"/>
      <c r="AH61" s="172"/>
      <c r="AI61" s="172" t="str">
        <f>'P&amp;L'!Y28</f>
        <v/>
      </c>
      <c r="AJ61" s="172"/>
      <c r="AK61" s="172"/>
      <c r="AL61" s="488">
        <f t="shared" si="34"/>
        <v>306.86</v>
      </c>
      <c r="AM61" s="284">
        <f t="shared" si="16"/>
        <v>306.86</v>
      </c>
      <c r="AN61" s="490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  <c r="BB61" s="129"/>
      <c r="BC61" s="129"/>
      <c r="BD61" s="129"/>
      <c r="BE61" s="129"/>
      <c r="BF61" s="129"/>
      <c r="BG61" s="129"/>
      <c r="BH61" s="129"/>
      <c r="BI61" s="129"/>
      <c r="BJ61" s="129"/>
      <c r="BK61" s="129"/>
      <c r="BL61" s="129"/>
      <c r="BM61" s="129"/>
      <c r="BN61" s="129"/>
      <c r="BO61" s="129"/>
      <c r="BP61" s="129"/>
      <c r="BQ61" s="129"/>
      <c r="BR61" s="129"/>
      <c r="BS61" s="129"/>
      <c r="BT61" s="129"/>
      <c r="BU61" s="129"/>
      <c r="BV61" s="129"/>
      <c r="BW61" s="134"/>
      <c r="BX61" s="134"/>
      <c r="BY61" s="304">
        <f t="shared" si="35"/>
        <v>0</v>
      </c>
      <c r="BZ61" s="489"/>
      <c r="CA61" s="489"/>
    </row>
    <row r="62" ht="15.75" customHeight="1">
      <c r="A62" s="127" t="s">
        <v>176</v>
      </c>
      <c r="B62" s="172"/>
      <c r="C62" s="172">
        <f>'P&amp;L'!N29</f>
        <v>421.1</v>
      </c>
      <c r="D62" s="172"/>
      <c r="E62" s="172"/>
      <c r="F62" s="172">
        <f>'P&amp;L'!O29</f>
        <v>420.43</v>
      </c>
      <c r="G62" s="172"/>
      <c r="H62" s="172"/>
      <c r="I62" s="172">
        <f>'P&amp;L'!P29</f>
        <v>419.97</v>
      </c>
      <c r="J62" s="172"/>
      <c r="K62" s="172"/>
      <c r="L62" s="172">
        <f>'P&amp;L'!Q29</f>
        <v>451.94</v>
      </c>
      <c r="M62" s="172"/>
      <c r="N62" s="172"/>
      <c r="O62" s="172">
        <f>'P&amp;L'!R29</f>
        <v>0</v>
      </c>
      <c r="P62" s="172"/>
      <c r="Q62" s="172"/>
      <c r="R62" s="172">
        <f>430+$R$21</f>
        <v>430</v>
      </c>
      <c r="S62" s="172"/>
      <c r="T62" s="172">
        <f>430+$R$21</f>
        <v>430</v>
      </c>
      <c r="U62" s="172"/>
      <c r="V62" s="172"/>
      <c r="W62" s="172">
        <f>430+$R$21</f>
        <v>430</v>
      </c>
      <c r="X62" s="172"/>
      <c r="Y62" s="172"/>
      <c r="Z62" s="172">
        <f>430+$R$21</f>
        <v>430</v>
      </c>
      <c r="AA62" s="172"/>
      <c r="AB62" s="172"/>
      <c r="AC62" s="172">
        <f>430+$R$21</f>
        <v>430</v>
      </c>
      <c r="AD62" s="172"/>
      <c r="AE62" s="172"/>
      <c r="AF62" s="172">
        <f>430+$R$21</f>
        <v>430</v>
      </c>
      <c r="AG62" s="172"/>
      <c r="AH62" s="172"/>
      <c r="AI62" s="172">
        <f>430+$R$21</f>
        <v>430</v>
      </c>
      <c r="AJ62" s="172"/>
      <c r="AK62" s="172"/>
      <c r="AL62" s="488">
        <f t="shared" si="34"/>
        <v>4723.44</v>
      </c>
      <c r="AM62" s="284">
        <f t="shared" si="16"/>
        <v>2143.44</v>
      </c>
      <c r="AN62" s="487"/>
      <c r="AO62" s="172">
        <f>430+$R$21</f>
        <v>430</v>
      </c>
      <c r="AP62" s="172"/>
      <c r="AQ62" s="172"/>
      <c r="AR62" s="172">
        <f>430+$R$21</f>
        <v>430</v>
      </c>
      <c r="AS62" s="172"/>
      <c r="AT62" s="172"/>
      <c r="AU62" s="172">
        <f>430+$R$21</f>
        <v>430</v>
      </c>
      <c r="AV62" s="172"/>
      <c r="AW62" s="172"/>
      <c r="AX62" s="172">
        <f>430+$R$21</f>
        <v>430</v>
      </c>
      <c r="AY62" s="172"/>
      <c r="AZ62" s="172"/>
      <c r="BA62" s="172">
        <f>430+$R$21</f>
        <v>430</v>
      </c>
      <c r="BB62" s="172"/>
      <c r="BC62" s="172"/>
      <c r="BD62" s="172">
        <f>430+$R$21</f>
        <v>430</v>
      </c>
      <c r="BE62" s="172"/>
      <c r="BF62" s="172"/>
      <c r="BG62" s="172">
        <f>430+$R$21</f>
        <v>430</v>
      </c>
      <c r="BH62" s="172"/>
      <c r="BI62" s="172"/>
      <c r="BJ62" s="172">
        <f>430+$R$21</f>
        <v>430</v>
      </c>
      <c r="BK62" s="172"/>
      <c r="BL62" s="172"/>
      <c r="BM62" s="172">
        <f>430+$R$21</f>
        <v>430</v>
      </c>
      <c r="BN62" s="172"/>
      <c r="BO62" s="172"/>
      <c r="BP62" s="172">
        <f>430+$R$21</f>
        <v>430</v>
      </c>
      <c r="BQ62" s="172"/>
      <c r="BR62" s="172"/>
      <c r="BS62" s="172">
        <f>430+$R$21</f>
        <v>430</v>
      </c>
      <c r="BT62" s="172"/>
      <c r="BU62" s="172"/>
      <c r="BV62" s="172">
        <f>430+$R$21</f>
        <v>430</v>
      </c>
      <c r="BW62" s="172"/>
      <c r="BX62" s="172"/>
      <c r="BY62" s="304">
        <f t="shared" si="35"/>
        <v>5160</v>
      </c>
      <c r="BZ62" s="489"/>
      <c r="CA62" s="489"/>
    </row>
    <row r="63" ht="15.75" customHeight="1">
      <c r="A63" s="127" t="s">
        <v>177</v>
      </c>
      <c r="B63" s="172"/>
      <c r="C63" s="172">
        <f>'P&amp;L'!N30</f>
        <v>5</v>
      </c>
      <c r="D63" s="172"/>
      <c r="E63" s="172"/>
      <c r="F63" s="172">
        <f>'P&amp;L'!O30</f>
        <v>0</v>
      </c>
      <c r="G63" s="172"/>
      <c r="H63" s="172"/>
      <c r="I63" s="172">
        <f>'P&amp;L'!P30</f>
        <v>0</v>
      </c>
      <c r="J63" s="172"/>
      <c r="K63" s="172"/>
      <c r="L63" s="172">
        <f>'P&amp;L'!Q30</f>
        <v>0</v>
      </c>
      <c r="M63" s="172"/>
      <c r="N63" s="172"/>
      <c r="O63" s="172">
        <f>'P&amp;L'!R30</f>
        <v>0</v>
      </c>
      <c r="P63" s="172"/>
      <c r="Q63" s="172"/>
      <c r="R63" s="172" t="str">
        <f>'P&amp;L'!S30</f>
        <v/>
      </c>
      <c r="S63" s="172"/>
      <c r="T63" s="172" t="str">
        <f>'P&amp;L'!T30</f>
        <v/>
      </c>
      <c r="U63" s="172"/>
      <c r="V63" s="172"/>
      <c r="W63" s="172" t="str">
        <f>'P&amp;L'!U30</f>
        <v/>
      </c>
      <c r="X63" s="172"/>
      <c r="Y63" s="172"/>
      <c r="Z63" s="172" t="str">
        <f>'P&amp;L'!V30</f>
        <v/>
      </c>
      <c r="AA63" s="172"/>
      <c r="AB63" s="172"/>
      <c r="AC63" s="172" t="str">
        <f>'P&amp;L'!W30</f>
        <v/>
      </c>
      <c r="AD63" s="172"/>
      <c r="AE63" s="172"/>
      <c r="AF63" s="172" t="str">
        <f>'P&amp;L'!X30</f>
        <v/>
      </c>
      <c r="AG63" s="172"/>
      <c r="AH63" s="172"/>
      <c r="AI63" s="172" t="str">
        <f>'P&amp;L'!Y30</f>
        <v/>
      </c>
      <c r="AJ63" s="172"/>
      <c r="AK63" s="172"/>
      <c r="AL63" s="488">
        <f t="shared" si="34"/>
        <v>5</v>
      </c>
      <c r="AM63" s="284">
        <f t="shared" si="16"/>
        <v>5</v>
      </c>
      <c r="AN63" s="490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29"/>
      <c r="BC63" s="129"/>
      <c r="BD63" s="129"/>
      <c r="BE63" s="129"/>
      <c r="BF63" s="129"/>
      <c r="BG63" s="129"/>
      <c r="BH63" s="129"/>
      <c r="BI63" s="129"/>
      <c r="BJ63" s="129"/>
      <c r="BK63" s="129"/>
      <c r="BL63" s="129"/>
      <c r="BM63" s="129"/>
      <c r="BN63" s="129"/>
      <c r="BO63" s="129"/>
      <c r="BP63" s="129"/>
      <c r="BQ63" s="129"/>
      <c r="BR63" s="129"/>
      <c r="BS63" s="129"/>
      <c r="BT63" s="129"/>
      <c r="BU63" s="129"/>
      <c r="BV63" s="129"/>
      <c r="BW63" s="134"/>
      <c r="BX63" s="134"/>
      <c r="BY63" s="304">
        <f t="shared" si="35"/>
        <v>0</v>
      </c>
      <c r="BZ63" s="489"/>
      <c r="CA63" s="489"/>
    </row>
    <row r="64" ht="15.75" customHeight="1">
      <c r="A64" s="127" t="s">
        <v>178</v>
      </c>
      <c r="B64" s="172"/>
      <c r="C64" s="172">
        <f>'P&amp;L'!N31</f>
        <v>0</v>
      </c>
      <c r="D64" s="172"/>
      <c r="E64" s="172"/>
      <c r="F64" s="172">
        <f>'P&amp;L'!O31</f>
        <v>150</v>
      </c>
      <c r="G64" s="172"/>
      <c r="H64" s="172"/>
      <c r="I64" s="172">
        <f>'P&amp;L'!P31</f>
        <v>175</v>
      </c>
      <c r="J64" s="172"/>
      <c r="K64" s="172"/>
      <c r="L64" s="172">
        <f>'P&amp;L'!Q31</f>
        <v>250</v>
      </c>
      <c r="M64" s="172"/>
      <c r="N64" s="172"/>
      <c r="O64" s="172">
        <f>'P&amp;L'!R31</f>
        <v>150</v>
      </c>
      <c r="P64" s="172"/>
      <c r="Q64" s="172"/>
      <c r="R64" s="172">
        <f>'P&amp;L'!S31</f>
        <v>150</v>
      </c>
      <c r="S64" s="172"/>
      <c r="T64" s="172">
        <f>'P&amp;L'!T31</f>
        <v>150</v>
      </c>
      <c r="U64" s="172"/>
      <c r="V64" s="172"/>
      <c r="W64" s="172">
        <f>'P&amp;L'!U31</f>
        <v>150</v>
      </c>
      <c r="X64" s="172"/>
      <c r="Y64" s="172"/>
      <c r="Z64" s="172">
        <f>'P&amp;L'!V31</f>
        <v>150</v>
      </c>
      <c r="AA64" s="172"/>
      <c r="AB64" s="172"/>
      <c r="AC64" s="172">
        <f>'P&amp;L'!W31</f>
        <v>150</v>
      </c>
      <c r="AD64" s="172"/>
      <c r="AE64" s="172"/>
      <c r="AF64" s="172">
        <f>'P&amp;L'!X31</f>
        <v>150</v>
      </c>
      <c r="AG64" s="172"/>
      <c r="AH64" s="172"/>
      <c r="AI64" s="172">
        <f>'P&amp;L'!Y31</f>
        <v>150</v>
      </c>
      <c r="AJ64" s="172"/>
      <c r="AK64" s="172"/>
      <c r="AL64" s="488">
        <f t="shared" si="34"/>
        <v>1775</v>
      </c>
      <c r="AM64" s="284">
        <f t="shared" si="16"/>
        <v>875</v>
      </c>
      <c r="AN64" s="487"/>
      <c r="AO64" s="172">
        <v>150.0</v>
      </c>
      <c r="AP64" s="172"/>
      <c r="AQ64" s="172"/>
      <c r="AR64" s="172">
        <v>150.0</v>
      </c>
      <c r="AS64" s="172"/>
      <c r="AT64" s="172"/>
      <c r="AU64" s="172">
        <v>150.0</v>
      </c>
      <c r="AV64" s="172"/>
      <c r="AW64" s="172"/>
      <c r="AX64" s="172">
        <v>150.0</v>
      </c>
      <c r="AY64" s="172"/>
      <c r="AZ64" s="172"/>
      <c r="BA64" s="172">
        <v>150.0</v>
      </c>
      <c r="BB64" s="172"/>
      <c r="BC64" s="172"/>
      <c r="BD64" s="172">
        <v>150.0</v>
      </c>
      <c r="BE64" s="172"/>
      <c r="BF64" s="129"/>
      <c r="BG64" s="172">
        <v>150.0</v>
      </c>
      <c r="BH64" s="172"/>
      <c r="BI64" s="172"/>
      <c r="BJ64" s="172">
        <v>150.0</v>
      </c>
      <c r="BK64" s="172"/>
      <c r="BL64" s="172"/>
      <c r="BM64" s="172">
        <v>150.0</v>
      </c>
      <c r="BN64" s="172"/>
      <c r="BO64" s="172"/>
      <c r="BP64" s="172">
        <v>150.0</v>
      </c>
      <c r="BQ64" s="172"/>
      <c r="BR64" s="172"/>
      <c r="BS64" s="172">
        <v>150.0</v>
      </c>
      <c r="BT64" s="172"/>
      <c r="BU64" s="172"/>
      <c r="BV64" s="172">
        <v>150.0</v>
      </c>
      <c r="BW64" s="172"/>
      <c r="BX64" s="172"/>
      <c r="BY64" s="304">
        <f t="shared" si="35"/>
        <v>1800</v>
      </c>
      <c r="BZ64" s="489"/>
      <c r="CA64" s="489"/>
    </row>
    <row r="65" ht="15.75" customHeight="1">
      <c r="A65" s="127" t="s">
        <v>179</v>
      </c>
      <c r="B65" s="172"/>
      <c r="C65" s="172">
        <f>'P&amp;L'!N32</f>
        <v>10673.57</v>
      </c>
      <c r="D65" s="172"/>
      <c r="E65" s="172"/>
      <c r="F65" s="172">
        <f>'P&amp;L'!O32</f>
        <v>10616.25</v>
      </c>
      <c r="G65" s="172"/>
      <c r="H65" s="172"/>
      <c r="I65" s="172">
        <f>'P&amp;L'!P32</f>
        <v>11420.68</v>
      </c>
      <c r="J65" s="172"/>
      <c r="K65" s="172"/>
      <c r="L65" s="172">
        <f>'P&amp;L'!Q32</f>
        <v>9464.12</v>
      </c>
      <c r="M65" s="172"/>
      <c r="N65" s="172"/>
      <c r="O65" s="172">
        <f>'P&amp;L'!R32</f>
        <v>15000</v>
      </c>
      <c r="P65" s="172"/>
      <c r="Q65" s="172"/>
      <c r="R65" s="172">
        <f>15000+$R$17</f>
        <v>35000</v>
      </c>
      <c r="S65" s="172"/>
      <c r="T65" s="172">
        <f>(0.2*T39)+$R$17</f>
        <v>34000</v>
      </c>
      <c r="U65" s="172"/>
      <c r="V65" s="172"/>
      <c r="W65" s="172">
        <f>(0.2*W39)+$R$17</f>
        <v>36000</v>
      </c>
      <c r="X65" s="172"/>
      <c r="Y65" s="172"/>
      <c r="Z65" s="172">
        <f>(0.2*Z39)+$R$17</f>
        <v>41840</v>
      </c>
      <c r="AA65" s="172"/>
      <c r="AB65" s="172"/>
      <c r="AC65" s="172">
        <f>(0.2*AC39)+$R$17</f>
        <v>45680</v>
      </c>
      <c r="AD65" s="172"/>
      <c r="AE65" s="172"/>
      <c r="AF65" s="172">
        <f>(0.2*AF39)+$R$17</f>
        <v>49520</v>
      </c>
      <c r="AG65" s="172"/>
      <c r="AH65" s="172"/>
      <c r="AI65" s="172">
        <f>(0.2*AI39)+$R$17</f>
        <v>53360</v>
      </c>
      <c r="AJ65" s="172"/>
      <c r="AK65" s="172"/>
      <c r="AL65" s="488">
        <f t="shared" si="34"/>
        <v>352574.62</v>
      </c>
      <c r="AM65" s="284">
        <f t="shared" si="16"/>
        <v>92174.62</v>
      </c>
      <c r="AN65" s="487"/>
      <c r="AO65" s="172">
        <f>(0.2*AO38)+$R$17</f>
        <v>43040</v>
      </c>
      <c r="AP65" s="172"/>
      <c r="AQ65" s="172"/>
      <c r="AR65" s="172">
        <f>(0.2*AR38)+$R$17</f>
        <v>48800</v>
      </c>
      <c r="AS65" s="172"/>
      <c r="AT65" s="172"/>
      <c r="AU65" s="172">
        <f>(0.2*AU38)+$R$17</f>
        <v>54560</v>
      </c>
      <c r="AV65" s="172"/>
      <c r="AW65" s="172"/>
      <c r="AX65" s="172">
        <f>(0.2*AX38)+$R$17</f>
        <v>60320</v>
      </c>
      <c r="AY65" s="172"/>
      <c r="AZ65" s="172"/>
      <c r="BA65" s="172">
        <f>(0.2*BA38)+$R$17</f>
        <v>66080</v>
      </c>
      <c r="BB65" s="172"/>
      <c r="BC65" s="172"/>
      <c r="BD65" s="172">
        <f>(0.2*BD38)+$R$17</f>
        <v>68000</v>
      </c>
      <c r="BE65" s="172"/>
      <c r="BF65" s="172"/>
      <c r="BG65" s="172">
        <f>(0.2*BG38)+$R$17</f>
        <v>68000</v>
      </c>
      <c r="BH65" s="172"/>
      <c r="BI65" s="172"/>
      <c r="BJ65" s="172">
        <f>(0.2*BJ38)+$R$17</f>
        <v>68000</v>
      </c>
      <c r="BK65" s="172"/>
      <c r="BL65" s="172"/>
      <c r="BM65" s="172">
        <f>(0.2*BM38)+$R$17</f>
        <v>68000</v>
      </c>
      <c r="BN65" s="172"/>
      <c r="BO65" s="172"/>
      <c r="BP65" s="172">
        <f>(0.2*BP38)+$R$17</f>
        <v>68000</v>
      </c>
      <c r="BQ65" s="172"/>
      <c r="BR65" s="172"/>
      <c r="BS65" s="172">
        <f>(0.2*BS38)+$R$17</f>
        <v>68000</v>
      </c>
      <c r="BT65" s="172"/>
      <c r="BU65" s="172"/>
      <c r="BV65" s="172">
        <f>(0.2*BV38)+$R$17</f>
        <v>68000</v>
      </c>
      <c r="BW65" s="172"/>
      <c r="BX65" s="172"/>
      <c r="BY65" s="304">
        <f t="shared" si="35"/>
        <v>748800</v>
      </c>
      <c r="BZ65" s="489"/>
      <c r="CA65" s="489"/>
    </row>
    <row r="66" ht="15.75" customHeight="1">
      <c r="A66" s="127" t="s">
        <v>180</v>
      </c>
      <c r="B66" s="172"/>
      <c r="C66" s="172">
        <f>'P&amp;L'!N33</f>
        <v>90</v>
      </c>
      <c r="D66" s="172"/>
      <c r="E66" s="172"/>
      <c r="F66" s="172">
        <f>'P&amp;L'!O33</f>
        <v>0</v>
      </c>
      <c r="G66" s="172"/>
      <c r="H66" s="172"/>
      <c r="I66" s="172">
        <f>'P&amp;L'!P33</f>
        <v>0</v>
      </c>
      <c r="J66" s="172"/>
      <c r="K66" s="172"/>
      <c r="L66" s="172">
        <f>'P&amp;L'!Q33</f>
        <v>0</v>
      </c>
      <c r="M66" s="172"/>
      <c r="N66" s="172"/>
      <c r="O66" s="172">
        <f>'P&amp;L'!R33</f>
        <v>0</v>
      </c>
      <c r="P66" s="172"/>
      <c r="Q66" s="172"/>
      <c r="R66" s="172" t="str">
        <f>'P&amp;L'!S33</f>
        <v/>
      </c>
      <c r="S66" s="172"/>
      <c r="T66" s="172" t="str">
        <f>'P&amp;L'!T33</f>
        <v/>
      </c>
      <c r="U66" s="172"/>
      <c r="V66" s="172"/>
      <c r="W66" s="172" t="str">
        <f>'P&amp;L'!U33</f>
        <v/>
      </c>
      <c r="X66" s="172"/>
      <c r="Y66" s="172"/>
      <c r="Z66" s="172" t="str">
        <f>'P&amp;L'!V33</f>
        <v/>
      </c>
      <c r="AA66" s="172"/>
      <c r="AB66" s="172"/>
      <c r="AC66" s="172" t="str">
        <f>'P&amp;L'!W33</f>
        <v/>
      </c>
      <c r="AD66" s="172"/>
      <c r="AE66" s="172"/>
      <c r="AF66" s="172" t="str">
        <f>'P&amp;L'!X33</f>
        <v/>
      </c>
      <c r="AG66" s="172"/>
      <c r="AH66" s="172"/>
      <c r="AI66" s="172" t="str">
        <f>'P&amp;L'!Y33</f>
        <v/>
      </c>
      <c r="AJ66" s="172"/>
      <c r="AK66" s="172"/>
      <c r="AL66" s="488">
        <f t="shared" si="34"/>
        <v>90</v>
      </c>
      <c r="AM66" s="284">
        <f t="shared" si="16"/>
        <v>90</v>
      </c>
      <c r="AN66" s="490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34"/>
      <c r="BX66" s="134"/>
      <c r="BY66" s="304">
        <f t="shared" si="35"/>
        <v>0</v>
      </c>
      <c r="BZ66" s="489"/>
      <c r="CA66" s="489"/>
    </row>
    <row r="67" ht="15.75" customHeight="1">
      <c r="A67" s="127" t="s">
        <v>181</v>
      </c>
      <c r="B67" s="172"/>
      <c r="C67" s="172">
        <f>'P&amp;L'!N34</f>
        <v>4385.45</v>
      </c>
      <c r="D67" s="172"/>
      <c r="E67" s="172"/>
      <c r="F67" s="172">
        <f>'P&amp;L'!O34</f>
        <v>4694.04</v>
      </c>
      <c r="G67" s="172"/>
      <c r="H67" s="172"/>
      <c r="I67" s="172">
        <f>'P&amp;L'!P34</f>
        <v>3942.38</v>
      </c>
      <c r="J67" s="172"/>
      <c r="K67" s="172"/>
      <c r="L67" s="172">
        <f>'P&amp;L'!Q34</f>
        <v>4788.57</v>
      </c>
      <c r="M67" s="172"/>
      <c r="N67" s="172"/>
      <c r="O67" s="172">
        <f>'P&amp;L'!R34</f>
        <v>2540.23</v>
      </c>
      <c r="P67" s="172"/>
      <c r="Q67" s="172"/>
      <c r="R67" s="172">
        <f>'P&amp;L'!S34</f>
        <v>4000</v>
      </c>
      <c r="S67" s="172"/>
      <c r="T67" s="172">
        <f>'P&amp;L'!T34</f>
        <v>4000</v>
      </c>
      <c r="U67" s="172"/>
      <c r="V67" s="172"/>
      <c r="W67" s="172">
        <f>'P&amp;L'!U34</f>
        <v>4000</v>
      </c>
      <c r="X67" s="172"/>
      <c r="Y67" s="172"/>
      <c r="Z67" s="172">
        <f>'P&amp;L'!V34</f>
        <v>4000</v>
      </c>
      <c r="AA67" s="172"/>
      <c r="AB67" s="172"/>
      <c r="AC67" s="172">
        <f>'P&amp;L'!W34</f>
        <v>4000</v>
      </c>
      <c r="AD67" s="172"/>
      <c r="AE67" s="172"/>
      <c r="AF67" s="172">
        <f>'P&amp;L'!X34</f>
        <v>4000</v>
      </c>
      <c r="AG67" s="172"/>
      <c r="AH67" s="172"/>
      <c r="AI67" s="172">
        <f>'P&amp;L'!Y34</f>
        <v>4000</v>
      </c>
      <c r="AJ67" s="172"/>
      <c r="AK67" s="172"/>
      <c r="AL67" s="488">
        <f t="shared" si="34"/>
        <v>48350.67</v>
      </c>
      <c r="AM67" s="284">
        <f t="shared" si="16"/>
        <v>24350.67</v>
      </c>
      <c r="AN67" s="487"/>
      <c r="AO67" s="310">
        <f>(4000+(0.25*AO39))+$R$22</f>
        <v>57800</v>
      </c>
      <c r="AP67" s="310"/>
      <c r="AQ67" s="310"/>
      <c r="AR67" s="310">
        <f>(4000+(0.25*AR39))+$R$22</f>
        <v>65000</v>
      </c>
      <c r="AS67" s="310"/>
      <c r="AT67" s="310"/>
      <c r="AU67" s="310">
        <f>(4000+(0.25*AU39))+$R$22</f>
        <v>72200</v>
      </c>
      <c r="AV67" s="310"/>
      <c r="AW67" s="310"/>
      <c r="AX67" s="310">
        <f>(4000+(0.25*AX39))+$R$22</f>
        <v>79400</v>
      </c>
      <c r="AY67" s="310"/>
      <c r="AZ67" s="310"/>
      <c r="BA67" s="310">
        <f>(4000+(0.25*BA39))+$R$22</f>
        <v>86600</v>
      </c>
      <c r="BB67" s="310"/>
      <c r="BC67" s="310"/>
      <c r="BD67" s="310">
        <f>(4000+(0.25*BD39))+$R$22</f>
        <v>89000</v>
      </c>
      <c r="BE67" s="310"/>
      <c r="BF67" s="310"/>
      <c r="BG67" s="310">
        <f>(4000+(0.25*BG39))+$R$22</f>
        <v>89000</v>
      </c>
      <c r="BH67" s="310"/>
      <c r="BI67" s="310"/>
      <c r="BJ67" s="310">
        <f>(4000+(0.25*BJ39))+$R$22</f>
        <v>89000</v>
      </c>
      <c r="BK67" s="310"/>
      <c r="BL67" s="310"/>
      <c r="BM67" s="310">
        <f>(4000+(0.25*BM39))+$R$22</f>
        <v>89000</v>
      </c>
      <c r="BN67" s="310"/>
      <c r="BO67" s="310"/>
      <c r="BP67" s="310">
        <f>(4000+(0.25*BP39))+$R$22</f>
        <v>89000</v>
      </c>
      <c r="BQ67" s="310"/>
      <c r="BR67" s="310"/>
      <c r="BS67" s="310">
        <f>(4000+(0.25*BS39))+$R$22</f>
        <v>89000</v>
      </c>
      <c r="BT67" s="310"/>
      <c r="BU67" s="310"/>
      <c r="BV67" s="310">
        <f>(4000+(0.25*BV39))+$R$22</f>
        <v>89000</v>
      </c>
      <c r="BW67" s="310"/>
      <c r="BX67" s="310"/>
      <c r="BY67" s="304">
        <f t="shared" si="35"/>
        <v>984000</v>
      </c>
      <c r="BZ67" s="489"/>
      <c r="CA67" s="489"/>
    </row>
    <row r="68" ht="15.75" customHeight="1">
      <c r="A68" s="127" t="s">
        <v>182</v>
      </c>
      <c r="B68" s="172"/>
      <c r="C68" s="172">
        <f>'P&amp;L'!N35</f>
        <v>0</v>
      </c>
      <c r="D68" s="172"/>
      <c r="E68" s="172"/>
      <c r="F68" s="172">
        <f>'P&amp;L'!O35</f>
        <v>18.01</v>
      </c>
      <c r="G68" s="172"/>
      <c r="H68" s="172"/>
      <c r="I68" s="172">
        <f>'P&amp;L'!P35</f>
        <v>290.68</v>
      </c>
      <c r="J68" s="172"/>
      <c r="K68" s="172"/>
      <c r="L68" s="172">
        <f>'P&amp;L'!Q35</f>
        <v>302.97</v>
      </c>
      <c r="M68" s="172"/>
      <c r="N68" s="172"/>
      <c r="O68" s="172">
        <f>'P&amp;L'!R35</f>
        <v>0</v>
      </c>
      <c r="P68" s="172"/>
      <c r="Q68" s="172"/>
      <c r="R68" s="172">
        <f>500+$R$23</f>
        <v>3000</v>
      </c>
      <c r="S68" s="172"/>
      <c r="T68" s="172">
        <f>$R$23</f>
        <v>2500</v>
      </c>
      <c r="U68" s="172"/>
      <c r="V68" s="172"/>
      <c r="W68" s="172">
        <f>$R$23</f>
        <v>2500</v>
      </c>
      <c r="X68" s="172"/>
      <c r="Y68" s="172"/>
      <c r="Z68" s="172">
        <f>$R$23</f>
        <v>2500</v>
      </c>
      <c r="AA68" s="172"/>
      <c r="AB68" s="172"/>
      <c r="AC68" s="172">
        <f>$R$23</f>
        <v>2500</v>
      </c>
      <c r="AD68" s="172"/>
      <c r="AE68" s="172"/>
      <c r="AF68" s="172">
        <f>$R$23</f>
        <v>2500</v>
      </c>
      <c r="AG68" s="172"/>
      <c r="AH68" s="172"/>
      <c r="AI68" s="172">
        <f>$R$23</f>
        <v>2500</v>
      </c>
      <c r="AJ68" s="172"/>
      <c r="AK68" s="172"/>
      <c r="AL68" s="488">
        <f t="shared" si="34"/>
        <v>18611.66</v>
      </c>
      <c r="AM68" s="284">
        <f t="shared" si="16"/>
        <v>3611.66</v>
      </c>
      <c r="AN68" s="487"/>
      <c r="AO68" s="172">
        <f>500+$R$23</f>
        <v>3000</v>
      </c>
      <c r="AP68" s="172"/>
      <c r="AQ68" s="172"/>
      <c r="AR68" s="172">
        <f>500+$R$23</f>
        <v>3000</v>
      </c>
      <c r="AS68" s="172"/>
      <c r="AT68" s="172"/>
      <c r="AU68" s="172">
        <f>500+$R$23</f>
        <v>3000</v>
      </c>
      <c r="AV68" s="172"/>
      <c r="AW68" s="172"/>
      <c r="AX68" s="172">
        <f>500+$R$23</f>
        <v>3000</v>
      </c>
      <c r="AY68" s="172"/>
      <c r="AZ68" s="172"/>
      <c r="BA68" s="172">
        <f>500+$R$23</f>
        <v>3000</v>
      </c>
      <c r="BB68" s="172"/>
      <c r="BC68" s="172"/>
      <c r="BD68" s="172">
        <f>500+$R$23</f>
        <v>3000</v>
      </c>
      <c r="BE68" s="172"/>
      <c r="BF68" s="172"/>
      <c r="BG68" s="172">
        <f>500+$R$23</f>
        <v>3000</v>
      </c>
      <c r="BH68" s="172"/>
      <c r="BI68" s="172"/>
      <c r="BJ68" s="172">
        <f>500+$R$23</f>
        <v>3000</v>
      </c>
      <c r="BK68" s="172"/>
      <c r="BL68" s="172"/>
      <c r="BM68" s="172">
        <f>500+$R$23</f>
        <v>3000</v>
      </c>
      <c r="BN68" s="172"/>
      <c r="BO68" s="172"/>
      <c r="BP68" s="172">
        <f>500+$R$23</f>
        <v>3000</v>
      </c>
      <c r="BQ68" s="172"/>
      <c r="BR68" s="172"/>
      <c r="BS68" s="172">
        <f>500+$R$23</f>
        <v>3000</v>
      </c>
      <c r="BT68" s="172"/>
      <c r="BU68" s="172"/>
      <c r="BV68" s="172">
        <f>500+$R$23</f>
        <v>3000</v>
      </c>
      <c r="BW68" s="172"/>
      <c r="BX68" s="172"/>
      <c r="BY68" s="304">
        <f t="shared" si="35"/>
        <v>36000</v>
      </c>
      <c r="BZ68" s="489"/>
      <c r="CA68" s="489"/>
    </row>
    <row r="69" ht="15.75" customHeight="1">
      <c r="A69" s="127" t="s">
        <v>236</v>
      </c>
      <c r="B69" s="172"/>
      <c r="C69" s="172">
        <f>'P&amp;L'!N36</f>
        <v>0</v>
      </c>
      <c r="D69" s="172"/>
      <c r="E69" s="172"/>
      <c r="F69" s="172">
        <f>'P&amp;L'!O36</f>
        <v>0</v>
      </c>
      <c r="G69" s="172"/>
      <c r="H69" s="172"/>
      <c r="I69" s="172">
        <f>'P&amp;L'!P36</f>
        <v>85.31</v>
      </c>
      <c r="J69" s="172"/>
      <c r="K69" s="172"/>
      <c r="L69" s="172">
        <f>'P&amp;L'!Q36</f>
        <v>0</v>
      </c>
      <c r="M69" s="172"/>
      <c r="N69" s="172"/>
      <c r="O69" s="172">
        <f>'P&amp;L'!R36</f>
        <v>0</v>
      </c>
      <c r="P69" s="172"/>
      <c r="Q69" s="172"/>
      <c r="R69" s="172" t="str">
        <f>'P&amp;L'!S36</f>
        <v/>
      </c>
      <c r="S69" s="172"/>
      <c r="T69" s="172" t="str">
        <f>'P&amp;L'!T36</f>
        <v/>
      </c>
      <c r="U69" s="172"/>
      <c r="V69" s="172"/>
      <c r="W69" s="172" t="str">
        <f>'P&amp;L'!U36</f>
        <v/>
      </c>
      <c r="X69" s="172"/>
      <c r="Y69" s="172"/>
      <c r="Z69" s="172" t="str">
        <f>'P&amp;L'!V36</f>
        <v/>
      </c>
      <c r="AA69" s="172"/>
      <c r="AB69" s="172"/>
      <c r="AC69" s="172" t="str">
        <f>'P&amp;L'!W36</f>
        <v/>
      </c>
      <c r="AD69" s="172"/>
      <c r="AE69" s="172"/>
      <c r="AF69" s="172" t="str">
        <f>'P&amp;L'!X36</f>
        <v/>
      </c>
      <c r="AG69" s="172"/>
      <c r="AH69" s="172"/>
      <c r="AI69" s="172" t="str">
        <f>'P&amp;L'!Y36</f>
        <v/>
      </c>
      <c r="AJ69" s="172"/>
      <c r="AK69" s="172"/>
      <c r="AL69" s="488">
        <f t="shared" si="34"/>
        <v>85.31</v>
      </c>
      <c r="AM69" s="284">
        <f t="shared" si="16"/>
        <v>85.31</v>
      </c>
      <c r="AN69" s="490"/>
      <c r="AO69" s="129"/>
      <c r="AP69" s="129"/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34"/>
      <c r="BX69" s="134"/>
      <c r="BY69" s="304">
        <f t="shared" si="35"/>
        <v>0</v>
      </c>
      <c r="BZ69" s="489"/>
      <c r="CA69" s="489"/>
    </row>
    <row r="70" ht="15.75" customHeight="1">
      <c r="A70" s="173" t="s">
        <v>183</v>
      </c>
      <c r="B70" s="174"/>
      <c r="C70" s="174">
        <f>'P&amp;L'!N37</f>
        <v>0</v>
      </c>
      <c r="D70" s="174"/>
      <c r="E70" s="174"/>
      <c r="F70" s="174">
        <f>'P&amp;L'!O37</f>
        <v>0</v>
      </c>
      <c r="G70" s="174"/>
      <c r="H70" s="174"/>
      <c r="I70" s="174">
        <f>'P&amp;L'!P37</f>
        <v>0</v>
      </c>
      <c r="J70" s="174"/>
      <c r="K70" s="174"/>
      <c r="L70" s="174">
        <f>'P&amp;L'!Q37</f>
        <v>0</v>
      </c>
      <c r="M70" s="174"/>
      <c r="N70" s="174"/>
      <c r="O70" s="174">
        <f>'P&amp;L'!R37</f>
        <v>0</v>
      </c>
      <c r="P70" s="174"/>
      <c r="Q70" s="174"/>
      <c r="R70" s="174" t="str">
        <f>'P&amp;L'!S37</f>
        <v/>
      </c>
      <c r="S70" s="174"/>
      <c r="T70" s="174" t="str">
        <f>'P&amp;L'!T37</f>
        <v/>
      </c>
      <c r="U70" s="174"/>
      <c r="V70" s="174"/>
      <c r="W70" s="174" t="str">
        <f>'P&amp;L'!U37</f>
        <v/>
      </c>
      <c r="X70" s="174"/>
      <c r="Y70" s="174"/>
      <c r="Z70" s="174" t="str">
        <f>'P&amp;L'!V37</f>
        <v/>
      </c>
      <c r="AA70" s="174"/>
      <c r="AB70" s="174"/>
      <c r="AC70" s="174" t="str">
        <f>'P&amp;L'!W37</f>
        <v/>
      </c>
      <c r="AD70" s="174"/>
      <c r="AE70" s="174"/>
      <c r="AF70" s="174" t="str">
        <f>'P&amp;L'!X37</f>
        <v/>
      </c>
      <c r="AG70" s="174"/>
      <c r="AH70" s="174"/>
      <c r="AI70" s="174" t="str">
        <f>'P&amp;L'!Y37</f>
        <v/>
      </c>
      <c r="AJ70" s="174"/>
      <c r="AK70" s="174"/>
      <c r="AL70" s="491">
        <f t="shared" si="34"/>
        <v>0</v>
      </c>
      <c r="AM70" s="284">
        <f t="shared" si="16"/>
        <v>0</v>
      </c>
      <c r="AN70" s="492"/>
      <c r="AO70" s="313"/>
      <c r="AP70" s="313"/>
      <c r="AQ70" s="313"/>
      <c r="AR70" s="313"/>
      <c r="AS70" s="313"/>
      <c r="AT70" s="313"/>
      <c r="AU70" s="313"/>
      <c r="AV70" s="313"/>
      <c r="AW70" s="313"/>
      <c r="AX70" s="313"/>
      <c r="AY70" s="313"/>
      <c r="AZ70" s="313"/>
      <c r="BA70" s="313"/>
      <c r="BB70" s="313"/>
      <c r="BC70" s="313"/>
      <c r="BD70" s="313"/>
      <c r="BE70" s="313"/>
      <c r="BF70" s="313"/>
      <c r="BG70" s="313"/>
      <c r="BH70" s="313"/>
      <c r="BI70" s="313"/>
      <c r="BJ70" s="313"/>
      <c r="BK70" s="313"/>
      <c r="BL70" s="313"/>
      <c r="BM70" s="313"/>
      <c r="BN70" s="313"/>
      <c r="BO70" s="313"/>
      <c r="BP70" s="313"/>
      <c r="BQ70" s="313"/>
      <c r="BR70" s="313"/>
      <c r="BS70" s="313"/>
      <c r="BT70" s="313"/>
      <c r="BU70" s="313"/>
      <c r="BV70" s="313"/>
      <c r="BW70" s="493"/>
      <c r="BX70" s="493"/>
      <c r="BY70" s="314">
        <f t="shared" si="35"/>
        <v>0</v>
      </c>
      <c r="BZ70" s="489"/>
      <c r="CA70" s="489"/>
    </row>
    <row r="71" ht="15.75" customHeight="1">
      <c r="A71" s="315" t="s">
        <v>184</v>
      </c>
      <c r="B71" s="494">
        <v>17000.0</v>
      </c>
      <c r="C71" s="174">
        <f>SUM(C50:C70)</f>
        <v>17752.47</v>
      </c>
      <c r="D71" s="495">
        <f t="shared" ref="D71:D72" si="37">(C71-B71)/B71</f>
        <v>0.04426294118</v>
      </c>
      <c r="E71" s="494">
        <v>18000.0</v>
      </c>
      <c r="F71" s="174">
        <f>SUM(F50:F70)</f>
        <v>18488.61</v>
      </c>
      <c r="G71" s="495">
        <f t="shared" ref="G71:G72" si="39">(F71-E71)/E71</f>
        <v>0.027145</v>
      </c>
      <c r="H71" s="494">
        <v>19000.0</v>
      </c>
      <c r="I71" s="174">
        <f>SUM(I50:I70)</f>
        <v>19157.75</v>
      </c>
      <c r="J71" s="495">
        <f t="shared" ref="J71:J72" si="41">(I71-H71)/H71</f>
        <v>0.008302631579</v>
      </c>
      <c r="K71" s="494">
        <v>20000.0</v>
      </c>
      <c r="L71" s="174">
        <f>SUM(L50:L70)</f>
        <v>17017.52</v>
      </c>
      <c r="M71" s="496">
        <f t="shared" ref="M71:M72" si="43">(L71-K71)/K71</f>
        <v>-0.149124</v>
      </c>
      <c r="N71" s="494">
        <v>21000.0</v>
      </c>
      <c r="O71" s="174">
        <f>SUM(O50:O70)</f>
        <v>17731.73</v>
      </c>
      <c r="P71" s="496">
        <f t="shared" ref="P71:P72" si="45">(O71-N71)/N71</f>
        <v>-0.1556319048</v>
      </c>
      <c r="Q71" s="494">
        <v>22000.0</v>
      </c>
      <c r="R71" s="174">
        <f>SUM(R50:R70)</f>
        <v>51322</v>
      </c>
      <c r="S71" s="495">
        <f t="shared" ref="S71:S72" si="47">(R71-Q71)/Q71</f>
        <v>1.332818182</v>
      </c>
      <c r="T71" s="174">
        <f>SUM(T50:T70)</f>
        <v>49680</v>
      </c>
      <c r="U71" s="174"/>
      <c r="V71" s="174"/>
      <c r="W71" s="174">
        <f>SUM(W50:W70)</f>
        <v>51680</v>
      </c>
      <c r="X71" s="174"/>
      <c r="Y71" s="174"/>
      <c r="Z71" s="174">
        <f>SUM(Z50:Z70)</f>
        <v>57520</v>
      </c>
      <c r="AA71" s="174"/>
      <c r="AB71" s="174"/>
      <c r="AC71" s="174">
        <f>SUM(AC50:AC70)</f>
        <v>61360</v>
      </c>
      <c r="AD71" s="174"/>
      <c r="AE71" s="174"/>
      <c r="AF71" s="174">
        <f>SUM(AF50:AF70)</f>
        <v>65200</v>
      </c>
      <c r="AG71" s="174"/>
      <c r="AH71" s="174"/>
      <c r="AI71" s="174">
        <f>SUM(AI50:AI70)</f>
        <v>69040</v>
      </c>
      <c r="AJ71" s="174"/>
      <c r="AK71" s="174"/>
      <c r="AL71" s="497">
        <f>SUM(AL50:AL70)</f>
        <v>495950.08</v>
      </c>
      <c r="AM71" s="284">
        <f t="shared" si="16"/>
        <v>141470.08</v>
      </c>
      <c r="AN71" s="498"/>
      <c r="AO71" s="318">
        <f>SUM(AO50:AO70)</f>
        <v>113162</v>
      </c>
      <c r="AP71" s="499"/>
      <c r="AQ71" s="499"/>
      <c r="AR71" s="319">
        <f>SUM(AR50:AR70)</f>
        <v>126122</v>
      </c>
      <c r="AS71" s="500"/>
      <c r="AT71" s="500"/>
      <c r="AU71" s="319">
        <f>SUM(AU50:AU70)</f>
        <v>139082</v>
      </c>
      <c r="AV71" s="500"/>
      <c r="AW71" s="500"/>
      <c r="AX71" s="319">
        <f>SUM(AX50:AX70)</f>
        <v>152042</v>
      </c>
      <c r="AY71" s="500"/>
      <c r="AZ71" s="500"/>
      <c r="BA71" s="319">
        <f>SUM(BA50:BA70)</f>
        <v>165002</v>
      </c>
      <c r="BB71" s="501"/>
      <c r="BC71" s="501"/>
      <c r="BD71" s="320">
        <f>SUM(BD50:BD70)</f>
        <v>169322</v>
      </c>
      <c r="BE71" s="501"/>
      <c r="BF71" s="321"/>
      <c r="BG71" s="319">
        <f>SUM(BG50:BG70)</f>
        <v>169322</v>
      </c>
      <c r="BH71" s="500"/>
      <c r="BI71" s="500"/>
      <c r="BJ71" s="319">
        <f>SUM(BJ50:BJ70)</f>
        <v>169322</v>
      </c>
      <c r="BK71" s="500"/>
      <c r="BL71" s="500"/>
      <c r="BM71" s="319">
        <f>SUM(BM50:BM70)</f>
        <v>169322</v>
      </c>
      <c r="BN71" s="500"/>
      <c r="BO71" s="500"/>
      <c r="BP71" s="319">
        <f>SUM(BP50:BP70)</f>
        <v>169322</v>
      </c>
      <c r="BQ71" s="500"/>
      <c r="BR71" s="500"/>
      <c r="BS71" s="319">
        <f>SUM(BS50:BS70)</f>
        <v>169322</v>
      </c>
      <c r="BT71" s="500"/>
      <c r="BU71" s="500"/>
      <c r="BV71" s="319">
        <f>SUM(BV50:BV70)</f>
        <v>169322</v>
      </c>
      <c r="BW71" s="500"/>
      <c r="BX71" s="500"/>
      <c r="BY71" s="322">
        <f>SUM(BY50:BY70)</f>
        <v>1880664</v>
      </c>
      <c r="BZ71" s="502"/>
      <c r="CA71" s="502"/>
    </row>
    <row r="72" ht="15.75" customHeight="1">
      <c r="A72" s="323" t="s">
        <v>186</v>
      </c>
      <c r="B72" s="172">
        <f t="shared" ref="B72:C72" si="36">B48-B71</f>
        <v>28000</v>
      </c>
      <c r="C72" s="172">
        <f t="shared" si="36"/>
        <v>51444.78</v>
      </c>
      <c r="D72" s="503">
        <f t="shared" si="37"/>
        <v>0.8373135714</v>
      </c>
      <c r="E72" s="172">
        <f t="shared" ref="E72:F72" si="38">E48-E71</f>
        <v>26000</v>
      </c>
      <c r="F72" s="172">
        <f t="shared" si="38"/>
        <v>23062.61</v>
      </c>
      <c r="G72" s="504">
        <f t="shared" si="39"/>
        <v>-0.1129765385</v>
      </c>
      <c r="H72" s="172">
        <f t="shared" ref="H72:I72" si="40">H48-H71</f>
        <v>29200</v>
      </c>
      <c r="I72" s="172">
        <f t="shared" si="40"/>
        <v>-8517.11</v>
      </c>
      <c r="J72" s="504">
        <f t="shared" si="41"/>
        <v>-1.291681849</v>
      </c>
      <c r="K72" s="172">
        <f t="shared" ref="K72:L72" si="42">K48-K71</f>
        <v>27610</v>
      </c>
      <c r="L72" s="172">
        <f t="shared" si="42"/>
        <v>28666.61</v>
      </c>
      <c r="M72" s="503">
        <f t="shared" si="43"/>
        <v>0.0382691054</v>
      </c>
      <c r="N72" s="172">
        <f t="shared" ref="N72:O72" si="44">N48-N71</f>
        <v>31000</v>
      </c>
      <c r="O72" s="172">
        <f t="shared" si="44"/>
        <v>17165.56</v>
      </c>
      <c r="P72" s="504">
        <f t="shared" si="45"/>
        <v>-0.4462722581</v>
      </c>
      <c r="Q72" s="172">
        <f t="shared" ref="Q72:R72" si="46">Q48-Q71</f>
        <v>3000</v>
      </c>
      <c r="R72" s="172">
        <f t="shared" si="46"/>
        <v>-71287</v>
      </c>
      <c r="S72" s="504">
        <f t="shared" si="47"/>
        <v>-24.76233333</v>
      </c>
      <c r="T72" s="172">
        <f>T48-T71</f>
        <v>-85491.08</v>
      </c>
      <c r="U72" s="172"/>
      <c r="V72" s="172"/>
      <c r="W72" s="172">
        <f>W48-W71</f>
        <v>-78691.08</v>
      </c>
      <c r="X72" s="172"/>
      <c r="Y72" s="172"/>
      <c r="Z72" s="172">
        <f>Z48-Z71</f>
        <v>-56531.08</v>
      </c>
      <c r="AA72" s="172"/>
      <c r="AB72" s="172"/>
      <c r="AC72" s="172">
        <f>AC48-AC71</f>
        <v>-42371.08</v>
      </c>
      <c r="AD72" s="172"/>
      <c r="AE72" s="172"/>
      <c r="AF72" s="172">
        <f>AF48-AF71</f>
        <v>-28211.08</v>
      </c>
      <c r="AG72" s="172"/>
      <c r="AH72" s="172"/>
      <c r="AI72" s="172">
        <f>AI48-AI71</f>
        <v>-14051.08</v>
      </c>
      <c r="AJ72" s="172"/>
      <c r="AK72" s="172"/>
      <c r="AL72" s="505">
        <f>AL48-AL71</f>
        <v>351802.0251</v>
      </c>
      <c r="AM72" s="284">
        <f t="shared" si="16"/>
        <v>40535.45</v>
      </c>
      <c r="AN72" s="498"/>
      <c r="AO72" s="326">
        <f>AO48-AO71</f>
        <v>-21948.16</v>
      </c>
      <c r="AP72" s="506"/>
      <c r="AQ72" s="506"/>
      <c r="AR72" s="327">
        <f>AR48-AR71</f>
        <v>-42243.16</v>
      </c>
      <c r="AS72" s="507"/>
      <c r="AT72" s="507"/>
      <c r="AU72" s="327">
        <f>AU48-AU71</f>
        <v>-28203.16</v>
      </c>
      <c r="AV72" s="507"/>
      <c r="AW72" s="507"/>
      <c r="AX72" s="327">
        <f>AX48-AX71</f>
        <v>-14163.16</v>
      </c>
      <c r="AY72" s="507"/>
      <c r="AZ72" s="507"/>
      <c r="BA72" s="327">
        <f>BA48-BA71</f>
        <v>2756.84</v>
      </c>
      <c r="BB72" s="508"/>
      <c r="BC72" s="508"/>
      <c r="BD72" s="328">
        <f>BD48-BD71</f>
        <v>37718.84</v>
      </c>
      <c r="BE72" s="508"/>
      <c r="BF72" s="134"/>
      <c r="BG72" s="326">
        <f>BG48-BG71</f>
        <v>52139.84</v>
      </c>
      <c r="BH72" s="506"/>
      <c r="BI72" s="506"/>
      <c r="BJ72" s="327">
        <f>BJ48-BJ71</f>
        <v>52139.84</v>
      </c>
      <c r="BK72" s="507"/>
      <c r="BL72" s="507"/>
      <c r="BM72" s="327">
        <f>BM48-BM71</f>
        <v>52139.84</v>
      </c>
      <c r="BN72" s="507"/>
      <c r="BO72" s="507"/>
      <c r="BP72" s="327">
        <f>BP48-BP71</f>
        <v>52139.84</v>
      </c>
      <c r="BQ72" s="507"/>
      <c r="BR72" s="507"/>
      <c r="BS72" s="327">
        <f>BS48-BS71</f>
        <v>52139.84</v>
      </c>
      <c r="BT72" s="507"/>
      <c r="BU72" s="507"/>
      <c r="BV72" s="327">
        <f>BV48-BV71</f>
        <v>52139.84</v>
      </c>
      <c r="BW72" s="507"/>
      <c r="BX72" s="507"/>
      <c r="BY72" s="304">
        <f>BY48-BY71</f>
        <v>1287336</v>
      </c>
      <c r="BZ72" s="502"/>
      <c r="CA72" s="502"/>
    </row>
    <row r="73" ht="15.75" customHeight="1">
      <c r="A73" s="127"/>
      <c r="B73" s="172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72"/>
      <c r="AC73" s="172"/>
      <c r="AD73" s="172"/>
      <c r="AE73" s="172"/>
      <c r="AF73" s="172"/>
      <c r="AG73" s="172"/>
      <c r="AH73" s="172"/>
      <c r="AI73" s="172"/>
      <c r="AJ73" s="172"/>
      <c r="AK73" s="172"/>
      <c r="AL73" s="308"/>
      <c r="AM73" s="250"/>
      <c r="AN73" s="250"/>
      <c r="AO73" s="129"/>
      <c r="AP73" s="129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329"/>
      <c r="BZ73" s="483"/>
      <c r="CA73" s="483"/>
    </row>
    <row r="74" ht="15.75" customHeight="1">
      <c r="A74" s="178" t="s">
        <v>237</v>
      </c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>
        <v>63655.75</v>
      </c>
      <c r="M74" s="179"/>
      <c r="N74" s="179"/>
      <c r="O74" s="179">
        <f>63655.75+$R$32</f>
        <v>243655.75</v>
      </c>
      <c r="P74" s="179"/>
      <c r="Q74" s="179"/>
      <c r="R74" s="179">
        <f>$O$74+$R$72</f>
        <v>172368.75</v>
      </c>
      <c r="S74" s="179"/>
      <c r="T74" s="179">
        <f>$R$74+$T$72+45000</f>
        <v>131877.67</v>
      </c>
      <c r="U74" s="179"/>
      <c r="V74" s="179"/>
      <c r="W74" s="179">
        <f>$T$74+$W$72</f>
        <v>53186.59</v>
      </c>
      <c r="X74" s="179"/>
      <c r="Y74" s="179"/>
      <c r="Z74" s="179">
        <f>$W$74+$Z$72</f>
        <v>-3344.49</v>
      </c>
      <c r="AA74" s="179"/>
      <c r="AB74" s="179"/>
      <c r="AC74" s="179">
        <f>$Z$74+$AC$72</f>
        <v>-45715.57</v>
      </c>
      <c r="AD74" s="179"/>
      <c r="AE74" s="179"/>
      <c r="AF74" s="179">
        <f>$AC$74+$AF$72</f>
        <v>-73926.65</v>
      </c>
      <c r="AG74" s="179"/>
      <c r="AH74" s="179"/>
      <c r="AI74" s="179">
        <f>$AF$74+$AI$72</f>
        <v>-87977.73</v>
      </c>
      <c r="AJ74" s="179"/>
      <c r="AK74" s="179"/>
      <c r="AL74" s="308">
        <f>$AI$74+$AL$72</f>
        <v>263824.2951</v>
      </c>
      <c r="AM74" s="250"/>
      <c r="AN74" s="250"/>
      <c r="AO74" s="179">
        <f>$AI$74+$AO$72</f>
        <v>-109925.89</v>
      </c>
      <c r="AP74" s="178"/>
      <c r="AQ74" s="178"/>
      <c r="AR74" s="179">
        <f>$AO$74+$AR$72</f>
        <v>-152169.05</v>
      </c>
      <c r="AS74" s="178"/>
      <c r="AT74" s="178"/>
      <c r="AU74" s="179">
        <f>$AR$74+$AU$72</f>
        <v>-180372.21</v>
      </c>
      <c r="AV74" s="178"/>
      <c r="AW74" s="178"/>
      <c r="AX74" s="179">
        <f>$AU$74+$AX$72</f>
        <v>-194535.37</v>
      </c>
      <c r="AY74" s="178"/>
      <c r="AZ74" s="178"/>
      <c r="BA74" s="179">
        <f>$AX$74+$BA$72</f>
        <v>-191778.53</v>
      </c>
      <c r="BB74" s="178"/>
      <c r="BC74" s="178"/>
      <c r="BD74" s="179">
        <f>$BA$74+$BD$72</f>
        <v>-154059.69</v>
      </c>
      <c r="BE74" s="178"/>
      <c r="BF74" s="73"/>
      <c r="BG74" s="179">
        <f>$BD$74+$BG$72</f>
        <v>-101919.85</v>
      </c>
      <c r="BH74" s="178"/>
      <c r="BI74" s="178"/>
      <c r="BJ74" s="179">
        <f>$BG$74+$BJ$72</f>
        <v>-49780.01</v>
      </c>
      <c r="BK74" s="178"/>
      <c r="BL74" s="178"/>
      <c r="BM74" s="179">
        <f>$BJ$74+$BM$72</f>
        <v>2359.83</v>
      </c>
      <c r="BN74" s="178"/>
      <c r="BO74" s="178"/>
      <c r="BP74" s="179">
        <f>$BM$74+$BP$72</f>
        <v>54499.67</v>
      </c>
      <c r="BQ74" s="178"/>
      <c r="BR74" s="178"/>
      <c r="BS74" s="179">
        <f>$BP$74+$BS$72</f>
        <v>106639.51</v>
      </c>
      <c r="BT74" s="178"/>
      <c r="BU74" s="178"/>
      <c r="BV74" s="179">
        <f>$BS$74+$BV$72</f>
        <v>158779.35</v>
      </c>
      <c r="BW74" s="436"/>
      <c r="BX74" s="436"/>
      <c r="BY74" s="330">
        <f>BV74+BY72</f>
        <v>1446115.35</v>
      </c>
      <c r="BZ74" s="502"/>
      <c r="CA74" s="502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33"/>
      <c r="AG75" s="33"/>
      <c r="AH75" s="33"/>
      <c r="AI75" s="33"/>
      <c r="AJ75" s="33"/>
      <c r="AK75" s="33"/>
      <c r="AL75" s="117"/>
      <c r="AM75" s="117"/>
      <c r="AN75" s="117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33"/>
      <c r="AG76" s="33"/>
      <c r="AH76" s="33"/>
      <c r="AI76" s="33"/>
      <c r="AJ76" s="33"/>
      <c r="AK76" s="33"/>
      <c r="AL76" s="117"/>
      <c r="AM76" s="117"/>
      <c r="AN76" s="117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117"/>
      <c r="X77" s="117"/>
      <c r="Y77" s="117"/>
      <c r="Z77" s="117"/>
      <c r="AA77" s="117"/>
      <c r="AB77" s="117"/>
      <c r="AC77" s="117"/>
      <c r="AD77" s="117"/>
      <c r="AE77" s="117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117"/>
      <c r="BG77" s="117"/>
      <c r="BH77" s="117"/>
      <c r="BI77" s="117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117"/>
      <c r="BG78" s="117"/>
      <c r="BH78" s="117"/>
      <c r="BI78" s="117"/>
      <c r="BJ78" s="33"/>
      <c r="BK78" s="33"/>
      <c r="BL78" s="33"/>
      <c r="BM78" s="33"/>
      <c r="BN78" s="33"/>
      <c r="BO78" s="33"/>
      <c r="BP78" s="33"/>
      <c r="BQ78" s="33"/>
      <c r="BS78" s="33"/>
      <c r="BT78" s="33"/>
      <c r="BU78" s="33"/>
      <c r="BV78" s="33"/>
      <c r="BW78" s="33"/>
      <c r="BX78" s="33"/>
      <c r="BY78" s="33"/>
      <c r="BZ78" s="33"/>
      <c r="CA78" s="33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T23:AC23"/>
  </mergeCells>
  <printOptions/>
  <pageMargins bottom="0.75" footer="0.0" header="0.0" left="0.7" right="0.7" top="0.75"/>
  <pageSetup orientation="portrait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0"/>
    <col customWidth="1" min="3" max="3" width="24.43"/>
  </cols>
  <sheetData>
    <row r="1">
      <c r="B1" s="141" t="s">
        <v>371</v>
      </c>
      <c r="C1" s="141" t="s">
        <v>372</v>
      </c>
    </row>
    <row r="2">
      <c r="A2" s="141">
        <v>2021.0</v>
      </c>
    </row>
    <row r="3">
      <c r="A3" s="141">
        <v>2022.0</v>
      </c>
    </row>
    <row r="4">
      <c r="A4" s="141">
        <v>2023.0</v>
      </c>
    </row>
  </sheetData>
  <drawing r:id="rId1"/>
</worksheet>
</file>