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Cephei2\Cephei.XL\"/>
    </mc:Choice>
  </mc:AlternateContent>
  <xr:revisionPtr revIDLastSave="0" documentId="13_ncr:1_{4FD5A012-7322-464A-A54B-E4AF6F89628C}" xr6:coauthVersionLast="45" xr6:coauthVersionMax="45" xr10:uidLastSave="{00000000-0000-0000-0000-000000000000}"/>
  <bookViews>
    <workbookView xWindow="20" yWindow="120" windowWidth="38380" windowHeight="20880" xr2:uid="{1287AFFA-50F8-48B2-8168-E284DC33333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 s="1"/>
  <c r="E17" i="1" s="1"/>
  <c r="E18" i="1" s="1"/>
  <c r="B46" i="1"/>
  <c r="B22" i="1"/>
  <c r="H28" i="1"/>
  <c r="E50" i="1"/>
  <c r="B47" i="1"/>
  <c r="B40" i="1"/>
  <c r="E9" i="1"/>
  <c r="J23" i="1"/>
  <c r="J22" i="1"/>
  <c r="H26" i="1"/>
  <c r="H22" i="1"/>
  <c r="E8" i="1"/>
  <c r="E10" i="1"/>
  <c r="B30" i="1"/>
  <c r="H24" i="1"/>
  <c r="B4" i="1"/>
  <c r="B2" i="1"/>
  <c r="B42" i="1"/>
  <c r="K18" i="1"/>
  <c r="E48" i="1"/>
  <c r="K15" i="1"/>
  <c r="B8" i="1"/>
  <c r="E42" i="1"/>
  <c r="B10" i="1"/>
  <c r="K14" i="1"/>
  <c r="B32" i="1"/>
  <c r="H30" i="1"/>
  <c r="B5" i="1"/>
  <c r="B31" i="1"/>
  <c r="J29" i="1"/>
  <c r="E40" i="1"/>
  <c r="B25" i="1"/>
  <c r="E45" i="1"/>
  <c r="E47" i="1"/>
  <c r="H23" i="1"/>
  <c r="B41" i="1"/>
  <c r="K16" i="1"/>
  <c r="B38" i="1"/>
  <c r="J37" i="1" s="1"/>
  <c r="B39" i="1"/>
  <c r="B26" i="1"/>
  <c r="J32" i="1"/>
  <c r="E38" i="1"/>
  <c r="E46" i="1"/>
  <c r="J26" i="1"/>
  <c r="J17" i="1"/>
  <c r="J24" i="1"/>
  <c r="B7" i="1"/>
  <c r="B9" i="1"/>
  <c r="E43" i="1"/>
  <c r="J31" i="1"/>
  <c r="J27" i="1"/>
  <c r="K17" i="1"/>
  <c r="J16" i="1"/>
  <c r="J15" i="1"/>
  <c r="B43" i="1"/>
  <c r="J18" i="1"/>
  <c r="J28" i="1"/>
  <c r="B3" i="1"/>
  <c r="E41" i="1"/>
  <c r="J14" i="1"/>
  <c r="H29" i="1"/>
  <c r="K29" i="1" s="1"/>
  <c r="K28" i="1"/>
  <c r="B11" i="1"/>
  <c r="B23" i="1"/>
  <c r="H31" i="1"/>
  <c r="K31" i="1" s="1"/>
  <c r="B34" i="1"/>
  <c r="H32" i="1"/>
  <c r="K32" i="1" s="1"/>
  <c r="B12" i="1"/>
  <c r="H25" i="1"/>
  <c r="E44" i="1"/>
  <c r="J30" i="1"/>
  <c r="K30" i="1" s="1"/>
  <c r="J25" i="1"/>
  <c r="K25" i="1" s="1"/>
  <c r="H27" i="1"/>
  <c r="K27" i="1" s="1"/>
  <c r="E49" i="1"/>
  <c r="B44" i="1" s="1"/>
  <c r="E39" i="1"/>
  <c r="B48" i="1"/>
  <c r="K24" i="1"/>
  <c r="K26" i="1"/>
  <c r="K23" i="1"/>
  <c r="K22" i="1"/>
  <c r="B6" i="1"/>
  <c r="L17" i="1"/>
  <c r="M17" i="1" s="1"/>
  <c r="L14" i="1"/>
  <c r="M14" i="1" s="1"/>
  <c r="L18" i="1"/>
  <c r="M18" i="1" s="1"/>
  <c r="L16" i="1"/>
  <c r="M16" i="1" s="1"/>
  <c r="B33" i="1"/>
  <c r="L15" i="1"/>
  <c r="M15" i="1" s="1"/>
  <c r="J39" i="1"/>
  <c r="H10" i="1"/>
  <c r="H8" i="1"/>
  <c r="H9" i="1"/>
  <c r="B16" i="1"/>
  <c r="B13" i="1"/>
  <c r="B14" i="1"/>
  <c r="B17" i="1"/>
  <c r="B15" i="1"/>
  <c r="B24" i="1"/>
  <c r="B27" i="1"/>
  <c r="B54" i="1"/>
  <c r="B61" i="1"/>
  <c r="B55" i="1"/>
  <c r="B62" i="1"/>
  <c r="B35" i="1"/>
  <c r="C54" i="1"/>
  <c r="B45" i="1"/>
  <c r="B49" i="1"/>
  <c r="B50" i="1"/>
  <c r="D54" i="1"/>
</calcChain>
</file>

<file path=xl/sharedStrings.xml><?xml version="1.0" encoding="utf-8"?>
<sst xmlns="http://schemas.openxmlformats.org/spreadsheetml/2006/main" count="106" uniqueCount="94">
  <si>
    <t>calendar</t>
  </si>
  <si>
    <t>settlementDate</t>
  </si>
  <si>
    <t>Name</t>
  </si>
  <si>
    <t>Handle</t>
  </si>
  <si>
    <t>fixingDays</t>
  </si>
  <si>
    <t>settlementDays</t>
  </si>
  <si>
    <t>todaysDate</t>
  </si>
  <si>
    <t>Months</t>
  </si>
  <si>
    <t>Years</t>
  </si>
  <si>
    <t>zc3m</t>
  </si>
  <si>
    <t>zc6m</t>
  </si>
  <si>
    <t>zc1y</t>
  </si>
  <si>
    <t>zcBondsDayCounter</t>
  </si>
  <si>
    <t>redemption</t>
  </si>
  <si>
    <t>issueDates</t>
  </si>
  <si>
    <t>maturities</t>
  </si>
  <si>
    <t>couponRates</t>
  </si>
  <si>
    <t>marketQuotes</t>
  </si>
  <si>
    <t>schedule</t>
  </si>
  <si>
    <t>bondhelper</t>
  </si>
  <si>
    <t>tolerance</t>
  </si>
  <si>
    <t>instruments</t>
  </si>
  <si>
    <t>Rate Helpers</t>
  </si>
  <si>
    <t>couponRates2</t>
  </si>
  <si>
    <t>quote handles</t>
  </si>
  <si>
    <t>libor forcast</t>
  </si>
  <si>
    <t>d1w</t>
  </si>
  <si>
    <t>d1m</t>
  </si>
  <si>
    <t>d3m</t>
  </si>
  <si>
    <t>d6m</t>
  </si>
  <si>
    <t>d9m</t>
  </si>
  <si>
    <t>d1y</t>
  </si>
  <si>
    <t>s2y</t>
  </si>
  <si>
    <t>s3y</t>
  </si>
  <si>
    <t>s5y</t>
  </si>
  <si>
    <t>s10y</t>
  </si>
  <si>
    <t>s15y</t>
  </si>
  <si>
    <t>quote handle</t>
  </si>
  <si>
    <t>rate helpers</t>
  </si>
  <si>
    <t>num</t>
  </si>
  <si>
    <t>Time Unit</t>
  </si>
  <si>
    <t>Period</t>
  </si>
  <si>
    <t>Weeks</t>
  </si>
  <si>
    <t>Quote</t>
  </si>
  <si>
    <t>depo Swap Instruments</t>
  </si>
  <si>
    <t>depoSwapTermStructure</t>
  </si>
  <si>
    <t>faceAmount</t>
  </si>
  <si>
    <t>bondEngine</t>
  </si>
  <si>
    <t>n</t>
  </si>
  <si>
    <t>perd</t>
  </si>
  <si>
    <t>Deposit rate</t>
  </si>
  <si>
    <t>Globals</t>
  </si>
  <si>
    <t>bondDiscountingTermStructure</t>
  </si>
  <si>
    <t>bondInstruments</t>
  </si>
  <si>
    <t>zeroCouponBond</t>
  </si>
  <si>
    <t>Zero Settlement Date</t>
  </si>
  <si>
    <t>Zero Issue Date</t>
  </si>
  <si>
    <t>Remption Amount</t>
  </si>
  <si>
    <t>Zero Bond</t>
  </si>
  <si>
    <t>Fixed 4.5% US Treasury Note</t>
  </si>
  <si>
    <t>Fixed Settlement Datte</t>
  </si>
  <si>
    <t>Fixed Issue Date</t>
  </si>
  <si>
    <t>Fixed Rate Bond</t>
  </si>
  <si>
    <t>fixed Bond Schedule</t>
  </si>
  <si>
    <t>Fixed Rate Coupon</t>
  </si>
  <si>
    <t>Fixed Redemption</t>
  </si>
  <si>
    <t>Floating Rate Bond</t>
  </si>
  <si>
    <t>libor 3m Period</t>
  </si>
  <si>
    <t>Date</t>
  </si>
  <si>
    <t>Value</t>
  </si>
  <si>
    <t>Fixing</t>
  </si>
  <si>
    <t>USD Libor</t>
  </si>
  <si>
    <t>Float Redemption</t>
  </si>
  <si>
    <t>Float Settlement Datte</t>
  </si>
  <si>
    <t>Float Issue Date</t>
  </si>
  <si>
    <t>Gearing</t>
  </si>
  <si>
    <t>Spreads</t>
  </si>
  <si>
    <t>floatingRateBond</t>
  </si>
  <si>
    <t>floating Bond Schedule</t>
  </si>
  <si>
    <t>float coupon pricer</t>
  </si>
  <si>
    <t>optionlet volitility</t>
  </si>
  <si>
    <t>Constant Optionlet Volatility</t>
  </si>
  <si>
    <t>floatingRateBond.cashflows</t>
  </si>
  <si>
    <t>Pricing</t>
  </si>
  <si>
    <t>NPV</t>
  </si>
  <si>
    <t>Clean Price</t>
  </si>
  <si>
    <t>Dirty Price</t>
  </si>
  <si>
    <t>Accrued coupon</t>
  </si>
  <si>
    <t>Previous coupon</t>
  </si>
  <si>
    <t>Next coupon</t>
  </si>
  <si>
    <t>Yiedl</t>
  </si>
  <si>
    <t>Zero</t>
  </si>
  <si>
    <t>Fixed</t>
  </si>
  <si>
    <t>Floating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</si>
</sst>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5" fontId="0" fillId="0" borderId="0" xfId="0" applyNumberFormat="1"/>
    <xf numFmtId="11" fontId="0" fillId="0" borderId="0" xfId="0" applyNumberFormat="1"/>
    <xf numFmtId="0" fontId="0" fillId="0" borderId="0" xfId="0" quotePrefix="1"/>
    <xf numFmtId="0" fontId="1" fillId="0" borderId="0" xfId="0" applyFont="1"/>
    <xf numFmtId="0" fontId="0" fillId="0" borderId="0" xfId="0" applyFont="1"/>
    <xf numFmtId="10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numFmt numFmtId="20" formatCode="dd\-mmm\-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</font>
    </dxf>
    <dxf>
      <numFmt numFmtId="20" formatCode="dd\-mmm\-yy"/>
    </dxf>
    <dxf>
      <numFmt numFmtId="20" formatCode="d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tdsrv.a01026187ccf446ca1e7447eb960d32f">
      <tp t="s">
        <v>ZeroSettlementDate</v>
        <stp/>
        <stp>ZeroSettlementDate</stp>
        <stp>41501</stp>
        <tr r="B25" s="1"/>
      </tp>
    </main>
    <main first="rtdsrv.a01026187ccf446ca1e7447eb960d32f">
      <tp t="s">
        <v>swFloatingLegIndex</v>
        <stp/>
        <stp>swFloatingLegIndex</stp>
        <stp>0</stp>
        <tr r="E46" s="1"/>
      </tp>
    </main>
    <main first="rtdsrv.a01026187ccf446ca1e7447eb960d32f">
      <tp t="s">
        <v>swFixedLegDayCounter</v>
        <stp/>
        <stp>swFixedLegDayCounter</stp>
        <stp>2</stp>
        <tr r="E45" s="1"/>
      </tp>
    </main>
    <main first="rtdsrv.a01026187ccf446ca1e7447eb960d32f">
      <tp t="s">
        <v>floatingRateBond</v>
        <stp/>
        <stp>floatingRateBond</stp>
        <stp>1007976344</stp>
        <tr r="B45" s="1"/>
      </tp>
    </main>
    <main first="rtdsrv.a01026187ccf446ca1e7447eb960d32f">
      <tp t="s">
        <v>zc3m</v>
        <stp/>
        <stp>zc3m</stp>
        <stp>-2001237243</stp>
        <tr r="H8" s="1"/>
      </tp>
      <tp t="s">
        <v>USDLibor1</v>
        <stp/>
        <stp>USDLibor1</stp>
        <stp>710443265</stp>
        <tr r="J39" s="1"/>
      </tp>
      <tp t="s">
        <v>zeroCouponBond</v>
        <stp/>
        <stp>zeroCouponBond</stp>
        <stp>-1924652648</stp>
        <tr r="B27" s="1"/>
      </tp>
    </main>
    <main first="rtdsrv.a01026187ccf446ca1e7447eb960d32f">
      <tp t="s">
        <v>+s3yQuote</v>
        <stp/>
        <stp>+s3yQuote</stp>
        <stp>418569665</stp>
        <tr r="J29" s="1"/>
      </tp>
    </main>
    <main first="rtdsrv.a01026187ccf446ca1e7447eb960d32f">
      <tp t="s">
        <v>zc6mPeriod</v>
        <stp/>
        <stp>zc6mPeriod</stp>
        <stp>98</stp>
        <tr r="E9" s="1"/>
      </tp>
      <tp t="s">
        <v>d1wratehelpers</v>
        <stp/>
        <stp>d1wratehelpers</stp>
        <stp>392707922</stp>
        <tr r="K22" s="1"/>
      </tp>
    </main>
    <main first="rtdsrv.a01026187ccf446ca1e7447eb960d32f">
      <tp t="s">
        <v>zc3mPeriod</v>
        <stp/>
        <stp>zc3mPeriod</stp>
        <stp>50</stp>
        <tr r="E8" s="1"/>
      </tp>
    </main>
    <main first="rtdsrv.a01026187ccf446ca1e7447eb960d32f">
      <tp t="s">
        <v>d9mratehelpers</v>
        <stp/>
        <stp>d9mratehelpers</stp>
        <stp>761806674</stp>
        <tr r="K26" s="1"/>
      </tp>
      <tp t="s">
        <v>zc1yPeriod</v>
        <stp/>
        <stp>zc1yPeriod</stp>
        <stp>19</stp>
        <tr r="E10" s="1"/>
      </tp>
      <tp t="s">
        <v>d1mratehelpers</v>
        <stp/>
        <stp>d1mratehelpers</stp>
        <stp>627588946</stp>
        <tr r="K23" s="1"/>
      </tp>
    </main>
    <main first="rtdsrv.a01026187ccf446ca1e7447eb960d32f">
      <tp t="s">
        <v>d6mratehelpers</v>
        <stp/>
        <stp>d6mratehelpers</stp>
        <stp>73940818</stp>
        <tr r="K25" s="1"/>
      </tp>
    </main>
    <main first="rtdsrv.a01026187ccf446ca1e7447eb960d32f">
      <tp t="s">
        <v>s5yratehelpers</v>
        <stp/>
        <stp>s5yratehelpers</stp>
        <stp>644366162</stp>
        <tr r="K30" s="1"/>
      </tp>
      <tp t="s">
        <v>+d3mQuote</v>
        <stp/>
        <stp>+d3mQuote</stp>
        <stp>584964208</stp>
        <tr r="J24" s="1"/>
      </tp>
      <tp t="s">
        <v>s2yratehelpers</v>
        <stp/>
        <stp>s2yratehelpers</stp>
        <stp>224935762</stp>
        <tr r="K28" s="1"/>
      </tp>
    </main>
    <main first="rtdsrv.a01026187ccf446ca1e7447eb960d32f">
      <tp t="s">
        <v>+s15yQuote</v>
        <stp/>
        <stp>+s15yQuote</stp>
        <stp>-663532123</stp>
        <tr r="J32" s="1"/>
      </tp>
    </main>
    <main first="rtdsrv.a01026187ccf446ca1e7447eb960d32f">
      <tp t="s">
        <v>+s5yQuote</v>
        <stp/>
        <stp>+s5yQuote</stp>
        <stp>611856486</stp>
        <tr r="J30" s="1"/>
      </tp>
    </main>
    <main first="rtdsrv.a01026187ccf446ca1e7447eb960d32f">
      <tp t="s">
        <v>marketQuotes3</v>
        <stp/>
        <stp>marketQuotes3</stp>
        <stp>1079602176</stp>
        <tr r="K17" s="1"/>
      </tp>
      <tp t="s">
        <v>couponRates21</v>
        <stp/>
        <stp>couponRates21</stp>
        <stp>1079676416</stp>
        <tr r="J15" s="1"/>
      </tp>
    </main>
    <main first="rtdsrv.a01026187ccf446ca1e7447eb960d32f">
      <tp t="s">
        <v>Gearing</v>
        <stp/>
        <stp>Gearing</stp>
        <stp>1072693248</stp>
        <tr r="B42" s="1"/>
      </tp>
      <tp t="s">
        <v>zc1yRate</v>
        <stp/>
        <stp>zc1yRate</stp>
        <stp>-910641281</stp>
        <tr r="B10" s="1"/>
      </tp>
      <tp t="s">
        <v>+d1mQuote</v>
        <stp/>
        <stp>+d1mQuote</stp>
        <stp>-1161893447</stp>
        <tr r="J23" s="1"/>
      </tp>
      <tp t="s">
        <v>FixedRedemption</v>
        <stp/>
        <stp>FixedRedemption</stp>
        <stp>1079574528</stp>
        <tr r="B30" s="1"/>
      </tp>
      <tp t="s">
        <v>couponRates24</v>
        <stp/>
        <stp>couponRates24</stp>
        <stp>1079609600</stp>
        <tr r="J18" s="1"/>
      </tp>
    </main>
    <main first="rtdsrv.a01026187ccf446ca1e7447eb960d32f">
      <tp t="s">
        <v>d3mratehelpers</v>
        <stp/>
        <stp>d3mratehelpers</stp>
        <stp>-412598446</stp>
        <tr r="K24" s="1"/>
      </tp>
      <tp t="s">
        <v>marketQuotes2</v>
        <stp/>
        <stp>marketQuotes2</stp>
        <stp>1079584256</stp>
        <tr r="K16" s="1"/>
      </tp>
    </main>
    <main first="rtdsrv.a01026187ccf446ca1e7447eb960d32f">
      <tp t="s">
        <v>FixedRateBond</v>
        <stp/>
        <stp>FixedRateBond</stp>
        <stp>166319768</stp>
        <tr r="B35" s="1"/>
      </tp>
      <tp t="s">
        <v>Semiannual</v>
        <stp/>
        <stp>Semiannual</stp>
        <stp>2</stp>
        <tr r="E39" s="1"/>
      </tp>
    </main>
    <main first="rtdsrv.a01026187ccf446ca1e7447eb960d32f">
      <tp t="s">
        <v>marketQuotes1</v>
        <stp/>
        <stp>marketQuotes1</stp>
        <stp>1079676416</stp>
        <tr r="K15" s="1"/>
      </tp>
      <tp t="s">
        <v>couponRates23</v>
        <stp/>
        <stp>couponRates23</stp>
        <stp>1079602176</stp>
        <tr r="J17" s="1"/>
      </tp>
    </main>
    <main first="rtdsrv.b403f236440e47f58fcda62a43abc462">
      <tp t="s">
        <v>#Specified method is not supported.</v>
        <stp/>
        <stp>tt</stp>
        <stp/>
        <tr r="B62" s="1"/>
      </tp>
    </main>
    <main first="rtdsrv.a01026187ccf446ca1e7447eb960d32f">
      <tp t="s">
        <v>FloatRedemption</v>
        <stp/>
        <stp>FloatRedemption</stp>
        <stp>1079574528</stp>
        <tr r="B39" s="1"/>
      </tp>
      <tp t="s">
        <v>+s10yQuote</v>
        <stp/>
        <stp>+s10yQuote</stp>
        <stp>-1500142044</stp>
        <tr r="J31" s="1"/>
      </tp>
      <tp t="s">
        <v>couponRates22</v>
        <stp/>
        <stp>couponRates22</stp>
        <stp>1079584256</stp>
        <tr r="J16" s="1"/>
      </tp>
    </main>
    <main first="rtdsrv.a01026187ccf446ca1e7447eb960d32f">
      <tp t="s">
        <v>marketQuotes4</v>
        <stp/>
        <stp>marketQuotes4</stp>
        <stp>1079609600</stp>
        <tr r="K18" s="1"/>
      </tp>
      <tp t="s">
        <v>FloatSettlementDatte</v>
        <stp/>
        <stp>FloatSettlementDatte</stp>
        <stp>40472</stp>
        <tr r="B40" s="1"/>
      </tp>
      <tp t="s">
        <v>Fixing1</v>
        <stp/>
        <stp>Fixing1</stp>
        <stp>39646</stp>
        <tr r="J39" s="1"/>
      </tp>
    </main>
    <main first="rtdsrv.a01026187ccf446ca1e7447eb960d32f">
      <tp t="s">
        <v>marketQuotes0</v>
        <stp/>
        <stp>marketQuotes0</stp>
        <stp>1079580928</stp>
        <tr r="K14" s="1"/>
      </tp>
    </main>
    <main first="rtdsrv.a01026187ccf446ca1e7447eb960d32f">
      <tp t="s">
        <v>ZeroIssueDate</v>
        <stp/>
        <stp>ZeroIssueDate</stp>
        <stp>37848</stp>
        <tr r="B26" s="1"/>
      </tp>
    </main>
    <main first="rtdsrv.a01026187ccf446ca1e7447eb960d32f">
      <tp t="s">
        <v>bondInstruments</v>
        <stp/>
        <stp>bondInstruments</stp>
        <stp>-192993751</stp>
        <tr r="B14" s="1"/>
      </tp>
    </main>
    <main first="rtdsrv.a01026187ccf446ca1e7447eb960d32f">
      <tp t="s">
        <v>couponRates20</v>
        <stp/>
        <stp>couponRates20</stp>
        <stp>1079580928</stp>
        <tr r="J14" s="1"/>
      </tp>
    </main>
    <main first="rtdsrv.a01026187ccf446ca1e7447eb960d32f">
      <tp t="s">
        <v>+d6mQuote</v>
        <stp/>
        <stp>+d6mQuote</stp>
        <stp>-1169081440</stp>
        <tr r="J25" s="1"/>
      </tp>
    </main>
    <main first="rtdsrv.a01026187ccf446ca1e7447eb960d32f">
      <tp t="s">
        <v>FixedSettlementDatte</v>
        <stp/>
        <stp>FixedSettlementDatte</stp>
        <stp>42870</stp>
        <tr r="B31" s="1"/>
      </tp>
    </main>
    <main first="rtdsrv.a01026187ccf446ca1e7447eb960d32f">
      <tp t="s">
        <v>optionletvolitility</v>
        <stp/>
        <stp>optionletvolitility</stp>
        <stp>0</stp>
        <tr r="B47" s="1"/>
      </tp>
      <tp t="s">
        <v>actual360</v>
        <stp/>
        <stp>actual360</stp>
        <stp>0</stp>
        <tr r="E48" s="1"/>
      </tp>
      <tp t="s">
        <v>FixedRateCoupon</v>
        <stp/>
        <stp>FixedRateCoupon</stp>
        <stp>1325718839</stp>
        <tr r="B34" s="1"/>
      </tp>
      <tp t="s">
        <v>s15yratehelpers</v>
        <stp/>
        <stp>s15yratehelpers</stp>
        <stp>1600667474</stp>
        <tr r="K32" s="1"/>
      </tp>
    </main>
    <main first="rtdsrv.a01026187ccf446ca1e7447eb960d32f">
      <tp t="s">
        <v>ConstantOptionletVolatility</v>
        <stp/>
        <stp>ConstantOptionletVolatility</stp>
        <stp>-40481414</stp>
        <tr r="B48" s="1"/>
      </tp>
      <tp t="s">
        <v>d1yratehelpers</v>
        <stp/>
        <stp>d1yratehelpers</stp>
        <stp>-513261742</stp>
        <tr r="K27" s="1"/>
      </tp>
    </main>
    <main first="rtdsrv.a01026187ccf446ca1e7447eb960d32f">
      <tp t="s">
        <v>s10yratehelpers</v>
        <stp/>
        <stp>s10yratehelpers</stp>
        <stp>-127385774</stp>
        <tr r="K31" s="1"/>
      </tp>
    </main>
    <main first="rtdsrv.a01026187ccf446ca1e7447eb960d32f">
      <tp t="s">
        <v>RemptionAmount</v>
        <stp/>
        <stp>RemptionAmount</stp>
        <stp>1411892966</stp>
        <tr r="B23" s="1"/>
      </tp>
    </main>
    <main first="rtdsrv.a01026187ccf446ca1e7447eb960d32f">
      <tp t="s">
        <v>Spreads</v>
        <stp/>
        <stp>Spreads</stp>
        <stp>-308163663</stp>
        <tr r="B43" s="1"/>
      </tp>
    </main>
    <main first="rtdsrv.a01026187ccf446ca1e7447eb960d32f">
      <tp t="s">
        <v>s3yratehelpers</v>
        <stp/>
        <stp>s3yratehelpers</stp>
        <stp>1818771282</stp>
        <tr r="K29" s="1"/>
      </tp>
    </main>
    <main first="rtdsrv.a01026187ccf446ca1e7447eb960d32f">
      <tp t="s">
        <v>fixingDays</v>
        <stp/>
        <stp>fixingDays</stp>
        <stp>3</stp>
        <tr r="B4" s="1"/>
      </tp>
      <tp t="s">
        <v>depoSwapTermStructure</v>
        <stp/>
        <stp>depoSwapTermStructure</stp>
        <stp>1191688077</stp>
        <tr r="B17" s="1"/>
      </tp>
      <tp t="s">
        <v>ZeroNPV</v>
        <stp/>
        <stp>ZeroNPV</stp>
        <stp>1001970241</stp>
        <tr r="B54" s="1"/>
      </tp>
    </main>
    <main first="rtdsrv.a01026187ccf446ca1e7447eb960d32f">
      <tp t="s">
        <v>s15y</v>
        <stp/>
        <stp>s15y</stp>
        <stp>243</stp>
        <tr r="H32" s="1"/>
      </tp>
      <tp t="s">
        <v>discount</v>
        <stp/>
        <stp>discount</stp>
        <stp>0</stp>
        <tr r="E42" s="1"/>
      </tp>
      <tp t="s">
        <v>calendar</v>
        <stp/>
        <stp>calendar</stp>
        <stp>0</stp>
        <tr r="B2" s="1"/>
      </tp>
      <tp t="s">
        <v>redemption</v>
        <stp/>
        <stp>redemption</stp>
        <stp>1079574528</stp>
        <tr r="B11" s="1"/>
      </tp>
    </main>
    <main first="rtdsrv.a01026187ccf446ca1e7447eb960d32f">
      <tp t="s">
        <v>termStructureDayCounter</v>
        <stp/>
        <stp>termStructureDayCounter</stp>
        <stp>920816725</stp>
        <tr r="E41" s="1"/>
      </tp>
      <tp t="s">
        <v>s10y</v>
        <stp/>
        <stp>s10y</stp>
        <stp>163</stp>
        <tr r="H31" s="1"/>
      </tp>
      <tp t="s">
        <v>bondhelper3</v>
        <stp/>
        <stp>bondhelper3</stp>
        <stp>2009265153</stp>
        <tr r="M17" s="1"/>
      </tp>
      <tp t="s">
        <v>settlementDays</v>
        <stp/>
        <stp>settlementDays</stp>
        <stp>3</stp>
        <tr r="B5" s="1"/>
      </tp>
    </main>
    <main first="rtdsrv.a01026187ccf446ca1e7447eb960d32f">
      <tp t="s">
        <v>bondhelper2</v>
        <stp/>
        <stp>bondhelper2</stp>
        <stp>-1530727423</stp>
        <tr r="M16" s="1"/>
      </tp>
    </main>
    <main first="rtdsrv.a01026187ccf446ca1e7447eb960d32f">
      <tp t="s">
        <v>instruments</v>
        <stp/>
        <stp>instruments</stp>
        <stp>-192993751</stp>
        <tr r="B13" s="1"/>
      </tp>
    </main>
    <main first="rtdsrv.a01026187ccf446ca1e7447eb960d32f">
      <tp t="s">
        <v>+d9mQuote</v>
        <stp/>
        <stp>+d9mQuote</stp>
        <stp>80025026</stp>
        <tr r="J26" s="1"/>
      </tp>
    </main>
    <main first="rtdsrv.a01026187ccf446ca1e7447eb960d32f">
      <tp t="s">
        <v>bondhelper1</v>
        <stp/>
        <stp>bondhelper1</stp>
        <stp>1925379073</stp>
        <tr r="M15" s="1"/>
      </tp>
      <tp t="s">
        <v>bondhelper4</v>
        <stp/>
        <stp>bondhelper4</stp>
        <stp>1774384129</stp>
        <tr r="M18" s="1"/>
      </tp>
      <tp t="s">
        <v>bondDiscountingTermStructure</v>
        <stp/>
        <stp>bondDiscountingTermStructure</stp>
        <stp>-531999091</stp>
        <tr r="B15" s="1"/>
      </tp>
      <tp t="s">
        <v>+s2yQuote</v>
        <stp/>
        <stp>+s2yQuote</stp>
        <stp>1131652183</stp>
        <tr r="J28" s="1"/>
      </tp>
    </main>
    <main first="rtdsrv.a01026187ccf446ca1e7447eb960d32f">
      <tp t="s">
        <v>depoSwapInstruments</v>
        <stp/>
        <stp>depoSwapInstruments</stp>
        <stp>-501517731</stp>
        <tr r="B16" s="1"/>
      </tp>
      <tp t="s">
        <v>FloatIssueDate</v>
        <stp/>
        <stp>FloatIssueDate</stp>
        <stp>38646</stp>
        <tr r="B41" s="1"/>
      </tp>
      <tp t="s">
        <v>FixedIssueDate</v>
        <stp/>
        <stp>FixedIssueDate</stp>
        <stp>39217</stp>
        <tr r="B32" s="1"/>
      </tp>
    </main>
    <main first="rtdsrv.a01026187ccf446ca1e7447eb960d32f">
      <tp t="s">
        <v>d9m</v>
        <stp/>
        <stp>d9m</stp>
        <stp>146</stp>
        <tr r="H26" s="1"/>
      </tp>
      <tp t="s">
        <v>floatingRateBondcashflows</v>
        <stp/>
        <stp>floatingRateBondcashflows</stp>
        <stp>1054474</stp>
        <tr r="B49" s="1"/>
      </tp>
    </main>
    <main first="rtdsrv.a01026187ccf446ca1e7447eb960d32f">
      <tp t="s">
        <v>+d1wQuote</v>
        <stp/>
        <stp>+d1wQuote</stp>
        <stp>1129030743</stp>
        <tr r="J22" s="1"/>
      </tp>
      <tp t="s">
        <v>bondEngine</v>
        <stp/>
        <stp>bondEngine</stp>
        <stp>-673174127</stp>
        <tr r="B24" s="1"/>
      </tp>
      <tp t="s">
        <v>ActualActualBond</v>
        <stp/>
        <stp>ActualActualBond</stp>
        <stp>920816741</stp>
        <tr r="E40" s="1"/>
      </tp>
      <tp t="s">
        <v>schedule0</v>
        <stp/>
        <stp>schedule0</stp>
        <stp>-390697830</stp>
        <tr r="L14" s="1"/>
      </tp>
      <tp t="s">
        <v>schedule1</v>
        <stp/>
        <stp>schedule1</stp>
        <stp>-390697830</stp>
        <tr r="L15" s="1"/>
      </tp>
      <tp t="s">
        <v>schedule2</v>
        <stp/>
        <stp>schedule2</stp>
        <stp>-390697830</stp>
        <tr r="L16" s="1"/>
      </tp>
      <tp t="s">
        <v>schedule3</v>
        <stp/>
        <stp>schedule3</stp>
        <stp>-390697830</stp>
        <tr r="L17" s="1"/>
      </tp>
      <tp t="s">
        <v>schedule4</v>
        <stp/>
        <stp>schedule4</stp>
        <stp>-390697830</stp>
        <tr r="L18" s="1"/>
      </tp>
      <tp t="s">
        <v>+d1yQuote</v>
        <stp/>
        <stp>+d1yQuote</stp>
        <stp>-660437196</stp>
        <tr r="J27" s="1"/>
      </tp>
    </main>
    <main first="rtdsrv.a01026187ccf446ca1e7447eb960d32f">
      <tp t="s">
        <v>zc3mRate</v>
        <stp/>
        <stp>zc3mRate</stp>
        <stp>265722699</stp>
        <tr r="B8" s="1"/>
      </tp>
    </main>
    <main first="rtdsrv.a01026187ccf446ca1e7447eb960d32f">
      <tp t="s">
        <v>Quarterly</v>
        <stp/>
        <stp>Quarterly</stp>
        <stp>4</stp>
        <tr r="E49" s="1"/>
      </tp>
      <tp t="s">
        <v>faceAmount</v>
        <stp/>
        <stp>faceAmount</stp>
        <stp>1079574528</stp>
        <tr r="B22" s="1"/>
      </tp>
      <tp t="s">
        <v>zc6mRate</v>
        <stp/>
        <stp>zc6mRate</stp>
        <stp>836482612</stp>
        <tr r="B9" s="1"/>
      </tp>
    </main>
    <main first="rtdsrv.a01026187ccf446ca1e7447eb960d32f">
      <tp t="s">
        <v>fixedBondSchedule</v>
        <stp/>
        <stp>fixedBondSchedule</stp>
        <stp>-508138342</stp>
        <tr r="B33" s="1"/>
      </tp>
      <tp t="s">
        <v>s2y</v>
        <stp/>
        <stp>s2y</stp>
        <stp>35</stp>
        <tr r="H28" s="1"/>
      </tp>
      <tp t="s">
        <v>s3y</v>
        <stp/>
        <stp>s3y</stp>
        <stp>51</stp>
        <tr r="H29" s="1"/>
      </tp>
      <tp t="s">
        <v>s5y</v>
        <stp/>
        <stp>s5y</stp>
        <stp>83</stp>
        <tr r="H30" s="1"/>
      </tp>
      <tp t="s">
        <v>d3m</v>
        <stp/>
        <stp>d3m</stp>
        <stp>50</stp>
        <tr r="H24" s="1"/>
      </tp>
      <tp t="s">
        <v>d1w</v>
        <stp/>
        <stp>d1w</stp>
        <stp>17</stp>
        <tr r="H22" s="1"/>
      </tp>
      <tp t="s">
        <v>d1m</v>
        <stp/>
        <stp>d1m</stp>
        <stp>18</stp>
        <tr r="H23" s="1"/>
      </tp>
      <tp t="s">
        <v>d1y</v>
        <stp/>
        <stp>d1y</stp>
        <stp>19</stp>
        <tr r="H27" s="1"/>
      </tp>
      <tp t="s">
        <v>d6m</v>
        <stp/>
        <stp>d6m</stp>
        <stp>98</stp>
        <tr r="H25" s="1"/>
      </tp>
      <tp t="s">
        <v>FixedNPV</v>
        <stp/>
        <stp>FixedNPV</stp>
        <stp>-77321281</stp>
        <tr r="C54" s="1"/>
      </tp>
    </main>
    <main first="rtdsrv.a01026187ccf446ca1e7447eb960d32f">
      <tp t="s">
        <v>bondhelper0</v>
        <stp/>
        <stp>bondhelper0</stp>
        <stp>801305601</stp>
        <tr r="M14" s="1"/>
      </tp>
    </main>
    <main first="rtdsrv.a01026187ccf446ca1e7447eb960d32f">
      <tp t="s">
        <v>settlementDate</v>
        <stp/>
        <stp>settlementDate</stp>
        <stp>39709</stp>
        <tr r="B3" s="1"/>
      </tp>
      <tp t="s">
        <v>floatingBondSchedule</v>
        <stp/>
        <stp>floatingBondSchedule</stp>
        <stp>-508138342</stp>
        <tr r="B44" s="1"/>
      </tp>
    </main>
    <main first="rtdsrv.a01026187ccf446ca1e7447eb960d32f">
      <tp t="s">
        <v>USDLibor</v>
        <stp/>
        <stp>USDLibor</stp>
        <stp>0</stp>
        <tr r="J37" s="1"/>
      </tp>
      <tp t="s">
        <v>libor3mPeriod</v>
        <stp/>
        <stp>libor3mPeriod</stp>
        <stp>50</stp>
        <tr r="B38" s="1"/>
      </tp>
    </main>
    <main first="rtdsrv.a01026187ccf446ca1e7447eb960d32f">
      <tp t="s">
        <v>Actual365Fixed</v>
        <stp/>
        <stp>Actual365Fixed</stp>
        <stp>0</stp>
        <tr r="E50" s="1"/>
      </tp>
    </main>
    <main first="rtdsrv.a01026187ccf446ca1e7447eb960d32f">
      <tp t="s">
        <v>forwardStart</v>
        <stp/>
        <stp>forwardStart</stp>
        <stp>19</stp>
        <tr r="E47" s="1"/>
      </tp>
      <tp t="s">
        <v>depositDayCounter</v>
        <stp/>
        <stp>depositDayCounter</stp>
        <stp>0</stp>
        <tr r="E43" s="1"/>
      </tp>
    </main>
    <main first="rtdsrv.a01026187ccf446ca1e7447eb960d32f">
      <tp t="s">
        <v>tolerance</v>
        <stp/>
        <stp>tolerance</stp>
        <stp>-1573562951</stp>
        <tr r="B12" s="1"/>
      </tp>
      <tp t="s">
        <v>zc6m</v>
        <stp/>
        <stp>zc6m</stp>
        <stp>-944272635</stp>
        <tr r="H9" s="1"/>
      </tp>
      <tp t="s">
        <v>zcBondsDayCounter</v>
        <stp/>
        <stp>zcBondsDayCounter</stp>
        <stp>0</stp>
        <tr r="B7" s="1"/>
      </tp>
    </main>
    <main first="rtdsrv.a01026187ccf446ca1e7447eb960d32f">
      <tp t="s">
        <v>zc1y</v>
        <stp/>
        <stp>zc1y</stp>
        <stp>1387760389</stp>
        <tr r="H10" s="1"/>
      </tp>
    </main>
    <main first="rtdsrv.a01026187ccf446ca1e7447eb960d32f">
      <tp t="s">
        <v>loglinier</v>
        <stp/>
        <stp>loglinier</stp>
        <stp>0</stp>
        <tr r="E44" s="1"/>
      </tp>
      <tp t="s">
        <v>USgovi</v>
        <stp/>
        <stp>USgovi</stp>
        <stp>2</stp>
        <tr r="E38" s="1"/>
      </tp>
      <tp t="s">
        <v>todaysDate</v>
        <stp/>
        <stp>todaysDate</stp>
        <stp>1731735552</stp>
        <tr r="B6" s="1"/>
      </tp>
    </main>
    <main first="rtdsrv.a01026187ccf446ca1e7447eb960d32f">
      <tp t="s">
        <v>tt</v>
        <stp/>
        <stp>tt</stp>
        <stp>28189627</stp>
        <tr r="B55" s="1"/>
      </tp>
    </main>
    <main first="rtdsrv.b403f236440e47f58fcda62a43abc462">
      <tp t="s">
        <v>#...ZeroNPV</v>
        <stp/>
        <stp>ZeroNPV</stp>
        <stp/>
        <tr r="B6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F69B75-4F6D-4349-86DC-7B10C116C4E8}" name="Table1" displayName="Table1" ref="E13:M18" totalsRowShown="0">
  <autoFilter ref="E13:M18" xr:uid="{9C3AB088-F383-41A4-8953-0B241E6FAF88}"/>
  <tableColumns count="9">
    <tableColumn id="1" xr3:uid="{30624216-2A4A-4FB2-A438-A0E893FBF475}" name="Rate Helpers">
      <calculatedColumnFormula>E13+1</calculatedColumnFormula>
    </tableColumn>
    <tableColumn id="2" xr3:uid="{831E9FA0-88E0-49E0-AE96-CF9D39E3B95D}" name="issueDates" dataDxfId="5"/>
    <tableColumn id="3" xr3:uid="{4A29C6AD-AA3B-48FC-8C55-759F58CC176A}" name="maturities" dataDxfId="4"/>
    <tableColumn id="4" xr3:uid="{AAB7FA55-69AA-45E9-85B3-8C110E226A99}" name="couponRates"/>
    <tableColumn id="5" xr3:uid="{61096845-8F07-47BD-ACF4-B1BC41C41CC0}" name="marketQuotes"/>
    <tableColumn id="6" xr3:uid="{595DB301-65EB-4BF3-B019-508BB193E0E1}" name="couponRates2">
      <calculatedColumnFormula>+_xll._Double_Range($J$13&amp;E14,I14)</calculatedColumnFormula>
    </tableColumn>
    <tableColumn id="7" xr3:uid="{583C8CCB-F992-4C1B-AF02-C1616623321A}" name="quote handles">
      <calculatedColumnFormula>+_xll._SimpleQuote1($I$13&amp;E14,I14)</calculatedColumnFormula>
    </tableColumn>
    <tableColumn id="8" xr3:uid="{2059FAF2-3C1F-4396-A8A0-6E26F9063B24}" name="schedule">
      <calculatedColumnFormula>+_xll._Schedule($L$13&amp;E14,F14,G14,$E$39,$E$38,"Unadjusted","Unadjusted","Backward",FALSE)</calculatedColumnFormula>
    </tableColumn>
    <tableColumn id="9" xr3:uid="{9863F735-7058-4801-B04E-25142018594D}" name="bondhelper">
      <calculatedColumnFormula>+_xll._FixedRateBondHelper($M$13&amp;E14,K14,$B$5,100,L14,J14,$E$40,"Unadjusted",$B$11,F14,,,,"Unadjusted")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944E0A-F049-46BC-80C9-7D08FF9324A6}" name="Table2" displayName="Table2" ref="E21:K32" totalsRowShown="0">
  <autoFilter ref="E21:K32" xr:uid="{A7C54E81-868E-4E07-BF71-3E49304761A1}"/>
  <tableColumns count="7">
    <tableColumn id="1" xr3:uid="{FDEC2EA4-1845-4829-A25C-013CC1581A30}" name="libor forcast"/>
    <tableColumn id="2" xr3:uid="{B9F9B642-D128-4BC7-AD67-DBEA2817DC64}" name="num"/>
    <tableColumn id="3" xr3:uid="{4A0E5ACC-CE6E-4084-8811-777D250B88D9}" name="Time Unit"/>
    <tableColumn id="4" xr3:uid="{DD2CEF86-145A-493F-8FC7-DACA8C429C75}" name="Period">
      <calculatedColumnFormula>+_xll._Period(E22,F22,G22)</calculatedColumnFormula>
    </tableColumn>
    <tableColumn id="5" xr3:uid="{B516845A-48C2-4FB1-9506-06D268946E5B}" name="Quote"/>
    <tableColumn id="6" xr3:uid="{488D7C35-8385-4EC4-B7F6-06F40505B9A3}" name="quote handle">
      <calculatedColumnFormula>+_xll._SimpleQuote1("+"&amp;E22&amp;$I$21,I22)</calculatedColumnFormula>
    </tableColumn>
    <tableColumn id="7" xr3:uid="{CD46990C-C7E6-459A-8865-71D0CBE2E5C8}" name="rate helpers">
      <calculatedColumnFormula>+_xll._DepositRateHelper(E22&amp;$K$21,J22,H22,$B$4,$A$2,"ModifiedFollowing",TRUE,$E$43)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9E649B4-7013-45F8-A17A-EFB74C8CA0CC}" name="Table4" displayName="Table4" ref="E7:H10" totalsRowShown="0">
  <autoFilter ref="E7:H10" xr:uid="{9E0B7CC8-3E72-4CE7-A238-A5BF9B5E9B3F}"/>
  <tableColumns count="4">
    <tableColumn id="1" xr3:uid="{BBC6DF34-E278-4ACE-BE28-51EA65C22E71}" name="Period">
      <calculatedColumnFormula>+_xll._Period(A8&amp;$E$7,F8,G8)</calculatedColumnFormula>
    </tableColumn>
    <tableColumn id="2" xr3:uid="{04FFB79B-E054-4784-9F3D-84CFF62649AC}" name="n"/>
    <tableColumn id="3" xr3:uid="{02655EA1-24E0-4A3C-96F8-E6F391BB3A5C}" name="perd"/>
    <tableColumn id="4" xr3:uid="{BDFFB7BD-FF95-40CF-B8F1-23DF6BA79112}" name="Deposit rate">
      <calculatedColumnFormula>+_xll._DepositRateHelper(A8,B8,E8,$B$4,$B$2,"ModifiedFollowing",TRUE,$A$7)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00916CA-8866-4ABB-95C6-E68C015A2407}" name="Table6" displayName="Table6" ref="E37:E51" totalsRowCount="1" totalsRowDxfId="3">
  <autoFilter ref="E37:E50" xr:uid="{2E13EC85-7DD7-4F51-AA6C-AF7352993588}"/>
  <tableColumns count="1">
    <tableColumn id="1" xr3:uid="{F60E9F8E-FC34-4B66-AB75-67E399A2AD21}" name="Globals" totalsRowDxfId="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5B84346-88C8-4DC9-8558-17A9C98AFC08}" name="Table7" displayName="Table7" ref="H38:J40" totalsRowShown="0">
  <autoFilter ref="H38:J40" xr:uid="{F4557D5D-5150-47AF-9F4D-5B97D939C9A4}"/>
  <tableColumns count="3">
    <tableColumn id="1" xr3:uid="{C93234DA-6DED-4059-ACA3-5521557B000C}" name="Date" dataDxfId="1"/>
    <tableColumn id="2" xr3:uid="{F661128B-18D1-4711-B09E-F7E26B189E71}" name="Value"/>
    <tableColumn id="3" xr3:uid="{214FEA24-233F-40C1-A79B-3DD426558BEE}" name="Fixing" dataDxfId="0">
      <calculatedColumnFormula>+_xll._USDLibor_addFixing($J$37&amp;G39,J37,_xll._Date1(Table7[[#Headers],[Fixing]]&amp;G39,Table7[[#This Row],[Date]]),Table7[[#This Row],[Value]],TRUE)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5E14-2DBA-4FA2-A060-A0CB22BD8F4F}">
  <dimension ref="A1:M62"/>
  <sheetViews>
    <sheetView tabSelected="1" workbookViewId="0">
      <selection activeCell="H10" sqref="H10"/>
    </sheetView>
  </sheetViews>
  <sheetFormatPr defaultRowHeight="14.5" x14ac:dyDescent="0.35"/>
  <cols>
    <col min="1" max="2" width="27.26953125" bestFit="1" customWidth="1"/>
    <col min="3" max="3" width="10.453125" bestFit="1" customWidth="1"/>
    <col min="4" max="4" width="11.7265625" customWidth="1"/>
    <col min="5" max="5" width="22.6328125" bestFit="1" customWidth="1"/>
    <col min="6" max="6" width="11.7265625" customWidth="1"/>
    <col min="7" max="7" width="13" customWidth="1"/>
    <col min="8" max="8" width="22.6328125" bestFit="1" customWidth="1"/>
    <col min="9" max="9" width="14.7265625" customWidth="1"/>
    <col min="10" max="10" width="14.6328125" customWidth="1"/>
    <col min="11" max="11" width="34.1796875" customWidth="1"/>
    <col min="12" max="12" width="10.1796875" customWidth="1"/>
    <col min="13" max="13" width="12.54296875" customWidth="1"/>
  </cols>
  <sheetData>
    <row r="1" spans="1:13" x14ac:dyDescent="0.35">
      <c r="A1" t="s">
        <v>2</v>
      </c>
      <c r="B1" t="s">
        <v>3</v>
      </c>
    </row>
    <row r="2" spans="1:13" x14ac:dyDescent="0.35">
      <c r="A2" t="s">
        <v>0</v>
      </c>
      <c r="B2" t="str">
        <f>+_xll._TARGET(A2)</f>
        <v>calendar</v>
      </c>
    </row>
    <row r="3" spans="1:13" x14ac:dyDescent="0.35">
      <c r="A3" t="s">
        <v>1</v>
      </c>
      <c r="B3" t="str">
        <f>+_xll._Date1(A3,C3)</f>
        <v>settlementDate</v>
      </c>
      <c r="C3" s="1">
        <v>39709</v>
      </c>
    </row>
    <row r="4" spans="1:13" x14ac:dyDescent="0.35">
      <c r="A4" t="s">
        <v>4</v>
      </c>
      <c r="B4" t="str">
        <f>+_xll._Int(A4,C4)</f>
        <v>fixingDays</v>
      </c>
      <c r="C4">
        <v>3</v>
      </c>
    </row>
    <row r="5" spans="1:13" x14ac:dyDescent="0.35">
      <c r="A5" t="s">
        <v>5</v>
      </c>
      <c r="B5" t="str">
        <f>+_xll._Int(A5,C5)</f>
        <v>settlementDays</v>
      </c>
      <c r="C5">
        <v>3</v>
      </c>
    </row>
    <row r="6" spans="1:13" x14ac:dyDescent="0.35">
      <c r="A6" t="s">
        <v>6</v>
      </c>
      <c r="B6" t="str">
        <f>+_xll._TARGET_advance1(A6,B2,B3,B4,"Days","Following",FALSE)</f>
        <v>todaysDate</v>
      </c>
    </row>
    <row r="7" spans="1:13" x14ac:dyDescent="0.35">
      <c r="A7" t="s">
        <v>12</v>
      </c>
      <c r="B7" t="str">
        <f>+_xll._Actual365Fixed(A7)</f>
        <v>zcBondsDayCounter</v>
      </c>
      <c r="E7" t="s">
        <v>41</v>
      </c>
      <c r="F7" t="s">
        <v>48</v>
      </c>
      <c r="G7" t="s">
        <v>49</v>
      </c>
      <c r="H7" t="s">
        <v>50</v>
      </c>
    </row>
    <row r="8" spans="1:13" x14ac:dyDescent="0.35">
      <c r="A8" t="s">
        <v>9</v>
      </c>
      <c r="B8" t="str">
        <f>+_xll._SimpleQuote1(A8&amp;"Rate",C8)</f>
        <v>zc3mRate</v>
      </c>
      <c r="C8">
        <v>9.5999999999999992E-3</v>
      </c>
      <c r="E8" t="str">
        <f>+_xll._Period(A8&amp;$E$7,F8,G8)</f>
        <v>zc3mPeriod</v>
      </c>
      <c r="F8">
        <v>3</v>
      </c>
      <c r="G8" t="s">
        <v>7</v>
      </c>
      <c r="H8" t="str">
        <f>+_xll._DepositRateHelper(A8,B8,E8,$B$4,$B$2,"ModifiedFollowing",TRUE,$A$7)</f>
        <v>zc3m</v>
      </c>
    </row>
    <row r="9" spans="1:13" x14ac:dyDescent="0.35">
      <c r="A9" t="s">
        <v>10</v>
      </c>
      <c r="B9" t="str">
        <f>+_xll._SimpleQuote1(A9&amp;"Rate",C9)</f>
        <v>zc6mRate</v>
      </c>
      <c r="C9">
        <v>1.4500000000000001E-2</v>
      </c>
      <c r="E9" t="str">
        <f>+_xll._Period(A9&amp;$E$7,F9,G9)</f>
        <v>zc6mPeriod</v>
      </c>
      <c r="F9">
        <v>6</v>
      </c>
      <c r="G9" t="s">
        <v>7</v>
      </c>
      <c r="H9" t="str">
        <f>+_xll._DepositRateHelper(A9,B9,E9,$B$4,$B$2,"ModifiedFollowing",TRUE,$A$7)</f>
        <v>zc6m</v>
      </c>
    </row>
    <row r="10" spans="1:13" x14ac:dyDescent="0.35">
      <c r="A10" t="s">
        <v>11</v>
      </c>
      <c r="B10" t="str">
        <f>+_xll._SimpleQuote1(A10&amp;"Rate",C10)</f>
        <v>zc1yRate</v>
      </c>
      <c r="C10">
        <v>1.9400000000000001E-2</v>
      </c>
      <c r="E10" t="str">
        <f>+_xll._Period(A10&amp;$E$7,F10,G10)</f>
        <v>zc1yPeriod</v>
      </c>
      <c r="F10">
        <v>1</v>
      </c>
      <c r="G10" t="s">
        <v>8</v>
      </c>
      <c r="H10" t="str">
        <f>+_xll._DepositRateHelper(A10,B10,E10,$B$4,$B$2,"ModifiedFollowing",TRUE,$A$7)</f>
        <v>zc1y</v>
      </c>
    </row>
    <row r="11" spans="1:13" x14ac:dyDescent="0.35">
      <c r="A11" t="s">
        <v>13</v>
      </c>
      <c r="B11" t="str">
        <f>+_xll._Double(A11,C11)</f>
        <v>redemption</v>
      </c>
      <c r="C11">
        <v>100</v>
      </c>
    </row>
    <row r="12" spans="1:13" x14ac:dyDescent="0.35">
      <c r="A12" t="s">
        <v>20</v>
      </c>
      <c r="B12" t="str">
        <f>+_xll._Double(A12,C12)</f>
        <v>tolerance</v>
      </c>
      <c r="C12" s="3">
        <v>1.0000000000000001E-15</v>
      </c>
    </row>
    <row r="13" spans="1:13" x14ac:dyDescent="0.35">
      <c r="A13" t="s">
        <v>21</v>
      </c>
      <c r="B13" t="str">
        <f>+_xll._RateHelper_Range(A13,H8:H10)</f>
        <v>instruments</v>
      </c>
      <c r="E13" t="s">
        <v>22</v>
      </c>
      <c r="F13" t="s">
        <v>14</v>
      </c>
      <c r="G13" t="s">
        <v>15</v>
      </c>
      <c r="H13" t="s">
        <v>16</v>
      </c>
      <c r="I13" t="s">
        <v>17</v>
      </c>
      <c r="J13" t="s">
        <v>23</v>
      </c>
      <c r="K13" t="s">
        <v>24</v>
      </c>
      <c r="L13" t="s">
        <v>18</v>
      </c>
      <c r="M13" t="s">
        <v>19</v>
      </c>
    </row>
    <row r="14" spans="1:13" x14ac:dyDescent="0.35">
      <c r="A14" t="s">
        <v>53</v>
      </c>
      <c r="B14" t="str">
        <f>+_xll._RateHelper_Range(A14,Table4[Deposit rate])</f>
        <v>bondInstruments</v>
      </c>
      <c r="E14">
        <v>0</v>
      </c>
      <c r="F14" s="2">
        <v>38426</v>
      </c>
      <c r="G14" s="2">
        <v>40421</v>
      </c>
      <c r="H14">
        <v>2.375E-2</v>
      </c>
      <c r="I14">
        <v>100.390625</v>
      </c>
      <c r="J14" t="str">
        <f>+_xll._Double_Range($J$13&amp;E14,I14)</f>
        <v>couponRates20</v>
      </c>
      <c r="K14" t="str">
        <f>+_xll._SimpleQuote1($I$13&amp;E14,I14)</f>
        <v>marketQuotes0</v>
      </c>
      <c r="L14" t="str">
        <f>+_xll._Schedule($L$13&amp;E14,F14,G14,$E$39,$E$38,"Unadjusted","Unadjusted","Backward",FALSE)</f>
        <v>schedule0</v>
      </c>
      <c r="M14" t="str">
        <f>+_xll._FixedRateBondHelper($M$13&amp;E14,K14,$B$5,100,L14,J14,$E$40,"Unadjusted",$B$11,F14,,,,"Unadjusted")</f>
        <v>bondhelper0</v>
      </c>
    </row>
    <row r="15" spans="1:13" x14ac:dyDescent="0.35">
      <c r="A15" t="s">
        <v>52</v>
      </c>
      <c r="B15" t="str">
        <f>+_xll._PiecewiseYieldCurve(A15,E42,B3,B14,E41,,,B12,E44)</f>
        <v>bondDiscountingTermStructure</v>
      </c>
      <c r="E15">
        <f>E14+1</f>
        <v>1</v>
      </c>
      <c r="F15" s="2">
        <v>38518</v>
      </c>
      <c r="G15" s="2">
        <v>40421</v>
      </c>
      <c r="H15">
        <v>4.6249999999999999E-2</v>
      </c>
      <c r="I15">
        <v>106.21875</v>
      </c>
      <c r="J15" t="str">
        <f>+_xll._Double_Range($J$13&amp;E15,I15)</f>
        <v>couponRates21</v>
      </c>
      <c r="K15" t="str">
        <f>+_xll._SimpleQuote1($I$13&amp;E15,I15)</f>
        <v>marketQuotes1</v>
      </c>
      <c r="L15" t="str">
        <f>+_xll._Schedule($L$13&amp;E15,F15,G15,$E$39,$E$38,"Unadjusted","Unadjusted","Backward",FALSE)</f>
        <v>schedule1</v>
      </c>
      <c r="M15" t="str">
        <f>+_xll._FixedRateBondHelper($M$13&amp;E15,K15,$B$5,100,L15,J15,$E$40,"Unadjusted",$B$11,F15,,,,"Unadjusted")</f>
        <v>bondhelper1</v>
      </c>
    </row>
    <row r="16" spans="1:13" x14ac:dyDescent="0.35">
      <c r="A16" t="s">
        <v>44</v>
      </c>
      <c r="B16" t="str">
        <f>+_xll._RateHelper_Range(A16,K22:K32)</f>
        <v>depoSwapInstruments</v>
      </c>
      <c r="E16">
        <f>E15+1</f>
        <v>2</v>
      </c>
      <c r="F16" s="2">
        <v>38928</v>
      </c>
      <c r="G16" s="2">
        <v>40421</v>
      </c>
      <c r="H16">
        <v>3.125E-2</v>
      </c>
      <c r="I16">
        <v>100.59375</v>
      </c>
      <c r="J16" t="str">
        <f>+_xll._Double_Range($J$13&amp;E16,I16)</f>
        <v>couponRates22</v>
      </c>
      <c r="K16" t="str">
        <f>+_xll._SimpleQuote1($I$13&amp;E16,I16)</f>
        <v>marketQuotes2</v>
      </c>
      <c r="L16" t="str">
        <f>+_xll._Schedule($L$13&amp;E16,F16,G16,$E$39,$E$38,"Unadjusted","Unadjusted","Backward",FALSE)</f>
        <v>schedule2</v>
      </c>
      <c r="M16" t="str">
        <f>+_xll._FixedRateBondHelper($M$13&amp;E16,K16,$B$5,100,L16,J16,$E$40,"Unadjusted",$B$11,F16,,,,"Unadjusted")</f>
        <v>bondhelper2</v>
      </c>
    </row>
    <row r="17" spans="1:13" x14ac:dyDescent="0.35">
      <c r="A17" t="s">
        <v>45</v>
      </c>
      <c r="B17" t="str">
        <f>+_xll._PiecewiseYieldCurve(A17,E42,B3,B16,E41,,,B12,E44)</f>
        <v>depoSwapTermStructure</v>
      </c>
      <c r="E17">
        <f>E16+1</f>
        <v>3</v>
      </c>
      <c r="F17" s="2">
        <v>37575</v>
      </c>
      <c r="G17" s="2">
        <v>43327</v>
      </c>
      <c r="H17">
        <v>0.04</v>
      </c>
      <c r="I17">
        <v>101.6875</v>
      </c>
      <c r="J17" t="str">
        <f>+_xll._Double_Range($J$13&amp;E17,I17)</f>
        <v>couponRates23</v>
      </c>
      <c r="K17" t="str">
        <f>+_xll._SimpleQuote1($I$13&amp;E17,I17)</f>
        <v>marketQuotes3</v>
      </c>
      <c r="L17" t="str">
        <f>+_xll._Schedule($L$13&amp;E17,F17,G17,$E$39,$E$38,"Unadjusted","Unadjusted","Backward",FALSE)</f>
        <v>schedule3</v>
      </c>
      <c r="M17" t="str">
        <f>+_xll._FixedRateBondHelper($M$13&amp;E17,K17,$B$5,100,L17,J17,$E$40,"Unadjusted",$B$11,F17,,,,"Unadjusted")</f>
        <v>bondhelper3</v>
      </c>
    </row>
    <row r="18" spans="1:13" x14ac:dyDescent="0.35">
      <c r="E18">
        <f>E17+1</f>
        <v>4</v>
      </c>
      <c r="F18" s="2">
        <v>31912</v>
      </c>
      <c r="G18" s="2">
        <v>50540</v>
      </c>
      <c r="H18">
        <v>4.4999999999999998E-2</v>
      </c>
      <c r="I18">
        <v>102.140625</v>
      </c>
      <c r="J18" t="str">
        <f>+_xll._Double_Range($J$13&amp;E18,I18)</f>
        <v>couponRates24</v>
      </c>
      <c r="K18" t="str">
        <f>+_xll._SimpleQuote1($I$13&amp;E18,I18)</f>
        <v>marketQuotes4</v>
      </c>
      <c r="L18" t="str">
        <f>+_xll._Schedule($L$13&amp;E18,F18,G18,$E$39,$E$38,"Unadjusted","Unadjusted","Backward",FALSE)</f>
        <v>schedule4</v>
      </c>
      <c r="M18" t="str">
        <f>+_xll._FixedRateBondHelper($M$13&amp;E18,K18,$B$5,100,L18,J18,$E$40,"Unadjusted",$B$11,F18,,,,"Unadjusted")</f>
        <v>bondhelper4</v>
      </c>
    </row>
    <row r="21" spans="1:13" x14ac:dyDescent="0.35">
      <c r="A21" s="5" t="s">
        <v>58</v>
      </c>
      <c r="E21" t="s">
        <v>25</v>
      </c>
      <c r="F21" t="s">
        <v>39</v>
      </c>
      <c r="G21" t="s">
        <v>40</v>
      </c>
      <c r="H21" t="s">
        <v>41</v>
      </c>
      <c r="I21" s="4" t="s">
        <v>43</v>
      </c>
      <c r="J21" t="s">
        <v>37</v>
      </c>
      <c r="K21" t="s">
        <v>38</v>
      </c>
    </row>
    <row r="22" spans="1:13" x14ac:dyDescent="0.35">
      <c r="A22" t="s">
        <v>46</v>
      </c>
      <c r="B22" t="str">
        <f>+_xll._Double(A22,C22)</f>
        <v>faceAmount</v>
      </c>
      <c r="C22">
        <v>100</v>
      </c>
      <c r="E22" t="s">
        <v>26</v>
      </c>
      <c r="F22">
        <v>1</v>
      </c>
      <c r="G22" t="s">
        <v>42</v>
      </c>
      <c r="H22" t="str">
        <f>+_xll._Period(E22,F22,G22)</f>
        <v>d1w</v>
      </c>
      <c r="I22">
        <v>4.3374999999999997E-2</v>
      </c>
      <c r="J22" t="str">
        <f>+_xll._SimpleQuote1("+"&amp;E22&amp;$I$21,I22)</f>
        <v>+d1wQuote</v>
      </c>
      <c r="K22" t="str">
        <f>+_xll._DepositRateHelper(E22&amp;$K$21,J22,H22,$B$4,$A$2,"ModifiedFollowing",TRUE,$E$43)</f>
        <v>d1wratehelpers</v>
      </c>
    </row>
    <row r="23" spans="1:13" x14ac:dyDescent="0.35">
      <c r="A23" t="s">
        <v>57</v>
      </c>
      <c r="B23" t="str">
        <f>+_xll._Double(A23,C23)</f>
        <v>RemptionAmount</v>
      </c>
      <c r="C23">
        <v>116.62</v>
      </c>
      <c r="E23" t="s">
        <v>27</v>
      </c>
      <c r="F23">
        <v>1</v>
      </c>
      <c r="G23" t="s">
        <v>7</v>
      </c>
      <c r="H23" t="str">
        <f>+_xll._Period(E23,F23,G23)</f>
        <v>d1m</v>
      </c>
      <c r="I23">
        <v>3.1875000000000001E-2</v>
      </c>
      <c r="J23" t="str">
        <f>+_xll._SimpleQuote1("+"&amp;E23&amp;$I$21,I23)</f>
        <v>+d1mQuote</v>
      </c>
      <c r="K23" t="str">
        <f>+_xll._DepositRateHelper(E23&amp;$K$21,J23,H23,$B$4,$A$2,"ModifiedFollowing",TRUE,$E$43)</f>
        <v>d1mratehelpers</v>
      </c>
    </row>
    <row r="24" spans="1:13" x14ac:dyDescent="0.35">
      <c r="A24" t="s">
        <v>47</v>
      </c>
      <c r="B24" t="str">
        <f>+_xll._DiscountingBondEngine(A24,B15,TRUE)</f>
        <v>bondEngine</v>
      </c>
      <c r="E24" t="s">
        <v>28</v>
      </c>
      <c r="F24">
        <v>3</v>
      </c>
      <c r="G24" t="s">
        <v>7</v>
      </c>
      <c r="H24" t="str">
        <f>+_xll._Period(E24,F24,G24)</f>
        <v>d3m</v>
      </c>
      <c r="I24">
        <v>3.2037499999999997E-2</v>
      </c>
      <c r="J24" t="str">
        <f>+_xll._SimpleQuote1("+"&amp;E24&amp;$I$21,I24)</f>
        <v>+d3mQuote</v>
      </c>
      <c r="K24" t="str">
        <f>+_xll._DepositRateHelper(E24&amp;$K$21,J24,H24,$B$4,$A$2,"ModifiedFollowing",TRUE,$E$43)</f>
        <v>d3mratehelpers</v>
      </c>
    </row>
    <row r="25" spans="1:13" x14ac:dyDescent="0.35">
      <c r="A25" t="s">
        <v>55</v>
      </c>
      <c r="B25" t="str">
        <f>+_xll._Date1(A25,C25)</f>
        <v>ZeroSettlementDate</v>
      </c>
      <c r="C25" s="2">
        <v>41501</v>
      </c>
      <c r="E25" t="s">
        <v>29</v>
      </c>
      <c r="F25">
        <v>6</v>
      </c>
      <c r="G25" t="s">
        <v>7</v>
      </c>
      <c r="H25" t="str">
        <f>+_xll._Period(E25,F25,G25)</f>
        <v>d6m</v>
      </c>
      <c r="I25">
        <v>3.3849999999999998E-2</v>
      </c>
      <c r="J25" t="str">
        <f>+_xll._SimpleQuote1("+"&amp;E25&amp;$I$21,I25)</f>
        <v>+d6mQuote</v>
      </c>
      <c r="K25" t="str">
        <f>+_xll._DepositRateHelper(E25&amp;$K$21,J25,H25,$B$4,$A$2,"ModifiedFollowing",TRUE,$E$43)</f>
        <v>d6mratehelpers</v>
      </c>
    </row>
    <row r="26" spans="1:13" x14ac:dyDescent="0.35">
      <c r="A26" t="s">
        <v>56</v>
      </c>
      <c r="B26" t="str">
        <f>+_xll._Date1(A26,C26)</f>
        <v>ZeroIssueDate</v>
      </c>
      <c r="C26" s="2">
        <v>37848</v>
      </c>
      <c r="E26" t="s">
        <v>30</v>
      </c>
      <c r="F26">
        <v>9</v>
      </c>
      <c r="G26" t="s">
        <v>7</v>
      </c>
      <c r="H26" t="str">
        <f>+_xll._Period(E26,F26,G26)</f>
        <v>d9m</v>
      </c>
      <c r="I26">
        <v>3.3812500000000002E-2</v>
      </c>
      <c r="J26" t="str">
        <f>+_xll._SimpleQuote1("+"&amp;E26&amp;$I$21,I26)</f>
        <v>+d9mQuote</v>
      </c>
      <c r="K26" t="str">
        <f>+_xll._DepositRateHelper(E26&amp;$K$21,J26,H26,$B$4,$A$2,"ModifiedFollowing",TRUE,$E$43)</f>
        <v>d9mratehelpers</v>
      </c>
    </row>
    <row r="27" spans="1:13" x14ac:dyDescent="0.35">
      <c r="A27" t="s">
        <v>54</v>
      </c>
      <c r="B27" t="str">
        <f>+_xll._ZeroCouponBond(A27,B5,B2,B22,B25,"Following",B23,C26,B24,B6)</f>
        <v>zeroCouponBond</v>
      </c>
      <c r="E27" t="s">
        <v>31</v>
      </c>
      <c r="F27">
        <v>1</v>
      </c>
      <c r="G27" t="s">
        <v>8</v>
      </c>
      <c r="H27" t="str">
        <f>+_xll._Period(E27,F27,G27)</f>
        <v>d1y</v>
      </c>
      <c r="I27">
        <v>3.3512500000000001E-2</v>
      </c>
      <c r="J27" t="str">
        <f>+_xll._SimpleQuote1("+"&amp;E27&amp;$I$21,I27)</f>
        <v>+d1yQuote</v>
      </c>
      <c r="K27" t="str">
        <f>+_xll._DepositRateHelper(E27&amp;$K$21,J27,H27,$B$4,$A$2,"ModifiedFollowing",TRUE,$E$43)</f>
        <v>d1yratehelpers</v>
      </c>
    </row>
    <row r="28" spans="1:13" x14ac:dyDescent="0.35">
      <c r="E28" t="s">
        <v>32</v>
      </c>
      <c r="F28">
        <v>2</v>
      </c>
      <c r="G28" t="s">
        <v>8</v>
      </c>
      <c r="H28" t="str">
        <f>+_xll._Period(E28,F28,G28)</f>
        <v>s2y</v>
      </c>
      <c r="I28">
        <v>2.9499999999999998E-2</v>
      </c>
      <c r="J28" t="str">
        <f>+_xll._SimpleQuote1("+"&amp;E28&amp;$I$21,I28)</f>
        <v>+s2yQuote</v>
      </c>
      <c r="K28" t="str">
        <f>+_xll._DepositRateHelper(E28&amp;$K$21,J28,H28,$B$4,$A$2,"ModifiedFollowing",TRUE,$E$43)</f>
        <v>s2yratehelpers</v>
      </c>
    </row>
    <row r="29" spans="1:13" x14ac:dyDescent="0.35">
      <c r="A29" s="5" t="s">
        <v>59</v>
      </c>
      <c r="E29" t="s">
        <v>33</v>
      </c>
      <c r="F29">
        <v>3</v>
      </c>
      <c r="G29" t="s">
        <v>8</v>
      </c>
      <c r="H29" t="str">
        <f>+_xll._Period(E29,F29,G29)</f>
        <v>s3y</v>
      </c>
      <c r="I29">
        <v>3.2300000000000002E-2</v>
      </c>
      <c r="J29" t="str">
        <f>+_xll._SimpleQuote1("+"&amp;E29&amp;$I$21,I29)</f>
        <v>+s3yQuote</v>
      </c>
      <c r="K29" t="str">
        <f>+_xll._DepositRateHelper(E29&amp;$K$21,J29,H29,$B$4,$A$2,"ModifiedFollowing",TRUE,$E$43)</f>
        <v>s3yratehelpers</v>
      </c>
    </row>
    <row r="30" spans="1:13" x14ac:dyDescent="0.35">
      <c r="A30" t="s">
        <v>65</v>
      </c>
      <c r="B30" t="str">
        <f>+_xll._Double(A30,C30)</f>
        <v>FixedRedemption</v>
      </c>
      <c r="C30">
        <v>100</v>
      </c>
      <c r="E30" t="s">
        <v>34</v>
      </c>
      <c r="F30">
        <v>5</v>
      </c>
      <c r="G30" t="s">
        <v>8</v>
      </c>
      <c r="H30" t="str">
        <f>+_xll._Period(E30,F30,G30)</f>
        <v>s5y</v>
      </c>
      <c r="I30">
        <v>3.5900000000000001E-2</v>
      </c>
      <c r="J30" t="str">
        <f>+_xll._SimpleQuote1("+"&amp;E30&amp;$I$21,I30)</f>
        <v>+s5yQuote</v>
      </c>
      <c r="K30" t="str">
        <f>+_xll._DepositRateHelper(E30&amp;$K$21,J30,H30,$B$4,$A$2,"ModifiedFollowing",TRUE,$E$43)</f>
        <v>s5yratehelpers</v>
      </c>
    </row>
    <row r="31" spans="1:13" x14ac:dyDescent="0.35">
      <c r="A31" t="s">
        <v>60</v>
      </c>
      <c r="B31" t="str">
        <f>+_xll._Date1(A31,C31)</f>
        <v>FixedSettlementDatte</v>
      </c>
      <c r="C31" s="2">
        <v>42870</v>
      </c>
      <c r="E31" t="s">
        <v>35</v>
      </c>
      <c r="F31">
        <v>10</v>
      </c>
      <c r="G31" t="s">
        <v>8</v>
      </c>
      <c r="H31" t="str">
        <f>+_xll._Period(E31,F31,G31)</f>
        <v>s10y</v>
      </c>
      <c r="I31">
        <v>4.1200000000000001E-2</v>
      </c>
      <c r="J31" t="str">
        <f>+_xll._SimpleQuote1("+"&amp;E31&amp;$I$21,I31)</f>
        <v>+s10yQuote</v>
      </c>
      <c r="K31" t="str">
        <f>+_xll._DepositRateHelper(E31&amp;$K$21,J31,H31,$B$4,$A$2,"ModifiedFollowing",TRUE,$E$43)</f>
        <v>s10yratehelpers</v>
      </c>
    </row>
    <row r="32" spans="1:13" x14ac:dyDescent="0.35">
      <c r="A32" t="s">
        <v>61</v>
      </c>
      <c r="B32" t="str">
        <f>+_xll._Date1(A32,C32)</f>
        <v>FixedIssueDate</v>
      </c>
      <c r="C32" s="2">
        <v>39217</v>
      </c>
      <c r="E32" t="s">
        <v>36</v>
      </c>
      <c r="F32">
        <v>15</v>
      </c>
      <c r="G32" t="s">
        <v>8</v>
      </c>
      <c r="H32" t="str">
        <f>+_xll._Period(E32,F32,G32)</f>
        <v>s15y</v>
      </c>
      <c r="I32">
        <v>4.3299999999999998E-2</v>
      </c>
      <c r="J32" t="str">
        <f>+_xll._SimpleQuote1("+"&amp;E32&amp;$I$21,I32)</f>
        <v>+s15yQuote</v>
      </c>
      <c r="K32" t="str">
        <f>+_xll._DepositRateHelper(E32&amp;$K$21,J32,H32,$B$4,$A$2,"ModifiedFollowing",TRUE,$E$43)</f>
        <v>s15yratehelpers</v>
      </c>
    </row>
    <row r="33" spans="1:10" x14ac:dyDescent="0.35">
      <c r="A33" t="s">
        <v>63</v>
      </c>
      <c r="B33" t="str">
        <f>+_xll._Schedule(A33,C32,C31,E39,B2,"Unadjusted","Unadjusted","Backward",FALSE)</f>
        <v>fixedBondSchedule</v>
      </c>
    </row>
    <row r="34" spans="1:10" x14ac:dyDescent="0.35">
      <c r="A34" t="s">
        <v>64</v>
      </c>
      <c r="B34" t="str">
        <f>+_xll._Double_Range(A34,C34)</f>
        <v>FixedRateCoupon</v>
      </c>
      <c r="C34" s="7">
        <v>4.4999999999999998E-2</v>
      </c>
    </row>
    <row r="35" spans="1:10" x14ac:dyDescent="0.35">
      <c r="A35" t="s">
        <v>62</v>
      </c>
      <c r="B35" t="str">
        <f>+_xll._FixedRateBond(A35,B5,B22,B33,B34,E40,"ModifiedFollowing",B30,B32,B2,,,,,B24,B6)</f>
        <v>FixedRateBond</v>
      </c>
    </row>
    <row r="37" spans="1:10" x14ac:dyDescent="0.35">
      <c r="A37" s="5" t="s">
        <v>66</v>
      </c>
      <c r="E37" t="s">
        <v>51</v>
      </c>
      <c r="H37" t="s">
        <v>71</v>
      </c>
      <c r="J37" t="str">
        <f>+_xll._USDLibor(H37,B38)</f>
        <v>USDLibor</v>
      </c>
    </row>
    <row r="38" spans="1:10" x14ac:dyDescent="0.35">
      <c r="A38" t="s">
        <v>67</v>
      </c>
      <c r="B38" t="str">
        <f>+_xll._Period(A38,3,"Months")</f>
        <v>libor3mPeriod</v>
      </c>
      <c r="E38" t="str">
        <f>+_xll._UnitedStates("US govi","GovernmentBond")</f>
        <v>USgovi</v>
      </c>
      <c r="H38" t="s">
        <v>68</v>
      </c>
      <c r="I38" t="s">
        <v>69</v>
      </c>
      <c r="J38" t="s">
        <v>70</v>
      </c>
    </row>
    <row r="39" spans="1:10" x14ac:dyDescent="0.35">
      <c r="A39" t="s">
        <v>72</v>
      </c>
      <c r="B39" t="str">
        <f>+_xll._Double(A39,C39)</f>
        <v>FloatRedemption</v>
      </c>
      <c r="C39">
        <v>100</v>
      </c>
      <c r="E39" t="str">
        <f>+_xll._Period2("Semiannual","Semiannual")</f>
        <v>Semiannual</v>
      </c>
      <c r="G39">
        <v>1</v>
      </c>
      <c r="H39" s="2">
        <v>39646</v>
      </c>
      <c r="I39">
        <v>2.7862499999999998E-2</v>
      </c>
      <c r="J39" t="str">
        <f>+_xll._USDLibor_addFixing($J$37&amp;G39,J37,_xll._Date1(Table7[[#Headers],[Fixing]]&amp;G39,Table7[[#This Row],[Date]]),Table7[[#This Row],[Value]],TRUE)</f>
        <v>USDLibor1</v>
      </c>
    </row>
    <row r="40" spans="1:10" x14ac:dyDescent="0.35">
      <c r="A40" t="s">
        <v>73</v>
      </c>
      <c r="B40" t="str">
        <f>+_xll._Date1(A40,C40)</f>
        <v>FloatSettlementDatte</v>
      </c>
      <c r="C40" s="2">
        <v>40472</v>
      </c>
      <c r="E40" t="str">
        <f>+_xll._ActualActual1("ActualActualBond","Bond")</f>
        <v>ActualActualBond</v>
      </c>
      <c r="H40" s="2"/>
    </row>
    <row r="41" spans="1:10" x14ac:dyDescent="0.35">
      <c r="A41" t="s">
        <v>74</v>
      </c>
      <c r="B41" t="str">
        <f>+_xll._Date1(A41,C41)</f>
        <v>FloatIssueDate</v>
      </c>
      <c r="C41" s="2">
        <v>38646</v>
      </c>
      <c r="E41" t="str">
        <f>+_xll._ActualActual1("termStructureDayCounter","ISDA")</f>
        <v>termStructureDayCounter</v>
      </c>
    </row>
    <row r="42" spans="1:10" x14ac:dyDescent="0.35">
      <c r="A42" t="s">
        <v>75</v>
      </c>
      <c r="B42" t="str">
        <f>+_xll._Double_Range(A42,C42)</f>
        <v>Gearing</v>
      </c>
      <c r="C42">
        <v>1</v>
      </c>
      <c r="E42" t="str">
        <f>+_xll._Discount("discount")</f>
        <v>discount</v>
      </c>
    </row>
    <row r="43" spans="1:10" x14ac:dyDescent="0.35">
      <c r="A43" t="s">
        <v>76</v>
      </c>
      <c r="B43" t="str">
        <f>+_xll._Double_Range(A43,C43)</f>
        <v>Spreads</v>
      </c>
      <c r="C43" s="7">
        <v>1E-3</v>
      </c>
      <c r="E43" t="str">
        <f>+_xll._Actual360("depositDayCounter")</f>
        <v>depositDayCounter</v>
      </c>
    </row>
    <row r="44" spans="1:10" x14ac:dyDescent="0.35">
      <c r="A44" t="s">
        <v>78</v>
      </c>
      <c r="B44" t="str">
        <f>+_xll._Schedule(A44,B41,B40,E49,B2,"Unadjusted","Unadjusted","Backward",FALSE)</f>
        <v>floatingBondSchedule</v>
      </c>
      <c r="E44" t="str">
        <f>+_xll._LogLinear("log linier")</f>
        <v>loglinier</v>
      </c>
    </row>
    <row r="45" spans="1:10" x14ac:dyDescent="0.35">
      <c r="A45" t="s">
        <v>77</v>
      </c>
      <c r="B45" t="str">
        <f>+_xll._FloatingRateBond2(A45,B5,B22,B44,J39,E48,"ModifiedFollowing",2,+B42,B43,,,TRUE,B39,B41,B24,B6)</f>
        <v>floatingRateBond</v>
      </c>
      <c r="E45" t="str">
        <f>+_xll._Thirty360("swFixedLegDayCounter","European")</f>
        <v>swFixedLegDayCounter</v>
      </c>
    </row>
    <row r="46" spans="1:10" x14ac:dyDescent="0.35">
      <c r="A46" t="s">
        <v>79</v>
      </c>
      <c r="B46" t="str">
        <f>+_xll._BlackIborCouponPricer(A46)</f>
        <v>#Object reference not set to an instance of an object.</v>
      </c>
      <c r="E46" t="str">
        <f>+_xll._Euribor6M1("swFloatingLegIndex")</f>
        <v>swFloatingLegIndex</v>
      </c>
    </row>
    <row r="47" spans="1:10" x14ac:dyDescent="0.35">
      <c r="A47" t="s">
        <v>80</v>
      </c>
      <c r="B47" t="str">
        <f>+_xll._Double(A47,C47)</f>
        <v>optionletvolitility</v>
      </c>
      <c r="C47">
        <v>0</v>
      </c>
      <c r="E47" t="str">
        <f>+_xll._Period("forwardStart",1,"Years")</f>
        <v>forwardStart</v>
      </c>
    </row>
    <row r="48" spans="1:10" x14ac:dyDescent="0.35">
      <c r="A48" t="s">
        <v>81</v>
      </c>
      <c r="B48" t="str">
        <f>+_xll._ConstantOptionletVolatility1(A48,B5,B2,"ModifiedFollowing",B47,E50)</f>
        <v>ConstantOptionletVolatility</v>
      </c>
      <c r="E48" t="str">
        <f>+_xll._Actual360("actual 360")</f>
        <v>actual360</v>
      </c>
    </row>
    <row r="49" spans="1:5" x14ac:dyDescent="0.35">
      <c r="A49" t="s">
        <v>82</v>
      </c>
      <c r="B49" t="str">
        <f>+_xll._FloatingRateBond_cashflows(A49,B45)</f>
        <v>floatingRateBondcashflows</v>
      </c>
      <c r="E49" t="str">
        <f>+_xll._Period2("Quarterly","Quarterly")</f>
        <v>Quarterly</v>
      </c>
    </row>
    <row r="50" spans="1:5" x14ac:dyDescent="0.35">
      <c r="B50" t="str">
        <f>+_xll._FloatingRateBond_SetCouponPricer(B45&amp;2,B45,B46)</f>
        <v>#Invalid FloatingRateCouponPricer_x000D_
Parameter name: #Object reference not set to an instance of an object.</v>
      </c>
      <c r="E50" t="str">
        <f>+_xll._Actual365Fixed("Actual365Fixed")</f>
        <v>Actual365Fixed</v>
      </c>
    </row>
    <row r="51" spans="1:5" x14ac:dyDescent="0.35">
      <c r="E51" s="6"/>
    </row>
    <row r="53" spans="1:5" x14ac:dyDescent="0.35">
      <c r="A53" s="5" t="s">
        <v>83</v>
      </c>
      <c r="B53" t="s">
        <v>91</v>
      </c>
      <c r="C53" t="s">
        <v>92</v>
      </c>
      <c r="D53" t="s">
        <v>93</v>
      </c>
    </row>
    <row r="54" spans="1:5" x14ac:dyDescent="0.35">
      <c r="A54" t="s">
        <v>84</v>
      </c>
      <c r="B54" t="str">
        <f>_xll._Instrument_NPV(B$53&amp;$A54,B27)</f>
        <v>ZeroNPV</v>
      </c>
      <c r="C54" t="str">
        <f>+_xll._Instrument_NPV(C$53&amp;$A54,B35)</f>
        <v>FixedNPV</v>
      </c>
      <c r="D54" t="str">
        <f>+_xll._Instrument_NPV(D$53&amp;$A54,B50)</f>
        <v>#Invalid Instrument_x000D_
Parameter name: #Invalid FloatingRateCouponPricer_x000D_
Parameter name: #Object reference not set to an instance of an object.</v>
      </c>
    </row>
    <row r="55" spans="1:5" x14ac:dyDescent="0.35">
      <c r="A55" t="s">
        <v>85</v>
      </c>
      <c r="B55" t="str">
        <f>+_xll._ZeroCouponBond_NPV("tt",B27)</f>
        <v>tt</v>
      </c>
    </row>
    <row r="56" spans="1:5" x14ac:dyDescent="0.35">
      <c r="A56" t="s">
        <v>86</v>
      </c>
    </row>
    <row r="57" spans="1:5" x14ac:dyDescent="0.35">
      <c r="A57" t="s">
        <v>87</v>
      </c>
    </row>
    <row r="58" spans="1:5" x14ac:dyDescent="0.35">
      <c r="A58" t="s">
        <v>88</v>
      </c>
    </row>
    <row r="59" spans="1:5" x14ac:dyDescent="0.35">
      <c r="A59" t="s">
        <v>89</v>
      </c>
    </row>
    <row r="60" spans="1:5" x14ac:dyDescent="0.35">
      <c r="A60" t="s">
        <v>90</v>
      </c>
    </row>
    <row r="61" spans="1:5" x14ac:dyDescent="0.35">
      <c r="B61" t="str">
        <f>+_xll._Value(B54)</f>
        <v>#...ZeroNPV</v>
      </c>
    </row>
    <row r="62" spans="1:5" x14ac:dyDescent="0.35">
      <c r="B62" t="str">
        <f>+_xll._Value(B55)</f>
        <v>#Specified method is not supported.</v>
      </c>
    </row>
  </sheetData>
  <pageMargins left="0.7" right="0.7" top="0.75" bottom="0.75" header="0.3" footer="0.3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482BC-B240-4698-9706-57ABB6FE50F9}">
  <dimension ref="A1"/>
  <sheetViews>
    <sheetView topLeftCell="C89" workbookViewId="0">
      <selection activeCell="H131" sqref="H131"/>
    </sheetView>
  </sheetViews>
  <sheetFormatPr defaultRowHeight="14.5" x14ac:dyDescent="0.35"/>
  <cols>
    <col min="1" max="35" width="27.2695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Channell</dc:creator>
  <cp:lastModifiedBy>Steve Channell</cp:lastModifiedBy>
  <dcterms:created xsi:type="dcterms:W3CDTF">2020-11-02T18:51:33Z</dcterms:created>
  <dcterms:modified xsi:type="dcterms:W3CDTF">2020-11-18T13:17:28Z</dcterms:modified>
</cp:coreProperties>
</file>