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hing\Desktop\"/>
    </mc:Choice>
  </mc:AlternateContent>
  <xr:revisionPtr revIDLastSave="0" documentId="13_ncr:1_{B21F44B8-9EC0-41A0-B744-1B9B9124C17A}" xr6:coauthVersionLast="47" xr6:coauthVersionMax="47" xr10:uidLastSave="{00000000-0000-0000-0000-000000000000}"/>
  <bookViews>
    <workbookView xWindow="-108" yWindow="-108" windowWidth="23256" windowHeight="12456" activeTab="1" xr2:uid="{B7BB73EC-0322-4104-925E-0B8682813215}"/>
  </bookViews>
  <sheets>
    <sheet name="INSTRUCTIONS" sheetId="6" r:id="rId1"/>
    <sheet name="Q#1" sheetId="1" r:id="rId2"/>
    <sheet name="Q#2" sheetId="2" r:id="rId3"/>
    <sheet name="Q#3" sheetId="3" r:id="rId4"/>
    <sheet name="Q#4" sheetId="4" r:id="rId5"/>
    <sheet name="Q#5" sheetId="5" r:id="rId6"/>
  </sheets>
  <externalReferences>
    <externalReference r:id="rId7"/>
  </externalReferenc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4" l="1"/>
  <c r="T74" i="3"/>
  <c r="D116" i="1"/>
  <c r="H105" i="1"/>
  <c r="D38" i="1"/>
  <c r="E38" i="1"/>
  <c r="F38" i="1"/>
  <c r="C38" i="1"/>
  <c r="G42" i="1"/>
  <c r="G43" i="1"/>
  <c r="G44" i="1"/>
  <c r="G45" i="1"/>
  <c r="G46" i="1"/>
  <c r="G47" i="1"/>
  <c r="G48" i="1"/>
  <c r="G49" i="1"/>
  <c r="G50" i="1"/>
  <c r="G51" i="1"/>
  <c r="G41" i="1"/>
  <c r="G35" i="1"/>
  <c r="G36" i="1"/>
  <c r="G37" i="1"/>
  <c r="G34" i="1"/>
  <c r="C124" i="1"/>
  <c r="D124" i="1"/>
  <c r="E124" i="1"/>
  <c r="F124" i="1"/>
  <c r="B124" i="1"/>
  <c r="C121" i="1"/>
  <c r="C122" i="1" s="1"/>
  <c r="C125" i="1" s="1"/>
  <c r="D121" i="1"/>
  <c r="D122" i="1" s="1"/>
  <c r="D125" i="1" s="1"/>
  <c r="E121" i="1"/>
  <c r="E122" i="1" s="1"/>
  <c r="E125" i="1" s="1"/>
  <c r="F121" i="1"/>
  <c r="F122" i="1" s="1"/>
  <c r="B121" i="1"/>
  <c r="B122" i="1" s="1"/>
  <c r="B117" i="1"/>
  <c r="C117" i="1"/>
  <c r="D117" i="1"/>
  <c r="E117" i="1"/>
  <c r="F117" i="1"/>
  <c r="C110" i="1"/>
  <c r="C111" i="1" s="1"/>
  <c r="D110" i="1"/>
  <c r="E110" i="1"/>
  <c r="F110" i="1"/>
  <c r="B110" i="1"/>
  <c r="B86" i="1" s="1"/>
  <c r="C109" i="1"/>
  <c r="C116" i="1" s="1"/>
  <c r="D109" i="1"/>
  <c r="E109" i="1"/>
  <c r="E112" i="1" s="1"/>
  <c r="F109" i="1"/>
  <c r="F116" i="1" s="1"/>
  <c r="B109" i="1"/>
  <c r="C104" i="1"/>
  <c r="D104" i="1"/>
  <c r="E104" i="1"/>
  <c r="F104" i="1"/>
  <c r="B104" i="1"/>
  <c r="C103" i="1"/>
  <c r="D103" i="1"/>
  <c r="E103" i="1"/>
  <c r="F103" i="1"/>
  <c r="B103" i="1"/>
  <c r="C102" i="1"/>
  <c r="D102" i="1"/>
  <c r="E102" i="1"/>
  <c r="F102" i="1"/>
  <c r="B102" i="1"/>
  <c r="C101" i="1"/>
  <c r="D101" i="1"/>
  <c r="E101" i="1"/>
  <c r="F101" i="1"/>
  <c r="B101" i="1"/>
  <c r="B100" i="1"/>
  <c r="C100" i="1"/>
  <c r="D100" i="1"/>
  <c r="E100" i="1"/>
  <c r="F100" i="1"/>
  <c r="C99" i="1"/>
  <c r="D99" i="1"/>
  <c r="E99" i="1"/>
  <c r="F99" i="1"/>
  <c r="B99" i="1"/>
  <c r="D94" i="1"/>
  <c r="E94" i="1"/>
  <c r="F94" i="1"/>
  <c r="C94" i="1"/>
  <c r="D97" i="1"/>
  <c r="E97" i="1"/>
  <c r="F97" i="1"/>
  <c r="C97" i="1"/>
  <c r="C96" i="1"/>
  <c r="D96" i="1"/>
  <c r="E96" i="1"/>
  <c r="F96" i="1"/>
  <c r="B96" i="1"/>
  <c r="C95" i="1"/>
  <c r="D95" i="1"/>
  <c r="H95" i="1" s="1"/>
  <c r="E95" i="1"/>
  <c r="F95" i="1"/>
  <c r="B95" i="1"/>
  <c r="C88" i="1"/>
  <c r="C107" i="1" s="1"/>
  <c r="D88" i="1"/>
  <c r="D107" i="1" s="1"/>
  <c r="E88" i="1"/>
  <c r="E107" i="1" s="1"/>
  <c r="F88" i="1"/>
  <c r="F107" i="1" s="1"/>
  <c r="F108" i="1" s="1"/>
  <c r="B88" i="1"/>
  <c r="B107" i="1" s="1"/>
  <c r="B108" i="1" s="1"/>
  <c r="C93" i="1"/>
  <c r="D93" i="1"/>
  <c r="E93" i="1"/>
  <c r="F93" i="1"/>
  <c r="B93" i="1"/>
  <c r="H93" i="1" s="1"/>
  <c r="D92" i="1"/>
  <c r="E92" i="1"/>
  <c r="F92" i="1"/>
  <c r="C92" i="1"/>
  <c r="I19" i="3"/>
  <c r="C99" i="4"/>
  <c r="C97" i="4"/>
  <c r="S93" i="4"/>
  <c r="R92" i="4"/>
  <c r="R91" i="4"/>
  <c r="R89" i="4"/>
  <c r="I89" i="4"/>
  <c r="H89" i="4"/>
  <c r="G89" i="4"/>
  <c r="F89" i="4"/>
  <c r="E89" i="4"/>
  <c r="D89" i="4"/>
  <c r="C89" i="4"/>
  <c r="R88" i="4"/>
  <c r="C83" i="4"/>
  <c r="C84" i="4" s="1"/>
  <c r="C85" i="4" s="1"/>
  <c r="R82" i="4"/>
  <c r="R81" i="4"/>
  <c r="D81" i="4"/>
  <c r="E81" i="4" s="1"/>
  <c r="F81" i="4" s="1"/>
  <c r="G81" i="4" s="1"/>
  <c r="H81" i="4" s="1"/>
  <c r="I81" i="4" s="1"/>
  <c r="J81" i="4" s="1"/>
  <c r="K81" i="4" s="1"/>
  <c r="L81" i="4" s="1"/>
  <c r="M81" i="4" s="1"/>
  <c r="N81" i="4" s="1"/>
  <c r="J30" i="4"/>
  <c r="K30" i="4" s="1"/>
  <c r="L30" i="4" s="1"/>
  <c r="M30" i="4" s="1"/>
  <c r="N30" i="4" s="1"/>
  <c r="C66" i="4"/>
  <c r="C64" i="4"/>
  <c r="M60" i="4"/>
  <c r="M59" i="4"/>
  <c r="M58" i="4"/>
  <c r="M56" i="4"/>
  <c r="M55" i="4"/>
  <c r="M49" i="4"/>
  <c r="M48" i="4"/>
  <c r="C62" i="4" s="1"/>
  <c r="D56" i="4"/>
  <c r="E56" i="4"/>
  <c r="F56" i="4"/>
  <c r="G56" i="4"/>
  <c r="H56" i="4"/>
  <c r="I56" i="4"/>
  <c r="C56" i="4"/>
  <c r="C50" i="4"/>
  <c r="C51" i="4" s="1"/>
  <c r="D48" i="4"/>
  <c r="E48" i="4" s="1"/>
  <c r="F48" i="4" s="1"/>
  <c r="G48" i="4" s="1"/>
  <c r="H48" i="4" s="1"/>
  <c r="I48" i="4" s="1"/>
  <c r="J48" i="4" s="1"/>
  <c r="I20" i="3"/>
  <c r="I21" i="3"/>
  <c r="I22" i="3"/>
  <c r="I23" i="3"/>
  <c r="I27" i="3"/>
  <c r="I24" i="3"/>
  <c r="I25" i="3"/>
  <c r="I26" i="3"/>
  <c r="B19" i="1"/>
  <c r="J19" i="3"/>
  <c r="K19" i="3"/>
  <c r="L19" i="3"/>
  <c r="J20" i="3"/>
  <c r="K20" i="3"/>
  <c r="L20" i="3"/>
  <c r="J21" i="3"/>
  <c r="K21" i="3"/>
  <c r="L21" i="3"/>
  <c r="J22" i="3"/>
  <c r="K22" i="3"/>
  <c r="L22" i="3"/>
  <c r="J23" i="3"/>
  <c r="K23" i="3"/>
  <c r="L23" i="3"/>
  <c r="J27" i="3"/>
  <c r="K27" i="3"/>
  <c r="L27" i="3"/>
  <c r="J24" i="3"/>
  <c r="K24" i="3"/>
  <c r="W24" i="3" s="1"/>
  <c r="L24" i="3"/>
  <c r="J25" i="3"/>
  <c r="K25" i="3"/>
  <c r="L25" i="3"/>
  <c r="J26" i="3"/>
  <c r="K26" i="3"/>
  <c r="L26" i="3"/>
  <c r="G19" i="3"/>
  <c r="H19" i="3"/>
  <c r="G20" i="3"/>
  <c r="H20" i="3"/>
  <c r="G21" i="3"/>
  <c r="H21" i="3"/>
  <c r="G22" i="3"/>
  <c r="H22" i="3"/>
  <c r="G23" i="3"/>
  <c r="H23" i="3"/>
  <c r="G27" i="3"/>
  <c r="H27" i="3"/>
  <c r="G24" i="3"/>
  <c r="H24" i="3"/>
  <c r="G25" i="3"/>
  <c r="H25" i="3"/>
  <c r="G26" i="3"/>
  <c r="H26" i="3"/>
  <c r="R90" i="4" l="1"/>
  <c r="O81" i="4"/>
  <c r="B125" i="1"/>
  <c r="C123" i="1"/>
  <c r="F125" i="1"/>
  <c r="F123" i="1"/>
  <c r="F111" i="1"/>
  <c r="E123" i="1"/>
  <c r="D123" i="1"/>
  <c r="E116" i="1"/>
  <c r="B114" i="1"/>
  <c r="F118" i="1"/>
  <c r="F119" i="1" s="1"/>
  <c r="F105" i="1"/>
  <c r="B112" i="1"/>
  <c r="F86" i="1"/>
  <c r="F87" i="1" s="1"/>
  <c r="F112" i="1"/>
  <c r="F113" i="1" s="1"/>
  <c r="D112" i="1"/>
  <c r="E113" i="1" s="1"/>
  <c r="C112" i="1"/>
  <c r="D86" i="1"/>
  <c r="D87" i="1" s="1"/>
  <c r="D105" i="1"/>
  <c r="D108" i="1"/>
  <c r="E86" i="1"/>
  <c r="E87" i="1" s="1"/>
  <c r="E108" i="1"/>
  <c r="C86" i="1"/>
  <c r="C105" i="1"/>
  <c r="C108" i="1"/>
  <c r="E111" i="1"/>
  <c r="B105" i="1"/>
  <c r="D111" i="1"/>
  <c r="E105" i="1"/>
  <c r="W26" i="3"/>
  <c r="W19" i="3"/>
  <c r="W27" i="3"/>
  <c r="W20" i="3"/>
  <c r="W23" i="3"/>
  <c r="R83" i="4"/>
  <c r="R86" i="4" s="1"/>
  <c r="C95" i="4"/>
  <c r="M57" i="4"/>
  <c r="C52" i="4"/>
  <c r="W25" i="3"/>
  <c r="W22" i="3"/>
  <c r="W21" i="3"/>
  <c r="D20" i="4"/>
  <c r="E118" i="1" l="1"/>
  <c r="E119" i="1" s="1"/>
  <c r="D113" i="1"/>
  <c r="F114" i="1"/>
  <c r="C87" i="1"/>
  <c r="C118" i="1"/>
  <c r="C119" i="1" s="1"/>
  <c r="C113" i="1"/>
  <c r="B113" i="1"/>
  <c r="E114" i="1"/>
  <c r="D118" i="1"/>
  <c r="D119" i="1" s="1"/>
  <c r="D114" i="1"/>
  <c r="C114" i="1"/>
  <c r="D50" i="4"/>
  <c r="D51" i="4" s="1"/>
  <c r="D83" i="4"/>
  <c r="R87" i="4"/>
  <c r="S94" i="4"/>
  <c r="D52" i="4"/>
  <c r="E20" i="4"/>
  <c r="E50" i="4" l="1"/>
  <c r="E51" i="4" s="1"/>
  <c r="E52" i="4" s="1"/>
  <c r="E83" i="4"/>
  <c r="D84" i="4"/>
  <c r="D85" i="4"/>
  <c r="F20" i="4"/>
  <c r="F50" i="4" l="1"/>
  <c r="F51" i="4" s="1"/>
  <c r="F52" i="4" s="1"/>
  <c r="F83" i="4"/>
  <c r="F84" i="4" s="1"/>
  <c r="F85" i="4" s="1"/>
  <c r="E84" i="4"/>
  <c r="E85" i="4"/>
  <c r="G20" i="4"/>
  <c r="G83" i="4" s="1"/>
  <c r="G84" i="4" s="1"/>
  <c r="G85" i="4" s="1"/>
  <c r="H20" i="4" l="1"/>
  <c r="G50" i="4"/>
  <c r="G51" i="4" s="1"/>
  <c r="G52" i="4" s="1"/>
  <c r="I20" i="4" l="1"/>
  <c r="H83" i="4"/>
  <c r="H84" i="4" s="1"/>
  <c r="H85" i="4" s="1"/>
  <c r="H50" i="4"/>
  <c r="H51" i="4" s="1"/>
  <c r="H52" i="4" s="1"/>
  <c r="I83" i="4" l="1"/>
  <c r="I84" i="4" s="1"/>
  <c r="I85" i="4" s="1"/>
  <c r="K20" i="4"/>
  <c r="L20" i="4" s="1"/>
  <c r="M20" i="4" s="1"/>
  <c r="N20" i="4" s="1"/>
  <c r="I50" i="4"/>
  <c r="I51" i="4" s="1"/>
  <c r="I52" i="4" s="1"/>
  <c r="M50" i="4" l="1"/>
  <c r="M53" i="4" s="1"/>
  <c r="M54" i="4" l="1"/>
  <c r="M61" i="4" s="1"/>
  <c r="M28" i="4"/>
  <c r="N28" i="4" s="1"/>
  <c r="J83" i="4"/>
  <c r="J84" i="4" s="1"/>
  <c r="J85" i="4" s="1"/>
  <c r="K83" i="4"/>
  <c r="K84" i="4" s="1"/>
  <c r="K85" i="4" s="1"/>
  <c r="L83" i="4"/>
  <c r="L84" i="4" s="1"/>
  <c r="L85" i="4" s="1"/>
  <c r="M83" i="4"/>
  <c r="M84" i="4" s="1"/>
  <c r="M85" i="4" s="1"/>
  <c r="N83" i="4"/>
  <c r="N84" i="4" s="1"/>
  <c r="N85" i="4" l="1"/>
  <c r="K28" i="4"/>
  <c r="C23" i="4"/>
  <c r="D23" i="4"/>
  <c r="E23" i="4"/>
  <c r="F23" i="4"/>
  <c r="G23" i="4"/>
  <c r="H23" i="4"/>
  <c r="I23" i="4"/>
  <c r="J23" i="4"/>
  <c r="K23" i="4"/>
  <c r="L23" i="4"/>
  <c r="M23" i="4"/>
  <c r="N23" i="4"/>
  <c r="C24" i="4"/>
  <c r="D24" i="4"/>
  <c r="E24" i="4"/>
  <c r="F24" i="4"/>
  <c r="G24" i="4"/>
  <c r="H24" i="4"/>
  <c r="I24" i="4"/>
  <c r="J24" i="4"/>
  <c r="K24" i="4"/>
  <c r="L24" i="4"/>
  <c r="M24" i="4"/>
  <c r="N24"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D28" i="4"/>
  <c r="E28" i="4"/>
  <c r="F28" i="4"/>
  <c r="G28" i="4"/>
  <c r="H28" i="4"/>
  <c r="I28" i="4"/>
  <c r="C29" i="4"/>
  <c r="D29" i="4"/>
  <c r="E29" i="4"/>
  <c r="F29" i="4"/>
  <c r="G29" i="4"/>
  <c r="H29" i="4"/>
  <c r="I29" i="4"/>
  <c r="J29" i="4"/>
  <c r="K29" i="4"/>
  <c r="L29" i="4"/>
  <c r="M29" i="4"/>
  <c r="N29" i="4"/>
  <c r="D33" i="4"/>
  <c r="E33" i="4"/>
  <c r="F33" i="4"/>
  <c r="G33" i="4"/>
  <c r="H33" i="4"/>
  <c r="I33" i="4"/>
  <c r="J33" i="4"/>
  <c r="K33" i="4"/>
  <c r="L33" i="4"/>
  <c r="M33" i="4"/>
  <c r="N33" i="4"/>
  <c r="D34" i="4"/>
  <c r="E34" i="4"/>
  <c r="F34" i="4"/>
  <c r="G34" i="4"/>
  <c r="H34" i="4"/>
  <c r="I34" i="4"/>
  <c r="J34" i="4"/>
  <c r="K34" i="4"/>
  <c r="L34" i="4"/>
  <c r="M34" i="4"/>
  <c r="N34" i="4"/>
  <c r="C54" i="4"/>
  <c r="D54" i="4"/>
  <c r="E54" i="4"/>
  <c r="F54" i="4"/>
  <c r="G54" i="4"/>
  <c r="H54" i="4"/>
  <c r="I54" i="4"/>
  <c r="C55" i="4"/>
  <c r="D55" i="4"/>
  <c r="E55" i="4"/>
  <c r="F55" i="4"/>
  <c r="G55" i="4"/>
  <c r="H55" i="4"/>
  <c r="I55" i="4"/>
  <c r="C58" i="4"/>
  <c r="D58" i="4"/>
  <c r="E58" i="4"/>
  <c r="F58" i="4"/>
  <c r="G58" i="4"/>
  <c r="H58" i="4"/>
  <c r="I58" i="4"/>
  <c r="J58" i="4"/>
  <c r="C59" i="4"/>
  <c r="D59" i="4"/>
  <c r="E59" i="4"/>
  <c r="F59" i="4"/>
  <c r="G59" i="4"/>
  <c r="H59" i="4"/>
  <c r="I59" i="4"/>
  <c r="J59" i="4"/>
  <c r="C61" i="4"/>
  <c r="C63" i="4"/>
  <c r="C65" i="4"/>
  <c r="C67" i="4"/>
  <c r="C87" i="4"/>
  <c r="D87" i="4"/>
  <c r="E87" i="4"/>
  <c r="F87" i="4"/>
  <c r="G87" i="4"/>
  <c r="H87" i="4"/>
  <c r="I87" i="4"/>
  <c r="J87" i="4"/>
  <c r="K87" i="4"/>
  <c r="L87" i="4"/>
  <c r="M87" i="4"/>
  <c r="N87" i="4"/>
  <c r="C88" i="4"/>
  <c r="D88" i="4"/>
  <c r="E88" i="4"/>
  <c r="F88" i="4"/>
  <c r="G88" i="4"/>
  <c r="H88" i="4"/>
  <c r="I88" i="4"/>
  <c r="J88" i="4"/>
  <c r="K88" i="4"/>
  <c r="L88" i="4"/>
  <c r="M88" i="4"/>
  <c r="N88" i="4"/>
  <c r="J89" i="4"/>
  <c r="K89" i="4"/>
  <c r="L89" i="4"/>
  <c r="M89" i="4"/>
  <c r="N89" i="4"/>
  <c r="C91" i="4"/>
  <c r="D91" i="4"/>
  <c r="E91" i="4"/>
  <c r="F91" i="4"/>
  <c r="G91" i="4"/>
  <c r="H91" i="4"/>
  <c r="I91" i="4"/>
  <c r="J91" i="4"/>
  <c r="K91" i="4"/>
  <c r="L91" i="4"/>
  <c r="M91" i="4"/>
  <c r="N91" i="4"/>
  <c r="O91" i="4"/>
  <c r="C92" i="4"/>
  <c r="D92" i="4"/>
  <c r="E92" i="4"/>
  <c r="F92" i="4"/>
  <c r="G92" i="4"/>
  <c r="H92" i="4"/>
  <c r="I92" i="4"/>
  <c r="J92" i="4"/>
  <c r="K92" i="4"/>
  <c r="L92" i="4"/>
  <c r="M92" i="4"/>
  <c r="N92" i="4"/>
  <c r="O92" i="4"/>
  <c r="C94" i="4"/>
  <c r="C96" i="4"/>
  <c r="C98" i="4"/>
  <c r="C100" i="4"/>
</calcChain>
</file>

<file path=xl/sharedStrings.xml><?xml version="1.0" encoding="utf-8"?>
<sst xmlns="http://schemas.openxmlformats.org/spreadsheetml/2006/main" count="313" uniqueCount="237">
  <si>
    <t xml:space="preserve">    Cash And Cash Equivalents</t>
  </si>
  <si>
    <t xml:space="preserve">    Short-Term Investments - Net</t>
  </si>
  <si>
    <t xml:space="preserve">    Trade And Other Receivables - Current - Net</t>
  </si>
  <si>
    <t xml:space="preserve">    Inventories - Net</t>
  </si>
  <si>
    <t xml:space="preserve">    Total Current Assets</t>
  </si>
  <si>
    <t xml:space="preserve"> Non-Current Assets</t>
  </si>
  <si>
    <t xml:space="preserve">    Property, Plant And Equipment - Net</t>
  </si>
  <si>
    <t xml:space="preserve">    Intangible Assets - Net</t>
  </si>
  <si>
    <t xml:space="preserve">    Deferred Tax Assets</t>
  </si>
  <si>
    <t xml:space="preserve">    Other Non-Current Assets</t>
  </si>
  <si>
    <t xml:space="preserve">    Total Non-Current Assets</t>
  </si>
  <si>
    <t xml:space="preserve">    Total Assets</t>
  </si>
  <si>
    <t xml:space="preserve"> Current Liabilities</t>
  </si>
  <si>
    <t xml:space="preserve">    Trade And Other Payables - Current</t>
  </si>
  <si>
    <t xml:space="preserve">    Current Portion Of Lease Liabilities</t>
  </si>
  <si>
    <t xml:space="preserve">    Income Tax Payable</t>
  </si>
  <si>
    <t xml:space="preserve">    Other Current Liabilities</t>
  </si>
  <si>
    <t xml:space="preserve">    Total Current Liabilities</t>
  </si>
  <si>
    <t xml:space="preserve"> Non-Current Liabilities</t>
  </si>
  <si>
    <t xml:space="preserve">    Non-Current Portion Of Lease Liabilities</t>
  </si>
  <si>
    <t xml:space="preserve">    Provisions For Employee Benefit Obligations - Non-Current</t>
  </si>
  <si>
    <t xml:space="preserve">    Total Non-Current Liabilities</t>
  </si>
  <si>
    <t xml:space="preserve">    Total Liabilities</t>
  </si>
  <si>
    <t xml:space="preserve"> Equity</t>
  </si>
  <si>
    <t xml:space="preserve">    Issued And Paid-Up Share Capital</t>
  </si>
  <si>
    <t xml:space="preserve">    Premium (Discount) On Share Capital</t>
  </si>
  <si>
    <t xml:space="preserve">    Retained Earnings (Deficits)</t>
  </si>
  <si>
    <t xml:space="preserve">    Total Liabilities And Equity</t>
  </si>
  <si>
    <t>RATIOS</t>
  </si>
  <si>
    <t>Revenue from Operation Growth (%)</t>
  </si>
  <si>
    <t>Gross Margin (%)</t>
  </si>
  <si>
    <t>Operating Margin (%)</t>
  </si>
  <si>
    <t>Total Asset Turnover (x)</t>
  </si>
  <si>
    <t>Cash Cycle (days)</t>
  </si>
  <si>
    <t xml:space="preserve">Working Capital </t>
  </si>
  <si>
    <t>Fixed Assets</t>
  </si>
  <si>
    <t>ROCE (%)</t>
  </si>
  <si>
    <t>Working Capital Changes</t>
  </si>
  <si>
    <t>Operating Profit</t>
  </si>
  <si>
    <t>Operating Cashflow</t>
  </si>
  <si>
    <t>Free Cashflow</t>
  </si>
  <si>
    <t>Interest Bearing Debt</t>
  </si>
  <si>
    <t>Net Interest Bearing Debt</t>
  </si>
  <si>
    <t>Short Term Investments / Assets</t>
  </si>
  <si>
    <t>Net Debt / Equity</t>
  </si>
  <si>
    <t>Account Receivable Days</t>
  </si>
  <si>
    <t>Inventory Days</t>
  </si>
  <si>
    <t>Account Payable Days</t>
  </si>
  <si>
    <t>STOCK</t>
  </si>
  <si>
    <t>PRICE (Bt)</t>
  </si>
  <si>
    <t>EPS Estimates (Bt/share)</t>
  </si>
  <si>
    <t>EPS Growth (%)</t>
  </si>
  <si>
    <t>PER (x)</t>
  </si>
  <si>
    <t>Price / Book Value (x)</t>
  </si>
  <si>
    <t>ROE (%)</t>
  </si>
  <si>
    <t>2023F</t>
  </si>
  <si>
    <t>2024F</t>
  </si>
  <si>
    <t>Bt Million</t>
  </si>
  <si>
    <t>2025F</t>
  </si>
  <si>
    <t>2026F</t>
  </si>
  <si>
    <t>Depreciation &amp; Amortization</t>
  </si>
  <si>
    <t>Share price (Bt)</t>
  </si>
  <si>
    <t>Number of shares (Million)</t>
  </si>
  <si>
    <t>Net Debt (Bt Million)</t>
  </si>
  <si>
    <t xml:space="preserve">Average Cost of Debt </t>
  </si>
  <si>
    <t>Tax Rate</t>
  </si>
  <si>
    <t>Market Risk Premium</t>
  </si>
  <si>
    <t>Beta</t>
  </si>
  <si>
    <t>Thailand 10Y Government Bond Yield</t>
  </si>
  <si>
    <t>Terminal Growth</t>
  </si>
  <si>
    <t>EXAMINATION: EQUITY ANALYSIS</t>
  </si>
  <si>
    <t>Time: 13.00 to 16.00</t>
  </si>
  <si>
    <t>Important:</t>
  </si>
  <si>
    <t xml:space="preserve">    Other Non-Current Financial Assets</t>
  </si>
  <si>
    <t xml:space="preserve">    Investment Properties - Net</t>
  </si>
  <si>
    <t xml:space="preserve">    Right-Of-Use Assets - Net</t>
  </si>
  <si>
    <t xml:space="preserve"> Liabilities</t>
  </si>
  <si>
    <t xml:space="preserve">    Current Portion Of Long-Term Debts</t>
  </si>
  <si>
    <t xml:space="preserve">    Non-Current Portion Of Long-Term Debts</t>
  </si>
  <si>
    <t xml:space="preserve">    Deferred Tax Liabilities</t>
  </si>
  <si>
    <t xml:space="preserve">    Authorised Share Capital</t>
  </si>
  <si>
    <t xml:space="preserve">    Other Components Of Equity</t>
  </si>
  <si>
    <t xml:space="preserve">    Equity Attributable To Owners Of The Parent</t>
  </si>
  <si>
    <t xml:space="preserve">    Non-Controlling Interests</t>
  </si>
  <si>
    <t xml:space="preserve">    Total Equity</t>
  </si>
  <si>
    <t xml:space="preserve"> Revenue</t>
  </si>
  <si>
    <t xml:space="preserve">    Revenue From Operations</t>
  </si>
  <si>
    <t xml:space="preserve">    Other Income</t>
  </si>
  <si>
    <t xml:space="preserve">    Total Revenue</t>
  </si>
  <si>
    <t xml:space="preserve"> Cost And Expenses</t>
  </si>
  <si>
    <t xml:space="preserve">    Costs</t>
  </si>
  <si>
    <t xml:space="preserve">    Selling And Administrative Expenses</t>
  </si>
  <si>
    <t xml:space="preserve">      Selling Expenses</t>
  </si>
  <si>
    <t xml:space="preserve">      Administrative Expenses</t>
  </si>
  <si>
    <t xml:space="preserve">    Total Cost And Expenses</t>
  </si>
  <si>
    <t xml:space="preserve">    Profit (Loss) Before Finance Costs And Income Tax Expense</t>
  </si>
  <si>
    <t xml:space="preserve">    Finance Costs</t>
  </si>
  <si>
    <t xml:space="preserve">    Income Tax Expense</t>
  </si>
  <si>
    <t xml:space="preserve">    Basic Earnings (Loss) Per Share (Baht/Share)</t>
  </si>
  <si>
    <t>NOPLAT</t>
  </si>
  <si>
    <t>Capital Employed</t>
  </si>
  <si>
    <t>2027F</t>
  </si>
  <si>
    <t>2028F</t>
  </si>
  <si>
    <t>2029F</t>
  </si>
  <si>
    <t>2030F</t>
  </si>
  <si>
    <t xml:space="preserve"> - Growth</t>
  </si>
  <si>
    <t>ANSWER 4.1</t>
  </si>
  <si>
    <t>ANSWER 4.2</t>
  </si>
  <si>
    <t>ANSWER 4.3</t>
  </si>
  <si>
    <t>ANSWER 4.4</t>
  </si>
  <si>
    <t>ANSWER 5.1</t>
  </si>
  <si>
    <t>ANSWER 5.2</t>
  </si>
  <si>
    <t>ANSWER 5.3</t>
  </si>
  <si>
    <t>ANSWER 5.4</t>
  </si>
  <si>
    <t>CU - MSF</t>
  </si>
  <si>
    <t xml:space="preserve">Use the downloaded excel file to write your answers. Use one sheet for one question. </t>
  </si>
  <si>
    <r>
      <t>Send your answer file as an attachment to</t>
    </r>
    <r>
      <rPr>
        <b/>
        <sz val="13.6"/>
        <color theme="1"/>
        <rFont val="Calibri"/>
        <family val="2"/>
      </rPr>
      <t xml:space="preserve"> </t>
    </r>
    <r>
      <rPr>
        <b/>
        <sz val="18"/>
        <color theme="1"/>
        <rFont val="Calibri"/>
        <family val="2"/>
      </rPr>
      <t xml:space="preserve">susheelnresearch@gmail.com. </t>
    </r>
  </si>
  <si>
    <t>There are 5 questions.</t>
  </si>
  <si>
    <t>Answers must be submitted no later than 16.05PM. I will send confirmation upon receipt via email.</t>
  </si>
  <si>
    <t>Do not link your file to any other file as it will not show up properly when I read.</t>
  </si>
  <si>
    <t>Date: 4th March 2024</t>
  </si>
  <si>
    <r>
      <t>Email subject should read "</t>
    </r>
    <r>
      <rPr>
        <b/>
        <sz val="16"/>
        <color theme="1"/>
        <rFont val="Calibri"/>
        <family val="2"/>
      </rPr>
      <t>CU-MSF Exam March 2024: Your Name</t>
    </r>
    <r>
      <rPr>
        <sz val="16"/>
        <color theme="1"/>
        <rFont val="Calibri"/>
        <family val="2"/>
      </rPr>
      <t xml:space="preserve">”. </t>
    </r>
  </si>
  <si>
    <t>GLOBAL</t>
  </si>
  <si>
    <t/>
  </si>
  <si>
    <t>SIAM GLOBAL HOUSE PUBLIC COMPANY LIMITED</t>
  </si>
  <si>
    <t>Baht Million</t>
  </si>
  <si>
    <t>INCOME STATEMENT</t>
  </si>
  <si>
    <t xml:space="preserve">      Revenue From Sales</t>
  </si>
  <si>
    <t xml:space="preserve">      Revenue From Rendering Services</t>
  </si>
  <si>
    <t xml:space="preserve">    Interest And Dividend Income</t>
  </si>
  <si>
    <t xml:space="preserve">    Other Expenses</t>
  </si>
  <si>
    <t xml:space="preserve">    Share Of Profit (Loss) From Investments (Equity Accounting Method)</t>
  </si>
  <si>
    <t xml:space="preserve">    Net Profit </t>
  </si>
  <si>
    <t>BALANCE SHEET</t>
  </si>
  <si>
    <t>Current Assets</t>
  </si>
  <si>
    <t xml:space="preserve">    Non-Current Portion Of Lease Receivables - Net</t>
  </si>
  <si>
    <t xml:space="preserve">    Long-Term Investments - Net</t>
  </si>
  <si>
    <t xml:space="preserve">    Investment In Subs., Associates &amp; JVs (Equity Accounting Method)</t>
  </si>
  <si>
    <t xml:space="preserve">    Bank Overdrafts And ST Borrowings</t>
  </si>
  <si>
    <t xml:space="preserve">    Accrued Expenses - Current</t>
  </si>
  <si>
    <t xml:space="preserve">    Other Non-Current Liabilities</t>
  </si>
  <si>
    <t>TRANSPORTATION</t>
  </si>
  <si>
    <t>AAV</t>
  </si>
  <si>
    <t>AOT</t>
  </si>
  <si>
    <t>BA</t>
  </si>
  <si>
    <t>BEM</t>
  </si>
  <si>
    <t>BTS</t>
  </si>
  <si>
    <t>KEX</t>
  </si>
  <si>
    <t>PRM</t>
  </si>
  <si>
    <t>SAV</t>
  </si>
  <si>
    <t>SJWD</t>
  </si>
  <si>
    <t>2Y, 23-25F</t>
  </si>
  <si>
    <t>Debt / Equity</t>
  </si>
  <si>
    <t>Note: Forecasts are sourced from a broker.</t>
  </si>
  <si>
    <t>Dividend Yields (%)</t>
  </si>
  <si>
    <t>PEG Ratio</t>
  </si>
  <si>
    <t>Sales</t>
  </si>
  <si>
    <t>Cash Cycle Days</t>
  </si>
  <si>
    <t>Capex</t>
  </si>
  <si>
    <t xml:space="preserve">Show calculations where required. I should be able to trace how you arrive at the answers. </t>
  </si>
  <si>
    <r>
      <t>Name your file as “</t>
    </r>
    <r>
      <rPr>
        <b/>
        <sz val="16"/>
        <color theme="1"/>
        <rFont val="Calibri"/>
        <family val="2"/>
      </rPr>
      <t>CU-MSF FirstName ID Number</t>
    </r>
    <r>
      <rPr>
        <sz val="16"/>
        <color theme="1"/>
        <rFont val="Calibri"/>
        <family val="2"/>
      </rPr>
      <t xml:space="preserve">”. For example: “CU-MSF Somchai 123456”. </t>
    </r>
  </si>
  <si>
    <t>Open book, calculators and internet access permitted. Scores will be given based on your understanding and the logic in arriving at answers and not necessarily based on the results themselves.</t>
  </si>
  <si>
    <t>EBIT</t>
  </si>
  <si>
    <t>Equity valuation by DCF</t>
  </si>
  <si>
    <t>Net debt</t>
  </si>
  <si>
    <t>Terminal Value</t>
  </si>
  <si>
    <t>Equity</t>
  </si>
  <si>
    <t>Total capital</t>
  </si>
  <si>
    <t xml:space="preserve"> - Tax</t>
  </si>
  <si>
    <t>EBIT after tax</t>
  </si>
  <si>
    <t>Cost of capital</t>
  </si>
  <si>
    <t>Weight of debt (Wd)</t>
  </si>
  <si>
    <t>Add: Depreciation and Amortization</t>
  </si>
  <si>
    <t>Weight of equity (We)</t>
  </si>
  <si>
    <t>Cost of debt</t>
  </si>
  <si>
    <t>CAPEX</t>
  </si>
  <si>
    <t>Tax rate</t>
  </si>
  <si>
    <t xml:space="preserve">Cost of equity </t>
  </si>
  <si>
    <t>Free cash flow to firm</t>
  </si>
  <si>
    <t>Risk-free rate (10Y govt bond yield)</t>
  </si>
  <si>
    <t>PV of FCFF</t>
  </si>
  <si>
    <t>PV of firm value</t>
  </si>
  <si>
    <t>Cost of capital (WACC)</t>
  </si>
  <si>
    <t>Less: Net debt</t>
  </si>
  <si>
    <t>PV of equity value</t>
  </si>
  <si>
    <t>Estimated share value</t>
  </si>
  <si>
    <t>Current share price</t>
  </si>
  <si>
    <t>Upside (Downside)</t>
  </si>
  <si>
    <t>From the calculation, we should sell the stock as it is overvalued and has a downside of -57%.</t>
  </si>
  <si>
    <t>2031F</t>
  </si>
  <si>
    <t>2032F</t>
  </si>
  <si>
    <t>2033F</t>
  </si>
  <si>
    <t>2034F</t>
  </si>
  <si>
    <t>2035F</t>
  </si>
  <si>
    <t>Extension of projection for Ans 4.3</t>
  </si>
  <si>
    <t>Depreciation &amp; Amortization / Fixed Assets</t>
  </si>
  <si>
    <t>; assume that cash cycle days stay the same at 30 days as we could see stable cash cycle days from the given assumptions</t>
  </si>
  <si>
    <t>Fixed Assets Turnover</t>
  </si>
  <si>
    <t>; assume that the fixed assets turnover of the firm will increase because if the firm moves towards becoming mature, then it will focus more on its asset utilization efficiency.</t>
  </si>
  <si>
    <t>; Depreciation and amortization rate stays the same as 7% of average fixed assets</t>
  </si>
  <si>
    <t>Operating profit margin</t>
  </si>
  <si>
    <t>Sales Growth %</t>
  </si>
  <si>
    <t>Interest rate directly impacts the cost of capital, which is one of the most important factors in valuation as the discount rate. When interest rate rises, a firm's cost of borrowing increases, leading to a higher cost of capital. The higher cost of capital then decreases the present value of future free cash flow to the firm (FCFF) causing the equity value or share price to fall.</t>
  </si>
  <si>
    <t>We should use P/E multiple or DCF valuation as these two approaches capture the future earning growth of the firm. The P/E multiple tells us how the market values a firm per unit of earnings and includes growth expectations indirectly through the price. On the other hand, the DCF valuation directly incorporates future earnings growth into its analysis by forecasting free cash flows and discounting them to compute for share price.</t>
  </si>
  <si>
    <t>We commonly use the 12M Forward EPS estimate because it provides a more up-to-date and future-oriented perspective of the company's potential earnings compared to the past performance reflected in the fiscal year forecast. Moreover, the P/E Ratio is particularly effective for valuing or pricing growth stocks, making the 12M Forward EPS more suitable due to its more forward-looking nature.</t>
  </si>
  <si>
    <t>The 10-year government bond yield is considered a risk-free rate due to its very low default risk. Additionally, the 10-year horizon is widely used for several reasons:</t>
  </si>
  <si>
    <t>1) 10-year government bond market is typically highly liquid and actively traded.</t>
  </si>
  <si>
    <t>2) 10-year bonds offer a sufficiently long time horizon to accommodate the typical holding period of most investors</t>
  </si>
  <si>
    <t>Depreciation and amortization (7% of fixed assets)</t>
  </si>
  <si>
    <t>Effective tax rate</t>
  </si>
  <si>
    <t>SG&amp;A expenses / sales</t>
  </si>
  <si>
    <t>SG&amp;A expenses growth</t>
  </si>
  <si>
    <t>Cost growth</t>
  </si>
  <si>
    <t>; Sales/Average Assets</t>
  </si>
  <si>
    <t>; 365*Average AR/Sales</t>
  </si>
  <si>
    <t>; 365*Average Inventories/COGS</t>
  </si>
  <si>
    <t>Inventory Turnover</t>
  </si>
  <si>
    <t>; 365*Average AP/COGS</t>
  </si>
  <si>
    <t>Account Payable Turnover</t>
  </si>
  <si>
    <t>NOPLAT Margin</t>
  </si>
  <si>
    <t>; AR + invt - AP</t>
  </si>
  <si>
    <t>; PPE  + intangibles + LT lease + GW</t>
  </si>
  <si>
    <t>Fixed Assets Growth</t>
  </si>
  <si>
    <t>Capital Employed Turnover</t>
  </si>
  <si>
    <t>; Working cap + fixed assets</t>
  </si>
  <si>
    <t>; NOPAT/average capital employed</t>
  </si>
  <si>
    <t>; NOPLAT + depreciation + working cap changes</t>
  </si>
  <si>
    <t>; Operating cashflow - CAPEX</t>
  </si>
  <si>
    <t>Net Interest Bearing Debt Growth</t>
  </si>
  <si>
    <t>Average</t>
  </si>
  <si>
    <t>Expected EPS</t>
  </si>
  <si>
    <t>P/E</t>
  </si>
  <si>
    <t xml:space="preserve">Price </t>
  </si>
  <si>
    <t xml:space="preserve"> - CAPEX becomes closer to depreciation and amortization which implies steady state of the fitm</t>
  </si>
  <si>
    <t>In my opinion, if the forecasted operating profit growth of this firm is fair, then decreasing the forecasted growth from 20% y-o-y in 2030F to only 4% y-o-y as the terminal growth is not reasonable. The difference between the forecast growth in 2030F and terminal growth is too large. This can lead to an underestimated share price from the DCF model as we assume that the FCFF growth of the firm drops sharply to 4% y-o-y permanently. To solve this case, we should extend the valuation period until the gap between forecast growth in the terminal year and terminal growth is not too far from each other.</t>
  </si>
  <si>
    <t>From the calculation, we can see that the estimated share price increases after we extend the valuation period. However, we should still sell the stock as it is overvalued and has a downside of -28%.</t>
  </si>
  <si>
    <t>I extend the projection period from 2030F to 2035F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</si>
</sst>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_(* \(#,##0\);_(* &quot;-&quot;??_);_(@_)"/>
    <numFmt numFmtId="165" formatCode="_(* #,##0.0_);_(* \(#,##0.0\);_(* &quot;-&quot;??_);_(@_)"/>
    <numFmt numFmtId="166" formatCode="0.0%"/>
    <numFmt numFmtId="167" formatCode="0.00_);[Red]\(0.00\)"/>
    <numFmt numFmtId="168" formatCode="0.00_);\(0.00\)"/>
    <numFmt numFmtId="169" formatCode="0.000%"/>
    <numFmt numFmtId="170" formatCode="0.0_);\(0.0\)"/>
    <numFmt numFmtId="171" formatCode="_(* #,##0.0_);_(* \(#,##0.0\);_(* &quot;-&quot;?_);_(@_)"/>
  </numFmts>
  <fonts count="34" x14ac:knownFonts="1">
    <font>
      <sz val="11"/>
      <color theme="1"/>
      <name val="Calibri"/>
      <family val="2"/>
    </font>
    <font>
      <sz val="11"/>
      <color theme="1"/>
      <name val="Calibri"/>
      <family val="2"/>
    </font>
    <font>
      <b/>
      <sz val="12"/>
      <color theme="1"/>
      <name val="Calibri"/>
      <family val="2"/>
      <scheme val="minor"/>
    </font>
    <font>
      <sz val="11"/>
      <color theme="1"/>
      <name val="Calibri"/>
      <family val="2"/>
      <scheme val="minor"/>
    </font>
    <font>
      <sz val="11"/>
      <color rgb="FF000000"/>
      <name val="Calibri"/>
      <family val="2"/>
    </font>
    <font>
      <sz val="14"/>
      <color theme="1"/>
      <name val="Calibri"/>
      <family val="2"/>
    </font>
    <font>
      <sz val="9"/>
      <color rgb="FF444746"/>
      <name val="Roboto"/>
    </font>
    <font>
      <sz val="12"/>
      <color theme="1"/>
      <name val="Calibri"/>
      <family val="2"/>
    </font>
    <font>
      <b/>
      <sz val="12"/>
      <color rgb="FF000000"/>
      <name val="Calibri"/>
      <family val="2"/>
    </font>
    <font>
      <sz val="12"/>
      <color rgb="FF000000"/>
      <name val="Calibri"/>
      <family val="2"/>
    </font>
    <font>
      <sz val="12"/>
      <color rgb="FFFF0000"/>
      <name val="Calibri"/>
      <family val="2"/>
    </font>
    <font>
      <sz val="8"/>
      <name val="Calibri"/>
      <family val="2"/>
    </font>
    <font>
      <b/>
      <sz val="12"/>
      <color rgb="FF00B0F0"/>
      <name val="Calibri"/>
      <family val="2"/>
    </font>
    <font>
      <sz val="16"/>
      <color theme="1"/>
      <name val="Calibri"/>
      <family val="2"/>
    </font>
    <font>
      <b/>
      <sz val="16"/>
      <color theme="1"/>
      <name val="Calibri"/>
      <family val="2"/>
    </font>
    <font>
      <b/>
      <sz val="13.6"/>
      <color theme="1"/>
      <name val="Calibri"/>
      <family val="2"/>
    </font>
    <font>
      <b/>
      <sz val="18"/>
      <color theme="1"/>
      <name val="Calibri"/>
      <family val="2"/>
    </font>
    <font>
      <sz val="11"/>
      <color rgb="FF1F1F1F"/>
      <name val="Roboto"/>
    </font>
    <font>
      <b/>
      <sz val="12"/>
      <name val="Calibri"/>
      <family val="2"/>
      <scheme val="minor"/>
    </font>
    <font>
      <sz val="9"/>
      <color rgb="FF000000"/>
      <name val="Courier New"/>
      <family val="3"/>
    </font>
    <font>
      <b/>
      <sz val="14"/>
      <color theme="1"/>
      <name val="Calibri"/>
      <family val="2"/>
      <scheme val="minor"/>
    </font>
    <font>
      <sz val="14"/>
      <color theme="1"/>
      <name val="Calibri"/>
      <family val="2"/>
      <scheme val="minor"/>
    </font>
    <font>
      <b/>
      <sz val="14"/>
      <color theme="1"/>
      <name val="Calibri"/>
      <family val="2"/>
    </font>
    <font>
      <sz val="14"/>
      <name val="Calibri"/>
      <family val="2"/>
      <scheme val="minor"/>
    </font>
    <font>
      <i/>
      <sz val="12"/>
      <color theme="1"/>
      <name val="Calibri"/>
      <family val="2"/>
    </font>
    <font>
      <sz val="12"/>
      <name val="Calibri"/>
      <family val="2"/>
    </font>
    <font>
      <sz val="12"/>
      <color theme="1"/>
      <name val="Calibri"/>
      <family val="2"/>
      <scheme val="minor"/>
    </font>
    <font>
      <b/>
      <sz val="12"/>
      <color theme="1"/>
      <name val="Calibri"/>
      <family val="2"/>
    </font>
    <font>
      <b/>
      <i/>
      <sz val="12"/>
      <name val="Calibri"/>
      <family val="2"/>
    </font>
    <font>
      <b/>
      <sz val="12"/>
      <color rgb="FFFF0000"/>
      <name val="Calibri"/>
      <family val="2"/>
    </font>
    <font>
      <sz val="12"/>
      <color rgb="FF0070C0"/>
      <name val="Calibri"/>
      <family val="2"/>
    </font>
    <font>
      <sz val="12"/>
      <color rgb="FF000000"/>
      <name val="Calibri"/>
      <family val="2"/>
      <scheme val="minor"/>
    </font>
    <font>
      <sz val="12"/>
      <name val="Calibri"/>
      <family val="2"/>
      <scheme val="minor"/>
    </font>
    <font>
      <sz val="12"/>
      <color rgb="FF7030A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2F2F2"/>
        <bgColor rgb="FFF2F2F2"/>
      </patternFill>
    </fill>
    <fill>
      <patternFill patternType="solid">
        <fgColor rgb="FFFFC000"/>
        <bgColor indexed="64"/>
      </patternFill>
    </fill>
    <fill>
      <patternFill patternType="solid">
        <fgColor theme="5" tint="0.79998168889431442"/>
        <bgColor indexed="64"/>
      </patternFill>
    </fill>
  </fills>
  <borders count="17">
    <border>
      <left/>
      <right/>
      <top/>
      <bottom/>
      <diagonal/>
    </border>
    <border>
      <left style="medium">
        <color indexed="64"/>
      </left>
      <right/>
      <top/>
      <bottom/>
      <diagonal/>
    </border>
    <border>
      <left style="medium">
        <color indexed="64"/>
      </left>
      <right/>
      <top/>
      <bottom style="medium">
        <color theme="3" tint="0.59999389629810485"/>
      </bottom>
      <diagonal/>
    </border>
    <border>
      <left/>
      <right/>
      <top/>
      <bottom style="medium">
        <color theme="3" tint="0.59999389629810485"/>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183">
    <xf numFmtId="0" fontId="0" fillId="0" borderId="0" xfId="0"/>
    <xf numFmtId="0" fontId="2" fillId="0" borderId="0" xfId="0" applyFont="1"/>
    <xf numFmtId="164" fontId="2" fillId="0" borderId="0" xfId="1" applyNumberFormat="1" applyFont="1"/>
    <xf numFmtId="0" fontId="5" fillId="0" borderId="0" xfId="0" applyFont="1" applyAlignment="1">
      <alignment vertical="center"/>
    </xf>
    <xf numFmtId="0" fontId="5" fillId="0" borderId="0" xfId="0" applyFont="1"/>
    <xf numFmtId="0" fontId="6" fillId="0" borderId="0" xfId="0" applyFont="1" applyAlignment="1">
      <alignment horizontal="left" vertical="center"/>
    </xf>
    <xf numFmtId="0" fontId="4" fillId="0" borderId="0" xfId="0" applyFont="1"/>
    <xf numFmtId="0" fontId="7" fillId="0" borderId="0" xfId="0" applyFont="1"/>
    <xf numFmtId="0" fontId="8" fillId="0" borderId="0" xfId="0" applyFont="1" applyAlignment="1">
      <alignment horizontal="right"/>
    </xf>
    <xf numFmtId="0" fontId="9" fillId="0" borderId="0" xfId="0" applyFont="1" applyAlignment="1">
      <alignment horizontal="left" vertical="center"/>
    </xf>
    <xf numFmtId="164" fontId="9" fillId="0" borderId="0" xfId="1" applyNumberFormat="1" applyFont="1" applyBorder="1" applyAlignment="1">
      <alignment horizontal="right"/>
    </xf>
    <xf numFmtId="0" fontId="9" fillId="0" borderId="0" xfId="0" applyFont="1" applyAlignment="1">
      <alignment vertical="center"/>
    </xf>
    <xf numFmtId="0" fontId="7" fillId="0" borderId="0" xfId="0" applyFont="1" applyAlignment="1">
      <alignment horizontal="left"/>
    </xf>
    <xf numFmtId="3" fontId="9" fillId="0" borderId="0" xfId="0" applyNumberFormat="1" applyFont="1" applyAlignment="1">
      <alignment vertical="center"/>
    </xf>
    <xf numFmtId="10" fontId="9" fillId="0" borderId="0" xfId="0" applyNumberFormat="1" applyFont="1" applyAlignment="1">
      <alignment vertical="center"/>
    </xf>
    <xf numFmtId="0" fontId="7" fillId="0" borderId="0" xfId="0" applyFont="1" applyAlignment="1">
      <alignment horizontal="left" vertical="center"/>
    </xf>
    <xf numFmtId="43" fontId="9" fillId="0" borderId="0" xfId="1" applyFont="1" applyAlignment="1">
      <alignment vertical="center"/>
    </xf>
    <xf numFmtId="9" fontId="9" fillId="0" borderId="0" xfId="0" applyNumberFormat="1" applyFont="1" applyAlignment="1">
      <alignment vertical="center"/>
    </xf>
    <xf numFmtId="0" fontId="10" fillId="0" borderId="0" xfId="0" applyFont="1" applyAlignment="1">
      <alignment horizontal="left" vertical="center"/>
    </xf>
    <xf numFmtId="0" fontId="12" fillId="0" borderId="0" xfId="0" applyFont="1"/>
    <xf numFmtId="0" fontId="0" fillId="0" borderId="0" xfId="0" applyAlignment="1">
      <alignment vertical="center"/>
    </xf>
    <xf numFmtId="0" fontId="14" fillId="0" borderId="0" xfId="0" applyFont="1" applyAlignment="1">
      <alignment vertical="center"/>
    </xf>
    <xf numFmtId="0" fontId="17" fillId="0" borderId="0" xfId="0" applyFont="1" applyAlignment="1">
      <alignment horizontal="center" vertical="center"/>
    </xf>
    <xf numFmtId="0" fontId="13" fillId="0" borderId="0" xfId="0" applyFont="1" applyAlignment="1">
      <alignment horizontal="left" vertical="center"/>
    </xf>
    <xf numFmtId="0" fontId="18" fillId="0" borderId="1" xfId="0" applyFont="1" applyBorder="1"/>
    <xf numFmtId="0" fontId="18" fillId="0" borderId="0" xfId="0" applyFont="1"/>
    <xf numFmtId="0" fontId="19" fillId="0" borderId="0" xfId="0" applyFont="1" applyAlignment="1">
      <alignment horizontal="left" vertical="center" indent="1"/>
    </xf>
    <xf numFmtId="0" fontId="20" fillId="0" borderId="4" xfId="3" applyFont="1" applyBorder="1"/>
    <xf numFmtId="0" fontId="21" fillId="0" borderId="0" xfId="3" applyFont="1"/>
    <xf numFmtId="0" fontId="22" fillId="3" borderId="9" xfId="3" applyFont="1" applyFill="1" applyBorder="1" applyAlignment="1">
      <alignment horizontal="right"/>
    </xf>
    <xf numFmtId="0" fontId="22" fillId="3" borderId="10" xfId="3" applyFont="1" applyFill="1" applyBorder="1" applyAlignment="1">
      <alignment horizontal="right"/>
    </xf>
    <xf numFmtId="0" fontId="22" fillId="3" borderId="7" xfId="3" applyFont="1" applyFill="1" applyBorder="1" applyAlignment="1">
      <alignment horizontal="right"/>
    </xf>
    <xf numFmtId="0" fontId="23" fillId="0" borderId="6" xfId="0" applyFont="1" applyBorder="1"/>
    <xf numFmtId="170" fontId="23" fillId="0" borderId="6" xfId="1" applyNumberFormat="1" applyFont="1" applyFill="1" applyBorder="1" applyAlignment="1">
      <alignment horizontal="right"/>
    </xf>
    <xf numFmtId="170" fontId="23" fillId="0" borderId="0" xfId="1" applyNumberFormat="1" applyFont="1" applyFill="1" applyBorder="1" applyAlignment="1">
      <alignment horizontal="right"/>
    </xf>
    <xf numFmtId="170" fontId="23" fillId="0" borderId="4" xfId="1" applyNumberFormat="1" applyFont="1" applyFill="1" applyBorder="1" applyAlignment="1">
      <alignment horizontal="right"/>
    </xf>
    <xf numFmtId="165" fontId="21" fillId="0" borderId="0" xfId="1" applyNumberFormat="1" applyFont="1" applyFill="1" applyBorder="1" applyAlignment="1">
      <alignment horizontal="right"/>
    </xf>
    <xf numFmtId="165" fontId="21" fillId="0" borderId="4" xfId="1" applyNumberFormat="1" applyFont="1" applyFill="1" applyBorder="1" applyAlignment="1">
      <alignment horizontal="right"/>
    </xf>
    <xf numFmtId="170" fontId="23" fillId="0" borderId="4" xfId="0" applyNumberFormat="1" applyFont="1" applyBorder="1"/>
    <xf numFmtId="168" fontId="23" fillId="0" borderId="4" xfId="1" applyNumberFormat="1" applyFont="1" applyFill="1" applyBorder="1" applyAlignment="1">
      <alignment horizontal="right"/>
    </xf>
    <xf numFmtId="0" fontId="21" fillId="0" borderId="0" xfId="0" applyFont="1"/>
    <xf numFmtId="9" fontId="23" fillId="0" borderId="6" xfId="2" applyFont="1" applyFill="1" applyBorder="1" applyAlignment="1">
      <alignment horizontal="right"/>
    </xf>
    <xf numFmtId="9" fontId="23" fillId="0" borderId="0" xfId="2" applyFont="1" applyFill="1" applyBorder="1" applyAlignment="1">
      <alignment horizontal="right"/>
    </xf>
    <xf numFmtId="0" fontId="22" fillId="3" borderId="8" xfId="3" applyFont="1" applyFill="1" applyBorder="1" applyAlignment="1">
      <alignment horizontal="right"/>
    </xf>
    <xf numFmtId="9" fontId="23" fillId="0" borderId="5" xfId="2" applyFont="1" applyFill="1" applyBorder="1" applyAlignment="1">
      <alignment horizontal="right"/>
    </xf>
    <xf numFmtId="0" fontId="24" fillId="0" borderId="0" xfId="0" applyFont="1"/>
    <xf numFmtId="170" fontId="23" fillId="0" borderId="0" xfId="0" applyNumberFormat="1" applyFont="1"/>
    <xf numFmtId="43" fontId="23" fillId="0" borderId="0" xfId="1" applyFont="1" applyFill="1" applyBorder="1" applyAlignment="1">
      <alignment horizontal="right"/>
    </xf>
    <xf numFmtId="10" fontId="23" fillId="0" borderId="0" xfId="1" applyNumberFormat="1" applyFont="1" applyFill="1" applyBorder="1" applyAlignment="1">
      <alignment horizontal="right"/>
    </xf>
    <xf numFmtId="164" fontId="7" fillId="0" borderId="0" xfId="1" applyNumberFormat="1" applyFont="1"/>
    <xf numFmtId="170" fontId="23" fillId="0" borderId="12" xfId="0" applyNumberFormat="1" applyFont="1" applyBorder="1"/>
    <xf numFmtId="170" fontId="23" fillId="0" borderId="13" xfId="0" applyNumberFormat="1" applyFont="1" applyBorder="1"/>
    <xf numFmtId="170" fontId="23" fillId="0" borderId="14" xfId="0" applyNumberFormat="1" applyFont="1" applyBorder="1"/>
    <xf numFmtId="170" fontId="23" fillId="0" borderId="6" xfId="0" applyNumberFormat="1" applyFont="1" applyBorder="1"/>
    <xf numFmtId="43" fontId="23" fillId="0" borderId="6" xfId="1" applyFont="1" applyFill="1" applyBorder="1" applyAlignment="1">
      <alignment horizontal="right"/>
    </xf>
    <xf numFmtId="43" fontId="23" fillId="0" borderId="4" xfId="1" applyFont="1" applyFill="1" applyBorder="1" applyAlignment="1">
      <alignment horizontal="right"/>
    </xf>
    <xf numFmtId="10" fontId="23" fillId="0" borderId="6" xfId="1" applyNumberFormat="1" applyFont="1" applyFill="1" applyBorder="1" applyAlignment="1">
      <alignment horizontal="right"/>
    </xf>
    <xf numFmtId="10" fontId="23" fillId="0" borderId="4" xfId="1" applyNumberFormat="1" applyFont="1" applyFill="1" applyBorder="1" applyAlignment="1">
      <alignment horizontal="right"/>
    </xf>
    <xf numFmtId="167" fontId="23" fillId="0" borderId="0" xfId="0" applyNumberFormat="1" applyFont="1"/>
    <xf numFmtId="43" fontId="21" fillId="0" borderId="4" xfId="1" applyFont="1" applyBorder="1"/>
    <xf numFmtId="0" fontId="23" fillId="0" borderId="9" xfId="0" applyFont="1" applyBorder="1"/>
    <xf numFmtId="167" fontId="23" fillId="0" borderId="10" xfId="0" applyNumberFormat="1" applyFont="1" applyBorder="1"/>
    <xf numFmtId="170" fontId="23" fillId="0" borderId="9" xfId="1" applyNumberFormat="1" applyFont="1" applyFill="1" applyBorder="1" applyAlignment="1">
      <alignment horizontal="right"/>
    </xf>
    <xf numFmtId="170" fontId="23" fillId="0" borderId="10" xfId="1" applyNumberFormat="1" applyFont="1" applyFill="1" applyBorder="1" applyAlignment="1">
      <alignment horizontal="right"/>
    </xf>
    <xf numFmtId="170" fontId="23" fillId="0" borderId="7" xfId="1" applyNumberFormat="1" applyFont="1" applyFill="1" applyBorder="1" applyAlignment="1">
      <alignment horizontal="right"/>
    </xf>
    <xf numFmtId="9" fontId="23" fillId="0" borderId="9" xfId="2" applyFont="1" applyFill="1" applyBorder="1" applyAlignment="1">
      <alignment horizontal="right"/>
    </xf>
    <xf numFmtId="9" fontId="23" fillId="0" borderId="10" xfId="2" applyFont="1" applyFill="1" applyBorder="1" applyAlignment="1">
      <alignment horizontal="right"/>
    </xf>
    <xf numFmtId="9" fontId="23" fillId="0" borderId="8" xfId="2" applyFont="1" applyFill="1" applyBorder="1" applyAlignment="1">
      <alignment horizontal="right"/>
    </xf>
    <xf numFmtId="165" fontId="21" fillId="0" borderId="10" xfId="1" applyNumberFormat="1" applyFont="1" applyFill="1" applyBorder="1" applyAlignment="1">
      <alignment horizontal="right"/>
    </xf>
    <xf numFmtId="165" fontId="21" fillId="0" borderId="7" xfId="1" applyNumberFormat="1" applyFont="1" applyFill="1" applyBorder="1" applyAlignment="1">
      <alignment horizontal="right"/>
    </xf>
    <xf numFmtId="170" fontId="23" fillId="0" borderId="9" xfId="0" applyNumberFormat="1" applyFont="1" applyBorder="1"/>
    <xf numFmtId="170" fontId="23" fillId="0" borderId="10" xfId="0" applyNumberFormat="1" applyFont="1" applyBorder="1"/>
    <xf numFmtId="170" fontId="23" fillId="0" borderId="7" xfId="0" applyNumberFormat="1" applyFont="1" applyBorder="1"/>
    <xf numFmtId="43" fontId="23" fillId="0" borderId="9" xfId="1" applyFont="1" applyFill="1" applyBorder="1" applyAlignment="1">
      <alignment horizontal="right"/>
    </xf>
    <xf numFmtId="43" fontId="23" fillId="0" borderId="10" xfId="1" applyFont="1" applyFill="1" applyBorder="1" applyAlignment="1">
      <alignment horizontal="right"/>
    </xf>
    <xf numFmtId="43" fontId="23" fillId="0" borderId="7" xfId="1" applyFont="1" applyFill="1" applyBorder="1" applyAlignment="1">
      <alignment horizontal="right"/>
    </xf>
    <xf numFmtId="168" fontId="23" fillId="0" borderId="7" xfId="1" applyNumberFormat="1" applyFont="1" applyFill="1" applyBorder="1" applyAlignment="1">
      <alignment horizontal="right"/>
    </xf>
    <xf numFmtId="43" fontId="21" fillId="0" borderId="7" xfId="1" applyFont="1" applyBorder="1"/>
    <xf numFmtId="164" fontId="10" fillId="0" borderId="0" xfId="1" applyNumberFormat="1" applyFont="1" applyAlignment="1">
      <alignment horizontal="right"/>
    </xf>
    <xf numFmtId="0" fontId="25" fillId="0" borderId="0" xfId="0" applyFont="1" applyAlignment="1">
      <alignment horizontal="left" vertical="center"/>
    </xf>
    <xf numFmtId="164" fontId="25" fillId="0" borderId="0" xfId="1" applyNumberFormat="1" applyFont="1" applyAlignment="1">
      <alignment horizontal="right"/>
    </xf>
    <xf numFmtId="9" fontId="10" fillId="0" borderId="0" xfId="2" applyFont="1" applyBorder="1" applyAlignment="1">
      <alignment horizontal="right"/>
    </xf>
    <xf numFmtId="164" fontId="10" fillId="0" borderId="0" xfId="1" applyNumberFormat="1" applyFont="1" applyBorder="1" applyAlignment="1">
      <alignment horizontal="right"/>
    </xf>
    <xf numFmtId="0" fontId="8" fillId="5" borderId="0" xfId="0" applyFont="1" applyFill="1" applyAlignment="1">
      <alignment horizontal="left"/>
    </xf>
    <xf numFmtId="0" fontId="26" fillId="0" borderId="0" xfId="0" applyFont="1"/>
    <xf numFmtId="3" fontId="26" fillId="0" borderId="0" xfId="0" applyNumberFormat="1" applyFont="1"/>
    <xf numFmtId="0" fontId="27" fillId="0" borderId="0" xfId="0" applyFont="1" applyAlignment="1">
      <alignment horizontal="left"/>
    </xf>
    <xf numFmtId="165" fontId="26" fillId="0" borderId="0" xfId="1" applyNumberFormat="1" applyFont="1"/>
    <xf numFmtId="3" fontId="26" fillId="0" borderId="13" xfId="0" applyNumberFormat="1" applyFont="1" applyBorder="1"/>
    <xf numFmtId="0" fontId="26" fillId="0" borderId="0" xfId="0" quotePrefix="1" applyFont="1"/>
    <xf numFmtId="171" fontId="26" fillId="0" borderId="13" xfId="0" applyNumberFormat="1" applyFont="1" applyBorder="1"/>
    <xf numFmtId="0" fontId="8" fillId="0" borderId="0" xfId="0" applyFont="1" applyAlignment="1">
      <alignment horizontal="left" vertical="center"/>
    </xf>
    <xf numFmtId="166" fontId="26" fillId="0" borderId="0" xfId="2" applyNumberFormat="1" applyFont="1"/>
    <xf numFmtId="164" fontId="26" fillId="0" borderId="0" xfId="0" applyNumberFormat="1" applyFont="1"/>
    <xf numFmtId="166" fontId="26" fillId="0" borderId="0" xfId="0" applyNumberFormat="1" applyFont="1"/>
    <xf numFmtId="10" fontId="26" fillId="0" borderId="0" xfId="0" applyNumberFormat="1" applyFont="1"/>
    <xf numFmtId="9" fontId="26" fillId="0" borderId="0" xfId="0" applyNumberFormat="1" applyFont="1"/>
    <xf numFmtId="0" fontId="10" fillId="0" borderId="0" xfId="0" applyFont="1"/>
    <xf numFmtId="43" fontId="26" fillId="0" borderId="13" xfId="0" applyNumberFormat="1" applyFont="1" applyBorder="1"/>
    <xf numFmtId="0" fontId="9" fillId="0" borderId="0" xfId="0" applyFont="1" applyAlignment="1">
      <alignment horizontal="left" vertical="center" indent="1"/>
    </xf>
    <xf numFmtId="43" fontId="26" fillId="0" borderId="0" xfId="0" applyNumberFormat="1" applyFont="1"/>
    <xf numFmtId="3" fontId="7" fillId="0" borderId="0" xfId="0" applyNumberFormat="1" applyFont="1"/>
    <xf numFmtId="166" fontId="26" fillId="0" borderId="15" xfId="2" applyNumberFormat="1" applyFont="1" applyBorder="1"/>
    <xf numFmtId="43" fontId="26" fillId="0" borderId="0" xfId="1" applyFont="1"/>
    <xf numFmtId="43" fontId="7" fillId="0" borderId="0" xfId="0" applyNumberFormat="1" applyFont="1"/>
    <xf numFmtId="169" fontId="7" fillId="0" borderId="0" xfId="0" applyNumberFormat="1" applyFont="1"/>
    <xf numFmtId="43" fontId="2" fillId="5" borderId="15" xfId="0" applyNumberFormat="1" applyFont="1" applyFill="1" applyBorder="1"/>
    <xf numFmtId="9" fontId="26" fillId="0" borderId="0" xfId="2" applyFont="1"/>
    <xf numFmtId="9" fontId="7" fillId="0" borderId="0" xfId="0" applyNumberFormat="1" applyFont="1"/>
    <xf numFmtId="0" fontId="28" fillId="0" borderId="0" xfId="0" applyFont="1"/>
    <xf numFmtId="43" fontId="9" fillId="0" borderId="0" xfId="0" applyNumberFormat="1" applyFont="1" applyAlignment="1">
      <alignment horizontal="left" vertical="center" indent="2"/>
    </xf>
    <xf numFmtId="166" fontId="10" fillId="0" borderId="0" xfId="2" applyNumberFormat="1" applyFont="1"/>
    <xf numFmtId="10" fontId="29" fillId="0" borderId="0" xfId="2" applyNumberFormat="1" applyFont="1"/>
    <xf numFmtId="3" fontId="10" fillId="0" borderId="0" xfId="0" applyNumberFormat="1" applyFont="1"/>
    <xf numFmtId="169" fontId="7" fillId="0" borderId="0" xfId="2" applyNumberFormat="1" applyFont="1"/>
    <xf numFmtId="9" fontId="7" fillId="0" borderId="0" xfId="2" applyFont="1"/>
    <xf numFmtId="0" fontId="26" fillId="0" borderId="0" xfId="3" applyFont="1"/>
    <xf numFmtId="0" fontId="26" fillId="5" borderId="0" xfId="3" applyFont="1" applyFill="1"/>
    <xf numFmtId="0" fontId="7" fillId="5" borderId="0" xfId="0" applyFont="1" applyFill="1"/>
    <xf numFmtId="0" fontId="27" fillId="6" borderId="0" xfId="0" applyFont="1" applyFill="1"/>
    <xf numFmtId="164" fontId="7" fillId="0" borderId="0" xfId="0" applyNumberFormat="1" applyFont="1"/>
    <xf numFmtId="0" fontId="7" fillId="0" borderId="0" xfId="0" quotePrefix="1" applyFont="1"/>
    <xf numFmtId="0" fontId="30" fillId="0" borderId="0" xfId="0" applyFont="1"/>
    <xf numFmtId="43" fontId="25" fillId="0" borderId="0" xfId="1" applyFont="1" applyAlignment="1">
      <alignment horizontal="right"/>
    </xf>
    <xf numFmtId="9" fontId="25" fillId="0" borderId="0" xfId="2" applyFont="1" applyAlignment="1">
      <alignment horizontal="right"/>
    </xf>
    <xf numFmtId="166" fontId="25" fillId="0" borderId="0" xfId="2" applyNumberFormat="1" applyFont="1" applyAlignment="1">
      <alignment horizontal="right"/>
    </xf>
    <xf numFmtId="10" fontId="25" fillId="0" borderId="0" xfId="2" applyNumberFormat="1" applyFont="1" applyAlignment="1">
      <alignment horizontal="right"/>
    </xf>
    <xf numFmtId="10" fontId="30" fillId="7" borderId="0" xfId="0" applyNumberFormat="1" applyFont="1" applyFill="1"/>
    <xf numFmtId="164" fontId="30" fillId="7" borderId="0" xfId="0" applyNumberFormat="1" applyFont="1" applyFill="1"/>
    <xf numFmtId="43" fontId="30" fillId="7" borderId="0" xfId="1" applyFont="1" applyFill="1"/>
    <xf numFmtId="166" fontId="30" fillId="7" borderId="0" xfId="2" applyNumberFormat="1" applyFont="1" applyFill="1"/>
    <xf numFmtId="164" fontId="25" fillId="0" borderId="0" xfId="0" applyNumberFormat="1" applyFont="1"/>
    <xf numFmtId="43" fontId="7" fillId="0" borderId="0" xfId="1" applyFont="1"/>
    <xf numFmtId="10" fontId="7" fillId="0" borderId="0" xfId="2" applyNumberFormat="1" applyFont="1"/>
    <xf numFmtId="171" fontId="26" fillId="0" borderId="0" xfId="0" applyNumberFormat="1" applyFont="1"/>
    <xf numFmtId="0" fontId="27" fillId="6" borderId="0" xfId="0" applyFont="1" applyFill="1" applyAlignment="1">
      <alignment horizontal="center"/>
    </xf>
    <xf numFmtId="0" fontId="26" fillId="5" borderId="0" xfId="0" applyFont="1" applyFill="1"/>
    <xf numFmtId="0" fontId="0" fillId="5" borderId="0" xfId="0" applyFill="1"/>
    <xf numFmtId="0" fontId="2" fillId="8" borderId="0" xfId="0" applyFont="1" applyFill="1"/>
    <xf numFmtId="0" fontId="26" fillId="0" borderId="1" xfId="0" applyFont="1" applyBorder="1"/>
    <xf numFmtId="0" fontId="26" fillId="6" borderId="0" xfId="0" applyFont="1" applyFill="1"/>
    <xf numFmtId="0" fontId="31" fillId="0" borderId="1" xfId="0" applyFont="1" applyBorder="1"/>
    <xf numFmtId="0" fontId="26" fillId="0" borderId="2" xfId="0" applyFont="1" applyBorder="1"/>
    <xf numFmtId="0" fontId="31" fillId="6" borderId="16" xfId="0" applyFont="1" applyFill="1" applyBorder="1"/>
    <xf numFmtId="0" fontId="26" fillId="6" borderId="16" xfId="0" applyFont="1" applyFill="1" applyBorder="1"/>
    <xf numFmtId="164" fontId="26" fillId="0" borderId="0" xfId="1" applyNumberFormat="1" applyFont="1"/>
    <xf numFmtId="0" fontId="26" fillId="4" borderId="0" xfId="0" applyFont="1" applyFill="1"/>
    <xf numFmtId="164" fontId="26" fillId="0" borderId="0" xfId="2" applyNumberFormat="1" applyFont="1"/>
    <xf numFmtId="10" fontId="26" fillId="0" borderId="0" xfId="2" applyNumberFormat="1" applyFont="1"/>
    <xf numFmtId="164" fontId="26" fillId="2" borderId="0" xfId="1" applyNumberFormat="1" applyFont="1" applyFill="1" applyBorder="1" applyAlignment="1">
      <alignment horizontal="right"/>
    </xf>
    <xf numFmtId="10" fontId="26" fillId="2" borderId="0" xfId="2" applyNumberFormat="1" applyFont="1" applyFill="1" applyBorder="1" applyAlignment="1">
      <alignment horizontal="right"/>
    </xf>
    <xf numFmtId="0" fontId="32" fillId="0" borderId="0" xfId="0" applyFont="1"/>
    <xf numFmtId="43" fontId="26" fillId="2" borderId="0" xfId="1" applyFont="1" applyFill="1" applyBorder="1" applyAlignment="1">
      <alignment horizontal="right"/>
    </xf>
    <xf numFmtId="43" fontId="26" fillId="9" borderId="0" xfId="1" applyFont="1" applyFill="1" applyBorder="1" applyAlignment="1">
      <alignment horizontal="right"/>
    </xf>
    <xf numFmtId="43" fontId="26" fillId="0" borderId="0" xfId="1" applyFont="1" applyFill="1" applyBorder="1" applyAlignment="1">
      <alignment horizontal="right"/>
    </xf>
    <xf numFmtId="43" fontId="33" fillId="0" borderId="0" xfId="1" applyFont="1" applyFill="1" applyBorder="1" applyAlignment="1">
      <alignment horizontal="right"/>
    </xf>
    <xf numFmtId="166" fontId="26" fillId="9" borderId="0" xfId="2" applyNumberFormat="1" applyFont="1" applyFill="1" applyBorder="1" applyAlignment="1">
      <alignment horizontal="right"/>
    </xf>
    <xf numFmtId="0" fontId="26" fillId="10" borderId="1" xfId="0" applyFont="1" applyFill="1" applyBorder="1"/>
    <xf numFmtId="166" fontId="26" fillId="2" borderId="0" xfId="2" applyNumberFormat="1" applyFont="1" applyFill="1" applyBorder="1" applyAlignment="1">
      <alignment horizontal="right"/>
    </xf>
    <xf numFmtId="164" fontId="26" fillId="2" borderId="0" xfId="1" applyNumberFormat="1" applyFont="1" applyFill="1" applyBorder="1"/>
    <xf numFmtId="10" fontId="26" fillId="2" borderId="0" xfId="2" applyNumberFormat="1" applyFont="1" applyFill="1" applyBorder="1"/>
    <xf numFmtId="10" fontId="26" fillId="2" borderId="3" xfId="2" applyNumberFormat="1" applyFont="1" applyFill="1" applyBorder="1"/>
    <xf numFmtId="166" fontId="26" fillId="2" borderId="0" xfId="2" applyNumberFormat="1" applyFont="1" applyFill="1" applyBorder="1"/>
    <xf numFmtId="10" fontId="26" fillId="10" borderId="0" xfId="2" applyNumberFormat="1" applyFont="1" applyFill="1"/>
    <xf numFmtId="164" fontId="26" fillId="10" borderId="0" xfId="2" applyNumberFormat="1" applyFont="1" applyFill="1"/>
    <xf numFmtId="0" fontId="23" fillId="8" borderId="6" xfId="0" applyFont="1" applyFill="1" applyBorder="1"/>
    <xf numFmtId="43" fontId="21" fillId="0" borderId="0" xfId="1" applyFont="1"/>
    <xf numFmtId="43" fontId="21" fillId="0" borderId="0" xfId="0" applyNumberFormat="1" applyFont="1"/>
    <xf numFmtId="9" fontId="30" fillId="11" borderId="0" xfId="0" applyNumberFormat="1" applyFont="1" applyFill="1"/>
    <xf numFmtId="0" fontId="22" fillId="0" borderId="11"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11" xfId="0" applyFont="1" applyBorder="1" applyAlignment="1">
      <alignment horizontal="center" wrapText="1"/>
    </xf>
    <xf numFmtId="0" fontId="22" fillId="0" borderId="8" xfId="0" applyFont="1" applyBorder="1" applyAlignment="1">
      <alignment horizontal="center" wrapText="1"/>
    </xf>
    <xf numFmtId="0" fontId="22" fillId="3" borderId="11" xfId="3" applyFont="1" applyFill="1" applyBorder="1" applyAlignment="1">
      <alignment horizontal="center" vertical="center"/>
    </xf>
    <xf numFmtId="0" fontId="22" fillId="3" borderId="8" xfId="3" applyFont="1" applyFill="1" applyBorder="1" applyAlignment="1">
      <alignment horizontal="center" vertical="center"/>
    </xf>
    <xf numFmtId="0" fontId="22" fillId="3" borderId="12" xfId="3" applyFont="1" applyFill="1" applyBorder="1" applyAlignment="1">
      <alignment horizontal="center" vertical="center" wrapText="1"/>
    </xf>
    <xf numFmtId="0" fontId="22" fillId="3" borderId="9" xfId="3" applyFont="1" applyFill="1" applyBorder="1" applyAlignment="1">
      <alignment horizontal="center" vertical="center" wrapText="1"/>
    </xf>
    <xf numFmtId="0" fontId="22" fillId="3" borderId="12" xfId="3" applyFont="1" applyFill="1" applyBorder="1" applyAlignment="1">
      <alignment horizontal="center"/>
    </xf>
    <xf numFmtId="0" fontId="22" fillId="3" borderId="13" xfId="3" applyFont="1" applyFill="1" applyBorder="1" applyAlignment="1">
      <alignment horizontal="center"/>
    </xf>
    <xf numFmtId="0" fontId="22" fillId="3" borderId="14" xfId="3" applyFont="1" applyFill="1" applyBorder="1" applyAlignment="1">
      <alignment horizontal="center"/>
    </xf>
    <xf numFmtId="0" fontId="7" fillId="5" borderId="0" xfId="0" applyFont="1" applyFill="1" applyAlignment="1">
      <alignment horizontal="left" vertical="top" wrapText="1"/>
    </xf>
    <xf numFmtId="0" fontId="27" fillId="5" borderId="0" xfId="0" applyFont="1" applyFill="1" applyAlignment="1">
      <alignment horizontal="center"/>
    </xf>
    <xf numFmtId="0" fontId="26" fillId="5" borderId="0" xfId="0" applyFont="1" applyFill="1" applyAlignment="1">
      <alignment horizontal="left" vertical="top" wrapText="1"/>
    </xf>
  </cellXfs>
  <cellStyles count="4">
    <cellStyle name="Comma" xfId="1" builtinId="3"/>
    <cellStyle name="Normal" xfId="0" builtinId="0"/>
    <cellStyle name="Normal 2" xfId="3" xr:uid="{A22F77F4-809B-4752-9525-3C5CDA34A209}"/>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ROCE</a:t>
            </a:r>
            <a:r>
              <a:rPr lang="en-US" baseline="0"/>
              <a:t> and its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'Q#1'!$A$114</c:f>
              <c:strCache>
                <c:ptCount val="1"/>
                <c:pt idx="0">
                  <c:v>ROCE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'Q#1'!$B$114:$F$114</c:f>
              <c:numCache>
                <c:formatCode>0.0%</c:formatCode>
                <c:ptCount val="5"/>
                <c:pt idx="0">
                  <c:v>7.8436038917352124E-2</c:v>
                </c:pt>
                <c:pt idx="1">
                  <c:v>6.2097399916790322E-2</c:v>
                </c:pt>
                <c:pt idx="2">
                  <c:v>9.815862305915099E-2</c:v>
                </c:pt>
                <c:pt idx="3">
                  <c:v>9.6067186205202756E-2</c:v>
                </c:pt>
                <c:pt idx="4">
                  <c:v>7.3377248302895604E-2</c:v>
                </c:pt>
              </c:numCache>
            </c:numRef>
          </c:val>
          <c:smooth val="0"/>
          <c:extLst>
            <c:ext xmlns:c16="http://schemas.microsoft.com/office/drawing/2014/chart" uri="{C3380CC4-5D6E-409C-BE32-E72D297353CC}">
              <c16:uniqueId val="{00000005-A6FD-4C35-A6E8-B5F5F16D5F75}"/>
            </c:ext>
          </c:extLst>
        </c:ser>
        <c:ser>
          <c:idx val="1"/>
          <c:order val="1"/>
          <c:tx>
            <c:strRef>
              <c:f>'Q#1'!$A$108</c:f>
              <c:strCache>
                <c:ptCount val="1"/>
                <c:pt idx="0">
                  <c:v>NOPLAT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'Q#1'!$B$108:$F$108</c:f>
              <c:numCache>
                <c:formatCode>0.0%</c:formatCode>
                <c:ptCount val="5"/>
                <c:pt idx="0">
                  <c:v>8.4182268356150447E-2</c:v>
                </c:pt>
                <c:pt idx="1">
                  <c:v>6.8610283011308379E-2</c:v>
                </c:pt>
                <c:pt idx="2">
                  <c:v>9.0274033437936621E-2</c:v>
                </c:pt>
                <c:pt idx="3">
                  <c:v>8.8699573967236545E-2</c:v>
                </c:pt>
                <c:pt idx="4">
                  <c:v>7.2875619225623328E-2</c:v>
                </c:pt>
              </c:numCache>
            </c:numRef>
          </c:val>
          <c:smooth val="0"/>
          <c:extLst>
            <c:ext xmlns:c16="http://schemas.microsoft.com/office/drawing/2014/chart" uri="{C3380CC4-5D6E-409C-BE32-E72D297353CC}">
              <c16:uniqueId val="{0000000C-A6FD-4C35-A6E8-B5F5F16D5F75}"/>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2"/>
          <c:order val="2"/>
          <c:tx>
            <c:strRef>
              <c:f>'Q#1'!$A$113</c:f>
              <c:strCache>
                <c:ptCount val="1"/>
                <c:pt idx="0">
                  <c:v>Capital Employed Turnover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'[1]Q#1 N23'!$B$93:$I$93</c:f>
              <c:strCache>
                <c:ptCount val="8"/>
                <c:pt idx="0">
                  <c:v>2018</c:v>
                </c:pt>
                <c:pt idx="1">
                  <c:v>2019</c:v>
                </c:pt>
                <c:pt idx="2">
                  <c:v>2020</c:v>
                </c:pt>
                <c:pt idx="3">
                  <c:v>2021</c:v>
                </c:pt>
                <c:pt idx="4">
                  <c:v>2022</c:v>
                </c:pt>
                <c:pt idx="6">
                  <c:v>2Q22</c:v>
                </c:pt>
                <c:pt idx="7">
                  <c:v>2Q23</c:v>
                </c:pt>
              </c:strCache>
            </c:strRef>
          </c:cat>
          <c:val>
            <c:numRef>
              <c:f>'Q#1'!$B$113:$F$113</c:f>
              <c:numCache>
                <c:formatCode>_(* #,##0.00_);_(* \(#,##0.00\);_(* "-"??_);_(@_)</c:formatCode>
                <c:ptCount val="5"/>
                <c:pt idx="0">
                  <c:v>0.9317406200734849</c:v>
                </c:pt>
                <c:pt idx="1">
                  <c:v>0.90507424239243273</c:v>
                </c:pt>
                <c:pt idx="2">
                  <c:v>1.0873406152460776</c:v>
                </c:pt>
                <c:pt idx="3">
                  <c:v>1.0830625436903183</c:v>
                </c:pt>
                <c:pt idx="4">
                  <c:v>1.0068833593814033</c:v>
                </c:pt>
              </c:numCache>
            </c:numRef>
          </c:val>
          <c:smooth val="0"/>
          <c:extLst>
            <c:ext xmlns:c16="http://schemas.microsoft.com/office/drawing/2014/chart" uri="{C3380CC4-5D6E-409C-BE32-E72D297353CC}">
              <c16:uniqueId val="{00000010-A6FD-4C35-A6E8-B5F5F16D5F75}"/>
            </c:ext>
          </c:extLst>
        </c:ser>
        <c:dLbls>
          <c:dLblPos val="t"/>
          <c:showLegendKey val="0"/>
          <c:showVal val="1"/>
          <c:showCatName val="0"/>
          <c:showSerName val="0"/>
          <c:showPercent val="0"/>
          <c:showBubbleSize val="0"/>
        </c:dLbls>
        <c:marker val="1"/>
        <c:smooth val="0"/>
        <c:axId val="523167695"/>
        <c:axId val="1869231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18692319"/>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67695"/>
        <c:crosses val="max"/>
        <c:crossBetween val="between"/>
      </c:valAx>
      <c:catAx>
        <c:axId val="523167695"/>
        <c:scaling>
          <c:orientation val="minMax"/>
        </c:scaling>
        <c:delete val="1"/>
        <c:axPos val="b"/>
        <c:numFmt formatCode="General" sourceLinked="1"/>
        <c:majorTickMark val="out"/>
        <c:minorTickMark val="none"/>
        <c:tickLblPos val="nextTo"/>
        <c:crossAx val="186923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Profitability 1 -</a:t>
            </a:r>
            <a:r>
              <a:rPr lang="en-US" sz="1200" baseline="0"/>
              <a:t> Revenue Growth &amp; Gross Margin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'Q#1'!$A$92</c:f>
              <c:strCache>
                <c:ptCount val="1"/>
                <c:pt idx="0">
                  <c:v>Revenue from Operation Growth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1"/>
              <c:layout>
                <c:manualLayout>
                  <c:x val="-0.13155283129013426"/>
                  <c:y val="-8.16651733740070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A6-458F-9E81-8FD2A22CF47D}"/>
                </c:ext>
              </c:extLst>
            </c:dLbl>
            <c:dLbl>
              <c:idx val="2"/>
              <c:layout>
                <c:manualLayout>
                  <c:x val="-5.8296905093518411E-2"/>
                  <c:y val="0.101545850322948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A6-458F-9E81-8FD2A22CF47D}"/>
                </c:ext>
              </c:extLst>
            </c:dLbl>
            <c:dLbl>
              <c:idx val="3"/>
              <c:layout>
                <c:manualLayout>
                  <c:x val="-4.5804202233039611E-2"/>
                  <c:y val="-6.185857621757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A6-458F-9E81-8FD2A22CF47D}"/>
                </c:ext>
              </c:extLst>
            </c:dLbl>
            <c:dLbl>
              <c:idx val="4"/>
              <c:layout>
                <c:manualLayout>
                  <c:x val="-5.5662580268534628E-2"/>
                  <c:y val="-0.160891561999717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A6-458F-9E81-8FD2A22CF4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'Q#1'!$B$92:$F$92</c:f>
              <c:numCache>
                <c:formatCode>0.00%</c:formatCode>
                <c:ptCount val="5"/>
                <c:pt idx="1">
                  <c:v>-4.7920123369253886E-2</c:v>
                </c:pt>
                <c:pt idx="2">
                  <c:v>0.24940423938942957</c:v>
                </c:pt>
                <c:pt idx="3">
                  <c:v>5.4892331654637472E-2</c:v>
                </c:pt>
                <c:pt idx="4">
                  <c:v>-8.4087877536887068E-2</c:v>
                </c:pt>
              </c:numCache>
            </c:numRef>
          </c:val>
          <c:smooth val="0"/>
          <c:extLst>
            <c:ext xmlns:c16="http://schemas.microsoft.com/office/drawing/2014/chart" uri="{C3380CC4-5D6E-409C-BE32-E72D297353CC}">
              <c16:uniqueId val="{00000004-49A6-458F-9E81-8FD2A22CF47D}"/>
            </c:ext>
          </c:extLst>
        </c:ser>
        <c:ser>
          <c:idx val="1"/>
          <c:order val="1"/>
          <c:tx>
            <c:strRef>
              <c:f>'Q#1'!$A$93</c:f>
              <c:strCache>
                <c:ptCount val="1"/>
                <c:pt idx="0">
                  <c:v>Gross Margin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'Q#1'!$B$93:$F$93</c:f>
              <c:numCache>
                <c:formatCode>0.00%</c:formatCode>
                <c:ptCount val="5"/>
                <c:pt idx="0">
                  <c:v>0.21091520225127161</c:v>
                </c:pt>
                <c:pt idx="1">
                  <c:v>0.24174065126554276</c:v>
                </c:pt>
                <c:pt idx="2">
                  <c:v>0.25429745411951205</c:v>
                </c:pt>
                <c:pt idx="3">
                  <c:v>0.26211107441155546</c:v>
                </c:pt>
                <c:pt idx="4">
                  <c:v>0.25982288495732536</c:v>
                </c:pt>
              </c:numCache>
            </c:numRef>
          </c:val>
          <c:smooth val="0"/>
          <c:extLst>
            <c:ext xmlns:c16="http://schemas.microsoft.com/office/drawing/2014/chart" uri="{C3380CC4-5D6E-409C-BE32-E72D297353CC}">
              <c16:uniqueId val="{00000005-49A6-458F-9E81-8FD2A22CF47D}"/>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Profitability 2 -</a:t>
            </a:r>
            <a:r>
              <a:rPr lang="en-US" sz="1200" baseline="0"/>
              <a:t> Operating Margin and SG&amp;A/Sales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'Q#1'!$A$95</c:f>
              <c:strCache>
                <c:ptCount val="1"/>
                <c:pt idx="0">
                  <c:v>Operating Margin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7.5545432475390834E-2"/>
                  <c:y val="5.73821534808188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0C-4CFF-91D2-01EF3AFCF4B0}"/>
                </c:ext>
              </c:extLst>
            </c:dLbl>
            <c:dLbl>
              <c:idx val="3"/>
              <c:layout>
                <c:manualLayout>
                  <c:x val="-6.391076115485575E-2"/>
                  <c:y val="4.2422626657327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0C-4CFF-91D2-01EF3AFCF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'Q#1'!$B$95:$F$95</c:f>
              <c:numCache>
                <c:formatCode>0.00%</c:formatCode>
                <c:ptCount val="5"/>
                <c:pt idx="0">
                  <c:v>0.10380410590819728</c:v>
                </c:pt>
                <c:pt idx="1">
                  <c:v>8.4405052913488696E-2</c:v>
                </c:pt>
                <c:pt idx="2">
                  <c:v>0.11132594089306566</c:v>
                </c:pt>
                <c:pt idx="3">
                  <c:v>0.1095559085404038</c:v>
                </c:pt>
                <c:pt idx="4">
                  <c:v>8.9748006863612589E-2</c:v>
                </c:pt>
              </c:numCache>
            </c:numRef>
          </c:val>
          <c:smooth val="0"/>
          <c:extLst>
            <c:ext xmlns:c16="http://schemas.microsoft.com/office/drawing/2014/chart" uri="{C3380CC4-5D6E-409C-BE32-E72D297353CC}">
              <c16:uniqueId val="{00000002-890C-4CFF-91D2-01EF3AFCF4B0}"/>
            </c:ext>
          </c:extLst>
        </c:ser>
        <c:ser>
          <c:idx val="1"/>
          <c:order val="1"/>
          <c:tx>
            <c:strRef>
              <c:f>'Q#1'!$A$97</c:f>
              <c:strCache>
                <c:ptCount val="1"/>
                <c:pt idx="0">
                  <c:v>SG&amp;A expenses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Lbl>
              <c:idx val="2"/>
              <c:layout>
                <c:manualLayout>
                  <c:x val="-5.5184757664454354E-2"/>
                  <c:y val="-0.1071726415775900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0C-4CFF-91D2-01EF3AFCF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'Q#1'!$B$97:$F$97</c:f>
              <c:numCache>
                <c:formatCode>0.00%</c:formatCode>
                <c:ptCount val="5"/>
                <c:pt idx="1">
                  <c:v>0.39851109906349014</c:v>
                </c:pt>
                <c:pt idx="2">
                  <c:v>0.1353388337288004</c:v>
                </c:pt>
                <c:pt idx="3">
                  <c:v>0.1256037723884913</c:v>
                </c:pt>
                <c:pt idx="4">
                  <c:v>2.10971335053598E-2</c:v>
                </c:pt>
              </c:numCache>
            </c:numRef>
          </c:val>
          <c:smooth val="0"/>
          <c:extLst>
            <c:ext xmlns:c16="http://schemas.microsoft.com/office/drawing/2014/chart" uri="{C3380CC4-5D6E-409C-BE32-E72D297353CC}">
              <c16:uniqueId val="{00000004-890C-4CFF-91D2-01EF3AFCF4B0}"/>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Turnover and</a:t>
            </a:r>
            <a:r>
              <a:rPr lang="en-US" baseline="0"/>
              <a:t> </a:t>
            </a:r>
            <a:r>
              <a:rPr lang="en-US"/>
              <a:t>Fixed</a:t>
            </a:r>
            <a:r>
              <a:rPr lang="en-US" baseline="0"/>
              <a:t> Assets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'Q#1'!$A$111</c:f>
              <c:strCache>
                <c:ptCount val="1"/>
                <c:pt idx="0">
                  <c:v>Fixed Assets Growth</c:v>
                </c:pt>
              </c:strCache>
            </c:strRef>
          </c:tx>
          <c:spPr>
            <a:ln w="28575" cap="rnd">
              <a:solidFill>
                <a:schemeClr val="accent4"/>
              </a:solidFill>
              <a:round/>
            </a:ln>
            <a:effectLst/>
          </c:spPr>
          <c:marker>
            <c:symbol val="circle"/>
            <c:size val="5"/>
            <c:spPr>
              <a:solidFill>
                <a:srgbClr val="FFC000"/>
              </a:solidFill>
              <a:ln w="9525">
                <a:solidFill>
                  <a:schemeClr val="accent4"/>
                </a:solidFill>
              </a:ln>
              <a:effectLst/>
            </c:spPr>
          </c:marker>
          <c:dLbls>
            <c:dLbl>
              <c:idx val="2"/>
              <c:layout>
                <c:manualLayout>
                  <c:x val="-5.7479625467131895E-2"/>
                  <c:y val="7.13306261173423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35-4007-AE24-19A7BC4A7AD4}"/>
                </c:ext>
              </c:extLst>
            </c:dLbl>
            <c:dLbl>
              <c:idx val="4"/>
              <c:layout>
                <c:manualLayout>
                  <c:x val="-3.7047634807470538E-2"/>
                  <c:y val="5.7531358021829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35-4007-AE24-19A7BC4A7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'Q#1'!$B$111:$F$111</c:f>
              <c:numCache>
                <c:formatCode>0.00%</c:formatCode>
                <c:ptCount val="5"/>
                <c:pt idx="1">
                  <c:v>1.3632704648609328E-2</c:v>
                </c:pt>
                <c:pt idx="2">
                  <c:v>7.1662110334378637E-2</c:v>
                </c:pt>
                <c:pt idx="3">
                  <c:v>1.7353214050560561E-2</c:v>
                </c:pt>
                <c:pt idx="4">
                  <c:v>6.827710308346413E-2</c:v>
                </c:pt>
              </c:numCache>
            </c:numRef>
          </c:val>
          <c:smooth val="0"/>
          <c:extLst>
            <c:ext xmlns:c16="http://schemas.microsoft.com/office/drawing/2014/chart" uri="{C3380CC4-5D6E-409C-BE32-E72D297353CC}">
              <c16:uniqueId val="{00000002-3B35-4007-AE24-19A7BC4A7AD4}"/>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1"/>
          <c:order val="1"/>
          <c:tx>
            <c:strRef>
              <c:f>'Q#1'!$A$99</c:f>
              <c:strCache>
                <c:ptCount val="1"/>
                <c:pt idx="0">
                  <c:v>Total Asset Turnover (x)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'[1]Q#1 N23'!$B$93:$I$93</c:f>
              <c:strCache>
                <c:ptCount val="8"/>
                <c:pt idx="0">
                  <c:v>2018</c:v>
                </c:pt>
                <c:pt idx="1">
                  <c:v>2019</c:v>
                </c:pt>
                <c:pt idx="2">
                  <c:v>2020</c:v>
                </c:pt>
                <c:pt idx="3">
                  <c:v>2021</c:v>
                </c:pt>
                <c:pt idx="4">
                  <c:v>2022</c:v>
                </c:pt>
                <c:pt idx="6">
                  <c:v>2Q22</c:v>
                </c:pt>
                <c:pt idx="7">
                  <c:v>2Q23</c:v>
                </c:pt>
              </c:strCache>
            </c:strRef>
          </c:cat>
          <c:val>
            <c:numRef>
              <c:f>'Q#1'!$B$99:$F$99</c:f>
              <c:numCache>
                <c:formatCode>_(* #,##0.00_);_(* \(#,##0.00\);_(* "-"??_);_(@_)</c:formatCode>
                <c:ptCount val="5"/>
                <c:pt idx="0">
                  <c:v>0.78527552654841393</c:v>
                </c:pt>
                <c:pt idx="1">
                  <c:v>0.74729285740758744</c:v>
                </c:pt>
                <c:pt idx="2">
                  <c:v>0.89289637355504403</c:v>
                </c:pt>
                <c:pt idx="3">
                  <c:v>0.90434131675230556</c:v>
                </c:pt>
                <c:pt idx="4">
                  <c:v>0.83059242095543306</c:v>
                </c:pt>
              </c:numCache>
            </c:numRef>
          </c:val>
          <c:smooth val="0"/>
          <c:extLst>
            <c:ext xmlns:c16="http://schemas.microsoft.com/office/drawing/2014/chart" uri="{C3380CC4-5D6E-409C-BE32-E72D297353CC}">
              <c16:uniqueId val="{00000003-3B35-4007-AE24-19A7BC4A7AD4}"/>
            </c:ext>
          </c:extLst>
        </c:ser>
        <c:dLbls>
          <c:dLblPos val="t"/>
          <c:showLegendKey val="0"/>
          <c:showVal val="1"/>
          <c:showCatName val="0"/>
          <c:showSerName val="0"/>
          <c:showPercent val="0"/>
          <c:showBubbleSize val="0"/>
        </c:dLbls>
        <c:marker val="1"/>
        <c:smooth val="0"/>
        <c:axId val="1619435615"/>
        <c:axId val="314768703"/>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314768703"/>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35615"/>
        <c:crosses val="max"/>
        <c:crossBetween val="between"/>
      </c:valAx>
      <c:catAx>
        <c:axId val="1619435615"/>
        <c:scaling>
          <c:orientation val="minMax"/>
        </c:scaling>
        <c:delete val="1"/>
        <c:axPos val="b"/>
        <c:numFmt formatCode="General" sourceLinked="1"/>
        <c:majorTickMark val="out"/>
        <c:minorTickMark val="none"/>
        <c:tickLblPos val="nextTo"/>
        <c:crossAx val="3147687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Cycle Days and Inventory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'Q#1'!$A$100</c:f>
              <c:strCache>
                <c:ptCount val="1"/>
                <c:pt idx="0">
                  <c:v>Account Receivable Days</c:v>
                </c:pt>
              </c:strCache>
            </c:strRef>
          </c:tx>
          <c:spPr>
            <a:ln w="28575" cap="rnd">
              <a:solidFill>
                <a:schemeClr val="accent1"/>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'Q#1'!$B$100:$F$100</c:f>
              <c:numCache>
                <c:formatCode>_(* #,##0_);_(* \(#,##0\);_(* "-"??_);_(@_)</c:formatCode>
                <c:ptCount val="5"/>
                <c:pt idx="0">
                  <c:v>3.4787412282196382</c:v>
                </c:pt>
                <c:pt idx="1">
                  <c:v>6.3428788787236465</c:v>
                </c:pt>
                <c:pt idx="2">
                  <c:v>7.2737234486372762</c:v>
                </c:pt>
                <c:pt idx="3">
                  <c:v>6.7182923316441352</c:v>
                </c:pt>
                <c:pt idx="4">
                  <c:v>7.8007579643409422</c:v>
                </c:pt>
              </c:numCache>
            </c:numRef>
          </c:val>
          <c:smooth val="0"/>
          <c:extLst>
            <c:ext xmlns:c16="http://schemas.microsoft.com/office/drawing/2014/chart" uri="{C3380CC4-5D6E-409C-BE32-E72D297353CC}">
              <c16:uniqueId val="{00000000-BBC1-4CF9-A12F-A48E5B54D089}"/>
            </c:ext>
          </c:extLst>
        </c:ser>
        <c:ser>
          <c:idx val="1"/>
          <c:order val="1"/>
          <c:tx>
            <c:strRef>
              <c:f>'Q#1'!$A$101</c:f>
              <c:strCache>
                <c:ptCount val="1"/>
                <c:pt idx="0">
                  <c:v>Inventory 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'Q#1'!$B$101:$F$101</c:f>
              <c:numCache>
                <c:formatCode>_(* #,##0_);_(* \(#,##0\);_(* "-"??_);_(@_)</c:formatCode>
                <c:ptCount val="5"/>
                <c:pt idx="0">
                  <c:v>255.39009207079371</c:v>
                </c:pt>
                <c:pt idx="1">
                  <c:v>255.6162751381089</c:v>
                </c:pt>
                <c:pt idx="2">
                  <c:v>235.67852399202278</c:v>
                </c:pt>
                <c:pt idx="3">
                  <c:v>219.6606128648568</c:v>
                </c:pt>
                <c:pt idx="4">
                  <c:v>213.14507445329096</c:v>
                </c:pt>
              </c:numCache>
            </c:numRef>
          </c:val>
          <c:smooth val="0"/>
          <c:extLst>
            <c:ext xmlns:c16="http://schemas.microsoft.com/office/drawing/2014/chart" uri="{C3380CC4-5D6E-409C-BE32-E72D297353CC}">
              <c16:uniqueId val="{00000001-BBC1-4CF9-A12F-A48E5B54D089}"/>
            </c:ext>
          </c:extLst>
        </c:ser>
        <c:ser>
          <c:idx val="2"/>
          <c:order val="2"/>
          <c:tx>
            <c:strRef>
              <c:f>'Q#1'!$A$103</c:f>
              <c:strCache>
                <c:ptCount val="1"/>
                <c:pt idx="0">
                  <c:v>Account Payable Days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'Q#1'!$B$103:$F$103</c:f>
              <c:numCache>
                <c:formatCode>_(* #,##0_);_(* \(#,##0\);_(* "-"??_);_(@_)</c:formatCode>
                <c:ptCount val="5"/>
                <c:pt idx="0">
                  <c:v>40.447250648102901</c:v>
                </c:pt>
                <c:pt idx="1">
                  <c:v>48.835915115688898</c:v>
                </c:pt>
                <c:pt idx="2">
                  <c:v>40.267943195641521</c:v>
                </c:pt>
                <c:pt idx="3">
                  <c:v>33.851232090375923</c:v>
                </c:pt>
                <c:pt idx="4">
                  <c:v>40.645460371727808</c:v>
                </c:pt>
              </c:numCache>
            </c:numRef>
          </c:val>
          <c:smooth val="0"/>
          <c:extLst>
            <c:ext xmlns:c16="http://schemas.microsoft.com/office/drawing/2014/chart" uri="{C3380CC4-5D6E-409C-BE32-E72D297353CC}">
              <c16:uniqueId val="{00000002-BBC1-4CF9-A12F-A48E5B54D089}"/>
            </c:ext>
          </c:extLst>
        </c:ser>
        <c:ser>
          <c:idx val="3"/>
          <c:order val="3"/>
          <c:tx>
            <c:strRef>
              <c:f>'Q#1'!$A$105</c:f>
              <c:strCache>
                <c:ptCount val="1"/>
                <c:pt idx="0">
                  <c:v>Cash Cycle (days)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'Q#1'!$B$105:$F$105</c:f>
              <c:numCache>
                <c:formatCode>_(* #,##0_);_(* \(#,##0\);_(* "-"??_);_(@_)</c:formatCode>
                <c:ptCount val="5"/>
                <c:pt idx="0">
                  <c:v>218.42158265091047</c:v>
                </c:pt>
                <c:pt idx="1">
                  <c:v>213.12323890114365</c:v>
                </c:pt>
                <c:pt idx="2">
                  <c:v>202.68430424501852</c:v>
                </c:pt>
                <c:pt idx="3">
                  <c:v>192.52767310612501</c:v>
                </c:pt>
                <c:pt idx="4">
                  <c:v>180.30037204590408</c:v>
                </c:pt>
              </c:numCache>
            </c:numRef>
          </c:val>
          <c:smooth val="0"/>
          <c:extLst>
            <c:ext xmlns:c16="http://schemas.microsoft.com/office/drawing/2014/chart" uri="{C3380CC4-5D6E-409C-BE32-E72D297353CC}">
              <c16:uniqueId val="{00000003-BBC1-4CF9-A12F-A48E5B54D089}"/>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min val="6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Inventories</c:v>
          </c:tx>
          <c:spPr>
            <a:solidFill>
              <a:schemeClr val="accent1"/>
            </a:solidFill>
            <a:ln>
              <a:noFill/>
            </a:ln>
            <a:effectLst/>
          </c:spPr>
          <c:invertIfNegative val="0"/>
          <c:dLbls>
            <c:delete val="1"/>
          </c:dLbls>
          <c:cat>
            <c:numRef>
              <c:f>'Q#1'!$B$91:$F$91</c:f>
              <c:numCache>
                <c:formatCode>General</c:formatCode>
                <c:ptCount val="5"/>
                <c:pt idx="0">
                  <c:v>2019</c:v>
                </c:pt>
                <c:pt idx="1">
                  <c:v>2020</c:v>
                </c:pt>
                <c:pt idx="2">
                  <c:v>2021</c:v>
                </c:pt>
                <c:pt idx="3">
                  <c:v>2022</c:v>
                </c:pt>
                <c:pt idx="4">
                  <c:v>2023</c:v>
                </c:pt>
              </c:numCache>
            </c:numRef>
          </c:cat>
          <c:val>
            <c:numRef>
              <c:f>'Q#1'!$B$37:$F$37</c:f>
              <c:numCache>
                <c:formatCode>_(* #,##0_);_(* \(#,##0\);_(* "-"??_);_(@_)</c:formatCode>
                <c:ptCount val="5"/>
                <c:pt idx="0">
                  <c:v>15602.535</c:v>
                </c:pt>
                <c:pt idx="1">
                  <c:v>14287.19939</c:v>
                </c:pt>
                <c:pt idx="2">
                  <c:v>16185.62376</c:v>
                </c:pt>
                <c:pt idx="3">
                  <c:v>15746.901980000001</c:v>
                </c:pt>
                <c:pt idx="4">
                  <c:v>14038.370570000001</c:v>
                </c:pt>
              </c:numCache>
            </c:numRef>
          </c:val>
          <c:extLst>
            <c:ext xmlns:c16="http://schemas.microsoft.com/office/drawing/2014/chart" uri="{C3380CC4-5D6E-409C-BE32-E72D297353CC}">
              <c16:uniqueId val="{00000000-F2ED-4437-9DF2-BE3F9AFE2081}"/>
            </c:ext>
          </c:extLst>
        </c:ser>
        <c:ser>
          <c:idx val="1"/>
          <c:order val="1"/>
          <c:tx>
            <c:v>Costs</c:v>
          </c:tx>
          <c:spPr>
            <a:solidFill>
              <a:schemeClr val="accent2"/>
            </a:solidFill>
            <a:ln>
              <a:noFill/>
            </a:ln>
            <a:effectLst/>
          </c:spPr>
          <c:invertIfNegative val="0"/>
          <c:dLbls>
            <c:delete val="1"/>
          </c:dLbls>
          <c:cat>
            <c:numRef>
              <c:f>'Q#1'!$B$91:$F$91</c:f>
              <c:numCache>
                <c:formatCode>General</c:formatCode>
                <c:ptCount val="5"/>
                <c:pt idx="0">
                  <c:v>2019</c:v>
                </c:pt>
                <c:pt idx="1">
                  <c:v>2020</c:v>
                </c:pt>
                <c:pt idx="2">
                  <c:v>2021</c:v>
                </c:pt>
                <c:pt idx="3">
                  <c:v>2022</c:v>
                </c:pt>
                <c:pt idx="4">
                  <c:v>2023</c:v>
                </c:pt>
              </c:numCache>
            </c:numRef>
          </c:cat>
          <c:val>
            <c:numRef>
              <c:f>'Q#1'!$B$16:$F$16</c:f>
              <c:numCache>
                <c:formatCode>_(* #,##0_);_(* \(#,##0\);_(* "-"??_);_(@_)</c:formatCode>
                <c:ptCount val="5"/>
                <c:pt idx="0">
                  <c:v>22298.928</c:v>
                </c:pt>
                <c:pt idx="1">
                  <c:v>20401.00058</c:v>
                </c:pt>
                <c:pt idx="2">
                  <c:v>25066.996230000001</c:v>
                </c:pt>
                <c:pt idx="3">
                  <c:v>26165.90725</c:v>
                </c:pt>
                <c:pt idx="4">
                  <c:v>24039.98906</c:v>
                </c:pt>
              </c:numCache>
            </c:numRef>
          </c:val>
          <c:extLst>
            <c:ext xmlns:c16="http://schemas.microsoft.com/office/drawing/2014/chart" uri="{C3380CC4-5D6E-409C-BE32-E72D297353CC}">
              <c16:uniqueId val="{00000001-F2ED-4437-9DF2-BE3F9AFE2081}"/>
            </c:ext>
          </c:extLst>
        </c:ser>
        <c:dLbls>
          <c:showLegendKey val="0"/>
          <c:showVal val="1"/>
          <c:showCatName val="0"/>
          <c:showSerName val="0"/>
          <c:showPercent val="0"/>
          <c:showBubbleSize val="0"/>
        </c:dLbls>
        <c:gapWidth val="150"/>
        <c:axId val="1087621183"/>
        <c:axId val="522306559"/>
      </c:barChart>
      <c:lineChart>
        <c:grouping val="standard"/>
        <c:varyColors val="0"/>
        <c:ser>
          <c:idx val="2"/>
          <c:order val="2"/>
          <c:tx>
            <c:strRef>
              <c:f>'Q#1'!$A$102</c:f>
              <c:strCache>
                <c:ptCount val="1"/>
                <c:pt idx="0">
                  <c:v>Inventory Turnover</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'Q#1'!$B$102:$F$102</c:f>
              <c:numCache>
                <c:formatCode>_(* #,##0.00_);_(* \(#,##0.00\);_(* "-"??_);_(@_)</c:formatCode>
                <c:ptCount val="5"/>
                <c:pt idx="0">
                  <c:v>1.4291862187779101</c:v>
                </c:pt>
                <c:pt idx="1">
                  <c:v>1.3650840996984852</c:v>
                </c:pt>
                <c:pt idx="2">
                  <c:v>1.6452034067608206</c:v>
                </c:pt>
                <c:pt idx="3">
                  <c:v>1.6388247809175649</c:v>
                </c:pt>
                <c:pt idx="4">
                  <c:v>1.614219847721353</c:v>
                </c:pt>
              </c:numCache>
            </c:numRef>
          </c:val>
          <c:smooth val="0"/>
          <c:extLst>
            <c:ext xmlns:c16="http://schemas.microsoft.com/office/drawing/2014/chart" uri="{C3380CC4-5D6E-409C-BE32-E72D297353CC}">
              <c16:uniqueId val="{00000002-F2ED-4437-9DF2-BE3F9AFE2081}"/>
            </c:ext>
          </c:extLst>
        </c:ser>
        <c:dLbls>
          <c:showLegendKey val="0"/>
          <c:showVal val="0"/>
          <c:showCatName val="0"/>
          <c:showSerName val="0"/>
          <c:showPercent val="0"/>
          <c:showBubbleSize val="0"/>
        </c:dLbls>
        <c:marker val="1"/>
        <c:smooth val="0"/>
        <c:axId val="523181135"/>
        <c:axId val="878510991"/>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878510991"/>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81135"/>
        <c:crosses val="max"/>
        <c:crossBetween val="between"/>
      </c:valAx>
      <c:catAx>
        <c:axId val="523181135"/>
        <c:scaling>
          <c:orientation val="minMax"/>
        </c:scaling>
        <c:delete val="1"/>
        <c:axPos val="b"/>
        <c:numFmt formatCode="General" sourceLinked="1"/>
        <c:majorTickMark val="out"/>
        <c:minorTickMark val="none"/>
        <c:tickLblPos val="nextTo"/>
        <c:crossAx val="8785109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 and</a:t>
            </a:r>
            <a:r>
              <a:rPr lang="en-US" baseline="0"/>
              <a:t> AP </a:t>
            </a:r>
            <a:r>
              <a:rPr lang="en-US"/>
              <a:t>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'Q#1'!$A$100</c:f>
              <c:strCache>
                <c:ptCount val="1"/>
                <c:pt idx="0">
                  <c:v>Account Receivable Days</c:v>
                </c:pt>
              </c:strCache>
            </c:strRef>
          </c:tx>
          <c:spPr>
            <a:ln w="28575" cap="rnd">
              <a:solidFill>
                <a:schemeClr val="accent1"/>
              </a:solidFill>
              <a:round/>
            </a:ln>
            <a:effectLst/>
          </c:spPr>
          <c:marker>
            <c:symbol val="circle"/>
            <c:size val="5"/>
            <c:spPr>
              <a:solidFill>
                <a:schemeClr val="accent1"/>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'Q#1'!$B$100:$F$100</c:f>
              <c:numCache>
                <c:formatCode>_(* #,##0_);_(* \(#,##0\);_(* "-"??_);_(@_)</c:formatCode>
                <c:ptCount val="5"/>
                <c:pt idx="0">
                  <c:v>3.4787412282196382</c:v>
                </c:pt>
                <c:pt idx="1">
                  <c:v>6.3428788787236465</c:v>
                </c:pt>
                <c:pt idx="2">
                  <c:v>7.2737234486372762</c:v>
                </c:pt>
                <c:pt idx="3">
                  <c:v>6.7182923316441352</c:v>
                </c:pt>
                <c:pt idx="4">
                  <c:v>7.8007579643409422</c:v>
                </c:pt>
              </c:numCache>
            </c:numRef>
          </c:val>
          <c:smooth val="0"/>
          <c:extLst>
            <c:ext xmlns:c16="http://schemas.microsoft.com/office/drawing/2014/chart" uri="{C3380CC4-5D6E-409C-BE32-E72D297353CC}">
              <c16:uniqueId val="{00000000-0A26-4667-A07B-931E301D532B}"/>
            </c:ext>
          </c:extLst>
        </c:ser>
        <c:ser>
          <c:idx val="2"/>
          <c:order val="1"/>
          <c:tx>
            <c:strRef>
              <c:f>'Q#1'!$A$103</c:f>
              <c:strCache>
                <c:ptCount val="1"/>
                <c:pt idx="0">
                  <c:v>Account Payable Days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'Q#1'!$B$103:$F$103</c:f>
              <c:numCache>
                <c:formatCode>_(* #,##0_);_(* \(#,##0\);_(* "-"??_);_(@_)</c:formatCode>
                <c:ptCount val="5"/>
                <c:pt idx="0">
                  <c:v>40.447250648102901</c:v>
                </c:pt>
                <c:pt idx="1">
                  <c:v>48.835915115688898</c:v>
                </c:pt>
                <c:pt idx="2">
                  <c:v>40.267943195641521</c:v>
                </c:pt>
                <c:pt idx="3">
                  <c:v>33.851232090375923</c:v>
                </c:pt>
                <c:pt idx="4">
                  <c:v>40.645460371727808</c:v>
                </c:pt>
              </c:numCache>
            </c:numRef>
          </c:val>
          <c:smooth val="0"/>
          <c:extLst>
            <c:ext xmlns:c16="http://schemas.microsoft.com/office/drawing/2014/chart" uri="{C3380CC4-5D6E-409C-BE32-E72D297353CC}">
              <c16:uniqueId val="{00000001-0A26-4667-A07B-931E301D532B}"/>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ROCE</a:t>
            </a:r>
            <a:r>
              <a:rPr lang="en-US" baseline="0"/>
              <a:t> and its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'Q#1'!$A$114</c:f>
              <c:strCache>
                <c:ptCount val="1"/>
                <c:pt idx="0">
                  <c:v>ROCE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'Q#1'!$B$114:$F$114</c:f>
              <c:numCache>
                <c:formatCode>0.0%</c:formatCode>
                <c:ptCount val="5"/>
                <c:pt idx="0">
                  <c:v>7.8436038917352124E-2</c:v>
                </c:pt>
                <c:pt idx="1">
                  <c:v>6.2097399916790322E-2</c:v>
                </c:pt>
                <c:pt idx="2">
                  <c:v>9.815862305915099E-2</c:v>
                </c:pt>
                <c:pt idx="3">
                  <c:v>9.6067186205202756E-2</c:v>
                </c:pt>
                <c:pt idx="4">
                  <c:v>7.3377248302895604E-2</c:v>
                </c:pt>
              </c:numCache>
            </c:numRef>
          </c:val>
          <c:smooth val="0"/>
          <c:extLst>
            <c:ext xmlns:c16="http://schemas.microsoft.com/office/drawing/2014/chart" uri="{C3380CC4-5D6E-409C-BE32-E72D297353CC}">
              <c16:uniqueId val="{00000000-0C04-41B0-B0DD-6C6AEC8D15AA}"/>
            </c:ext>
          </c:extLst>
        </c:ser>
        <c:ser>
          <c:idx val="1"/>
          <c:order val="1"/>
          <c:tx>
            <c:strRef>
              <c:f>'Q#1'!$A$108</c:f>
              <c:strCache>
                <c:ptCount val="1"/>
                <c:pt idx="0">
                  <c:v>NOPLAT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'Q#1'!$B$108:$F$108</c:f>
              <c:numCache>
                <c:formatCode>0.0%</c:formatCode>
                <c:ptCount val="5"/>
                <c:pt idx="0">
                  <c:v>8.4182268356150447E-2</c:v>
                </c:pt>
                <c:pt idx="1">
                  <c:v>6.8610283011308379E-2</c:v>
                </c:pt>
                <c:pt idx="2">
                  <c:v>9.0274033437936621E-2</c:v>
                </c:pt>
                <c:pt idx="3">
                  <c:v>8.8699573967236545E-2</c:v>
                </c:pt>
                <c:pt idx="4">
                  <c:v>7.2875619225623328E-2</c:v>
                </c:pt>
              </c:numCache>
            </c:numRef>
          </c:val>
          <c:smooth val="0"/>
          <c:extLst>
            <c:ext xmlns:c16="http://schemas.microsoft.com/office/drawing/2014/chart" uri="{C3380CC4-5D6E-409C-BE32-E72D297353CC}">
              <c16:uniqueId val="{00000001-0C04-41B0-B0DD-6C6AEC8D15AA}"/>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2"/>
          <c:order val="2"/>
          <c:tx>
            <c:strRef>
              <c:f>'Q#1'!$A$113</c:f>
              <c:strCache>
                <c:ptCount val="1"/>
                <c:pt idx="0">
                  <c:v>Capital Employed Turnover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'[1]Q#1 N23'!$B$93:$I$93</c:f>
              <c:strCache>
                <c:ptCount val="8"/>
                <c:pt idx="0">
                  <c:v>2018</c:v>
                </c:pt>
                <c:pt idx="1">
                  <c:v>2019</c:v>
                </c:pt>
                <c:pt idx="2">
                  <c:v>2020</c:v>
                </c:pt>
                <c:pt idx="3">
                  <c:v>2021</c:v>
                </c:pt>
                <c:pt idx="4">
                  <c:v>2022</c:v>
                </c:pt>
                <c:pt idx="6">
                  <c:v>2Q22</c:v>
                </c:pt>
                <c:pt idx="7">
                  <c:v>2Q23</c:v>
                </c:pt>
              </c:strCache>
            </c:strRef>
          </c:cat>
          <c:val>
            <c:numRef>
              <c:f>'Q#1'!$B$113:$F$113</c:f>
              <c:numCache>
                <c:formatCode>_(* #,##0.00_);_(* \(#,##0.00\);_(* "-"??_);_(@_)</c:formatCode>
                <c:ptCount val="5"/>
                <c:pt idx="0">
                  <c:v>0.9317406200734849</c:v>
                </c:pt>
                <c:pt idx="1">
                  <c:v>0.90507424239243273</c:v>
                </c:pt>
                <c:pt idx="2">
                  <c:v>1.0873406152460776</c:v>
                </c:pt>
                <c:pt idx="3">
                  <c:v>1.0830625436903183</c:v>
                </c:pt>
                <c:pt idx="4">
                  <c:v>1.0068833593814033</c:v>
                </c:pt>
              </c:numCache>
            </c:numRef>
          </c:val>
          <c:smooth val="0"/>
          <c:extLst>
            <c:ext xmlns:c16="http://schemas.microsoft.com/office/drawing/2014/chart" uri="{C3380CC4-5D6E-409C-BE32-E72D297353CC}">
              <c16:uniqueId val="{00000002-0C04-41B0-B0DD-6C6AEC8D15AA}"/>
            </c:ext>
          </c:extLst>
        </c:ser>
        <c:dLbls>
          <c:dLblPos val="t"/>
          <c:showLegendKey val="0"/>
          <c:showVal val="1"/>
          <c:showCatName val="0"/>
          <c:showSerName val="0"/>
          <c:showPercent val="0"/>
          <c:showBubbleSize val="0"/>
        </c:dLbls>
        <c:marker val="1"/>
        <c:smooth val="0"/>
        <c:axId val="523167695"/>
        <c:axId val="1869231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18692319"/>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67695"/>
        <c:crosses val="max"/>
        <c:crossBetween val="between"/>
      </c:valAx>
      <c:catAx>
        <c:axId val="523167695"/>
        <c:scaling>
          <c:orientation val="minMax"/>
        </c:scaling>
        <c:delete val="1"/>
        <c:axPos val="b"/>
        <c:numFmt formatCode="General" sourceLinked="1"/>
        <c:majorTickMark val="out"/>
        <c:minorTickMark val="none"/>
        <c:tickLblPos val="nextTo"/>
        <c:crossAx val="186923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FCF &amp; Working cap &amp; CAPEX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'Q#1'!$A$119</c:f>
              <c:strCache>
                <c:ptCount val="1"/>
                <c:pt idx="0">
                  <c:v>Free Cashflow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'Q#1'!$B$119:$F$119</c15:sqref>
                  </c15:fullRef>
                </c:ext>
              </c:extLst>
              <c:f>'Q#1'!$C$119:$F$119</c:f>
              <c:numCache>
                <c:formatCode>_(* #,##0_);_(* \(#,##0\);_(* "-"??_);_(@_)</c:formatCode>
                <c:ptCount val="4"/>
                <c:pt idx="0">
                  <c:v>3051.1848325000956</c:v>
                </c:pt>
                <c:pt idx="1">
                  <c:v>-547.11142069442303</c:v>
                </c:pt>
                <c:pt idx="2">
                  <c:v>3075.3874625449234</c:v>
                </c:pt>
                <c:pt idx="3">
                  <c:v>3405.4196756795791</c:v>
                </c:pt>
              </c:numCache>
            </c:numRef>
          </c:val>
          <c:smooth val="0"/>
          <c:extLst>
            <c:ext xmlns:c16="http://schemas.microsoft.com/office/drawing/2014/chart" uri="{C3380CC4-5D6E-409C-BE32-E72D297353CC}">
              <c16:uniqueId val="{00000000-56B9-4694-AC69-268CA955FF75}"/>
            </c:ext>
          </c:extLst>
        </c:ser>
        <c:ser>
          <c:idx val="1"/>
          <c:order val="1"/>
          <c:tx>
            <c:strRef>
              <c:f>'Q#1'!$A$116</c:f>
              <c:strCache>
                <c:ptCount val="1"/>
                <c:pt idx="0">
                  <c:v>Working Capital Changes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'Q#1'!$B$116:$F$116</c15:sqref>
                  </c15:fullRef>
                </c:ext>
              </c:extLst>
              <c:f>'Q#1'!$C$116:$F$116</c:f>
              <c:numCache>
                <c:formatCode>_(* #,##0_);_(* \(#,##0\);_(* "-"??_);_(@_)</c:formatCode>
                <c:ptCount val="4"/>
                <c:pt idx="0">
                  <c:v>1436.0058400000016</c:v>
                </c:pt>
                <c:pt idx="1">
                  <c:v>-2352.0148000000027</c:v>
                </c:pt>
                <c:pt idx="2">
                  <c:v>249.16731000000254</c:v>
                </c:pt>
                <c:pt idx="3">
                  <c:v>2315.8597899999986</c:v>
                </c:pt>
              </c:numCache>
            </c:numRef>
          </c:val>
          <c:smooth val="0"/>
          <c:extLst>
            <c:ext xmlns:c16="http://schemas.microsoft.com/office/drawing/2014/chart" uri="{C3380CC4-5D6E-409C-BE32-E72D297353CC}">
              <c16:uniqueId val="{00000001-56B9-4694-AC69-268CA955FF75}"/>
            </c:ext>
          </c:extLst>
        </c:ser>
        <c:ser>
          <c:idx val="2"/>
          <c:order val="2"/>
          <c:tx>
            <c:strRef>
              <c:f>'Q#1'!$A$87</c:f>
              <c:strCache>
                <c:ptCount val="1"/>
                <c:pt idx="0">
                  <c:v>CAPEX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'Q#1'!$B$87:$F$87</c15:sqref>
                  </c15:fullRef>
                </c:ext>
              </c:extLst>
              <c:f>'Q#1'!$C$87:$F$87</c:f>
              <c:numCache>
                <c:formatCode>_(* #,##0_);_(* \(#,##0\);_(* "-"??_);_(@_)</c:formatCode>
                <c:ptCount val="4"/>
                <c:pt idx="0">
                  <c:v>1423.8683874000017</c:v>
                </c:pt>
                <c:pt idx="1">
                  <c:v>2473.8841729499991</c:v>
                </c:pt>
                <c:pt idx="2">
                  <c:v>1617.5195966500005</c:v>
                </c:pt>
                <c:pt idx="3">
                  <c:v>2631.6301794499959</c:v>
                </c:pt>
              </c:numCache>
            </c:numRef>
          </c:val>
          <c:smooth val="0"/>
          <c:extLst>
            <c:ext xmlns:c16="http://schemas.microsoft.com/office/drawing/2014/chart" uri="{C3380CC4-5D6E-409C-BE32-E72D297353CC}">
              <c16:uniqueId val="{00000002-56B9-4694-AC69-268CA955FF75}"/>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Debt/Equity and Net</a:t>
            </a:r>
            <a:r>
              <a:rPr lang="en-US" baseline="0"/>
              <a:t> </a:t>
            </a:r>
            <a:r>
              <a:rPr lang="en-US"/>
              <a:t>Debt</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'Q#1'!$A$125</c:f>
              <c:strCache>
                <c:ptCount val="1"/>
                <c:pt idx="0">
                  <c:v>Net Debt / Equity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'Q#1'!$B$125:$F$125</c:f>
              <c:numCache>
                <c:formatCode>0.00%</c:formatCode>
                <c:ptCount val="5"/>
                <c:pt idx="0">
                  <c:v>0.9111066090596952</c:v>
                </c:pt>
                <c:pt idx="1">
                  <c:v>0.82786309126944213</c:v>
                </c:pt>
                <c:pt idx="2">
                  <c:v>0.7411597936702875</c:v>
                </c:pt>
                <c:pt idx="3">
                  <c:v>0.5934510546975762</c:v>
                </c:pt>
                <c:pt idx="4">
                  <c:v>0.46624529804149689</c:v>
                </c:pt>
              </c:numCache>
            </c:numRef>
          </c:val>
          <c:smooth val="0"/>
          <c:extLst>
            <c:ext xmlns:c16="http://schemas.microsoft.com/office/drawing/2014/chart" uri="{C3380CC4-5D6E-409C-BE32-E72D297353CC}">
              <c16:uniqueId val="{00000000-E004-4D33-B55D-3FA6F1EC700B}"/>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1"/>
          <c:order val="1"/>
          <c:tx>
            <c:strRef>
              <c:f>'Q#1'!$A$123</c:f>
              <c:strCache>
                <c:ptCount val="1"/>
                <c:pt idx="0">
                  <c:v>Net Interest Bearing Debt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'Q#1'!$B$123:$F$123</c:f>
              <c:numCache>
                <c:formatCode>0.0%</c:formatCode>
                <c:ptCount val="5"/>
                <c:pt idx="1">
                  <c:v>-3.0365455883267445E-2</c:v>
                </c:pt>
                <c:pt idx="2">
                  <c:v>3.1646148725500423E-2</c:v>
                </c:pt>
                <c:pt idx="3">
                  <c:v>-0.10826673893847194</c:v>
                </c:pt>
                <c:pt idx="4">
                  <c:v>-0.16256372451667489</c:v>
                </c:pt>
              </c:numCache>
            </c:numRef>
          </c:val>
          <c:smooth val="0"/>
          <c:extLst>
            <c:ext xmlns:c16="http://schemas.microsoft.com/office/drawing/2014/chart" uri="{C3380CC4-5D6E-409C-BE32-E72D297353CC}">
              <c16:uniqueId val="{00000001-E004-4D33-B55D-3FA6F1EC700B}"/>
            </c:ext>
          </c:extLst>
        </c:ser>
        <c:dLbls>
          <c:showLegendKey val="0"/>
          <c:showVal val="0"/>
          <c:showCatName val="0"/>
          <c:showSerName val="0"/>
          <c:showPercent val="0"/>
          <c:showBubbleSize val="0"/>
        </c:dLbls>
        <c:marker val="1"/>
        <c:smooth val="0"/>
        <c:axId val="1619435615"/>
        <c:axId val="314768703"/>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31476870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35615"/>
        <c:crosses val="max"/>
        <c:crossBetween val="between"/>
      </c:valAx>
      <c:catAx>
        <c:axId val="1619435615"/>
        <c:scaling>
          <c:orientation val="minMax"/>
        </c:scaling>
        <c:delete val="1"/>
        <c:axPos val="b"/>
        <c:numFmt formatCode="General" sourceLinked="1"/>
        <c:majorTickMark val="out"/>
        <c:minorTickMark val="none"/>
        <c:tickLblPos val="nextTo"/>
        <c:crossAx val="3147687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r>
              <a:rPr lang="en-US" b="1"/>
              <a:t>Chart 1 (KEX</a:t>
            </a:r>
            <a:r>
              <a:rPr lang="en-US" b="1" baseline="0"/>
              <a:t> is left out, being an outliner)</a:t>
            </a:r>
            <a:endParaRPr lang="en-US" b="1"/>
          </a:p>
        </c:rich>
      </c:tx>
      <c:layout>
        <c:manualLayout>
          <c:xMode val="edge"/>
          <c:yMode val="edge"/>
          <c:x val="1.883898202341161E-2"/>
          <c:y val="1.0586246315444466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9426651820904156E-2"/>
          <c:y val="6.7129471792988366E-2"/>
          <c:w val="0.87763475783075218"/>
          <c:h val="0.79300154092401087"/>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C77425E-6081-44CD-AC6F-2F080CEFC4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B61-48E9-B593-E2516DCA8A08}"/>
                </c:ext>
              </c:extLst>
            </c:dLbl>
            <c:dLbl>
              <c:idx val="1"/>
              <c:tx>
                <c:rich>
                  <a:bodyPr/>
                  <a:lstStyle/>
                  <a:p>
                    <a:fld id="{ED41658D-E2B0-4A19-9E7B-9F827ECA435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B61-48E9-B593-E2516DCA8A08}"/>
                </c:ext>
              </c:extLst>
            </c:dLbl>
            <c:dLbl>
              <c:idx val="2"/>
              <c:layout>
                <c:manualLayout>
                  <c:x val="-6.5583228908354954E-2"/>
                  <c:y val="-1.2703495578533361E-2"/>
                </c:manualLayout>
              </c:layout>
              <c:tx>
                <c:rich>
                  <a:bodyPr/>
                  <a:lstStyle/>
                  <a:p>
                    <a:fld id="{778A3973-5D29-4123-B20A-D86C5209309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B61-48E9-B593-E2516DCA8A08}"/>
                </c:ext>
              </c:extLst>
            </c:dLbl>
            <c:dLbl>
              <c:idx val="3"/>
              <c:tx>
                <c:rich>
                  <a:bodyPr/>
                  <a:lstStyle/>
                  <a:p>
                    <a:fld id="{2769B143-FF8F-4C21-AC4B-4CF03047D0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61-48E9-B593-E2516DCA8A08}"/>
                </c:ext>
              </c:extLst>
            </c:dLbl>
            <c:dLbl>
              <c:idx val="4"/>
              <c:tx>
                <c:rich>
                  <a:bodyPr/>
                  <a:lstStyle/>
                  <a:p>
                    <a:fld id="{18BC05BB-40A3-4C20-AABC-1C06C2DABD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61-48E9-B593-E2516DCA8A08}"/>
                </c:ext>
              </c:extLst>
            </c:dLbl>
            <c:dLbl>
              <c:idx val="5"/>
              <c:tx>
                <c:rich>
                  <a:bodyPr/>
                  <a:lstStyle/>
                  <a:p>
                    <a:fld id="{8A53B822-4B5C-4085-B203-96B3D0AD34D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B61-48E9-B593-E2516DCA8A08}"/>
                </c:ext>
              </c:extLst>
            </c:dLbl>
            <c:dLbl>
              <c:idx val="6"/>
              <c:tx>
                <c:rich>
                  <a:bodyPr/>
                  <a:lstStyle/>
                  <a:p>
                    <a:fld id="{D2F73F56-709B-41A7-A7E6-F7B35F5572C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61-48E9-B593-E2516DCA8A08}"/>
                </c:ext>
              </c:extLst>
            </c:dLbl>
            <c:dLbl>
              <c:idx val="7"/>
              <c:tx>
                <c:rich>
                  <a:bodyPr/>
                  <a:lstStyle/>
                  <a:p>
                    <a:fld id="{E641ABBC-ADE1-4830-AC5F-DE5BFA3944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B61-48E9-B593-E2516DCA8A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'Q#3'!$W$19:$W$26</c:f>
              <c:numCache>
                <c:formatCode>_(* #,##0.00_);_(* \(#,##0.00\);_(* "-"??_);_(@_)</c:formatCode>
                <c:ptCount val="8"/>
                <c:pt idx="0">
                  <c:v>0.12084758524935814</c:v>
                </c:pt>
                <c:pt idx="1">
                  <c:v>0.9106452494547661</c:v>
                </c:pt>
                <c:pt idx="2">
                  <c:v>-0.34201479889167385</c:v>
                </c:pt>
                <c:pt idx="3">
                  <c:v>1.534282662086057</c:v>
                </c:pt>
                <c:pt idx="4">
                  <c:v>4.2051037122501279E-2</c:v>
                </c:pt>
                <c:pt idx="5">
                  <c:v>-2.8831756167293352</c:v>
                </c:pt>
                <c:pt idx="6">
                  <c:v>0.2599327490445153</c:v>
                </c:pt>
                <c:pt idx="7">
                  <c:v>0.31550241882646002</c:v>
                </c:pt>
              </c:numCache>
            </c:numRef>
          </c:xVal>
          <c:yVal>
            <c:numRef>
              <c:f>'Q#3'!$Q$19:$Q$26</c:f>
              <c:numCache>
                <c:formatCode>0.0_);\(0.0\)</c:formatCode>
                <c:ptCount val="8"/>
                <c:pt idx="0">
                  <c:v>22.378428465228946</c:v>
                </c:pt>
                <c:pt idx="1">
                  <c:v>12.491157372519185</c:v>
                </c:pt>
                <c:pt idx="2">
                  <c:v>10.953963167828329</c:v>
                </c:pt>
                <c:pt idx="3">
                  <c:v>10.040556407730831</c:v>
                </c:pt>
                <c:pt idx="4">
                  <c:v>-9.5776468338157237</c:v>
                </c:pt>
                <c:pt idx="5">
                  <c:v>16.474817137145028</c:v>
                </c:pt>
                <c:pt idx="6">
                  <c:v>35.07</c:v>
                </c:pt>
                <c:pt idx="7">
                  <c:v>5.412119071519137</c:v>
                </c:pt>
              </c:numCache>
            </c:numRef>
          </c:yVal>
          <c:smooth val="0"/>
          <c:extLst>
            <c:ext xmlns:c15="http://schemas.microsoft.com/office/drawing/2012/chart" uri="{02D57815-91ED-43cb-92C2-25804820EDAC}">
              <c15:datalabelsRange>
                <c15:f>'Q#3'!$B$19:$B$26</c15:f>
                <c15:dlblRangeCache>
                  <c:ptCount val="8"/>
                  <c:pt idx="0">
                    <c:v>AAV</c:v>
                  </c:pt>
                  <c:pt idx="1">
                    <c:v>AOT</c:v>
                  </c:pt>
                  <c:pt idx="2">
                    <c:v>BA</c:v>
                  </c:pt>
                  <c:pt idx="3">
                    <c:v>BEM</c:v>
                  </c:pt>
                  <c:pt idx="4">
                    <c:v>BTS</c:v>
                  </c:pt>
                  <c:pt idx="5">
                    <c:v>PRM</c:v>
                  </c:pt>
                  <c:pt idx="6">
                    <c:v>SAV</c:v>
                  </c:pt>
                  <c:pt idx="7">
                    <c:v>SJWD</c:v>
                  </c:pt>
                </c15:dlblRangeCache>
              </c15:datalabelsRange>
            </c:ext>
            <c:ext xmlns:c16="http://schemas.microsoft.com/office/drawing/2014/chart" uri="{C3380CC4-5D6E-409C-BE32-E72D297353CC}">
              <c16:uniqueId val="{00000009-AB61-48E9-B593-E2516DCA8A08}"/>
            </c:ext>
          </c:extLst>
        </c:ser>
        <c:dLbls>
          <c:showLegendKey val="0"/>
          <c:showVal val="0"/>
          <c:showCatName val="0"/>
          <c:showSerName val="0"/>
          <c:showPercent val="0"/>
          <c:showBubbleSize val="0"/>
        </c:dLbls>
        <c:axId val="293911519"/>
        <c:axId val="2099838591"/>
      </c:scatterChart>
      <c:valAx>
        <c:axId val="2939115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2024 PER / 2024 EPS GROWTH (PEG)</a:t>
                </a:r>
              </a:p>
            </c:rich>
          </c:tx>
          <c:layout>
            <c:manualLayout>
              <c:xMode val="edge"/>
              <c:yMode val="edge"/>
              <c:x val="0.4501470634663271"/>
              <c:y val="0.92153124134657716"/>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_(* #,##0.00_);_(* \(#,##0.0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099838591"/>
        <c:crosses val="autoZero"/>
        <c:crossBetween val="midCat"/>
      </c:valAx>
      <c:valAx>
        <c:axId val="2099838591"/>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2024F ROE</a:t>
                </a:r>
              </a:p>
            </c:rich>
          </c:tx>
          <c:layout>
            <c:manualLayout>
              <c:xMode val="edge"/>
              <c:yMode val="edge"/>
              <c:x val="0.51346985395525668"/>
              <c:y val="6.3861739288594233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0.0_);\(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293911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Turnover and</a:t>
            </a:r>
            <a:r>
              <a:rPr lang="en-US" baseline="0"/>
              <a:t> </a:t>
            </a:r>
            <a:r>
              <a:rPr lang="en-US"/>
              <a:t>Fixed</a:t>
            </a:r>
            <a:r>
              <a:rPr lang="en-US" baseline="0"/>
              <a:t> Assets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'Q#1'!$A$111</c:f>
              <c:strCache>
                <c:ptCount val="1"/>
                <c:pt idx="0">
                  <c:v>Fixed Assets Growth</c:v>
                </c:pt>
              </c:strCache>
            </c:strRef>
          </c:tx>
          <c:spPr>
            <a:ln w="28575" cap="rnd">
              <a:solidFill>
                <a:schemeClr val="accent4"/>
              </a:solidFill>
              <a:round/>
            </a:ln>
            <a:effectLst/>
          </c:spPr>
          <c:marker>
            <c:symbol val="circle"/>
            <c:size val="5"/>
            <c:spPr>
              <a:solidFill>
                <a:srgbClr val="FFC000"/>
              </a:solidFill>
              <a:ln w="9525">
                <a:solidFill>
                  <a:schemeClr val="accent4"/>
                </a:solidFill>
              </a:ln>
              <a:effectLst/>
            </c:spPr>
          </c:marker>
          <c:dLbls>
            <c:dLbl>
              <c:idx val="2"/>
              <c:layout>
                <c:manualLayout>
                  <c:x val="-5.7479625467131895E-2"/>
                  <c:y val="7.13306261173423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CF-4086-862C-FB94AE648200}"/>
                </c:ext>
              </c:extLst>
            </c:dLbl>
            <c:dLbl>
              <c:idx val="4"/>
              <c:layout>
                <c:manualLayout>
                  <c:x val="-3.7047634807470538E-2"/>
                  <c:y val="5.7531358021829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CF-4086-862C-FB94AE6482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'Q#1'!$B$111:$F$111</c:f>
              <c:numCache>
                <c:formatCode>0.00%</c:formatCode>
                <c:ptCount val="5"/>
                <c:pt idx="1">
                  <c:v>1.3632704648609328E-2</c:v>
                </c:pt>
                <c:pt idx="2">
                  <c:v>7.1662110334378637E-2</c:v>
                </c:pt>
                <c:pt idx="3">
                  <c:v>1.7353214050560561E-2</c:v>
                </c:pt>
                <c:pt idx="4">
                  <c:v>6.827710308346413E-2</c:v>
                </c:pt>
              </c:numCache>
            </c:numRef>
          </c:val>
          <c:smooth val="0"/>
          <c:extLst>
            <c:ext xmlns:c16="http://schemas.microsoft.com/office/drawing/2014/chart" uri="{C3380CC4-5D6E-409C-BE32-E72D297353CC}">
              <c16:uniqueId val="{00000003-B4CF-4086-862C-FB94AE648200}"/>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1"/>
          <c:order val="1"/>
          <c:tx>
            <c:strRef>
              <c:f>'Q#1'!$A$99</c:f>
              <c:strCache>
                <c:ptCount val="1"/>
                <c:pt idx="0">
                  <c:v>Total Asset Turnover (x)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'[1]Q#1 N23'!$B$93:$I$93</c:f>
              <c:strCache>
                <c:ptCount val="8"/>
                <c:pt idx="0">
                  <c:v>2018</c:v>
                </c:pt>
                <c:pt idx="1">
                  <c:v>2019</c:v>
                </c:pt>
                <c:pt idx="2">
                  <c:v>2020</c:v>
                </c:pt>
                <c:pt idx="3">
                  <c:v>2021</c:v>
                </c:pt>
                <c:pt idx="4">
                  <c:v>2022</c:v>
                </c:pt>
                <c:pt idx="6">
                  <c:v>2Q22</c:v>
                </c:pt>
                <c:pt idx="7">
                  <c:v>2Q23</c:v>
                </c:pt>
              </c:strCache>
            </c:strRef>
          </c:cat>
          <c:val>
            <c:numRef>
              <c:f>'Q#1'!$B$99:$F$99</c:f>
              <c:numCache>
                <c:formatCode>_(* #,##0.00_);_(* \(#,##0.00\);_(* "-"??_);_(@_)</c:formatCode>
                <c:ptCount val="5"/>
                <c:pt idx="0">
                  <c:v>0.78527552654841393</c:v>
                </c:pt>
                <c:pt idx="1">
                  <c:v>0.74729285740758744</c:v>
                </c:pt>
                <c:pt idx="2">
                  <c:v>0.89289637355504403</c:v>
                </c:pt>
                <c:pt idx="3">
                  <c:v>0.90434131675230556</c:v>
                </c:pt>
                <c:pt idx="4">
                  <c:v>0.83059242095543306</c:v>
                </c:pt>
              </c:numCache>
            </c:numRef>
          </c:val>
          <c:smooth val="0"/>
          <c:extLst>
            <c:ext xmlns:c16="http://schemas.microsoft.com/office/drawing/2014/chart" uri="{C3380CC4-5D6E-409C-BE32-E72D297353CC}">
              <c16:uniqueId val="{00000004-B4CF-4086-862C-FB94AE648200}"/>
            </c:ext>
          </c:extLst>
        </c:ser>
        <c:dLbls>
          <c:dLblPos val="t"/>
          <c:showLegendKey val="0"/>
          <c:showVal val="1"/>
          <c:showCatName val="0"/>
          <c:showSerName val="0"/>
          <c:showPercent val="0"/>
          <c:showBubbleSize val="0"/>
        </c:dLbls>
        <c:marker val="1"/>
        <c:smooth val="0"/>
        <c:axId val="1619435615"/>
        <c:axId val="314768703"/>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314768703"/>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35615"/>
        <c:crosses val="max"/>
        <c:crossBetween val="between"/>
      </c:valAx>
      <c:catAx>
        <c:axId val="1619435615"/>
        <c:scaling>
          <c:orientation val="minMax"/>
        </c:scaling>
        <c:delete val="1"/>
        <c:axPos val="b"/>
        <c:numFmt formatCode="General" sourceLinked="1"/>
        <c:majorTickMark val="out"/>
        <c:minorTickMark val="none"/>
        <c:tickLblPos val="nextTo"/>
        <c:crossAx val="3147687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52994850078829"/>
          <c:y val="7.2952342530761299E-2"/>
          <c:w val="0.81693175428822851"/>
          <c:h val="0.758760940099256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4925EF68-36D6-48D4-82C7-AC0C1F1FE08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0F3-46E2-A413-2632A41D8ADE}"/>
                </c:ext>
              </c:extLst>
            </c:dLbl>
            <c:dLbl>
              <c:idx val="1"/>
              <c:tx>
                <c:rich>
                  <a:bodyPr/>
                  <a:lstStyle/>
                  <a:p>
                    <a:fld id="{6B6727F5-EB95-4DBD-BE67-9F6389BBA59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0F3-46E2-A413-2632A41D8ADE}"/>
                </c:ext>
              </c:extLst>
            </c:dLbl>
            <c:dLbl>
              <c:idx val="2"/>
              <c:tx>
                <c:rich>
                  <a:bodyPr/>
                  <a:lstStyle/>
                  <a:p>
                    <a:fld id="{FA6DA905-FD6E-4B77-9C98-F529687F939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0F3-46E2-A413-2632A41D8ADE}"/>
                </c:ext>
              </c:extLst>
            </c:dLbl>
            <c:dLbl>
              <c:idx val="3"/>
              <c:tx>
                <c:rich>
                  <a:bodyPr/>
                  <a:lstStyle/>
                  <a:p>
                    <a:fld id="{95224934-11D6-4B43-94D9-9D08061DAF8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F3-46E2-A413-2632A41D8ADE}"/>
                </c:ext>
              </c:extLst>
            </c:dLbl>
            <c:dLbl>
              <c:idx val="4"/>
              <c:tx>
                <c:rich>
                  <a:bodyPr/>
                  <a:lstStyle/>
                  <a:p>
                    <a:fld id="{DFE9D8FC-0A00-4A32-BFAA-5A9536ECAED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0F3-46E2-A413-2632A41D8ADE}"/>
                </c:ext>
              </c:extLst>
            </c:dLbl>
            <c:dLbl>
              <c:idx val="5"/>
              <c:tx>
                <c:rich>
                  <a:bodyPr/>
                  <a:lstStyle/>
                  <a:p>
                    <a:fld id="{E5A9D583-32F6-4D39-9EE8-D07B7CDAB11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0F3-46E2-A413-2632A41D8ADE}"/>
                </c:ext>
              </c:extLst>
            </c:dLbl>
            <c:dLbl>
              <c:idx val="6"/>
              <c:tx>
                <c:rich>
                  <a:bodyPr/>
                  <a:lstStyle/>
                  <a:p>
                    <a:fld id="{498D7D0A-F434-44FF-BB7F-8780CE572B1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0F3-46E2-A413-2632A41D8ADE}"/>
                </c:ext>
              </c:extLst>
            </c:dLbl>
            <c:dLbl>
              <c:idx val="7"/>
              <c:tx>
                <c:rich>
                  <a:bodyPr/>
                  <a:lstStyle/>
                  <a:p>
                    <a:fld id="{2DF045B4-7489-41C0-9C89-D2511AB97EB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0F3-46E2-A413-2632A41D8ADE}"/>
                </c:ext>
              </c:extLst>
            </c:dLbl>
            <c:dLbl>
              <c:idx val="8"/>
              <c:layout>
                <c:manualLayout>
                  <c:x val="-8.2415611295959576E-2"/>
                  <c:y val="-1.6003149017279655E-2"/>
                </c:manualLayout>
              </c:layout>
              <c:tx>
                <c:rich>
                  <a:bodyPr/>
                  <a:lstStyle/>
                  <a:p>
                    <a:fld id="{3C89EB1D-D7A3-48AF-B2A8-A2E48F6E81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0F3-46E2-A413-2632A41D8AD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'Q#3'!$L$19:$L$27</c:f>
              <c:numCache>
                <c:formatCode>_(* #,##0.0_);_(* \(#,##0.0\);_(* "-"??_);_(@_)</c:formatCode>
                <c:ptCount val="9"/>
                <c:pt idx="0">
                  <c:v>13.986768682586325</c:v>
                </c:pt>
                <c:pt idx="1">
                  <c:v>42.094318929931937</c:v>
                </c:pt>
                <c:pt idx="2">
                  <c:v>13.082644904151183</c:v>
                </c:pt>
                <c:pt idx="3">
                  <c:v>25.620414778720718</c:v>
                </c:pt>
                <c:pt idx="4">
                  <c:v>156.14461107296412</c:v>
                </c:pt>
                <c:pt idx="5">
                  <c:v>6.7903765881901537</c:v>
                </c:pt>
                <c:pt idx="6">
                  <c:v>13.582389854776038</c:v>
                </c:pt>
                <c:pt idx="7">
                  <c:v>19.782144773010813</c:v>
                </c:pt>
                <c:pt idx="8">
                  <c:v>-20.638750523312343</c:v>
                </c:pt>
              </c:numCache>
            </c:numRef>
          </c:xVal>
          <c:yVal>
            <c:numRef>
              <c:f>'Q#3'!$I$19:$I$27</c:f>
              <c:numCache>
                <c:formatCode>0%</c:formatCode>
                <c:ptCount val="9"/>
                <c:pt idx="0">
                  <c:v>1.9604006271398737</c:v>
                </c:pt>
                <c:pt idx="1">
                  <c:v>1.4417816819137828</c:v>
                </c:pt>
                <c:pt idx="2">
                  <c:v>-0.37772941144314415</c:v>
                </c:pt>
                <c:pt idx="3">
                  <c:v>0.36746647145529598</c:v>
                </c:pt>
                <c:pt idx="4">
                  <c:v>-0.7382607309521344</c:v>
                </c:pt>
                <c:pt idx="5">
                  <c:v>0.11699063406065334</c:v>
                </c:pt>
                <c:pt idx="6">
                  <c:v>1.1081933733666114</c:v>
                </c:pt>
                <c:pt idx="7">
                  <c:v>0.99916108729556896</c:v>
                </c:pt>
                <c:pt idx="8">
                  <c:v>0.88142264794304515</c:v>
                </c:pt>
              </c:numCache>
            </c:numRef>
          </c:yVal>
          <c:smooth val="0"/>
          <c:extLst>
            <c:ext xmlns:c15="http://schemas.microsoft.com/office/drawing/2012/chart" uri="{02D57815-91ED-43cb-92C2-25804820EDAC}">
              <c15:datalabelsRange>
                <c15:f>'Q#3'!$B$19:$B$27</c15:f>
                <c15:dlblRangeCache>
                  <c:ptCount val="9"/>
                  <c:pt idx="0">
                    <c:v>AAV</c:v>
                  </c:pt>
                  <c:pt idx="1">
                    <c:v>AOT</c:v>
                  </c:pt>
                  <c:pt idx="2">
                    <c:v>BA</c:v>
                  </c:pt>
                  <c:pt idx="3">
                    <c:v>BEM</c:v>
                  </c:pt>
                  <c:pt idx="4">
                    <c:v>BTS</c:v>
                  </c:pt>
                  <c:pt idx="5">
                    <c:v>PRM</c:v>
                  </c:pt>
                  <c:pt idx="6">
                    <c:v>SAV</c:v>
                  </c:pt>
                  <c:pt idx="7">
                    <c:v>SJWD</c:v>
                  </c:pt>
                  <c:pt idx="8">
                    <c:v>KEX</c:v>
                  </c:pt>
                </c15:dlblRangeCache>
              </c15:datalabelsRange>
            </c:ext>
            <c:ext xmlns:c16="http://schemas.microsoft.com/office/drawing/2014/chart" uri="{C3380CC4-5D6E-409C-BE32-E72D297353CC}">
              <c16:uniqueId val="{0000000B-60F3-46E2-A413-2632A41D8ADE}"/>
            </c:ext>
          </c:extLst>
        </c:ser>
        <c:dLbls>
          <c:showLegendKey val="0"/>
          <c:showVal val="0"/>
          <c:showCatName val="0"/>
          <c:showSerName val="0"/>
          <c:showPercent val="0"/>
          <c:showBubbleSize val="0"/>
        </c:dLbls>
        <c:axId val="1542986831"/>
        <c:axId val="887945935"/>
      </c:scatterChart>
      <c:valAx>
        <c:axId val="15429868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87945935"/>
        <c:crosses val="autoZero"/>
        <c:crossBetween val="midCat"/>
      </c:valAx>
      <c:valAx>
        <c:axId val="887945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2986831"/>
        <c:crosses val="autoZero"/>
        <c:crossBetween val="midCat"/>
      </c:valAx>
      <c:spPr>
        <a:gradFill flip="none" rotWithShape="1">
          <a:gsLst>
            <a:gs pos="0">
              <a:srgbClr val="92D050"/>
            </a:gs>
            <a:gs pos="100000">
              <a:srgbClr val="FF5D5D"/>
            </a:gs>
          </a:gsLst>
          <a:lin ang="27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Profitability 1 -</a:t>
            </a:r>
            <a:r>
              <a:rPr lang="en-US" sz="1200" baseline="0"/>
              <a:t> Revenue Growth &amp; Gross Margin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'Q#1'!$A$92</c:f>
              <c:strCache>
                <c:ptCount val="1"/>
                <c:pt idx="0">
                  <c:v>Revenue from Operation Growth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1"/>
              <c:layout>
                <c:manualLayout>
                  <c:x val="-0.13155283129013426"/>
                  <c:y val="-8.16651733740070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68-425A-97F6-02BBBE27FC20}"/>
                </c:ext>
              </c:extLst>
            </c:dLbl>
            <c:dLbl>
              <c:idx val="2"/>
              <c:layout>
                <c:manualLayout>
                  <c:x val="-5.8296905093518411E-2"/>
                  <c:y val="0.101545850322948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8-425A-97F6-02BBBE27FC20}"/>
                </c:ext>
              </c:extLst>
            </c:dLbl>
            <c:dLbl>
              <c:idx val="3"/>
              <c:layout>
                <c:manualLayout>
                  <c:x val="-4.5804202233039611E-2"/>
                  <c:y val="-6.185857621757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68-425A-97F6-02BBBE27FC20}"/>
                </c:ext>
              </c:extLst>
            </c:dLbl>
            <c:dLbl>
              <c:idx val="4"/>
              <c:layout>
                <c:manualLayout>
                  <c:x val="-5.5662580268534628E-2"/>
                  <c:y val="-0.160891561999717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8-425A-97F6-02BBBE27FC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'Q#1'!$B$92:$F$92</c:f>
              <c:numCache>
                <c:formatCode>0.00%</c:formatCode>
                <c:ptCount val="5"/>
                <c:pt idx="1">
                  <c:v>-4.7920123369253886E-2</c:v>
                </c:pt>
                <c:pt idx="2">
                  <c:v>0.24940423938942957</c:v>
                </c:pt>
                <c:pt idx="3">
                  <c:v>5.4892331654637472E-2</c:v>
                </c:pt>
                <c:pt idx="4">
                  <c:v>-8.4087877536887068E-2</c:v>
                </c:pt>
              </c:numCache>
            </c:numRef>
          </c:val>
          <c:smooth val="0"/>
          <c:extLst>
            <c:ext xmlns:c16="http://schemas.microsoft.com/office/drawing/2014/chart" uri="{C3380CC4-5D6E-409C-BE32-E72D297353CC}">
              <c16:uniqueId val="{00000003-D468-425A-97F6-02BBBE27FC20}"/>
            </c:ext>
          </c:extLst>
        </c:ser>
        <c:ser>
          <c:idx val="1"/>
          <c:order val="1"/>
          <c:tx>
            <c:strRef>
              <c:f>'Q#1'!$A$93</c:f>
              <c:strCache>
                <c:ptCount val="1"/>
                <c:pt idx="0">
                  <c:v>Gross Margin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'Q#1'!$B$93:$F$93</c:f>
              <c:numCache>
                <c:formatCode>0.00%</c:formatCode>
                <c:ptCount val="5"/>
                <c:pt idx="0">
                  <c:v>0.21091520225127161</c:v>
                </c:pt>
                <c:pt idx="1">
                  <c:v>0.24174065126554276</c:v>
                </c:pt>
                <c:pt idx="2">
                  <c:v>0.25429745411951205</c:v>
                </c:pt>
                <c:pt idx="3">
                  <c:v>0.26211107441155546</c:v>
                </c:pt>
                <c:pt idx="4">
                  <c:v>0.25982288495732536</c:v>
                </c:pt>
              </c:numCache>
            </c:numRef>
          </c:val>
          <c:smooth val="0"/>
          <c:extLst>
            <c:ext xmlns:c16="http://schemas.microsoft.com/office/drawing/2014/chart" uri="{C3380CC4-5D6E-409C-BE32-E72D297353CC}">
              <c16:uniqueId val="{00000006-D468-425A-97F6-02BBBE27FC20}"/>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Profitability 2 -</a:t>
            </a:r>
            <a:r>
              <a:rPr lang="en-US" sz="1200" baseline="0"/>
              <a:t> Operating Margin and SG&amp;A/Sales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'Q#1'!$A$95</c:f>
              <c:strCache>
                <c:ptCount val="1"/>
                <c:pt idx="0">
                  <c:v>Operating Margin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7.5545432475390834E-2"/>
                  <c:y val="5.73821534808188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5B-48FF-9C26-9E13DE3EE522}"/>
                </c:ext>
              </c:extLst>
            </c:dLbl>
            <c:dLbl>
              <c:idx val="3"/>
              <c:layout>
                <c:manualLayout>
                  <c:x val="-6.391076115485575E-2"/>
                  <c:y val="4.2422626657327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5B-48FF-9C26-9E13DE3EE5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'Q#1'!$B$95:$F$95</c:f>
              <c:numCache>
                <c:formatCode>0.00%</c:formatCode>
                <c:ptCount val="5"/>
                <c:pt idx="0">
                  <c:v>0.10380410590819728</c:v>
                </c:pt>
                <c:pt idx="1">
                  <c:v>8.4405052913488696E-2</c:v>
                </c:pt>
                <c:pt idx="2">
                  <c:v>0.11132594089306566</c:v>
                </c:pt>
                <c:pt idx="3">
                  <c:v>0.1095559085404038</c:v>
                </c:pt>
                <c:pt idx="4">
                  <c:v>8.9748006863612589E-2</c:v>
                </c:pt>
              </c:numCache>
            </c:numRef>
          </c:val>
          <c:smooth val="0"/>
          <c:extLst>
            <c:ext xmlns:c16="http://schemas.microsoft.com/office/drawing/2014/chart" uri="{C3380CC4-5D6E-409C-BE32-E72D297353CC}">
              <c16:uniqueId val="{00000005-075B-48FF-9C26-9E13DE3EE522}"/>
            </c:ext>
          </c:extLst>
        </c:ser>
        <c:ser>
          <c:idx val="1"/>
          <c:order val="1"/>
          <c:tx>
            <c:strRef>
              <c:f>'Q#1'!$A$97</c:f>
              <c:strCache>
                <c:ptCount val="1"/>
                <c:pt idx="0">
                  <c:v>SG&amp;A expenses growth</c:v>
                </c:pt>
              </c:strCache>
            </c:strRef>
          </c:tx>
          <c:spPr>
            <a:ln w="28575" cap="rnd">
              <a:solidFill>
                <a:schemeClr val="accent2"/>
              </a:solidFill>
              <a:round/>
            </a:ln>
            <a:effectLst/>
          </c:spPr>
          <c:marker>
            <c:symbol val="circle"/>
            <c:size val="5"/>
            <c:spPr>
              <a:solidFill>
                <a:schemeClr val="accent5"/>
              </a:solidFill>
              <a:ln w="9525">
                <a:solidFill>
                  <a:schemeClr val="accent5"/>
                </a:solidFill>
              </a:ln>
              <a:effectLst/>
            </c:spPr>
          </c:marker>
          <c:dLbls>
            <c:dLbl>
              <c:idx val="1"/>
              <c:layout>
                <c:manualLayout>
                  <c:x val="-5.1938910320773662E-2"/>
                  <c:y val="4.6707167838034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D6-4D7D-B4DE-B503E7A461D2}"/>
                </c:ext>
              </c:extLst>
            </c:dLbl>
            <c:dLbl>
              <c:idx val="2"/>
              <c:layout>
                <c:manualLayout>
                  <c:x val="-5.7904607561638691E-2"/>
                  <c:y val="4.264831511270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5B-48FF-9C26-9E13DE3EE522}"/>
                </c:ext>
              </c:extLst>
            </c:dLbl>
            <c:dLbl>
              <c:idx val="4"/>
              <c:layout>
                <c:manualLayout>
                  <c:x val="-6.1722653795792302E-2"/>
                  <c:y val="-6.67338526289660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5B-48FF-9C26-9E13DE3EE5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'Q#1'!$B$97:$F$97</c:f>
              <c:numCache>
                <c:formatCode>0.00%</c:formatCode>
                <c:ptCount val="5"/>
                <c:pt idx="1">
                  <c:v>0.39851109906349014</c:v>
                </c:pt>
                <c:pt idx="2">
                  <c:v>0.1353388337288004</c:v>
                </c:pt>
                <c:pt idx="3">
                  <c:v>0.1256037723884913</c:v>
                </c:pt>
                <c:pt idx="4">
                  <c:v>2.10971335053598E-2</c:v>
                </c:pt>
              </c:numCache>
            </c:numRef>
          </c:val>
          <c:smooth val="0"/>
          <c:extLst>
            <c:ext xmlns:c16="http://schemas.microsoft.com/office/drawing/2014/chart" uri="{C3380CC4-5D6E-409C-BE32-E72D297353CC}">
              <c16:uniqueId val="{0000000A-075B-48FF-9C26-9E13DE3EE522}"/>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Cycle Days and Inventory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'Q#1'!$A$100</c:f>
              <c:strCache>
                <c:ptCount val="1"/>
                <c:pt idx="0">
                  <c:v>Account Receivable Days</c:v>
                </c:pt>
              </c:strCache>
            </c:strRef>
          </c:tx>
          <c:spPr>
            <a:ln w="28575" cap="rnd">
              <a:solidFill>
                <a:schemeClr val="accent1"/>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'Q#1'!$B$100:$F$100</c:f>
              <c:numCache>
                <c:formatCode>_(* #,##0_);_(* \(#,##0\);_(* "-"??_);_(@_)</c:formatCode>
                <c:ptCount val="5"/>
                <c:pt idx="0">
                  <c:v>3.4787412282196382</c:v>
                </c:pt>
                <c:pt idx="1">
                  <c:v>6.3428788787236465</c:v>
                </c:pt>
                <c:pt idx="2">
                  <c:v>7.2737234486372762</c:v>
                </c:pt>
                <c:pt idx="3">
                  <c:v>6.7182923316441352</c:v>
                </c:pt>
                <c:pt idx="4">
                  <c:v>7.8007579643409422</c:v>
                </c:pt>
              </c:numCache>
            </c:numRef>
          </c:val>
          <c:smooth val="0"/>
          <c:extLst>
            <c:ext xmlns:c16="http://schemas.microsoft.com/office/drawing/2014/chart" uri="{C3380CC4-5D6E-409C-BE32-E72D297353CC}">
              <c16:uniqueId val="{00000002-5A75-4272-8EF6-AD78ED2FEA1F}"/>
            </c:ext>
          </c:extLst>
        </c:ser>
        <c:ser>
          <c:idx val="1"/>
          <c:order val="1"/>
          <c:tx>
            <c:strRef>
              <c:f>'Q#1'!$A$101</c:f>
              <c:strCache>
                <c:ptCount val="1"/>
                <c:pt idx="0">
                  <c:v>Inventory 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'Q#1'!$B$101:$F$101</c:f>
              <c:numCache>
                <c:formatCode>_(* #,##0_);_(* \(#,##0\);_(* "-"??_);_(@_)</c:formatCode>
                <c:ptCount val="5"/>
                <c:pt idx="0">
                  <c:v>255.39009207079371</c:v>
                </c:pt>
                <c:pt idx="1">
                  <c:v>255.6162751381089</c:v>
                </c:pt>
                <c:pt idx="2">
                  <c:v>235.67852399202278</c:v>
                </c:pt>
                <c:pt idx="3">
                  <c:v>219.6606128648568</c:v>
                </c:pt>
                <c:pt idx="4">
                  <c:v>213.14507445329096</c:v>
                </c:pt>
              </c:numCache>
            </c:numRef>
          </c:val>
          <c:smooth val="0"/>
          <c:extLst>
            <c:ext xmlns:c16="http://schemas.microsoft.com/office/drawing/2014/chart" uri="{C3380CC4-5D6E-409C-BE32-E72D297353CC}">
              <c16:uniqueId val="{00000005-5A75-4272-8EF6-AD78ED2FEA1F}"/>
            </c:ext>
          </c:extLst>
        </c:ser>
        <c:ser>
          <c:idx val="2"/>
          <c:order val="2"/>
          <c:tx>
            <c:strRef>
              <c:f>'Q#1'!$A$103</c:f>
              <c:strCache>
                <c:ptCount val="1"/>
                <c:pt idx="0">
                  <c:v>Account Payable Days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'Q#1'!$B$103:$F$103</c:f>
              <c:numCache>
                <c:formatCode>_(* #,##0_);_(* \(#,##0\);_(* "-"??_);_(@_)</c:formatCode>
                <c:ptCount val="5"/>
                <c:pt idx="0">
                  <c:v>40.447250648102901</c:v>
                </c:pt>
                <c:pt idx="1">
                  <c:v>48.835915115688898</c:v>
                </c:pt>
                <c:pt idx="2">
                  <c:v>40.267943195641521</c:v>
                </c:pt>
                <c:pt idx="3">
                  <c:v>33.851232090375923</c:v>
                </c:pt>
                <c:pt idx="4">
                  <c:v>40.645460371727808</c:v>
                </c:pt>
              </c:numCache>
            </c:numRef>
          </c:val>
          <c:smooth val="0"/>
          <c:extLst>
            <c:ext xmlns:c16="http://schemas.microsoft.com/office/drawing/2014/chart" uri="{C3380CC4-5D6E-409C-BE32-E72D297353CC}">
              <c16:uniqueId val="{00000008-5A75-4272-8EF6-AD78ED2FEA1F}"/>
            </c:ext>
          </c:extLst>
        </c:ser>
        <c:ser>
          <c:idx val="3"/>
          <c:order val="3"/>
          <c:tx>
            <c:strRef>
              <c:f>'Q#1'!$A$105</c:f>
              <c:strCache>
                <c:ptCount val="1"/>
                <c:pt idx="0">
                  <c:v>Cash Cycle (days)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'Q#1'!$B$105:$F$105</c:f>
              <c:numCache>
                <c:formatCode>_(* #,##0_);_(* \(#,##0\);_(* "-"??_);_(@_)</c:formatCode>
                <c:ptCount val="5"/>
                <c:pt idx="0">
                  <c:v>218.42158265091047</c:v>
                </c:pt>
                <c:pt idx="1">
                  <c:v>213.12323890114365</c:v>
                </c:pt>
                <c:pt idx="2">
                  <c:v>202.68430424501852</c:v>
                </c:pt>
                <c:pt idx="3">
                  <c:v>192.52767310612501</c:v>
                </c:pt>
                <c:pt idx="4">
                  <c:v>180.30037204590408</c:v>
                </c:pt>
              </c:numCache>
            </c:numRef>
          </c:val>
          <c:smooth val="0"/>
          <c:extLst>
            <c:ext xmlns:c16="http://schemas.microsoft.com/office/drawing/2014/chart" uri="{C3380CC4-5D6E-409C-BE32-E72D297353CC}">
              <c16:uniqueId val="{0000000B-5A75-4272-8EF6-AD78ED2FEA1F}"/>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min val="6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Inventories</c:v>
          </c:tx>
          <c:spPr>
            <a:solidFill>
              <a:schemeClr val="accent1"/>
            </a:solidFill>
            <a:ln>
              <a:noFill/>
            </a:ln>
            <a:effectLst/>
          </c:spPr>
          <c:invertIfNegative val="0"/>
          <c:dLbls>
            <c:delete val="1"/>
          </c:dLbls>
          <c:cat>
            <c:numRef>
              <c:f>'Q#1'!$B$91:$F$91</c:f>
              <c:numCache>
                <c:formatCode>General</c:formatCode>
                <c:ptCount val="5"/>
                <c:pt idx="0">
                  <c:v>2019</c:v>
                </c:pt>
                <c:pt idx="1">
                  <c:v>2020</c:v>
                </c:pt>
                <c:pt idx="2">
                  <c:v>2021</c:v>
                </c:pt>
                <c:pt idx="3">
                  <c:v>2022</c:v>
                </c:pt>
                <c:pt idx="4">
                  <c:v>2023</c:v>
                </c:pt>
              </c:numCache>
            </c:numRef>
          </c:cat>
          <c:val>
            <c:numRef>
              <c:f>'Q#1'!$B$37:$F$37</c:f>
              <c:numCache>
                <c:formatCode>_(* #,##0_);_(* \(#,##0\);_(* "-"??_);_(@_)</c:formatCode>
                <c:ptCount val="5"/>
                <c:pt idx="0">
                  <c:v>15602.535</c:v>
                </c:pt>
                <c:pt idx="1">
                  <c:v>14287.19939</c:v>
                </c:pt>
                <c:pt idx="2">
                  <c:v>16185.62376</c:v>
                </c:pt>
                <c:pt idx="3">
                  <c:v>15746.901980000001</c:v>
                </c:pt>
                <c:pt idx="4">
                  <c:v>14038.370570000001</c:v>
                </c:pt>
              </c:numCache>
            </c:numRef>
          </c:val>
          <c:extLst>
            <c:ext xmlns:c16="http://schemas.microsoft.com/office/drawing/2014/chart" uri="{C3380CC4-5D6E-409C-BE32-E72D297353CC}">
              <c16:uniqueId val="{00000000-4034-4631-9542-E2931FDF18F9}"/>
            </c:ext>
          </c:extLst>
        </c:ser>
        <c:ser>
          <c:idx val="1"/>
          <c:order val="1"/>
          <c:tx>
            <c:v>Costs</c:v>
          </c:tx>
          <c:spPr>
            <a:solidFill>
              <a:schemeClr val="accent2"/>
            </a:solidFill>
            <a:ln>
              <a:noFill/>
            </a:ln>
            <a:effectLst/>
          </c:spPr>
          <c:invertIfNegative val="0"/>
          <c:dLbls>
            <c:delete val="1"/>
          </c:dLbls>
          <c:cat>
            <c:numRef>
              <c:f>'Q#1'!$B$91:$F$91</c:f>
              <c:numCache>
                <c:formatCode>General</c:formatCode>
                <c:ptCount val="5"/>
                <c:pt idx="0">
                  <c:v>2019</c:v>
                </c:pt>
                <c:pt idx="1">
                  <c:v>2020</c:v>
                </c:pt>
                <c:pt idx="2">
                  <c:v>2021</c:v>
                </c:pt>
                <c:pt idx="3">
                  <c:v>2022</c:v>
                </c:pt>
                <c:pt idx="4">
                  <c:v>2023</c:v>
                </c:pt>
              </c:numCache>
            </c:numRef>
          </c:cat>
          <c:val>
            <c:numRef>
              <c:f>'Q#1'!$B$16:$F$16</c:f>
              <c:numCache>
                <c:formatCode>_(* #,##0_);_(* \(#,##0\);_(* "-"??_);_(@_)</c:formatCode>
                <c:ptCount val="5"/>
                <c:pt idx="0">
                  <c:v>22298.928</c:v>
                </c:pt>
                <c:pt idx="1">
                  <c:v>20401.00058</c:v>
                </c:pt>
                <c:pt idx="2">
                  <c:v>25066.996230000001</c:v>
                </c:pt>
                <c:pt idx="3">
                  <c:v>26165.90725</c:v>
                </c:pt>
                <c:pt idx="4">
                  <c:v>24039.98906</c:v>
                </c:pt>
              </c:numCache>
            </c:numRef>
          </c:val>
          <c:extLst>
            <c:ext xmlns:c16="http://schemas.microsoft.com/office/drawing/2014/chart" uri="{C3380CC4-5D6E-409C-BE32-E72D297353CC}">
              <c16:uniqueId val="{00000001-4034-4631-9542-E2931FDF18F9}"/>
            </c:ext>
          </c:extLst>
        </c:ser>
        <c:dLbls>
          <c:showLegendKey val="0"/>
          <c:showVal val="1"/>
          <c:showCatName val="0"/>
          <c:showSerName val="0"/>
          <c:showPercent val="0"/>
          <c:showBubbleSize val="0"/>
        </c:dLbls>
        <c:gapWidth val="150"/>
        <c:axId val="1087621183"/>
        <c:axId val="522306559"/>
      </c:barChart>
      <c:lineChart>
        <c:grouping val="standard"/>
        <c:varyColors val="0"/>
        <c:ser>
          <c:idx val="2"/>
          <c:order val="2"/>
          <c:tx>
            <c:strRef>
              <c:f>'Q#1'!$A$102</c:f>
              <c:strCache>
                <c:ptCount val="1"/>
                <c:pt idx="0">
                  <c:v>Inventory Turnover</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'Q#1'!$B$102:$F$102</c:f>
              <c:numCache>
                <c:formatCode>_(* #,##0.00_);_(* \(#,##0.00\);_(* "-"??_);_(@_)</c:formatCode>
                <c:ptCount val="5"/>
                <c:pt idx="0">
                  <c:v>1.4291862187779101</c:v>
                </c:pt>
                <c:pt idx="1">
                  <c:v>1.3650840996984852</c:v>
                </c:pt>
                <c:pt idx="2">
                  <c:v>1.6452034067608206</c:v>
                </c:pt>
                <c:pt idx="3">
                  <c:v>1.6388247809175649</c:v>
                </c:pt>
                <c:pt idx="4">
                  <c:v>1.614219847721353</c:v>
                </c:pt>
              </c:numCache>
            </c:numRef>
          </c:val>
          <c:smooth val="0"/>
          <c:extLst>
            <c:ext xmlns:c16="http://schemas.microsoft.com/office/drawing/2014/chart" uri="{C3380CC4-5D6E-409C-BE32-E72D297353CC}">
              <c16:uniqueId val="{00000004-4034-4631-9542-E2931FDF18F9}"/>
            </c:ext>
          </c:extLst>
        </c:ser>
        <c:dLbls>
          <c:showLegendKey val="0"/>
          <c:showVal val="0"/>
          <c:showCatName val="0"/>
          <c:showSerName val="0"/>
          <c:showPercent val="0"/>
          <c:showBubbleSize val="0"/>
        </c:dLbls>
        <c:marker val="1"/>
        <c:smooth val="0"/>
        <c:axId val="523181135"/>
        <c:axId val="878510991"/>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878510991"/>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81135"/>
        <c:crosses val="max"/>
        <c:crossBetween val="between"/>
      </c:valAx>
      <c:catAx>
        <c:axId val="523181135"/>
        <c:scaling>
          <c:orientation val="minMax"/>
        </c:scaling>
        <c:delete val="1"/>
        <c:axPos val="b"/>
        <c:numFmt formatCode="General" sourceLinked="1"/>
        <c:majorTickMark val="out"/>
        <c:minorTickMark val="none"/>
        <c:tickLblPos val="nextTo"/>
        <c:crossAx val="8785109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FCF &amp; Working cap &amp; CAPEX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'Q#1'!$A$119</c:f>
              <c:strCache>
                <c:ptCount val="1"/>
                <c:pt idx="0">
                  <c:v>Free Cashflow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'Q#1'!$B$119:$F$119</c15:sqref>
                  </c15:fullRef>
                </c:ext>
              </c:extLst>
              <c:f>'Q#1'!$C$119:$F$119</c:f>
              <c:numCache>
                <c:formatCode>_(* #,##0_);_(* \(#,##0\);_(* "-"??_);_(@_)</c:formatCode>
                <c:ptCount val="4"/>
                <c:pt idx="0">
                  <c:v>3051.1848325000956</c:v>
                </c:pt>
                <c:pt idx="1">
                  <c:v>-547.11142069442303</c:v>
                </c:pt>
                <c:pt idx="2">
                  <c:v>3075.3874625449234</c:v>
                </c:pt>
                <c:pt idx="3">
                  <c:v>3405.4196756795791</c:v>
                </c:pt>
              </c:numCache>
            </c:numRef>
          </c:val>
          <c:smooth val="0"/>
          <c:extLst>
            <c:ext xmlns:c16="http://schemas.microsoft.com/office/drawing/2014/chart" uri="{C3380CC4-5D6E-409C-BE32-E72D297353CC}">
              <c16:uniqueId val="{00000000-1E53-42C1-998D-18C1314FBF71}"/>
            </c:ext>
          </c:extLst>
        </c:ser>
        <c:ser>
          <c:idx val="1"/>
          <c:order val="1"/>
          <c:tx>
            <c:strRef>
              <c:f>'Q#1'!$A$116</c:f>
              <c:strCache>
                <c:ptCount val="1"/>
                <c:pt idx="0">
                  <c:v>Working Capital Changes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'Q#1'!$B$116:$F$116</c15:sqref>
                  </c15:fullRef>
                </c:ext>
              </c:extLst>
              <c:f>'Q#1'!$C$116:$F$116</c:f>
              <c:numCache>
                <c:formatCode>_(* #,##0_);_(* \(#,##0\);_(* "-"??_);_(@_)</c:formatCode>
                <c:ptCount val="4"/>
                <c:pt idx="0">
                  <c:v>1436.0058400000016</c:v>
                </c:pt>
                <c:pt idx="1">
                  <c:v>-2352.0148000000027</c:v>
                </c:pt>
                <c:pt idx="2">
                  <c:v>249.16731000000254</c:v>
                </c:pt>
                <c:pt idx="3">
                  <c:v>2315.8597899999986</c:v>
                </c:pt>
              </c:numCache>
            </c:numRef>
          </c:val>
          <c:smooth val="0"/>
          <c:extLst>
            <c:ext xmlns:c16="http://schemas.microsoft.com/office/drawing/2014/chart" uri="{C3380CC4-5D6E-409C-BE32-E72D297353CC}">
              <c16:uniqueId val="{00000001-1E53-42C1-998D-18C1314FBF71}"/>
            </c:ext>
          </c:extLst>
        </c:ser>
        <c:ser>
          <c:idx val="2"/>
          <c:order val="2"/>
          <c:tx>
            <c:strRef>
              <c:f>'Q#1'!$A$87</c:f>
              <c:strCache>
                <c:ptCount val="1"/>
                <c:pt idx="0">
                  <c:v>CAPEX</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numRef>
              <c:extLst>
                <c:ext xmlns:c15="http://schemas.microsoft.com/office/drawing/2012/chart" uri="{02D57815-91ED-43cb-92C2-25804820EDAC}">
                  <c15:fullRef>
                    <c15:sqref>'Q#1'!$B$91:$F$91</c15:sqref>
                  </c15:fullRef>
                </c:ext>
              </c:extLst>
              <c:f>'Q#1'!$C$91:$F$91</c:f>
              <c:numCache>
                <c:formatCode>General</c:formatCode>
                <c:ptCount val="4"/>
                <c:pt idx="0">
                  <c:v>2020</c:v>
                </c:pt>
                <c:pt idx="1">
                  <c:v>2021</c:v>
                </c:pt>
                <c:pt idx="2">
                  <c:v>2022</c:v>
                </c:pt>
                <c:pt idx="3">
                  <c:v>2023</c:v>
                </c:pt>
              </c:numCache>
            </c:numRef>
          </c:cat>
          <c:val>
            <c:numRef>
              <c:extLst>
                <c:ext xmlns:c15="http://schemas.microsoft.com/office/drawing/2012/chart" uri="{02D57815-91ED-43cb-92C2-25804820EDAC}">
                  <c15:fullRef>
                    <c15:sqref>'Q#1'!$B$87:$F$87</c15:sqref>
                  </c15:fullRef>
                </c:ext>
              </c:extLst>
              <c:f>'Q#1'!$C$87:$F$87</c:f>
              <c:numCache>
                <c:formatCode>_(* #,##0_);_(* \(#,##0\);_(* "-"??_);_(@_)</c:formatCode>
                <c:ptCount val="4"/>
                <c:pt idx="0">
                  <c:v>1423.8683874000017</c:v>
                </c:pt>
                <c:pt idx="1">
                  <c:v>2473.8841729499991</c:v>
                </c:pt>
                <c:pt idx="2">
                  <c:v>1617.5195966500005</c:v>
                </c:pt>
                <c:pt idx="3">
                  <c:v>2631.6301794499959</c:v>
                </c:pt>
              </c:numCache>
            </c:numRef>
          </c:val>
          <c:smooth val="0"/>
          <c:extLst>
            <c:ext xmlns:c16="http://schemas.microsoft.com/office/drawing/2014/chart" uri="{C3380CC4-5D6E-409C-BE32-E72D297353CC}">
              <c16:uniqueId val="{00000002-1E53-42C1-998D-18C1314FBF71}"/>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Debt/Equity and Net</a:t>
            </a:r>
            <a:r>
              <a:rPr lang="en-US" baseline="0"/>
              <a:t> </a:t>
            </a:r>
            <a:r>
              <a:rPr lang="en-US"/>
              <a:t>Debt</a:t>
            </a:r>
            <a:r>
              <a:rPr lang="en-US" baseline="0"/>
              <a:t>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'Q#1'!$A$125</c:f>
              <c:strCache>
                <c:ptCount val="1"/>
                <c:pt idx="0">
                  <c:v>Net Debt / Equity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'Q#1'!$B$125:$F$125</c:f>
              <c:numCache>
                <c:formatCode>0.00%</c:formatCode>
                <c:ptCount val="5"/>
                <c:pt idx="0">
                  <c:v>0.9111066090596952</c:v>
                </c:pt>
                <c:pt idx="1">
                  <c:v>0.82786309126944213</c:v>
                </c:pt>
                <c:pt idx="2">
                  <c:v>0.7411597936702875</c:v>
                </c:pt>
                <c:pt idx="3">
                  <c:v>0.5934510546975762</c:v>
                </c:pt>
                <c:pt idx="4">
                  <c:v>0.46624529804149689</c:v>
                </c:pt>
              </c:numCache>
            </c:numRef>
          </c:val>
          <c:smooth val="0"/>
          <c:extLst>
            <c:ext xmlns:c16="http://schemas.microsoft.com/office/drawing/2014/chart" uri="{C3380CC4-5D6E-409C-BE32-E72D297353CC}">
              <c16:uniqueId val="{00000003-FA93-49B0-B598-9617CEDDAC7B}"/>
            </c:ext>
          </c:extLst>
        </c:ser>
        <c:dLbls>
          <c:dLblPos val="t"/>
          <c:showLegendKey val="0"/>
          <c:showVal val="1"/>
          <c:showCatName val="0"/>
          <c:showSerName val="0"/>
          <c:showPercent val="0"/>
          <c:showBubbleSize val="0"/>
        </c:dLbls>
        <c:marker val="1"/>
        <c:smooth val="0"/>
        <c:axId val="1087621183"/>
        <c:axId val="522306559"/>
      </c:lineChart>
      <c:lineChart>
        <c:grouping val="standard"/>
        <c:varyColors val="0"/>
        <c:ser>
          <c:idx val="1"/>
          <c:order val="1"/>
          <c:tx>
            <c:strRef>
              <c:f>'Q#1'!$A$123</c:f>
              <c:strCache>
                <c:ptCount val="1"/>
                <c:pt idx="0">
                  <c:v>Net Interest Bearing Debt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'Q#1'!$B$91:$F$91</c:f>
              <c:numCache>
                <c:formatCode>General</c:formatCode>
                <c:ptCount val="5"/>
                <c:pt idx="0">
                  <c:v>2019</c:v>
                </c:pt>
                <c:pt idx="1">
                  <c:v>2020</c:v>
                </c:pt>
                <c:pt idx="2">
                  <c:v>2021</c:v>
                </c:pt>
                <c:pt idx="3">
                  <c:v>2022</c:v>
                </c:pt>
                <c:pt idx="4">
                  <c:v>2023</c:v>
                </c:pt>
              </c:numCache>
            </c:numRef>
          </c:cat>
          <c:val>
            <c:numRef>
              <c:f>'Q#1'!$B$123:$F$123</c:f>
              <c:numCache>
                <c:formatCode>0.0%</c:formatCode>
                <c:ptCount val="5"/>
                <c:pt idx="1">
                  <c:v>-3.0365455883267445E-2</c:v>
                </c:pt>
                <c:pt idx="2">
                  <c:v>3.1646148725500423E-2</c:v>
                </c:pt>
                <c:pt idx="3">
                  <c:v>-0.10826673893847194</c:v>
                </c:pt>
                <c:pt idx="4">
                  <c:v>-0.16256372451667489</c:v>
                </c:pt>
              </c:numCache>
            </c:numRef>
          </c:val>
          <c:smooth val="0"/>
          <c:extLst>
            <c:ext xmlns:c16="http://schemas.microsoft.com/office/drawing/2014/chart" uri="{C3380CC4-5D6E-409C-BE32-E72D297353CC}">
              <c16:uniqueId val="{00000004-FA93-49B0-B598-9617CEDDAC7B}"/>
            </c:ext>
          </c:extLst>
        </c:ser>
        <c:dLbls>
          <c:showLegendKey val="0"/>
          <c:showVal val="0"/>
          <c:showCatName val="0"/>
          <c:showSerName val="0"/>
          <c:showPercent val="0"/>
          <c:showBubbleSize val="0"/>
        </c:dLbls>
        <c:marker val="1"/>
        <c:smooth val="0"/>
        <c:axId val="1619435615"/>
        <c:axId val="314768703"/>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valAx>
        <c:axId val="31476870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435615"/>
        <c:crosses val="max"/>
        <c:crossBetween val="between"/>
      </c:valAx>
      <c:catAx>
        <c:axId val="1619435615"/>
        <c:scaling>
          <c:orientation val="minMax"/>
        </c:scaling>
        <c:delete val="1"/>
        <c:axPos val="b"/>
        <c:numFmt formatCode="General" sourceLinked="1"/>
        <c:majorTickMark val="out"/>
        <c:minorTickMark val="none"/>
        <c:tickLblPos val="nextTo"/>
        <c:crossAx val="3147687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 and</a:t>
            </a:r>
            <a:r>
              <a:rPr lang="en-US" baseline="0"/>
              <a:t> AP </a:t>
            </a:r>
            <a:r>
              <a:rPr lang="en-US"/>
              <a:t>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'Q#1'!$A$100</c:f>
              <c:strCache>
                <c:ptCount val="1"/>
                <c:pt idx="0">
                  <c:v>Account Receivable Days</c:v>
                </c:pt>
              </c:strCache>
            </c:strRef>
          </c:tx>
          <c:spPr>
            <a:ln w="28575" cap="rnd">
              <a:solidFill>
                <a:schemeClr val="accent1"/>
              </a:solidFill>
              <a:round/>
            </a:ln>
            <a:effectLst/>
          </c:spPr>
          <c:marker>
            <c:symbol val="circle"/>
            <c:size val="5"/>
            <c:spPr>
              <a:solidFill>
                <a:schemeClr val="accent1"/>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'Q#1'!$B$100:$F$100</c:f>
              <c:numCache>
                <c:formatCode>_(* #,##0_);_(* \(#,##0\);_(* "-"??_);_(@_)</c:formatCode>
                <c:ptCount val="5"/>
                <c:pt idx="0">
                  <c:v>3.4787412282196382</c:v>
                </c:pt>
                <c:pt idx="1">
                  <c:v>6.3428788787236465</c:v>
                </c:pt>
                <c:pt idx="2">
                  <c:v>7.2737234486372762</c:v>
                </c:pt>
                <c:pt idx="3">
                  <c:v>6.7182923316441352</c:v>
                </c:pt>
                <c:pt idx="4">
                  <c:v>7.8007579643409422</c:v>
                </c:pt>
              </c:numCache>
            </c:numRef>
          </c:val>
          <c:smooth val="0"/>
          <c:extLst>
            <c:ext xmlns:c16="http://schemas.microsoft.com/office/drawing/2014/chart" uri="{C3380CC4-5D6E-409C-BE32-E72D297353CC}">
              <c16:uniqueId val="{00000000-24B8-4A97-91B6-6C0EC2180A0B}"/>
            </c:ext>
          </c:extLst>
        </c:ser>
        <c:ser>
          <c:idx val="2"/>
          <c:order val="1"/>
          <c:tx>
            <c:strRef>
              <c:f>'Q#1'!$A$103</c:f>
              <c:strCache>
                <c:ptCount val="1"/>
                <c:pt idx="0">
                  <c:v>Account Payable Days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numRef>
              <c:f>'Q#1'!$B$91:$F$91</c:f>
              <c:numCache>
                <c:formatCode>General</c:formatCode>
                <c:ptCount val="5"/>
                <c:pt idx="0">
                  <c:v>2019</c:v>
                </c:pt>
                <c:pt idx="1">
                  <c:v>2020</c:v>
                </c:pt>
                <c:pt idx="2">
                  <c:v>2021</c:v>
                </c:pt>
                <c:pt idx="3">
                  <c:v>2022</c:v>
                </c:pt>
                <c:pt idx="4">
                  <c:v>2023</c:v>
                </c:pt>
              </c:numCache>
            </c:numRef>
          </c:cat>
          <c:val>
            <c:numRef>
              <c:f>'Q#1'!$B$103:$F$103</c:f>
              <c:numCache>
                <c:formatCode>_(* #,##0_);_(* \(#,##0\);_(* "-"??_);_(@_)</c:formatCode>
                <c:ptCount val="5"/>
                <c:pt idx="0">
                  <c:v>40.447250648102901</c:v>
                </c:pt>
                <c:pt idx="1">
                  <c:v>48.835915115688898</c:v>
                </c:pt>
                <c:pt idx="2">
                  <c:v>40.267943195641521</c:v>
                </c:pt>
                <c:pt idx="3">
                  <c:v>33.851232090375923</c:v>
                </c:pt>
                <c:pt idx="4">
                  <c:v>40.645460371727808</c:v>
                </c:pt>
              </c:numCache>
            </c:numRef>
          </c:val>
          <c:smooth val="0"/>
          <c:extLst>
            <c:ext xmlns:c16="http://schemas.microsoft.com/office/drawing/2014/chart" uri="{C3380CC4-5D6E-409C-BE32-E72D297353CC}">
              <c16:uniqueId val="{00000002-24B8-4A97-91B6-6C0EC2180A0B}"/>
            </c:ext>
          </c:extLst>
        </c:ser>
        <c:dLbls>
          <c:dLblPos val="t"/>
          <c:showLegendKey val="0"/>
          <c:showVal val="1"/>
          <c:showCatName val="0"/>
          <c:showSerName val="0"/>
          <c:showPercent val="0"/>
          <c:showBubbleSize val="0"/>
        </c:dLbls>
        <c:marker val="1"/>
        <c:smooth val="0"/>
        <c:axId val="1087621183"/>
        <c:axId val="522306559"/>
      </c:lineChart>
      <c:catAx>
        <c:axId val="10876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6559"/>
        <c:crosses val="autoZero"/>
        <c:auto val="1"/>
        <c:lblAlgn val="ctr"/>
        <c:lblOffset val="100"/>
        <c:noMultiLvlLbl val="0"/>
      </c:catAx>
      <c:valAx>
        <c:axId val="522306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2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1.png"/><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428624</xdr:colOff>
      <xdr:row>5</xdr:row>
      <xdr:rowOff>28575</xdr:rowOff>
    </xdr:from>
    <xdr:to>
      <xdr:col>9</xdr:col>
      <xdr:colOff>161926</xdr:colOff>
      <xdr:row>11</xdr:row>
      <xdr:rowOff>66675</xdr:rowOff>
    </xdr:to>
    <xdr:sp macro="" textlink="">
      <xdr:nvSpPr>
        <xdr:cNvPr id="2" name="TextBox 1">
          <a:extLst>
            <a:ext uri="{FF2B5EF4-FFF2-40B4-BE49-F238E27FC236}">
              <a16:creationId xmlns:a16="http://schemas.microsoft.com/office/drawing/2014/main" id="{A04DB9C8-0DAB-F809-2736-0822E57B7554}"/>
            </a:ext>
          </a:extLst>
        </xdr:cNvPr>
        <xdr:cNvSpPr txBox="1"/>
      </xdr:nvSpPr>
      <xdr:spPr>
        <a:xfrm>
          <a:off x="8286749" y="1019175"/>
          <a:ext cx="4743452"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rPr>
            <a:t>QUESTION</a:t>
          </a:r>
          <a:r>
            <a:rPr lang="en-US" sz="1400" b="1" baseline="0">
              <a:solidFill>
                <a:srgbClr val="00B0F0"/>
              </a:solidFill>
            </a:rPr>
            <a:t> #</a:t>
          </a:r>
          <a:r>
            <a:rPr lang="en-US" sz="1400" b="1">
              <a:solidFill>
                <a:srgbClr val="00B0F0"/>
              </a:solidFill>
            </a:rPr>
            <a:t>1 (20%).</a:t>
          </a:r>
          <a:r>
            <a:rPr lang="en-US" sz="1400">
              <a:solidFill>
                <a:srgbClr val="00B0F0"/>
              </a:solidFill>
            </a:rPr>
            <a:t> </a:t>
          </a:r>
          <a:r>
            <a:rPr lang="en-US" sz="1400">
              <a:solidFill>
                <a:sysClr val="windowText" lastClr="000000"/>
              </a:solidFill>
            </a:rPr>
            <a:t>Financial data of ‘GLOBAL’ is provided in ‘Q#1’.  </a:t>
          </a:r>
          <a:r>
            <a:rPr lang="en-US" sz="1600" b="1">
              <a:solidFill>
                <a:sysClr val="windowText" lastClr="000000"/>
              </a:solidFill>
            </a:rPr>
            <a:t>Calculate the ratios required from row</a:t>
          </a:r>
          <a:r>
            <a:rPr lang="en-US" sz="1600" b="1" baseline="0">
              <a:solidFill>
                <a:sysClr val="windowText" lastClr="000000"/>
              </a:solidFill>
            </a:rPr>
            <a:t> 90 onwards</a:t>
          </a:r>
          <a:r>
            <a:rPr lang="en-US" sz="1400">
              <a:solidFill>
                <a:sysClr val="windowText" lastClr="000000"/>
              </a:solidFill>
            </a:rPr>
            <a:t>. Make sure your workings are shown in the spreadsheet.</a:t>
          </a:r>
        </a:p>
      </xdr:txBody>
    </xdr:sp>
    <xdr:clientData/>
  </xdr:twoCellAnchor>
  <xdr:twoCellAnchor>
    <xdr:from>
      <xdr:col>8</xdr:col>
      <xdr:colOff>143659</xdr:colOff>
      <xdr:row>88</xdr:row>
      <xdr:rowOff>125505</xdr:rowOff>
    </xdr:from>
    <xdr:to>
      <xdr:col>13</xdr:col>
      <xdr:colOff>101973</xdr:colOff>
      <xdr:row>105</xdr:row>
      <xdr:rowOff>54965</xdr:rowOff>
    </xdr:to>
    <xdr:graphicFrame macro="">
      <xdr:nvGraphicFramePr>
        <xdr:cNvPr id="3" name="Chart 2">
          <a:extLst>
            <a:ext uri="{FF2B5EF4-FFF2-40B4-BE49-F238E27FC236}">
              <a16:creationId xmlns:a16="http://schemas.microsoft.com/office/drawing/2014/main" id="{B8BC855E-F0C2-4158-9200-DF9468063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980515</xdr:colOff>
      <xdr:row>105</xdr:row>
      <xdr:rowOff>73344</xdr:rowOff>
    </xdr:from>
    <xdr:to>
      <xdr:col>11</xdr:col>
      <xdr:colOff>508523</xdr:colOff>
      <xdr:row>119</xdr:row>
      <xdr:rowOff>73231</xdr:rowOff>
    </xdr:to>
    <xdr:graphicFrame macro="">
      <xdr:nvGraphicFramePr>
        <xdr:cNvPr id="4" name="Chart 3">
          <a:extLst>
            <a:ext uri="{FF2B5EF4-FFF2-40B4-BE49-F238E27FC236}">
              <a16:creationId xmlns:a16="http://schemas.microsoft.com/office/drawing/2014/main" id="{511AFC2A-3507-4E3A-93F0-F2BB33EF6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1408019</xdr:colOff>
      <xdr:row>119</xdr:row>
      <xdr:rowOff>176661</xdr:rowOff>
    </xdr:from>
    <xdr:to>
      <xdr:col>9</xdr:col>
      <xdr:colOff>604333</xdr:colOff>
      <xdr:row>133</xdr:row>
      <xdr:rowOff>168592</xdr:rowOff>
    </xdr:to>
    <xdr:graphicFrame macro="">
      <xdr:nvGraphicFramePr>
        <xdr:cNvPr id="5" name="Chart 4">
          <a:extLst>
            <a:ext uri="{FF2B5EF4-FFF2-40B4-BE49-F238E27FC236}">
              <a16:creationId xmlns:a16="http://schemas.microsoft.com/office/drawing/2014/main" id="{5B0B45DC-0EAB-4B0B-BF85-AADD62900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166183</xdr:colOff>
      <xdr:row>120</xdr:row>
      <xdr:rowOff>6892</xdr:rowOff>
    </xdr:from>
    <xdr:to>
      <xdr:col>17</xdr:col>
      <xdr:colOff>265243</xdr:colOff>
      <xdr:row>133</xdr:row>
      <xdr:rowOff>178117</xdr:rowOff>
    </xdr:to>
    <xdr:graphicFrame macro="">
      <xdr:nvGraphicFramePr>
        <xdr:cNvPr id="6" name="Chart 5">
          <a:extLst>
            <a:ext uri="{FF2B5EF4-FFF2-40B4-BE49-F238E27FC236}">
              <a16:creationId xmlns:a16="http://schemas.microsoft.com/office/drawing/2014/main" id="{2549D4D9-8E47-49D7-99C0-7C8DADA46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1420028</xdr:colOff>
      <xdr:row>134</xdr:row>
      <xdr:rowOff>61108</xdr:rowOff>
    </xdr:from>
    <xdr:to>
      <xdr:col>10</xdr:col>
      <xdr:colOff>6742</xdr:colOff>
      <xdr:row>147</xdr:row>
      <xdr:rowOff>136300</xdr:rowOff>
    </xdr:to>
    <xdr:graphicFrame macro="">
      <xdr:nvGraphicFramePr>
        <xdr:cNvPr id="7" name="Chart 6">
          <a:extLst>
            <a:ext uri="{FF2B5EF4-FFF2-40B4-BE49-F238E27FC236}">
              <a16:creationId xmlns:a16="http://schemas.microsoft.com/office/drawing/2014/main" id="{2BEE0DC0-A233-4403-8500-4C84BE328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147133</xdr:colOff>
      <xdr:row>134</xdr:row>
      <xdr:rowOff>139794</xdr:rowOff>
    </xdr:from>
    <xdr:to>
      <xdr:col>17</xdr:col>
      <xdr:colOff>246193</xdr:colOff>
      <xdr:row>147</xdr:row>
      <xdr:rowOff>119735</xdr:rowOff>
    </xdr:to>
    <xdr:graphicFrame macro="">
      <xdr:nvGraphicFramePr>
        <xdr:cNvPr id="8" name="Chart 7">
          <a:extLst>
            <a:ext uri="{FF2B5EF4-FFF2-40B4-BE49-F238E27FC236}">
              <a16:creationId xmlns:a16="http://schemas.microsoft.com/office/drawing/2014/main" id="{F67129A6-2513-483E-9A2C-5D4A786F6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1408019</xdr:colOff>
      <xdr:row>149</xdr:row>
      <xdr:rowOff>54517</xdr:rowOff>
    </xdr:from>
    <xdr:to>
      <xdr:col>9</xdr:col>
      <xdr:colOff>604333</xdr:colOff>
      <xdr:row>162</xdr:row>
      <xdr:rowOff>129709</xdr:rowOff>
    </xdr:to>
    <xdr:graphicFrame macro="">
      <xdr:nvGraphicFramePr>
        <xdr:cNvPr id="10" name="Chart 9">
          <a:extLst>
            <a:ext uri="{FF2B5EF4-FFF2-40B4-BE49-F238E27FC236}">
              <a16:creationId xmlns:a16="http://schemas.microsoft.com/office/drawing/2014/main" id="{57AD503F-3F0A-4CCB-8D3E-D0F3442F8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242047</xdr:colOff>
      <xdr:row>149</xdr:row>
      <xdr:rowOff>6892</xdr:rowOff>
    </xdr:from>
    <xdr:to>
      <xdr:col>6</xdr:col>
      <xdr:colOff>908909</xdr:colOff>
      <xdr:row>163</xdr:row>
      <xdr:rowOff>24708</xdr:rowOff>
    </xdr:to>
    <xdr:graphicFrame macro="">
      <xdr:nvGraphicFramePr>
        <xdr:cNvPr id="11" name="Chart 10">
          <a:extLst>
            <a:ext uri="{FF2B5EF4-FFF2-40B4-BE49-F238E27FC236}">
              <a16:creationId xmlns:a16="http://schemas.microsoft.com/office/drawing/2014/main" id="{14A6E238-DCBE-46E5-AB1E-B78DF7451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502024</xdr:colOff>
      <xdr:row>134</xdr:row>
      <xdr:rowOff>-1</xdr:rowOff>
    </xdr:from>
    <xdr:to>
      <xdr:col>6</xdr:col>
      <xdr:colOff>1132691</xdr:colOff>
      <xdr:row>147</xdr:row>
      <xdr:rowOff>75191</xdr:rowOff>
    </xdr:to>
    <xdr:graphicFrame macro="">
      <xdr:nvGraphicFramePr>
        <xdr:cNvPr id="12" name="Chart 11">
          <a:extLst>
            <a:ext uri="{FF2B5EF4-FFF2-40B4-BE49-F238E27FC236}">
              <a16:creationId xmlns:a16="http://schemas.microsoft.com/office/drawing/2014/main" id="{7302BE92-0288-45C4-A3C0-2895B343C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1</cdr:x>
      <cdr:y>0.59862</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3428BF92-1494-5275-FC0B-D82BA0EE7936}"/>
            </a:ext>
          </a:extLst>
        </cdr:cNvPr>
        <cdr:cNvCxnSpPr/>
      </cdr:nvCxnSpPr>
      <cdr:spPr>
        <a:xfrm xmlns:a="http://schemas.openxmlformats.org/drawingml/2006/main">
          <a:off x="15538450" y="26997025"/>
          <a:ext cx="0" cy="1657350"/>
        </a:xfrm>
        <a:prstGeom xmlns:a="http://schemas.openxmlformats.org/drawingml/2006/main" prst="line">
          <a:avLst/>
        </a:prstGeom>
        <a:ln xmlns:a="http://schemas.openxmlformats.org/drawingml/2006/main">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1</cdr:x>
      <cdr:y>0</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913CBA5A-D0E2-432F-BBAB-61DB44DB16C5}"/>
            </a:ext>
          </a:extLst>
        </cdr:cNvPr>
        <cdr:cNvCxnSpPr/>
      </cdr:nvCxnSpPr>
      <cdr:spPr>
        <a:xfrm xmlns:a="http://schemas.openxmlformats.org/drawingml/2006/main">
          <a:off x="15452725" y="18138775"/>
          <a:ext cx="0" cy="3238500"/>
        </a:xfrm>
        <a:prstGeom xmlns:a="http://schemas.openxmlformats.org/drawingml/2006/main" prst="line">
          <a:avLst/>
        </a:prstGeom>
        <a:ln xmlns:a="http://schemas.openxmlformats.org/drawingml/2006/main">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342899</xdr:colOff>
      <xdr:row>0</xdr:row>
      <xdr:rowOff>171448</xdr:rowOff>
    </xdr:from>
    <xdr:to>
      <xdr:col>14</xdr:col>
      <xdr:colOff>361950</xdr:colOff>
      <xdr:row>17</xdr:row>
      <xdr:rowOff>47626</xdr:rowOff>
    </xdr:to>
    <xdr:sp macro="" textlink="">
      <xdr:nvSpPr>
        <xdr:cNvPr id="2" name="TextBox 1">
          <a:extLst>
            <a:ext uri="{FF2B5EF4-FFF2-40B4-BE49-F238E27FC236}">
              <a16:creationId xmlns:a16="http://schemas.microsoft.com/office/drawing/2014/main" id="{A50B7ED7-1D08-17F6-EB8C-CF4AAB0FA1B6}"/>
            </a:ext>
          </a:extLst>
        </xdr:cNvPr>
        <xdr:cNvSpPr txBox="1"/>
      </xdr:nvSpPr>
      <xdr:spPr>
        <a:xfrm>
          <a:off x="342899" y="171448"/>
          <a:ext cx="8553451" cy="311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effectLst/>
              <a:latin typeface="+mn-lt"/>
              <a:ea typeface="+mn-ea"/>
              <a:cs typeface="+mn-cs"/>
            </a:rPr>
            <a:t>QUESTION #2 (20%)</a:t>
          </a:r>
          <a:endParaRPr lang="en-US" sz="1400">
            <a:solidFill>
              <a:srgbClr val="00B0F0"/>
            </a:solidFill>
            <a:effectLst/>
            <a:latin typeface="+mn-lt"/>
            <a:ea typeface="+mn-ea"/>
            <a:cs typeface="+mn-cs"/>
          </a:endParaRPr>
        </a:p>
        <a:p>
          <a:r>
            <a:rPr lang="en-US" sz="1400">
              <a:solidFill>
                <a:schemeClr val="dk1"/>
              </a:solidFill>
              <a:effectLst/>
              <a:latin typeface="+mn-lt"/>
              <a:ea typeface="+mn-ea"/>
              <a:cs typeface="+mn-cs"/>
            </a:rPr>
            <a:t>Relate the operating story of GLOBAL in the past 5 years by associating its financial figures and ratios calcuated</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in ‘Q#1’ to its business. You should provide context in relation to its industry and economic environment. Remember this question is not about testing your knowledge on GLOBAL. It is about explaining the financial results in the possible context of its operating environment. You may speculate on the context, but you must provide the explanation in accordance with the context created. </a:t>
          </a:r>
        </a:p>
        <a:p>
          <a:endParaRPr lang="en-US" sz="1400">
            <a:solidFill>
              <a:schemeClr val="dk1"/>
            </a:solidFill>
            <a:effectLst/>
            <a:latin typeface="+mn-lt"/>
            <a:ea typeface="+mn-ea"/>
            <a:cs typeface="+mn-cs"/>
          </a:endParaRPr>
        </a:p>
        <a:p>
          <a:r>
            <a:rPr lang="en-US" sz="1400" b="1" i="0">
              <a:solidFill>
                <a:schemeClr val="dk1"/>
              </a:solidFill>
              <a:effectLst/>
              <a:latin typeface="+mn-lt"/>
              <a:ea typeface="+mn-ea"/>
              <a:cs typeface="+mn-cs"/>
            </a:rPr>
            <a:t>Business</a:t>
          </a:r>
          <a:endParaRPr lang="en-US" sz="1400">
            <a:effectLst/>
          </a:endParaRPr>
        </a:p>
        <a:p>
          <a:r>
            <a:rPr lang="en-US" sz="1400">
              <a:solidFill>
                <a:schemeClr val="dk1"/>
              </a:solidFill>
              <a:effectLst/>
              <a:latin typeface="+mn-lt"/>
              <a:ea typeface="+mn-ea"/>
              <a:cs typeface="+mn-cs"/>
            </a:rPr>
            <a:t>GLOBAL is a one-stop shopping home center offering construction materials, home decorative products, tools and equipment housed in</a:t>
          </a:r>
          <a:r>
            <a:rPr lang="en-US" sz="1400" baseline="0">
              <a:solidFill>
                <a:schemeClr val="dk1"/>
              </a:solidFill>
              <a:effectLst/>
              <a:latin typeface="+mn-lt"/>
              <a:ea typeface="+mn-ea"/>
              <a:cs typeface="+mn-cs"/>
            </a:rPr>
            <a:t> a </a:t>
          </a:r>
          <a:r>
            <a:rPr lang="en-US" sz="1400">
              <a:solidFill>
                <a:schemeClr val="dk1"/>
              </a:solidFill>
              <a:effectLst/>
              <a:latin typeface="+mn-lt"/>
              <a:ea typeface="+mn-ea"/>
              <a:cs typeface="+mn-cs"/>
            </a:rPr>
            <a:t>modern trade warehouse style. The company operates its businesses under the Global House name. As</a:t>
          </a:r>
          <a:r>
            <a:rPr lang="en-US" sz="1400" baseline="0">
              <a:solidFill>
                <a:schemeClr val="dk1"/>
              </a:solidFill>
              <a:effectLst/>
              <a:latin typeface="+mn-lt"/>
              <a:ea typeface="+mn-ea"/>
              <a:cs typeface="+mn-cs"/>
            </a:rPr>
            <a:t> of Dec-23, it operated 83 stores within Thailand and 1 store in Cambodia.</a:t>
          </a:r>
          <a:endParaRPr lang="en-US" sz="1400">
            <a:solidFill>
              <a:schemeClr val="dk1"/>
            </a:solidFill>
            <a:effectLst/>
            <a:latin typeface="+mn-lt"/>
            <a:ea typeface="+mn-ea"/>
            <a:cs typeface="+mn-cs"/>
          </a:endParaRPr>
        </a:p>
        <a:p>
          <a:endParaRPr lang="en-US" sz="1400">
            <a:effectLst/>
          </a:endParaRPr>
        </a:p>
        <a:p>
          <a:r>
            <a:rPr lang="en-US" sz="1400">
              <a:solidFill>
                <a:schemeClr val="dk1"/>
              </a:solidFill>
              <a:effectLst/>
              <a:latin typeface="+mn-lt"/>
              <a:ea typeface="+mn-ea"/>
              <a:cs typeface="+mn-cs"/>
            </a:rPr>
            <a:t>More</a:t>
          </a:r>
          <a:r>
            <a:rPr lang="en-US" sz="1400" baseline="0">
              <a:solidFill>
                <a:schemeClr val="dk1"/>
              </a:solidFill>
              <a:effectLst/>
              <a:latin typeface="+mn-lt"/>
              <a:ea typeface="+mn-ea"/>
              <a:cs typeface="+mn-cs"/>
            </a:rPr>
            <a:t> about the </a:t>
          </a:r>
          <a:r>
            <a:rPr lang="en-US" sz="1400" i="0" baseline="0">
              <a:solidFill>
                <a:sysClr val="windowText" lastClr="000000"/>
              </a:solidFill>
              <a:effectLst/>
              <a:latin typeface="+mn-lt"/>
              <a:ea typeface="+mn-ea"/>
              <a:cs typeface="+mn-cs"/>
            </a:rPr>
            <a:t>company from; </a:t>
          </a:r>
          <a:r>
            <a:rPr lang="en-US" sz="1400" b="1" i="0" u="sng">
              <a:solidFill>
                <a:sysClr val="windowText" lastClr="000000"/>
              </a:solidFill>
              <a:effectLst/>
              <a:latin typeface="+mn-lt"/>
              <a:ea typeface="+mn-ea"/>
              <a:cs typeface="+mn-cs"/>
            </a:rPr>
            <a:t>https://globalhouse.co.th/</a:t>
          </a:r>
          <a:endParaRPr lang="en-US" sz="1400" b="1" i="0" u="sng">
            <a:solidFill>
              <a:sysClr val="windowText" lastClr="000000"/>
            </a:solidFill>
            <a:effectLst/>
          </a:endParaRPr>
        </a:p>
        <a:p>
          <a:pPr eaLnBrk="1" fontAlgn="auto" latinLnBrk="0" hangingPunct="1"/>
          <a:endParaRPr lang="en-US" sz="1400" b="0" i="1">
            <a:solidFill>
              <a:schemeClr val="dk1"/>
            </a:solidFill>
            <a:effectLst/>
            <a:latin typeface="+mn-lt"/>
            <a:ea typeface="+mn-ea"/>
            <a:cs typeface="+mn-cs"/>
          </a:endParaRPr>
        </a:p>
        <a:p>
          <a:endParaRPr lang="en-US" sz="1400">
            <a:solidFill>
              <a:schemeClr val="dk1"/>
            </a:solidFill>
            <a:effectLst/>
            <a:latin typeface="+mn-lt"/>
            <a:ea typeface="+mn-ea"/>
            <a:cs typeface="+mn-cs"/>
          </a:endParaRPr>
        </a:p>
      </xdr:txBody>
    </xdr:sp>
    <xdr:clientData/>
  </xdr:twoCellAnchor>
  <xdr:twoCellAnchor>
    <xdr:from>
      <xdr:col>0</xdr:col>
      <xdr:colOff>409575</xdr:colOff>
      <xdr:row>20</xdr:row>
      <xdr:rowOff>57148</xdr:rowOff>
    </xdr:from>
    <xdr:to>
      <xdr:col>14</xdr:col>
      <xdr:colOff>371475</xdr:colOff>
      <xdr:row>59</xdr:row>
      <xdr:rowOff>175259</xdr:rowOff>
    </xdr:to>
    <xdr:sp macro="" textlink="">
      <xdr:nvSpPr>
        <xdr:cNvPr id="3" name="TextBox 2">
          <a:extLst>
            <a:ext uri="{FF2B5EF4-FFF2-40B4-BE49-F238E27FC236}">
              <a16:creationId xmlns:a16="http://schemas.microsoft.com/office/drawing/2014/main" id="{838F8321-1D18-4E48-AC34-CEFD98FAAF66}"/>
            </a:ext>
          </a:extLst>
        </xdr:cNvPr>
        <xdr:cNvSpPr txBox="1"/>
      </xdr:nvSpPr>
      <xdr:spPr>
        <a:xfrm>
          <a:off x="409575" y="3714748"/>
          <a:ext cx="8496300" cy="7250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B0F0"/>
              </a:solidFill>
              <a:effectLst/>
              <a:latin typeface="+mn-lt"/>
              <a:ea typeface="+mn-ea"/>
              <a:cs typeface="+mn-cs"/>
            </a:rPr>
            <a:t>Answer</a:t>
          </a:r>
          <a:r>
            <a:rPr lang="en-US" sz="1200" b="1" baseline="0">
              <a:solidFill>
                <a:srgbClr val="00B0F0"/>
              </a:solidFill>
              <a:effectLst/>
              <a:latin typeface="+mn-lt"/>
              <a:ea typeface="+mn-ea"/>
              <a:cs typeface="+mn-cs"/>
            </a:rPr>
            <a:t> (please type directly into this box)</a:t>
          </a:r>
          <a:endParaRPr lang="en-US" sz="1200">
            <a:solidFill>
              <a:srgbClr val="00B0F0"/>
            </a:solidFill>
            <a:effectLst/>
            <a:latin typeface="+mn-lt"/>
            <a:ea typeface="+mn-ea"/>
            <a:cs typeface="+mn-cs"/>
          </a:endParaRPr>
        </a:p>
        <a:p>
          <a:pPr rtl="0"/>
          <a:r>
            <a:rPr lang="en-US" sz="1200">
              <a:solidFill>
                <a:schemeClr val="dk1"/>
              </a:solidFill>
              <a:effectLst/>
              <a:latin typeface="+mn-lt"/>
              <a:ea typeface="+mn-ea"/>
              <a:cs typeface="+mn-cs"/>
            </a:rPr>
            <a:t>1)</a:t>
          </a:r>
          <a:r>
            <a:rPr lang="en-US" sz="1200" baseline="0">
              <a:solidFill>
                <a:schemeClr val="dk1"/>
              </a:solidFill>
              <a:effectLst/>
              <a:latin typeface="+mn-lt"/>
              <a:ea typeface="+mn-ea"/>
              <a:cs typeface="+mn-cs"/>
            </a:rPr>
            <a:t> GLOBAL</a:t>
          </a:r>
          <a:r>
            <a:rPr lang="en-US" sz="1200">
              <a:solidFill>
                <a:schemeClr val="dk1"/>
              </a:solidFill>
              <a:effectLst/>
              <a:latin typeface="+mn-lt"/>
              <a:ea typeface="+mn-ea"/>
              <a:cs typeface="+mn-cs"/>
            </a:rPr>
            <a:t>'s revenue from operations growth was very volatile over the past five years. This</a:t>
          </a:r>
          <a:r>
            <a:rPr lang="en-US" sz="1200" baseline="0">
              <a:solidFill>
                <a:schemeClr val="dk1"/>
              </a:solidFill>
              <a:effectLst/>
              <a:latin typeface="+mn-lt"/>
              <a:ea typeface="+mn-ea"/>
              <a:cs typeface="+mn-cs"/>
            </a:rPr>
            <a:t> is because GLOBAL is in cyclical industry, meaning that its sales of products depend on Thai economic condition. In 2020, its sales dropped by -4.8% y-o-y due to COVID-19 as people less consume on non-neccessary products. Also, economic downturn could decrease the construction or property decoration activities of Thai individuals. In 2021, we could clearly see a sharp positive sales growth of +24.5% y-o-y due to recovery of Thai economy after COVID-19. However, in 2023, its realized a negative sales growth of -8.4% y-o-y due to a slow down of Thai economy.  </a:t>
          </a:r>
          <a:endParaRPr lang="en-US" sz="1200">
            <a:solidFill>
              <a:schemeClr val="dk1"/>
            </a:solidFill>
            <a:effectLst/>
            <a:latin typeface="+mn-lt"/>
            <a:ea typeface="+mn-ea"/>
            <a:cs typeface="+mn-cs"/>
          </a:endParaRPr>
        </a:p>
        <a:p>
          <a:pPr rtl="0"/>
          <a:endParaRPr lang="en-US" sz="1200">
            <a:solidFill>
              <a:schemeClr val="dk1"/>
            </a:solidFill>
            <a:effectLst/>
            <a:latin typeface="+mn-lt"/>
            <a:ea typeface="+mn-ea"/>
            <a:cs typeface="+mn-cs"/>
          </a:endParaRPr>
        </a:p>
        <a:p>
          <a:pPr rtl="0"/>
          <a:r>
            <a:rPr lang="en-US" sz="1200">
              <a:solidFill>
                <a:schemeClr val="dk1"/>
              </a:solidFill>
              <a:effectLst/>
              <a:latin typeface="+mn-lt"/>
              <a:ea typeface="+mn-ea"/>
              <a:cs typeface="+mn-cs"/>
            </a:rPr>
            <a:t>2) </a:t>
          </a:r>
          <a:r>
            <a:rPr lang="en-US" sz="1200" b="0" i="0">
              <a:solidFill>
                <a:schemeClr val="dk1"/>
              </a:solidFill>
              <a:effectLst/>
              <a:latin typeface="+mn-lt"/>
              <a:ea typeface="+mn-ea"/>
              <a:cs typeface="+mn-cs"/>
            </a:rPr>
            <a:t>Despite fluctuations in GLOBAL's revenue from operations over the past five years, the company has successfully maintained its gross margin at approximately 25%</a:t>
          </a:r>
          <a:r>
            <a:rPr lang="en-US" sz="1200" b="0" i="0" baseline="0">
              <a:solidFill>
                <a:schemeClr val="dk1"/>
              </a:solidFill>
              <a:effectLst/>
              <a:latin typeface="+mn-lt"/>
              <a:ea typeface="+mn-ea"/>
              <a:cs typeface="+mn-cs"/>
            </a:rPr>
            <a:t> annually. This means that the firm has an effective cost control as we can see that they can keep the cost growth less than its sales growth almost every years. </a:t>
          </a:r>
          <a:endParaRPr lang="en-US" sz="1200"/>
        </a:p>
        <a:p>
          <a:pPr rtl="0"/>
          <a:endParaRPr lang="en-US" sz="1200" b="0" i="0" baseline="0">
            <a:solidFill>
              <a:schemeClr val="dk1"/>
            </a:solidFill>
            <a:effectLst/>
            <a:latin typeface="+mn-lt"/>
            <a:ea typeface="+mn-ea"/>
            <a:cs typeface="+mn-cs"/>
          </a:endParaRPr>
        </a:p>
        <a:p>
          <a:pPr rtl="0"/>
          <a:r>
            <a:rPr lang="en-US" sz="1200" b="0" i="0" baseline="0">
              <a:solidFill>
                <a:schemeClr val="dk1"/>
              </a:solidFill>
              <a:effectLst/>
              <a:latin typeface="+mn-lt"/>
              <a:ea typeface="+mn-ea"/>
              <a:cs typeface="+mn-cs"/>
            </a:rPr>
            <a:t>3) Moreover, from the operating margin graph, the firm can maintain its operating margin at around 10%, which is much lower than its average gross margin. The reason behind this is that, as a retail business, the firm has a policy to heavily rely on its marketing expenses to attract new customers. Also, if the firm continues to open new branches in Thailand or Cambodia, this selling expenses/sales would not be lower as it need to boost its sales.</a:t>
          </a:r>
          <a:endParaRPr lang="en-US" sz="1200" b="0" i="0">
            <a:solidFill>
              <a:schemeClr val="dk1"/>
            </a:solidFill>
            <a:effectLst/>
            <a:latin typeface="+mn-lt"/>
            <a:ea typeface="+mn-ea"/>
            <a:cs typeface="+mn-cs"/>
          </a:endParaRPr>
        </a:p>
        <a:p>
          <a:pPr rtl="0"/>
          <a:endParaRPr lang="en-US" sz="1200" b="0" i="0" baseline="0">
            <a:solidFill>
              <a:schemeClr val="dk1"/>
            </a:solidFill>
            <a:effectLst/>
            <a:latin typeface="+mn-lt"/>
            <a:ea typeface="+mn-ea"/>
            <a:cs typeface="+mn-cs"/>
          </a:endParaRPr>
        </a:p>
        <a:p>
          <a:pPr rtl="0"/>
          <a:r>
            <a:rPr lang="en-US" sz="1200" b="0" i="0" baseline="0">
              <a:solidFill>
                <a:schemeClr val="dk1"/>
              </a:solidFill>
              <a:effectLst/>
              <a:latin typeface="+mn-lt"/>
              <a:ea typeface="+mn-ea"/>
              <a:cs typeface="+mn-cs"/>
            </a:rPr>
            <a:t>4) The total asset turnover of GLOBAL was less than 1 from 2019 to 2023, indicating inefficient utilization of its assets. The large portion of GLOBAL's assets are inventories and PPE, given the fact that it needs to stock its goods to be able to meet the need of customers at any time and it has many properties to serve as shops. In addition, we could see that its fixed assets increase by 6.7% y-o-y despite its negative sales growth of -8.4% y-o-y in 2023. This is because GLOBAL expanded its branches while realizing negative sales growth of the existing branches. Thus, we could expect to see higher asset turnover in the next year as firm may stop to expand its branches next year.</a:t>
          </a:r>
        </a:p>
        <a:p>
          <a:pPr rtl="0"/>
          <a:endParaRPr lang="en-US" sz="1200" b="0" i="0" baseline="0">
            <a:solidFill>
              <a:schemeClr val="dk1"/>
            </a:solidFill>
            <a:effectLst/>
            <a:latin typeface="+mn-lt"/>
            <a:ea typeface="+mn-ea"/>
            <a:cs typeface="+mn-cs"/>
          </a:endParaRPr>
        </a:p>
        <a:p>
          <a:pPr rtl="0"/>
          <a:r>
            <a:rPr lang="en-US" sz="1200" b="0" i="0" baseline="0">
              <a:solidFill>
                <a:schemeClr val="dk1"/>
              </a:solidFill>
              <a:effectLst/>
              <a:latin typeface="+mn-lt"/>
              <a:ea typeface="+mn-ea"/>
              <a:cs typeface="+mn-cs"/>
            </a:rPr>
            <a:t>5) GLOBAL's cash cycle days averaged 200 days from 2019 to 2023 due to very long inventory days. Even though, the firm has very short account receivable days as a nature of retail business, it needs to stock its inventories to be able to meet the need of customers at any time. However, given the fact that its inventory days is very long, it is recommended for the firm to decrease the product lines those could not be sold.</a:t>
          </a:r>
        </a:p>
        <a:p>
          <a:pPr rtl="0"/>
          <a:endParaRPr lang="en-US" sz="1200" b="0" i="0" baseline="0">
            <a:solidFill>
              <a:schemeClr val="dk1"/>
            </a:solidFill>
            <a:effectLst/>
            <a:latin typeface="+mn-lt"/>
            <a:ea typeface="+mn-ea"/>
            <a:cs typeface="+mn-cs"/>
          </a:endParaRPr>
        </a:p>
        <a:p>
          <a:pPr rtl="0"/>
          <a:r>
            <a:rPr lang="en-US" sz="1200" b="0" i="0" baseline="0">
              <a:solidFill>
                <a:schemeClr val="dk1"/>
              </a:solidFill>
              <a:effectLst/>
              <a:latin typeface="+mn-lt"/>
              <a:ea typeface="+mn-ea"/>
              <a:cs typeface="+mn-cs"/>
            </a:rPr>
            <a:t>6) ROCE of the firm is in line with both NOPLAT margin and capital employed turnover. This means that, ROCE of the firm depends on Thai economy condition. Also, if firm wants to improve its ROCE, then it should increase its inventory turnover and PPE turnover as mentioned above.</a:t>
          </a:r>
        </a:p>
        <a:p>
          <a:pPr rtl="0"/>
          <a:endParaRPr lang="en-US" sz="1200">
            <a:effectLst/>
          </a:endParaRPr>
        </a:p>
        <a:p>
          <a:pPr rtl="0"/>
          <a:r>
            <a:rPr lang="en-US" sz="1200" b="0" i="0" baseline="0">
              <a:solidFill>
                <a:schemeClr val="dk1"/>
              </a:solidFill>
              <a:effectLst/>
              <a:latin typeface="+mn-lt"/>
              <a:ea typeface="+mn-ea"/>
              <a:cs typeface="+mn-cs"/>
            </a:rPr>
            <a:t>7) Free cash flow became negative in 2021 as the firm invest greatly in PPE and inventories, which is in line with high sales growth. However, we could expect positive FCF over time if the firm reduce its product lines and stop increasing its branches.</a:t>
          </a:r>
        </a:p>
        <a:p>
          <a:pPr rtl="0"/>
          <a:r>
            <a:rPr lang="en-US" sz="1200" b="0" i="0" baseline="0">
              <a:solidFill>
                <a:schemeClr val="dk1"/>
              </a:solidFill>
              <a:effectLst/>
              <a:latin typeface="+mn-lt"/>
              <a:ea typeface="+mn-ea"/>
              <a:cs typeface="+mn-cs"/>
            </a:rPr>
            <a:t> </a:t>
          </a:r>
          <a:endParaRPr lang="en-US" sz="1200">
            <a:effectLst/>
          </a:endParaRPr>
        </a:p>
        <a:p>
          <a:pPr rtl="0"/>
          <a:r>
            <a:rPr lang="en-US" sz="1200" b="0" i="0" baseline="0">
              <a:solidFill>
                <a:schemeClr val="dk1"/>
              </a:solidFill>
              <a:effectLst/>
              <a:latin typeface="+mn-lt"/>
              <a:ea typeface="+mn-ea"/>
              <a:cs typeface="+mn-cs"/>
            </a:rPr>
            <a:t>8) Its interest-bearing debt decreased significantly in 2022-2023, causing its net debt/equity to reduce to 46.6% in 2023. This implies that the firm has ability to repay its debt and firm may want to reduce its risk.</a:t>
          </a:r>
          <a:r>
            <a:rPr lang="en-US" sz="1200" b="0" i="0">
              <a:solidFill>
                <a:schemeClr val="dk1"/>
              </a:solidFill>
              <a:effectLst/>
              <a:latin typeface="+mn-lt"/>
              <a:ea typeface="+mn-ea"/>
              <a:cs typeface="+mn-cs"/>
            </a:rPr>
            <a:t> </a:t>
          </a:r>
          <a:endParaRPr lang="en-US" sz="1200">
            <a:effectLst/>
          </a:endParaRPr>
        </a:p>
      </xdr:txBody>
    </xdr:sp>
    <xdr:clientData/>
  </xdr:twoCellAnchor>
  <xdr:twoCellAnchor>
    <xdr:from>
      <xdr:col>15</xdr:col>
      <xdr:colOff>274320</xdr:colOff>
      <xdr:row>12</xdr:row>
      <xdr:rowOff>137160</xdr:rowOff>
    </xdr:from>
    <xdr:to>
      <xdr:col>22</xdr:col>
      <xdr:colOff>358140</xdr:colOff>
      <xdr:row>27</xdr:row>
      <xdr:rowOff>155986</xdr:rowOff>
    </xdr:to>
    <xdr:graphicFrame macro="">
      <xdr:nvGraphicFramePr>
        <xdr:cNvPr id="4" name="Chart 3">
          <a:extLst>
            <a:ext uri="{FF2B5EF4-FFF2-40B4-BE49-F238E27FC236}">
              <a16:creationId xmlns:a16="http://schemas.microsoft.com/office/drawing/2014/main" id="{7B5B43F6-A430-4957-880C-FA59CA09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480060</xdr:colOff>
      <xdr:row>13</xdr:row>
      <xdr:rowOff>0</xdr:rowOff>
    </xdr:from>
    <xdr:to>
      <xdr:col>29</xdr:col>
      <xdr:colOff>480060</xdr:colOff>
      <xdr:row>27</xdr:row>
      <xdr:rowOff>91440</xdr:rowOff>
    </xdr:to>
    <xdr:graphicFrame macro="">
      <xdr:nvGraphicFramePr>
        <xdr:cNvPr id="5" name="Chart 4">
          <a:extLst>
            <a:ext uri="{FF2B5EF4-FFF2-40B4-BE49-F238E27FC236}">
              <a16:creationId xmlns:a16="http://schemas.microsoft.com/office/drawing/2014/main" id="{A8AD80F8-D607-435E-8895-9DF6D5AEA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251460</xdr:colOff>
      <xdr:row>28</xdr:row>
      <xdr:rowOff>106680</xdr:rowOff>
    </xdr:from>
    <xdr:to>
      <xdr:col>22</xdr:col>
      <xdr:colOff>335280</xdr:colOff>
      <xdr:row>43</xdr:row>
      <xdr:rowOff>124496</xdr:rowOff>
    </xdr:to>
    <xdr:graphicFrame macro="">
      <xdr:nvGraphicFramePr>
        <xdr:cNvPr id="6" name="Chart 5">
          <a:extLst>
            <a:ext uri="{FF2B5EF4-FFF2-40B4-BE49-F238E27FC236}">
              <a16:creationId xmlns:a16="http://schemas.microsoft.com/office/drawing/2014/main" id="{1668BC1A-BBD8-402A-8438-C4534F74E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264477</xdr:colOff>
      <xdr:row>44</xdr:row>
      <xdr:rowOff>114449</xdr:rowOff>
    </xdr:from>
    <xdr:to>
      <xdr:col>22</xdr:col>
      <xdr:colOff>348297</xdr:colOff>
      <xdr:row>59</xdr:row>
      <xdr:rowOff>10347</xdr:rowOff>
    </xdr:to>
    <xdr:graphicFrame macro="">
      <xdr:nvGraphicFramePr>
        <xdr:cNvPr id="7" name="Chart 6">
          <a:extLst>
            <a:ext uri="{FF2B5EF4-FFF2-40B4-BE49-F238E27FC236}">
              <a16:creationId xmlns:a16="http://schemas.microsoft.com/office/drawing/2014/main" id="{17C2E145-0255-4C54-80BE-31946B42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100068</xdr:colOff>
      <xdr:row>44</xdr:row>
      <xdr:rowOff>177895</xdr:rowOff>
    </xdr:from>
    <xdr:to>
      <xdr:col>37</xdr:col>
      <xdr:colOff>199128</xdr:colOff>
      <xdr:row>58</xdr:row>
      <xdr:rowOff>161422</xdr:rowOff>
    </xdr:to>
    <xdr:graphicFrame macro="">
      <xdr:nvGraphicFramePr>
        <xdr:cNvPr id="8" name="Chart 7">
          <a:extLst>
            <a:ext uri="{FF2B5EF4-FFF2-40B4-BE49-F238E27FC236}">
              <a16:creationId xmlns:a16="http://schemas.microsoft.com/office/drawing/2014/main" id="{6B2CA3EB-9E0B-405A-8482-F29CC807A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533400</xdr:colOff>
      <xdr:row>45</xdr:row>
      <xdr:rowOff>38100</xdr:rowOff>
    </xdr:from>
    <xdr:to>
      <xdr:col>30</xdr:col>
      <xdr:colOff>7620</xdr:colOff>
      <xdr:row>59</xdr:row>
      <xdr:rowOff>116878</xdr:rowOff>
    </xdr:to>
    <xdr:graphicFrame macro="">
      <xdr:nvGraphicFramePr>
        <xdr:cNvPr id="9" name="Chart 8">
          <a:extLst>
            <a:ext uri="{FF2B5EF4-FFF2-40B4-BE49-F238E27FC236}">
              <a16:creationId xmlns:a16="http://schemas.microsoft.com/office/drawing/2014/main" id="{73A54A92-CC32-4A68-8B74-99B8CD66B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411480</xdr:colOff>
      <xdr:row>59</xdr:row>
      <xdr:rowOff>137160</xdr:rowOff>
    </xdr:from>
    <xdr:to>
      <xdr:col>22</xdr:col>
      <xdr:colOff>495300</xdr:colOff>
      <xdr:row>77</xdr:row>
      <xdr:rowOff>127580</xdr:rowOff>
    </xdr:to>
    <xdr:graphicFrame macro="">
      <xdr:nvGraphicFramePr>
        <xdr:cNvPr id="10" name="Chart 9">
          <a:extLst>
            <a:ext uri="{FF2B5EF4-FFF2-40B4-BE49-F238E27FC236}">
              <a16:creationId xmlns:a16="http://schemas.microsoft.com/office/drawing/2014/main" id="{7F58C779-6291-45DA-9F19-B20597DA0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68580</xdr:colOff>
      <xdr:row>62</xdr:row>
      <xdr:rowOff>7620</xdr:rowOff>
    </xdr:from>
    <xdr:to>
      <xdr:col>15</xdr:col>
      <xdr:colOff>152400</xdr:colOff>
      <xdr:row>76</xdr:row>
      <xdr:rowOff>86397</xdr:rowOff>
    </xdr:to>
    <xdr:graphicFrame macro="">
      <xdr:nvGraphicFramePr>
        <xdr:cNvPr id="11" name="Chart 10">
          <a:extLst>
            <a:ext uri="{FF2B5EF4-FFF2-40B4-BE49-F238E27FC236}">
              <a16:creationId xmlns:a16="http://schemas.microsoft.com/office/drawing/2014/main" id="{9412CF1A-4014-44FD-BFFC-0E5D24E14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388620</xdr:colOff>
      <xdr:row>62</xdr:row>
      <xdr:rowOff>15240</xdr:rowOff>
    </xdr:from>
    <xdr:to>
      <xdr:col>7</xdr:col>
      <xdr:colOff>508635</xdr:colOff>
      <xdr:row>77</xdr:row>
      <xdr:rowOff>50985</xdr:rowOff>
    </xdr:to>
    <xdr:graphicFrame macro="">
      <xdr:nvGraphicFramePr>
        <xdr:cNvPr id="12" name="Chart 11">
          <a:extLst>
            <a:ext uri="{FF2B5EF4-FFF2-40B4-BE49-F238E27FC236}">
              <a16:creationId xmlns:a16="http://schemas.microsoft.com/office/drawing/2014/main" id="{85AAE45B-333C-453D-A858-D8504A538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1</cdr:x>
      <cdr:y>0</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913CBA5A-D0E2-432F-BBAB-61DB44DB16C5}"/>
            </a:ext>
          </a:extLst>
        </cdr:cNvPr>
        <cdr:cNvCxnSpPr/>
      </cdr:nvCxnSpPr>
      <cdr:spPr>
        <a:xfrm xmlns:a="http://schemas.openxmlformats.org/drawingml/2006/main">
          <a:off x="15452725" y="18138775"/>
          <a:ext cx="0" cy="3238500"/>
        </a:xfrm>
        <a:prstGeom xmlns:a="http://schemas.openxmlformats.org/drawingml/2006/main" prst="line">
          <a:avLst/>
        </a:prstGeom>
        <a:ln xmlns:a="http://schemas.openxmlformats.org/drawingml/2006/main">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1</cdr:x>
      <cdr:y>0.59862</cdr:y>
    </cdr:from>
    <cdr:to>
      <cdr:x>1</cdr:x>
      <cdr:y>1</cdr:y>
    </cdr:to>
    <cdr:cxnSp macro="">
      <cdr:nvCxnSpPr>
        <cdr:cNvPr id="2" name="Straight Connector 1">
          <a:extLst xmlns:a="http://schemas.openxmlformats.org/drawingml/2006/main">
            <a:ext uri="{FF2B5EF4-FFF2-40B4-BE49-F238E27FC236}">
              <a16:creationId xmlns:a16="http://schemas.microsoft.com/office/drawing/2014/main" id="{3428BF92-1494-5275-FC0B-D82BA0EE7936}"/>
            </a:ext>
          </a:extLst>
        </cdr:cNvPr>
        <cdr:cNvCxnSpPr/>
      </cdr:nvCxnSpPr>
      <cdr:spPr>
        <a:xfrm xmlns:a="http://schemas.openxmlformats.org/drawingml/2006/main">
          <a:off x="15538450" y="26997025"/>
          <a:ext cx="0" cy="1657350"/>
        </a:xfrm>
        <a:prstGeom xmlns:a="http://schemas.openxmlformats.org/drawingml/2006/main" prst="line">
          <a:avLst/>
        </a:prstGeom>
        <a:ln xmlns:a="http://schemas.openxmlformats.org/drawingml/2006/main">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1</xdr:col>
      <xdr:colOff>4479</xdr:colOff>
      <xdr:row>1</xdr:row>
      <xdr:rowOff>9525</xdr:rowOff>
    </xdr:from>
    <xdr:to>
      <xdr:col>23</xdr:col>
      <xdr:colOff>54429</xdr:colOff>
      <xdr:row>14</xdr:row>
      <xdr:rowOff>204107</xdr:rowOff>
    </xdr:to>
    <xdr:sp macro="" textlink="">
      <xdr:nvSpPr>
        <xdr:cNvPr id="2" name="TextBox 1">
          <a:extLst>
            <a:ext uri="{FF2B5EF4-FFF2-40B4-BE49-F238E27FC236}">
              <a16:creationId xmlns:a16="http://schemas.microsoft.com/office/drawing/2014/main" id="{F73191D7-EDD9-4B32-952E-08705D5E401B}"/>
            </a:ext>
          </a:extLst>
        </xdr:cNvPr>
        <xdr:cNvSpPr txBox="1"/>
      </xdr:nvSpPr>
      <xdr:spPr>
        <a:xfrm>
          <a:off x="616800" y="240846"/>
          <a:ext cx="18269915" cy="3201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00B0F0"/>
              </a:solidFill>
              <a:effectLst/>
              <a:latin typeface="+mn-lt"/>
              <a:ea typeface="+mn-ea"/>
              <a:cs typeface="+mn-cs"/>
            </a:rPr>
            <a:t>QUESTION #3 (20%)</a:t>
          </a:r>
          <a:endParaRPr lang="en-US" sz="1800">
            <a:solidFill>
              <a:srgbClr val="00B0F0"/>
            </a:solidFill>
            <a:effectLst/>
            <a:latin typeface="+mn-lt"/>
            <a:ea typeface="+mn-ea"/>
            <a:cs typeface="+mn-cs"/>
          </a:endParaRPr>
        </a:p>
        <a:p>
          <a:r>
            <a:rPr lang="en-US" sz="1800">
              <a:solidFill>
                <a:schemeClr val="dk1"/>
              </a:solidFill>
              <a:effectLst/>
              <a:latin typeface="+mn-lt"/>
              <a:ea typeface="+mn-ea"/>
              <a:cs typeface="+mn-cs"/>
            </a:rPr>
            <a:t>Table below shows forecasts and valuation for some</a:t>
          </a:r>
          <a:r>
            <a:rPr lang="en-US" sz="1800" baseline="0">
              <a:solidFill>
                <a:schemeClr val="dk1"/>
              </a:solidFill>
              <a:effectLst/>
              <a:latin typeface="+mn-lt"/>
              <a:ea typeface="+mn-ea"/>
              <a:cs typeface="+mn-cs"/>
            </a:rPr>
            <a:t> SET-listed stocks in Transportation. Although they are grouped in the same industry, their businesses differ from each other ranging from operating airlines (AAV, BA), operating airports (AOT,SAV), mass transit systems in Bangkok (BTS, BEM), delivery service (KEX), logistics (PRM, SJWD). </a:t>
          </a:r>
          <a:endParaRPr lang="en-US" sz="1800">
            <a:solidFill>
              <a:schemeClr val="dk1"/>
            </a:solidFill>
            <a:effectLst/>
            <a:latin typeface="+mn-lt"/>
            <a:ea typeface="+mn-ea"/>
            <a:cs typeface="+mn-cs"/>
          </a:endParaRPr>
        </a:p>
        <a:p>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3.1  Based</a:t>
          </a:r>
          <a:r>
            <a:rPr lang="en-US" sz="1800" baseline="0">
              <a:solidFill>
                <a:schemeClr val="dk1"/>
              </a:solidFill>
              <a:effectLst/>
              <a:latin typeface="+mn-lt"/>
              <a:ea typeface="+mn-ea"/>
              <a:cs typeface="+mn-cs"/>
            </a:rPr>
            <a:t> on the forecasts provided, which stock looks to be the most attractive in terms of earnings growth on a 2-year view? Provide reasons for your choice. You may want to draw charts or tables using the data provided to support your answer. </a:t>
          </a:r>
          <a:r>
            <a:rPr lang="en-US" sz="1800">
              <a:solidFill>
                <a:schemeClr val="dk1"/>
              </a:solidFill>
              <a:effectLst/>
              <a:latin typeface="+mn-lt"/>
              <a:ea typeface="+mn-ea"/>
              <a:cs typeface="+mn-cs"/>
            </a:rPr>
            <a:t>(5%)</a:t>
          </a:r>
        </a:p>
        <a:p>
          <a:r>
            <a:rPr lang="en-US" sz="1800">
              <a:solidFill>
                <a:schemeClr val="dk1"/>
              </a:solidFill>
              <a:effectLst/>
              <a:latin typeface="+mn-lt"/>
              <a:ea typeface="+mn-ea"/>
              <a:cs typeface="+mn-cs"/>
            </a:rPr>
            <a:t>3.2  There are 2 airport</a:t>
          </a:r>
          <a:r>
            <a:rPr lang="en-US" sz="1800" baseline="0">
              <a:solidFill>
                <a:schemeClr val="dk1"/>
              </a:solidFill>
              <a:effectLst/>
              <a:latin typeface="+mn-lt"/>
              <a:ea typeface="+mn-ea"/>
              <a:cs typeface="+mn-cs"/>
            </a:rPr>
            <a:t> operators, namely </a:t>
          </a:r>
          <a:r>
            <a:rPr lang="en-US" sz="1800">
              <a:solidFill>
                <a:schemeClr val="dk1"/>
              </a:solidFill>
              <a:effectLst/>
              <a:latin typeface="+mn-lt"/>
              <a:ea typeface="+mn-ea"/>
              <a:cs typeface="+mn-cs"/>
            </a:rPr>
            <a:t>AOT (operates airports in Thailand) and</a:t>
          </a:r>
          <a:r>
            <a:rPr lang="en-US" sz="1800" baseline="0">
              <a:solidFill>
                <a:schemeClr val="dk1"/>
              </a:solidFill>
              <a:effectLst/>
              <a:latin typeface="+mn-lt"/>
              <a:ea typeface="+mn-ea"/>
              <a:cs typeface="+mn-cs"/>
            </a:rPr>
            <a:t> SAV (operates airports in Cambodia). </a:t>
          </a:r>
          <a:r>
            <a:rPr lang="en-US" sz="1800">
              <a:solidFill>
                <a:schemeClr val="dk1"/>
              </a:solidFill>
              <a:effectLst/>
              <a:latin typeface="+mn-lt"/>
              <a:ea typeface="+mn-ea"/>
              <a:cs typeface="+mn-cs"/>
            </a:rPr>
            <a:t>Between the two, which company would you prefer</a:t>
          </a:r>
          <a:r>
            <a:rPr lang="en-US" sz="1800" baseline="0">
              <a:solidFill>
                <a:schemeClr val="dk1"/>
              </a:solidFill>
              <a:effectLst/>
              <a:latin typeface="+mn-lt"/>
              <a:ea typeface="+mn-ea"/>
              <a:cs typeface="+mn-cs"/>
            </a:rPr>
            <a:t> to buy and hold over the long term in expectation of steady income? </a:t>
          </a:r>
          <a:r>
            <a:rPr lang="en-US" sz="1800">
              <a:solidFill>
                <a:schemeClr val="dk1"/>
              </a:solidFill>
              <a:effectLst/>
              <a:latin typeface="+mn-lt"/>
              <a:ea typeface="+mn-ea"/>
              <a:cs typeface="+mn-cs"/>
            </a:rPr>
            <a:t>Provide your reasons. (5%)</a:t>
          </a:r>
        </a:p>
        <a:p>
          <a:r>
            <a:rPr lang="en-US" sz="1800">
              <a:solidFill>
                <a:schemeClr val="dk1"/>
              </a:solidFill>
              <a:effectLst/>
              <a:latin typeface="+mn-lt"/>
              <a:ea typeface="+mn-ea"/>
              <a:cs typeface="+mn-cs"/>
            </a:rPr>
            <a:t>3.3  Chart 1 plots</a:t>
          </a:r>
          <a:r>
            <a:rPr lang="en-US" sz="1800" baseline="0">
              <a:solidFill>
                <a:schemeClr val="dk1"/>
              </a:solidFill>
              <a:effectLst/>
              <a:latin typeface="+mn-lt"/>
              <a:ea typeface="+mn-ea"/>
              <a:cs typeface="+mn-cs"/>
            </a:rPr>
            <a:t> 2024 PEG with 2024 PER. Explain 1) how is the plot useful helping to assess valuation and 2) which stock looks the most attractive to buy? (5%)</a:t>
          </a:r>
        </a:p>
        <a:p>
          <a:r>
            <a:rPr lang="en-US" sz="1800" baseline="0">
              <a:solidFill>
                <a:schemeClr val="dk1"/>
              </a:solidFill>
              <a:effectLst/>
              <a:latin typeface="+mn-lt"/>
              <a:ea typeface="+mn-ea"/>
              <a:cs typeface="+mn-cs"/>
            </a:rPr>
            <a:t>3.4  Use the PE Band chart provided to answer the following. If the expected EPS in March-25 for the stock shown is Bt26, what should be the fair value of the stock in March-25? Provide reasons.</a:t>
          </a:r>
        </a:p>
      </xdr:txBody>
    </xdr:sp>
    <xdr:clientData/>
  </xdr:twoCellAnchor>
  <xdr:twoCellAnchor>
    <xdr:from>
      <xdr:col>1</xdr:col>
      <xdr:colOff>44023</xdr:colOff>
      <xdr:row>57</xdr:row>
      <xdr:rowOff>103256</xdr:rowOff>
    </xdr:from>
    <xdr:to>
      <xdr:col>17</xdr:col>
      <xdr:colOff>566058</xdr:colOff>
      <xdr:row>94</xdr:row>
      <xdr:rowOff>190500</xdr:rowOff>
    </xdr:to>
    <xdr:sp macro="" textlink="">
      <xdr:nvSpPr>
        <xdr:cNvPr id="8" name="TextBox 7">
          <a:extLst>
            <a:ext uri="{FF2B5EF4-FFF2-40B4-BE49-F238E27FC236}">
              <a16:creationId xmlns:a16="http://schemas.microsoft.com/office/drawing/2014/main" id="{9AA850E4-FDE3-4E55-A869-7AE0A17AD053}"/>
            </a:ext>
          </a:extLst>
        </xdr:cNvPr>
        <xdr:cNvSpPr txBox="1"/>
      </xdr:nvSpPr>
      <xdr:spPr>
        <a:xfrm>
          <a:off x="664509" y="13841027"/>
          <a:ext cx="14107406" cy="8545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B0F0"/>
              </a:solidFill>
              <a:effectLst/>
              <a:latin typeface="+mn-lt"/>
              <a:ea typeface="+mn-ea"/>
              <a:cs typeface="+mn-cs"/>
            </a:rPr>
            <a:t>Answer</a:t>
          </a:r>
          <a:r>
            <a:rPr lang="en-US" sz="1600" b="1">
              <a:solidFill>
                <a:schemeClr val="dk1"/>
              </a:solidFill>
              <a:effectLst/>
              <a:latin typeface="+mn-lt"/>
              <a:ea typeface="+mn-ea"/>
              <a:cs typeface="+mn-cs"/>
            </a:rPr>
            <a:t>:</a:t>
          </a:r>
          <a:endParaRPr lang="en-US" sz="1600">
            <a:solidFill>
              <a:schemeClr val="dk1"/>
            </a:solidFill>
            <a:effectLst/>
            <a:latin typeface="+mn-lt"/>
            <a:ea typeface="+mn-ea"/>
            <a:cs typeface="+mn-cs"/>
          </a:endParaRPr>
        </a:p>
        <a:p>
          <a:pPr algn="l"/>
          <a:r>
            <a:rPr lang="en-US" sz="1600"/>
            <a:t>3.1) From the chart of</a:t>
          </a:r>
          <a:r>
            <a:rPr lang="en-US" sz="1600" baseline="0"/>
            <a:t> 2Y, 23-25F EPS Growth relative to 2025F PER, we could see that AAV is the most attractive stock in terms of earning growth. This is because it has the highest 2Y, 23-25F EPS Growth of 196% depite having 2025F PER of 14 x. The reason behind high forecasted EPS growth of AAV could be that the market expects high growth in tourism industry, especially due to the free-visa policy between Thailand and China in 2024. Also, given the fact that Air Asia is a low-cost airline, passengers might tend to choose Air Asia over Bangkok Airways.</a:t>
          </a:r>
        </a:p>
        <a:p>
          <a:pPr algn="l"/>
          <a:endParaRPr lang="en-US" sz="1600" baseline="0"/>
        </a:p>
        <a:p>
          <a:pPr algn="l"/>
          <a:r>
            <a:rPr lang="en-US" sz="1600" baseline="0"/>
            <a:t>3.2) In my opinion, I would buy and hold SAV rather than AOT over the long term in expectation of steady income. This is because SAV, even has low D/E ratio than AOT, has the highest ROE in the industry. Also, it has lower PER. These reasons could imply that SAV is a mature firm while AOT is a growth firm. So, if you want a long term steady income, then you should buy and hold SAV.</a:t>
          </a:r>
        </a:p>
        <a:p>
          <a:pPr algn="l"/>
          <a:endParaRPr lang="en-US" sz="1600" baseline="0"/>
        </a:p>
        <a:p>
          <a:pPr algn="l"/>
          <a:r>
            <a:rPr lang="en-US" sz="1600" baseline="0"/>
            <a:t>3.3) 2024 PEG with 2024 ROE is useful for the valuation of value stock. This is because the value stocks focus on the profitability, which is reflected in ROE, rather than earning growth. Also, from the graph, SAV is the most attractive stock as it has the highest ROE of 35.1% in 2024F despite having PEG ratio of only 0.26 x.</a:t>
          </a:r>
        </a:p>
        <a:p>
          <a:pPr algn="l"/>
          <a:endParaRPr lang="en-US" sz="1600" baseline="0"/>
        </a:p>
        <a:p>
          <a:pPr algn="l"/>
          <a:r>
            <a:rPr lang="en-US" sz="1600" baseline="0"/>
            <a:t>3.4) From the graph, the expected stock price is within the PER 15x band from 4Q23-2024. So, if we assume that its price will remain in this band and the expected EPS in March-25 for the stock is THB 26, then its price in March-25 should be around 26*15 = THB 390.</a:t>
          </a:r>
        </a:p>
        <a:p>
          <a:pPr algn="l"/>
          <a:endParaRPr lang="en-US" sz="1600"/>
        </a:p>
      </xdr:txBody>
    </xdr:sp>
    <xdr:clientData/>
  </xdr:twoCellAnchor>
  <xdr:twoCellAnchor>
    <xdr:from>
      <xdr:col>9</xdr:col>
      <xdr:colOff>307522</xdr:colOff>
      <xdr:row>29</xdr:row>
      <xdr:rowOff>144236</xdr:rowOff>
    </xdr:from>
    <xdr:to>
      <xdr:col>19</xdr:col>
      <xdr:colOff>527634</xdr:colOff>
      <xdr:row>55</xdr:row>
      <xdr:rowOff>128228</xdr:rowOff>
    </xdr:to>
    <xdr:graphicFrame macro="">
      <xdr:nvGraphicFramePr>
        <xdr:cNvPr id="10" name="Chart 9">
          <a:extLst>
            <a:ext uri="{FF2B5EF4-FFF2-40B4-BE49-F238E27FC236}">
              <a16:creationId xmlns:a16="http://schemas.microsoft.com/office/drawing/2014/main" id="{BD36BC87-A45E-435A-B840-5186CD296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759278</xdr:colOff>
      <xdr:row>29</xdr:row>
      <xdr:rowOff>149679</xdr:rowOff>
    </xdr:from>
    <xdr:to>
      <xdr:col>31</xdr:col>
      <xdr:colOff>559927</xdr:colOff>
      <xdr:row>51</xdr:row>
      <xdr:rowOff>175594</xdr:rowOff>
    </xdr:to>
    <xdr:pic>
      <xdr:nvPicPr>
        <xdr:cNvPr id="7" name="Picture 6">
          <a:extLst>
            <a:ext uri="{FF2B5EF4-FFF2-40B4-BE49-F238E27FC236}">
              <a16:creationId xmlns:a16="http://schemas.microsoft.com/office/drawing/2014/main" id="{B6580DF8-35FD-2D28-6FEB-006CC82FEC91}"/>
            </a:ext>
          </a:extLst>
        </xdr:cNvPr>
        <xdr:cNvPicPr>
          <a:picLocks noChangeAspect="1"/>
        </xdr:cNvPicPr>
      </xdr:nvPicPr>
      <xdr:blipFill>
        <a:blip xmlns:r="http://schemas.openxmlformats.org/officeDocument/2006/relationships" r:embed="rId2"/>
        <a:stretch>
          <a:fillRect/>
        </a:stretch>
      </xdr:blipFill>
      <xdr:spPr>
        <a:xfrm>
          <a:off x="16663307" y="6779079"/>
          <a:ext cx="8585420" cy="5055115"/>
        </a:xfrm>
        <a:prstGeom prst="rect">
          <a:avLst/>
        </a:prstGeom>
      </xdr:spPr>
    </xdr:pic>
    <xdr:clientData/>
  </xdr:twoCellAnchor>
  <xdr:twoCellAnchor>
    <xdr:from>
      <xdr:col>1</xdr:col>
      <xdr:colOff>0</xdr:colOff>
      <xdr:row>29</xdr:row>
      <xdr:rowOff>0</xdr:rowOff>
    </xdr:from>
    <xdr:to>
      <xdr:col>10</xdr:col>
      <xdr:colOff>250372</xdr:colOff>
      <xdr:row>55</xdr:row>
      <xdr:rowOff>185058</xdr:rowOff>
    </xdr:to>
    <xdr:grpSp>
      <xdr:nvGrpSpPr>
        <xdr:cNvPr id="3" name="Group 2">
          <a:extLst>
            <a:ext uri="{FF2B5EF4-FFF2-40B4-BE49-F238E27FC236}">
              <a16:creationId xmlns:a16="http://schemas.microsoft.com/office/drawing/2014/main" id="{77977DE2-0316-40D8-9E2C-C86C0F501AE5}"/>
            </a:ext>
          </a:extLst>
        </xdr:cNvPr>
        <xdr:cNvGrpSpPr/>
      </xdr:nvGrpSpPr>
      <xdr:grpSpPr>
        <a:xfrm>
          <a:off x="620486" y="7336971"/>
          <a:ext cx="7892143" cy="6128658"/>
          <a:chOff x="1098894" y="7959587"/>
          <a:chExt cx="5299211" cy="3112189"/>
        </a:xfrm>
      </xdr:grpSpPr>
      <xdr:graphicFrame macro="">
        <xdr:nvGraphicFramePr>
          <xdr:cNvPr id="4" name="Chart 3">
            <a:extLst>
              <a:ext uri="{FF2B5EF4-FFF2-40B4-BE49-F238E27FC236}">
                <a16:creationId xmlns:a16="http://schemas.microsoft.com/office/drawing/2014/main" id="{C7715217-1A85-CC72-7291-F8A7D0B335D2}"/>
              </a:ext>
            </a:extLst>
          </xdr:cNvPr>
          <xdr:cNvGraphicFramePr/>
        </xdr:nvGraphicFramePr>
        <xdr:xfrm>
          <a:off x="1098894" y="7962691"/>
          <a:ext cx="4645508" cy="310908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a:extLst>
              <a:ext uri="{FF2B5EF4-FFF2-40B4-BE49-F238E27FC236}">
                <a16:creationId xmlns:a16="http://schemas.microsoft.com/office/drawing/2014/main" id="{056EF912-0475-3A91-F457-F89622A90EFF}"/>
              </a:ext>
              <a:ext uri="{147F2762-F138-4A5C-976F-8EAC2B608ADB}">
                <a16:predDERef xmlns:a16="http://schemas.microsoft.com/office/drawing/2014/main" pred="{E3A57C1E-02D0-713E-505A-13F0673344E6}"/>
              </a:ext>
            </a:extLst>
          </xdr:cNvPr>
          <xdr:cNvSpPr txBox="1"/>
        </xdr:nvSpPr>
        <xdr:spPr>
          <a:xfrm>
            <a:off x="1109869" y="7959587"/>
            <a:ext cx="1822174" cy="240196"/>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600" b="1">
                <a:latin typeface="+mn-lt"/>
                <a:ea typeface="+mn-lt"/>
                <a:cs typeface="+mn-lt"/>
              </a:rPr>
              <a:t>2Y, 23-25F  EPS Growth (%)</a:t>
            </a:r>
          </a:p>
        </xdr:txBody>
      </xdr:sp>
      <xdr:sp macro="" textlink="">
        <xdr:nvSpPr>
          <xdr:cNvPr id="6" name="TextBox 5">
            <a:extLst>
              <a:ext uri="{FF2B5EF4-FFF2-40B4-BE49-F238E27FC236}">
                <a16:creationId xmlns:a16="http://schemas.microsoft.com/office/drawing/2014/main" id="{F53D301E-F8A6-BE7F-04E1-79B80029B50B}"/>
              </a:ext>
              <a:ext uri="{147F2762-F138-4A5C-976F-8EAC2B608ADB}">
                <a16:predDERef xmlns:a16="http://schemas.microsoft.com/office/drawing/2014/main" pred="{72591F8B-C731-E183-ABF8-80EF3193ABCF}"/>
              </a:ext>
            </a:extLst>
          </xdr:cNvPr>
          <xdr:cNvSpPr txBox="1"/>
        </xdr:nvSpPr>
        <xdr:spPr>
          <a:xfrm>
            <a:off x="4574071" y="10765237"/>
            <a:ext cx="1824034" cy="25082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1">
                <a:latin typeface="+mn-lt"/>
                <a:ea typeface="+mn-lt"/>
                <a:cs typeface="+mn-lt"/>
              </a:rPr>
              <a:t>2025F PER (X)</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114300</xdr:colOff>
      <xdr:row>0</xdr:row>
      <xdr:rowOff>152399</xdr:rowOff>
    </xdr:from>
    <xdr:to>
      <xdr:col>12</xdr:col>
      <xdr:colOff>342900</xdr:colOff>
      <xdr:row>16</xdr:row>
      <xdr:rowOff>145676</xdr:rowOff>
    </xdr:to>
    <xdr:sp macro="" textlink="">
      <xdr:nvSpPr>
        <xdr:cNvPr id="2" name="TextBox 1">
          <a:extLst>
            <a:ext uri="{FF2B5EF4-FFF2-40B4-BE49-F238E27FC236}">
              <a16:creationId xmlns:a16="http://schemas.microsoft.com/office/drawing/2014/main" id="{47FE834A-2346-465F-8F6C-514A01D34D8E}"/>
            </a:ext>
          </a:extLst>
        </xdr:cNvPr>
        <xdr:cNvSpPr txBox="1"/>
      </xdr:nvSpPr>
      <xdr:spPr>
        <a:xfrm>
          <a:off x="405653" y="152399"/>
          <a:ext cx="11255188" cy="3041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B0F0"/>
              </a:solidFill>
              <a:effectLst/>
              <a:latin typeface="+mn-lt"/>
              <a:ea typeface="+mn-ea"/>
              <a:cs typeface="+mn-cs"/>
            </a:rPr>
            <a:t>QUESTION #4 (20%)</a:t>
          </a:r>
          <a:r>
            <a:rPr lang="en-US" sz="1400">
              <a:solidFill>
                <a:srgbClr val="00B0F0"/>
              </a:solidFill>
              <a:effectLst/>
            </a:rPr>
            <a:t> </a:t>
          </a:r>
        </a:p>
        <a:p>
          <a:r>
            <a:rPr lang="en-US" sz="1400" b="0" i="0" u="none" strike="noStrike">
              <a:solidFill>
                <a:schemeClr val="dk1"/>
              </a:solidFill>
              <a:effectLst/>
              <a:latin typeface="+mn-lt"/>
              <a:ea typeface="+mn-ea"/>
              <a:cs typeface="+mn-cs"/>
            </a:rPr>
            <a:t>Use the tables below for the following questions.</a:t>
          </a:r>
          <a:r>
            <a:rPr lang="en-US" sz="1400" b="0" i="0" u="none" strike="noStrike" baseline="0">
              <a:solidFill>
                <a:schemeClr val="dk1"/>
              </a:solidFill>
              <a:effectLst/>
              <a:latin typeface="+mn-lt"/>
              <a:ea typeface="+mn-ea"/>
              <a:cs typeface="+mn-cs"/>
            </a:rPr>
            <a:t> </a:t>
          </a:r>
          <a:endParaRPr lang="en-US" sz="14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dk1"/>
              </a:solidFill>
              <a:effectLst/>
              <a:latin typeface="+mn-lt"/>
              <a:ea typeface="+mn-ea"/>
              <a:cs typeface="+mn-cs"/>
            </a:rPr>
            <a:t>4.1 Using free cashflow to the firm approach, calculate equity value per share based on the numbers provided. Will you buy or sell the stock? (5%)</a:t>
          </a:r>
        </a:p>
        <a:p>
          <a:r>
            <a:rPr lang="en-US" sz="1400" b="0" i="0" u="none" strike="noStrike">
              <a:solidFill>
                <a:schemeClr val="dk1"/>
              </a:solidFill>
              <a:effectLst/>
              <a:latin typeface="+mn-lt"/>
              <a:ea typeface="+mn-ea"/>
              <a:cs typeface="+mn-cs"/>
            </a:rPr>
            <a:t>4.2 Assume that this company </a:t>
          </a:r>
          <a:r>
            <a:rPr lang="en-US" sz="1400" b="0" i="0" u="none" strike="noStrike" baseline="0">
              <a:solidFill>
                <a:schemeClr val="dk1"/>
              </a:solidFill>
              <a:effectLst/>
              <a:latin typeface="+mn-lt"/>
              <a:ea typeface="+mn-ea"/>
              <a:cs typeface="+mn-cs"/>
            </a:rPr>
            <a:t>grows organic vegetables and also produces medicinal herbs for health improvements, both areas that are expected to see strong growth over a long term because aging demographics and public's greater health awareness. Current forecasts have growth at 20% in the final year of forecast period in 2030 and dropping to 4% terminal growth after that. Do you think this is a fair set of forecasts? If not, how will you change it?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4.3 </a:t>
          </a:r>
          <a:r>
            <a:rPr lang="en-US" sz="1400" b="0" i="0" u="none" strike="noStrike" baseline="0">
              <a:solidFill>
                <a:schemeClr val="dk1"/>
              </a:solidFill>
              <a:effectLst/>
              <a:latin typeface="+mn-lt"/>
              <a:ea typeface="+mn-ea"/>
              <a:cs typeface="+mn-cs"/>
            </a:rPr>
            <a:t>Extend the forecast period from 2030 onwards to end at a new terminal year that you think is appropriate and explain your assumptions. However, do not change assumptions between 2024 to 2030. These are fonts denoted in 'red' color. (5%) </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dk1"/>
              </a:solidFill>
              <a:effectLst/>
              <a:latin typeface="+mn-lt"/>
              <a:ea typeface="+mn-ea"/>
              <a:cs typeface="+mn-cs"/>
            </a:rPr>
            <a:t>4.4 Perform valuation based on 4.3 and estimate fair value. Will you buy the stock based on the results? (5%)</a:t>
          </a:r>
        </a:p>
        <a:p>
          <a:pPr marL="0" marR="0" lvl="0" indent="0" defTabSz="914400" eaLnBrk="1" fontAlgn="auto" latinLnBrk="0" hangingPunct="1">
            <a:lnSpc>
              <a:spcPct val="100000"/>
            </a:lnSpc>
            <a:spcBef>
              <a:spcPts val="0"/>
            </a:spcBef>
            <a:spcAft>
              <a:spcPts val="0"/>
            </a:spcAft>
            <a:buClrTx/>
            <a:buSzTx/>
            <a:buFontTx/>
            <a:buNone/>
            <a:tabLst/>
            <a:defRPr/>
          </a:pPr>
          <a:br>
            <a:rPr lang="en-US" sz="1400" b="0" i="0" baseline="0">
              <a:solidFill>
                <a:schemeClr val="dk1"/>
              </a:solidFill>
              <a:effectLst/>
              <a:latin typeface="+mn-lt"/>
              <a:ea typeface="+mn-ea"/>
              <a:cs typeface="+mn-cs"/>
            </a:rPr>
          </a:br>
          <a:r>
            <a:rPr lang="en-US" sz="1400" b="1" i="0" baseline="0">
              <a:solidFill>
                <a:schemeClr val="dk1"/>
              </a:solidFill>
              <a:effectLst/>
              <a:latin typeface="+mn-lt"/>
              <a:ea typeface="+mn-ea"/>
              <a:cs typeface="+mn-cs"/>
            </a:rPr>
            <a:t>Show all your calculations on to this sheet itself.</a:t>
          </a:r>
          <a:endParaRPr lang="en-US" sz="14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219075</xdr:colOff>
      <xdr:row>1</xdr:row>
      <xdr:rowOff>104775</xdr:rowOff>
    </xdr:from>
    <xdr:to>
      <xdr:col>16</xdr:col>
      <xdr:colOff>333375</xdr:colOff>
      <xdr:row>12</xdr:row>
      <xdr:rowOff>47625</xdr:rowOff>
    </xdr:to>
    <xdr:sp macro="" textlink="">
      <xdr:nvSpPr>
        <xdr:cNvPr id="2" name="TextBox 1">
          <a:extLst>
            <a:ext uri="{FF2B5EF4-FFF2-40B4-BE49-F238E27FC236}">
              <a16:creationId xmlns:a16="http://schemas.microsoft.com/office/drawing/2014/main" id="{AE59C69E-7B55-4523-84EF-D87F9C7E047D}"/>
            </a:ext>
          </a:extLst>
        </xdr:cNvPr>
        <xdr:cNvSpPr txBox="1"/>
      </xdr:nvSpPr>
      <xdr:spPr>
        <a:xfrm>
          <a:off x="219075" y="295275"/>
          <a:ext cx="986790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0B0F0"/>
              </a:solidFill>
              <a:effectLst/>
              <a:latin typeface="+mn-lt"/>
              <a:ea typeface="+mn-ea"/>
              <a:cs typeface="+mn-cs"/>
            </a:rPr>
            <a:t>QUESTION #5 (20%)</a:t>
          </a:r>
          <a:endParaRPr lang="en-US" sz="1400">
            <a:solidFill>
              <a:srgbClr val="00B0F0"/>
            </a:solidFill>
            <a:effectLst/>
            <a:latin typeface="+mn-lt"/>
            <a:ea typeface="+mn-ea"/>
            <a:cs typeface="+mn-cs"/>
          </a:endParaRPr>
        </a:p>
        <a:p>
          <a:r>
            <a:rPr lang="en-US" sz="1400">
              <a:solidFill>
                <a:schemeClr val="dk1"/>
              </a:solidFill>
              <a:effectLst/>
              <a:latin typeface="+mn-lt"/>
              <a:ea typeface="+mn-ea"/>
              <a:cs typeface="+mn-cs"/>
            </a:rPr>
            <a:t>Provide brief answers to the following questions. </a:t>
          </a:r>
        </a:p>
        <a:p>
          <a:pPr lvl="1" algn="l"/>
          <a:r>
            <a:rPr lang="en-US" sz="1400">
              <a:solidFill>
                <a:schemeClr val="dk1"/>
              </a:solidFill>
              <a:effectLst/>
              <a:latin typeface="+mn-lt"/>
              <a:ea typeface="+mn-ea"/>
              <a:cs typeface="+mn-cs"/>
            </a:rPr>
            <a:t>5.1 Explain how does interest rate influence valuation? (5%)</a:t>
          </a:r>
        </a:p>
        <a:p>
          <a:pPr lvl="1" algn="l"/>
          <a:r>
            <a:rPr lang="en-US" sz="1400">
              <a:solidFill>
                <a:schemeClr val="dk1"/>
              </a:solidFill>
              <a:effectLst/>
              <a:latin typeface="+mn-lt"/>
              <a:ea typeface="+mn-ea"/>
              <a:cs typeface="+mn-cs"/>
            </a:rPr>
            <a:t>5.2 What</a:t>
          </a:r>
          <a:r>
            <a:rPr lang="en-US" sz="1400" baseline="0">
              <a:solidFill>
                <a:schemeClr val="dk1"/>
              </a:solidFill>
              <a:effectLst/>
              <a:latin typeface="+mn-lt"/>
              <a:ea typeface="+mn-ea"/>
              <a:cs typeface="+mn-cs"/>
            </a:rPr>
            <a:t> valuation parameters would you use to assess the attractiveness of stocks with high earnings growth? </a:t>
          </a:r>
          <a:r>
            <a:rPr lang="en-US" sz="1400">
              <a:solidFill>
                <a:schemeClr val="dk1"/>
              </a:solidFill>
              <a:effectLst/>
              <a:latin typeface="+mn-lt"/>
              <a:ea typeface="+mn-ea"/>
              <a:cs typeface="+mn-cs"/>
            </a:rPr>
            <a:t>(5%)</a:t>
          </a:r>
        </a:p>
        <a:p>
          <a:pPr lvl="1" algn="l"/>
          <a:r>
            <a:rPr lang="en-US" sz="1400">
              <a:solidFill>
                <a:schemeClr val="dk1"/>
              </a:solidFill>
              <a:effectLst/>
              <a:latin typeface="+mn-lt"/>
              <a:ea typeface="+mn-ea"/>
              <a:cs typeface="+mn-cs"/>
            </a:rPr>
            <a:t>5.3 Why is it more common to estimate PE Ratio valuation based on 12M Forward EPS estimate than based on fiscal year forecasts? (5%)</a:t>
          </a:r>
        </a:p>
        <a:p>
          <a:pPr lvl="1" algn="l"/>
          <a:r>
            <a:rPr lang="en-US" sz="1400">
              <a:solidFill>
                <a:schemeClr val="dk1"/>
              </a:solidFill>
              <a:effectLst/>
              <a:latin typeface="+mn-lt"/>
              <a:ea typeface="+mn-ea"/>
              <a:cs typeface="+mn-cs"/>
            </a:rPr>
            <a:t>5.4</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Why is a 10Y Government Bond Yield commonly adopted as a risk-free return benchmark? (5%)</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hing\Desktop\MSF%20program\MSF%20term%202\Equity%20analysis\Final%20Exam%20(Old)\Equity%20final%20practice_Phing\Equity_Final_Exam_Practice_Phing.xlsx" TargetMode="External"/><Relationship Id="rId1" Type="http://schemas.openxmlformats.org/officeDocument/2006/relationships/externalLinkPath" Target="MSF%20program/MSF%20term%202/Equity%20analysis/Final%20Exam%20(Old)/Equity%20final%20practice_Phing/Equity_Final_Exam_Practice_Ph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Q#1 N23"/>
      <sheetName val="Q#2 N23"/>
      <sheetName val="Q#1 M23"/>
      <sheetName val="Q#2 M23"/>
      <sheetName val="Q#3 N23"/>
      <sheetName val="Q#3 M23"/>
      <sheetName val="Q#3 N21"/>
      <sheetName val="Q#4 N23"/>
      <sheetName val="Q#4 M23"/>
      <sheetName val="Q#5"/>
      <sheetName val="GDP&amp;Inflation"/>
    </sheetNames>
    <sheetDataSet>
      <sheetData sheetId="0"/>
      <sheetData sheetId="1">
        <row r="93">
          <cell r="B93">
            <v>2018</v>
          </cell>
          <cell r="C93">
            <v>2019</v>
          </cell>
          <cell r="D93">
            <v>2020</v>
          </cell>
          <cell r="E93">
            <v>2021</v>
          </cell>
          <cell r="F93">
            <v>2022</v>
          </cell>
          <cell r="H93" t="str">
            <v>2Q22</v>
          </cell>
          <cell r="I93" t="str">
            <v>2Q23</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usheelnresearc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6463-453A-4F9C-851E-B6FF847E7AA5}">
  <dimension ref="A1:Q20"/>
  <sheetViews>
    <sheetView topLeftCell="A7" zoomScaleNormal="100" workbookViewId="0">
      <selection activeCell="K12" sqref="K12"/>
    </sheetView>
  </sheetViews>
  <sheetFormatPr defaultRowHeight="21.75" customHeight="1" x14ac:dyDescent="0.35"/>
  <cols>
    <col min="1" max="1" width="9.109375" style="4"/>
  </cols>
  <sheetData>
    <row r="1" spans="1:17" ht="21.75" customHeight="1" x14ac:dyDescent="0.3">
      <c r="A1" s="21" t="s">
        <v>114</v>
      </c>
    </row>
    <row r="2" spans="1:17" ht="21.75" customHeight="1" x14ac:dyDescent="0.3">
      <c r="A2" s="21" t="s">
        <v>70</v>
      </c>
    </row>
    <row r="3" spans="1:17" ht="21.75" customHeight="1" x14ac:dyDescent="0.3">
      <c r="A3" s="21" t="s">
        <v>120</v>
      </c>
    </row>
    <row r="4" spans="1:17" ht="21.75" customHeight="1" x14ac:dyDescent="0.3">
      <c r="A4" s="21" t="s">
        <v>71</v>
      </c>
    </row>
    <row r="5" spans="1:17" ht="21.75" customHeight="1" x14ac:dyDescent="0.3">
      <c r="A5" s="3"/>
    </row>
    <row r="6" spans="1:17" ht="21.75" customHeight="1" x14ac:dyDescent="0.3">
      <c r="A6" s="21" t="s">
        <v>72</v>
      </c>
    </row>
    <row r="7" spans="1:17" s="20" customFormat="1" ht="35.25" customHeight="1" x14ac:dyDescent="0.3">
      <c r="A7" s="3">
        <v>1</v>
      </c>
      <c r="B7" s="23" t="s">
        <v>115</v>
      </c>
    </row>
    <row r="8" spans="1:17" s="20" customFormat="1" ht="35.25" customHeight="1" x14ac:dyDescent="0.3">
      <c r="A8" s="3">
        <v>2</v>
      </c>
      <c r="B8" s="23" t="s">
        <v>159</v>
      </c>
    </row>
    <row r="9" spans="1:17" s="20" customFormat="1" ht="35.25" customHeight="1" x14ac:dyDescent="0.3">
      <c r="A9" s="3">
        <v>3</v>
      </c>
      <c r="B9" s="23" t="s">
        <v>119</v>
      </c>
      <c r="Q9" s="5"/>
    </row>
    <row r="10" spans="1:17" s="20" customFormat="1" ht="35.25" customHeight="1" x14ac:dyDescent="0.3">
      <c r="A10" s="3">
        <v>4</v>
      </c>
      <c r="B10" s="23" t="s">
        <v>160</v>
      </c>
    </row>
    <row r="11" spans="1:17" s="20" customFormat="1" ht="35.25" customHeight="1" x14ac:dyDescent="0.3">
      <c r="A11" s="3">
        <v>5</v>
      </c>
      <c r="B11" s="23" t="s">
        <v>116</v>
      </c>
    </row>
    <row r="12" spans="1:17" s="20" customFormat="1" ht="35.25" customHeight="1" x14ac:dyDescent="0.3">
      <c r="A12" s="3">
        <v>6</v>
      </c>
      <c r="B12" s="23" t="s">
        <v>121</v>
      </c>
    </row>
    <row r="13" spans="1:17" s="20" customFormat="1" ht="35.25" customHeight="1" x14ac:dyDescent="0.3">
      <c r="A13" s="3">
        <v>7</v>
      </c>
      <c r="B13" s="23" t="s">
        <v>117</v>
      </c>
    </row>
    <row r="14" spans="1:17" s="20" customFormat="1" ht="35.25" customHeight="1" x14ac:dyDescent="0.3">
      <c r="A14" s="3">
        <v>8</v>
      </c>
      <c r="B14" s="23" t="s">
        <v>118</v>
      </c>
    </row>
    <row r="15" spans="1:17" s="20" customFormat="1" ht="35.25" customHeight="1" x14ac:dyDescent="0.3">
      <c r="A15" s="3">
        <v>9</v>
      </c>
      <c r="B15" s="23" t="s">
        <v>161</v>
      </c>
    </row>
    <row r="20" spans="5:5" ht="21.75" customHeight="1" x14ac:dyDescent="0.35">
      <c r="E20" s="22"/>
    </row>
  </sheetData>
  <hyperlinks>
    <hyperlink ref="B11" r:id="rId1" display="mailto:susheelnresearch@gmail.com" xr:uid="{53548AA5-13D6-4B2C-927E-FD5D824DB5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A596B-E99E-4984-9C8F-7FDF6E73D48C}">
  <dimension ref="A1:N125"/>
  <sheetViews>
    <sheetView tabSelected="1" topLeftCell="A73" zoomScale="85" zoomScaleNormal="85" workbookViewId="0">
      <selection activeCell="F27" sqref="F27"/>
    </sheetView>
  </sheetViews>
  <sheetFormatPr defaultRowHeight="15.6" x14ac:dyDescent="0.3"/>
  <cols>
    <col min="1" max="1" width="63.5546875" style="84" customWidth="1"/>
    <col min="2" max="6" width="10.88671875" style="84" customWidth="1"/>
    <col min="7" max="7" width="22.6640625" style="84" customWidth="1"/>
    <col min="8" max="8" width="24" style="84" customWidth="1"/>
    <col min="9" max="9" width="28.44140625" style="84" customWidth="1"/>
    <col min="10" max="16384" width="8.88671875" style="84"/>
  </cols>
  <sheetData>
    <row r="1" spans="1:6" x14ac:dyDescent="0.3">
      <c r="A1" s="1" t="s">
        <v>122</v>
      </c>
      <c r="B1" s="84" t="s">
        <v>123</v>
      </c>
    </row>
    <row r="2" spans="1:6" x14ac:dyDescent="0.3">
      <c r="A2" s="1" t="s">
        <v>124</v>
      </c>
    </row>
    <row r="4" spans="1:6" x14ac:dyDescent="0.3">
      <c r="A4" s="1"/>
    </row>
    <row r="5" spans="1:6" x14ac:dyDescent="0.3">
      <c r="A5" s="1" t="s">
        <v>125</v>
      </c>
    </row>
    <row r="6" spans="1:6" x14ac:dyDescent="0.3">
      <c r="A6" s="138" t="s">
        <v>126</v>
      </c>
      <c r="B6" s="138">
        <v>2019</v>
      </c>
      <c r="C6" s="138">
        <v>2020</v>
      </c>
      <c r="D6" s="138">
        <v>2021</v>
      </c>
      <c r="E6" s="138">
        <v>2022</v>
      </c>
      <c r="F6" s="138">
        <v>2023</v>
      </c>
    </row>
    <row r="7" spans="1:6" x14ac:dyDescent="0.3">
      <c r="A7" s="84" t="s">
        <v>85</v>
      </c>
    </row>
    <row r="8" spans="1:6" x14ac:dyDescent="0.3">
      <c r="A8" s="84" t="s">
        <v>86</v>
      </c>
      <c r="B8" s="145">
        <v>28259.228999999999</v>
      </c>
      <c r="C8" s="145">
        <v>26905.043260000002</v>
      </c>
      <c r="D8" s="145">
        <v>33615.275110000002</v>
      </c>
      <c r="E8" s="145">
        <v>35460.495940000001</v>
      </c>
      <c r="F8" s="145">
        <v>32478.698100000001</v>
      </c>
    </row>
    <row r="9" spans="1:6" x14ac:dyDescent="0.3">
      <c r="A9" s="84" t="s">
        <v>127</v>
      </c>
      <c r="B9" s="145">
        <v>28081.447</v>
      </c>
      <c r="C9" s="145">
        <v>26802.962600000003</v>
      </c>
      <c r="D9" s="145">
        <v>33497.804250000001</v>
      </c>
      <c r="E9" s="145">
        <v>35270.335630000001</v>
      </c>
      <c r="F9" s="145">
        <v>32300.551500000001</v>
      </c>
    </row>
    <row r="10" spans="1:6" x14ac:dyDescent="0.3">
      <c r="A10" s="84" t="s">
        <v>128</v>
      </c>
      <c r="B10" s="145">
        <v>177.78200000000001</v>
      </c>
      <c r="C10" s="145">
        <v>102.08066000000001</v>
      </c>
      <c r="D10" s="145">
        <v>117.47086</v>
      </c>
      <c r="E10" s="145">
        <v>190.16031000000001</v>
      </c>
      <c r="F10" s="145">
        <v>178.14660000000001</v>
      </c>
    </row>
    <row r="11" spans="1:6" x14ac:dyDescent="0.3">
      <c r="A11" s="84" t="s">
        <v>129</v>
      </c>
      <c r="B11" s="145">
        <v>2.302</v>
      </c>
      <c r="C11" s="145">
        <v>0</v>
      </c>
      <c r="D11" s="145">
        <v>0</v>
      </c>
      <c r="E11" s="145">
        <v>0</v>
      </c>
      <c r="F11" s="145">
        <v>0</v>
      </c>
    </row>
    <row r="12" spans="1:6" x14ac:dyDescent="0.3">
      <c r="A12" s="84" t="s">
        <v>87</v>
      </c>
      <c r="B12" s="145">
        <v>920.74599999999998</v>
      </c>
      <c r="C12" s="145">
        <v>448.84273999999999</v>
      </c>
      <c r="D12" s="145">
        <v>500.83693</v>
      </c>
      <c r="E12" s="145">
        <v>517.90485000000001</v>
      </c>
      <c r="F12" s="145">
        <v>535.05405000000007</v>
      </c>
    </row>
    <row r="13" spans="1:6" x14ac:dyDescent="0.3">
      <c r="A13" s="84" t="s">
        <v>88</v>
      </c>
      <c r="B13" s="145">
        <v>29182.276999999998</v>
      </c>
      <c r="C13" s="145">
        <v>27353.885999999999</v>
      </c>
      <c r="D13" s="145">
        <v>34116.112030000004</v>
      </c>
      <c r="E13" s="145">
        <v>35978.400780000004</v>
      </c>
      <c r="F13" s="145">
        <v>33013.75215</v>
      </c>
    </row>
    <row r="14" spans="1:6" x14ac:dyDescent="0.3">
      <c r="B14" s="145"/>
      <c r="C14" s="145"/>
      <c r="D14" s="145"/>
      <c r="E14" s="145"/>
      <c r="F14" s="145"/>
    </row>
    <row r="15" spans="1:6" x14ac:dyDescent="0.3">
      <c r="A15" s="84" t="s">
        <v>89</v>
      </c>
      <c r="B15" s="145"/>
      <c r="C15" s="145"/>
      <c r="D15" s="145"/>
      <c r="E15" s="145"/>
      <c r="F15" s="145"/>
    </row>
    <row r="16" spans="1:6" x14ac:dyDescent="0.3">
      <c r="A16" s="84" t="s">
        <v>90</v>
      </c>
      <c r="B16" s="145">
        <v>22298.928</v>
      </c>
      <c r="C16" s="145">
        <v>20401.00058</v>
      </c>
      <c r="D16" s="145">
        <v>25066.996230000001</v>
      </c>
      <c r="E16" s="145">
        <v>26165.90725</v>
      </c>
      <c r="F16" s="145">
        <v>24039.98906</v>
      </c>
    </row>
    <row r="17" spans="1:6" x14ac:dyDescent="0.3">
      <c r="A17" s="84" t="s">
        <v>91</v>
      </c>
      <c r="B17" s="145">
        <v>3026.877</v>
      </c>
      <c r="C17" s="145">
        <v>4233.1210799999999</v>
      </c>
      <c r="D17" s="145">
        <v>4806.02675</v>
      </c>
      <c r="E17" s="145">
        <v>5409.6818400000002</v>
      </c>
      <c r="F17" s="145">
        <v>5523.8106200000002</v>
      </c>
    </row>
    <row r="18" spans="1:6" x14ac:dyDescent="0.3">
      <c r="A18" s="84" t="s">
        <v>92</v>
      </c>
      <c r="B18" s="145">
        <v>2178.6970000000001</v>
      </c>
      <c r="C18" s="145">
        <v>2321.0202300000001</v>
      </c>
      <c r="D18" s="145">
        <v>2600.87005</v>
      </c>
      <c r="E18" s="145">
        <v>2921.4612299999999</v>
      </c>
      <c r="F18" s="145">
        <v>3172.96225</v>
      </c>
    </row>
    <row r="19" spans="1:6" x14ac:dyDescent="0.3">
      <c r="A19" s="84" t="s">
        <v>93</v>
      </c>
      <c r="B19" s="84">
        <f>931+848+80</f>
        <v>1859</v>
      </c>
      <c r="C19" s="145">
        <v>1912.10085</v>
      </c>
      <c r="D19" s="145">
        <v>2205.1567</v>
      </c>
      <c r="E19" s="145">
        <v>2488.2206000000001</v>
      </c>
      <c r="F19" s="145">
        <v>2350.8483700000002</v>
      </c>
    </row>
    <row r="20" spans="1:6" x14ac:dyDescent="0.3">
      <c r="A20" s="84" t="s">
        <v>130</v>
      </c>
      <c r="B20" s="145">
        <v>0</v>
      </c>
      <c r="C20" s="145">
        <v>67.862039999999993</v>
      </c>
      <c r="D20" s="145">
        <v>0.94723000000000002</v>
      </c>
      <c r="E20" s="145">
        <v>0</v>
      </c>
      <c r="F20" s="145">
        <v>0</v>
      </c>
    </row>
    <row r="21" spans="1:6" x14ac:dyDescent="0.3">
      <c r="A21" s="84" t="s">
        <v>94</v>
      </c>
      <c r="B21" s="145">
        <v>26336.55</v>
      </c>
      <c r="C21" s="145">
        <v>24701.054</v>
      </c>
      <c r="D21" s="145">
        <v>29874.161359999998</v>
      </c>
      <c r="E21" s="145">
        <v>31574.807210000003</v>
      </c>
      <c r="F21" s="145">
        <v>29568.616389999999</v>
      </c>
    </row>
    <row r="22" spans="1:6" x14ac:dyDescent="0.3">
      <c r="B22" s="145"/>
      <c r="C22" s="145"/>
      <c r="D22" s="145"/>
      <c r="E22" s="145"/>
      <c r="F22" s="145"/>
    </row>
    <row r="23" spans="1:6" x14ac:dyDescent="0.3">
      <c r="A23" s="84" t="s">
        <v>131</v>
      </c>
      <c r="B23" s="145">
        <v>29.356000000000002</v>
      </c>
      <c r="C23" s="145">
        <v>23.352910000000001</v>
      </c>
      <c r="D23" s="145">
        <v>80.753969999999995</v>
      </c>
      <c r="E23" s="145">
        <v>119.5432</v>
      </c>
      <c r="F23" s="145">
        <v>134.97838000000002</v>
      </c>
    </row>
    <row r="24" spans="1:6" x14ac:dyDescent="0.3">
      <c r="A24" s="84" t="s">
        <v>95</v>
      </c>
      <c r="B24" s="145">
        <v>2875.0830000000001</v>
      </c>
      <c r="C24" s="145">
        <v>2676.1849099999999</v>
      </c>
      <c r="D24" s="145">
        <v>4322.7046500000006</v>
      </c>
      <c r="E24" s="145">
        <v>4523.1367699999992</v>
      </c>
      <c r="F24" s="145">
        <v>3580.1141499999999</v>
      </c>
    </row>
    <row r="25" spans="1:6" x14ac:dyDescent="0.3">
      <c r="B25" s="145"/>
      <c r="C25" s="145"/>
      <c r="D25" s="145"/>
      <c r="E25" s="145"/>
      <c r="F25" s="145"/>
    </row>
    <row r="26" spans="1:6" x14ac:dyDescent="0.3">
      <c r="A26" s="84" t="s">
        <v>96</v>
      </c>
      <c r="B26" s="145">
        <v>268.24099999999999</v>
      </c>
      <c r="C26" s="145">
        <v>245.87789999999998</v>
      </c>
      <c r="D26" s="145">
        <v>180.41978</v>
      </c>
      <c r="E26" s="145">
        <v>192.88310000000001</v>
      </c>
      <c r="F26" s="145">
        <v>281.92194000000001</v>
      </c>
    </row>
    <row r="27" spans="1:6" x14ac:dyDescent="0.3">
      <c r="A27" s="84" t="s">
        <v>97</v>
      </c>
      <c r="B27" s="145">
        <v>492.76499999999999</v>
      </c>
      <c r="C27" s="145">
        <v>454.78485999999998</v>
      </c>
      <c r="D27" s="145">
        <v>783.31246999999996</v>
      </c>
      <c r="E27" s="145">
        <v>824.35735999999997</v>
      </c>
      <c r="F27" s="145">
        <v>620.05140000000006</v>
      </c>
    </row>
    <row r="28" spans="1:6" x14ac:dyDescent="0.3">
      <c r="A28" s="1" t="s">
        <v>132</v>
      </c>
      <c r="B28" s="2">
        <v>2114.0770000000002</v>
      </c>
      <c r="C28" s="2">
        <v>1975.52216</v>
      </c>
      <c r="D28" s="2">
        <v>3358.9724000000001</v>
      </c>
      <c r="E28" s="2">
        <v>3505.8963199999998</v>
      </c>
      <c r="F28" s="2">
        <v>2678.1407999999997</v>
      </c>
    </row>
    <row r="29" spans="1:6" x14ac:dyDescent="0.3">
      <c r="A29" s="84" t="s">
        <v>98</v>
      </c>
      <c r="B29" s="103">
        <v>0.49830000000000002</v>
      </c>
      <c r="C29" s="103">
        <v>0.44436999999999999</v>
      </c>
      <c r="D29" s="103">
        <v>0.72660000000000002</v>
      </c>
      <c r="E29" s="103">
        <v>0.72616999999999998</v>
      </c>
      <c r="F29" s="103">
        <v>0.53408999999999995</v>
      </c>
    </row>
    <row r="32" spans="1:6" x14ac:dyDescent="0.3">
      <c r="A32" s="138" t="s">
        <v>133</v>
      </c>
      <c r="B32" s="138">
        <v>2019</v>
      </c>
      <c r="C32" s="138">
        <v>2020</v>
      </c>
      <c r="D32" s="138">
        <v>2021</v>
      </c>
      <c r="E32" s="138">
        <v>2022</v>
      </c>
      <c r="F32" s="138">
        <v>2023</v>
      </c>
    </row>
    <row r="33" spans="1:7" x14ac:dyDescent="0.3">
      <c r="A33" s="84" t="s">
        <v>134</v>
      </c>
    </row>
    <row r="34" spans="1:7" x14ac:dyDescent="0.3">
      <c r="A34" s="84" t="s">
        <v>0</v>
      </c>
      <c r="B34" s="145">
        <v>1299.271</v>
      </c>
      <c r="C34" s="145">
        <v>1224.2891999999999</v>
      </c>
      <c r="D34" s="145">
        <v>1694.1151399999999</v>
      </c>
      <c r="E34" s="145">
        <v>1147.43948</v>
      </c>
      <c r="F34" s="145">
        <v>1052.7041299999999</v>
      </c>
      <c r="G34" s="148">
        <f>F34/F$52</f>
        <v>2.6952406087768999E-2</v>
      </c>
    </row>
    <row r="35" spans="1:7" x14ac:dyDescent="0.3">
      <c r="A35" s="84" t="s">
        <v>1</v>
      </c>
      <c r="B35" s="145">
        <v>0</v>
      </c>
      <c r="C35" s="145">
        <v>0</v>
      </c>
      <c r="D35" s="145">
        <v>77.717259999999996</v>
      </c>
      <c r="E35" s="145">
        <v>41.975230000000003</v>
      </c>
      <c r="F35" s="145">
        <v>216.29470999999998</v>
      </c>
      <c r="G35" s="148">
        <f t="shared" ref="G35:G37" si="0">F35/F$52</f>
        <v>5.5377980312058149E-3</v>
      </c>
    </row>
    <row r="36" spans="1:7" x14ac:dyDescent="0.3">
      <c r="A36" s="84" t="s">
        <v>2</v>
      </c>
      <c r="B36" s="145">
        <v>269.33300000000003</v>
      </c>
      <c r="C36" s="145">
        <v>665.76525000000004</v>
      </c>
      <c r="D36" s="145">
        <v>674.00579000000005</v>
      </c>
      <c r="E36" s="145">
        <v>631.38586999999995</v>
      </c>
      <c r="F36" s="145">
        <v>756.87968000000001</v>
      </c>
      <c r="G36" s="148">
        <f t="shared" si="0"/>
        <v>1.9378406442597175E-2</v>
      </c>
    </row>
    <row r="37" spans="1:7" x14ac:dyDescent="0.3">
      <c r="A37" s="84" t="s">
        <v>3</v>
      </c>
      <c r="B37" s="145">
        <v>15602.535</v>
      </c>
      <c r="C37" s="145">
        <v>14287.19939</v>
      </c>
      <c r="D37" s="145">
        <v>16185.62376</v>
      </c>
      <c r="E37" s="145">
        <v>15746.901980000001</v>
      </c>
      <c r="F37" s="145">
        <v>14038.370570000001</v>
      </c>
      <c r="G37" s="148">
        <f t="shared" si="0"/>
        <v>0.35942469838436486</v>
      </c>
    </row>
    <row r="38" spans="1:7" x14ac:dyDescent="0.3">
      <c r="B38" s="145"/>
      <c r="C38" s="148">
        <f>C37/B37-1</f>
        <v>-8.430268606992386E-2</v>
      </c>
      <c r="D38" s="163">
        <f t="shared" ref="D38:F38" si="1">D37/C37-1</f>
        <v>0.13287589248098253</v>
      </c>
      <c r="E38" s="148">
        <f t="shared" si="1"/>
        <v>-2.7105645510198118E-2</v>
      </c>
      <c r="F38" s="148">
        <f t="shared" si="1"/>
        <v>-0.10849952658433959</v>
      </c>
      <c r="G38" s="148"/>
    </row>
    <row r="39" spans="1:7" x14ac:dyDescent="0.3">
      <c r="A39" s="84" t="s">
        <v>4</v>
      </c>
      <c r="B39" s="145">
        <v>18179.398000000001</v>
      </c>
      <c r="C39" s="145">
        <v>16183.75848</v>
      </c>
      <c r="D39" s="145">
        <v>18631.461960000001</v>
      </c>
      <c r="E39" s="145">
        <v>17567.726609999998</v>
      </c>
      <c r="F39" s="145">
        <v>16064.333329999999</v>
      </c>
      <c r="G39" s="148"/>
    </row>
    <row r="40" spans="1:7" x14ac:dyDescent="0.3">
      <c r="A40" s="84" t="s">
        <v>5</v>
      </c>
      <c r="B40" s="145"/>
      <c r="C40" s="145"/>
      <c r="D40" s="145"/>
      <c r="E40" s="145"/>
      <c r="F40" s="145"/>
    </row>
    <row r="41" spans="1:7" x14ac:dyDescent="0.3">
      <c r="A41" s="84" t="s">
        <v>135</v>
      </c>
      <c r="B41" s="145">
        <v>0</v>
      </c>
      <c r="C41" s="145">
        <v>0</v>
      </c>
      <c r="D41" s="145">
        <v>0</v>
      </c>
      <c r="E41" s="145">
        <v>29.753889999999998</v>
      </c>
      <c r="F41" s="145">
        <v>29.624950000000002</v>
      </c>
      <c r="G41" s="148">
        <f t="shared" ref="G41:G51" si="2">F41/F$52</f>
        <v>7.5848822093046444E-4</v>
      </c>
    </row>
    <row r="42" spans="1:7" x14ac:dyDescent="0.3">
      <c r="A42" s="84" t="s">
        <v>136</v>
      </c>
      <c r="B42" s="145">
        <v>0</v>
      </c>
      <c r="C42" s="145">
        <v>0</v>
      </c>
      <c r="D42" s="145">
        <v>100</v>
      </c>
      <c r="E42" s="145">
        <v>320.08809000000002</v>
      </c>
      <c r="F42" s="145">
        <v>220.04873999999998</v>
      </c>
      <c r="G42" s="148">
        <f t="shared" si="2"/>
        <v>5.6339125406318089E-3</v>
      </c>
    </row>
    <row r="43" spans="1:7" x14ac:dyDescent="0.3">
      <c r="A43" s="84" t="s">
        <v>137</v>
      </c>
      <c r="B43" s="145">
        <v>814.89700000000005</v>
      </c>
      <c r="C43" s="145">
        <v>838.24969999999996</v>
      </c>
      <c r="D43" s="145">
        <v>1507.29683</v>
      </c>
      <c r="E43" s="145">
        <v>1824.3740700000001</v>
      </c>
      <c r="F43" s="145">
        <v>1967.4142899999999</v>
      </c>
      <c r="G43" s="148">
        <f t="shared" si="2"/>
        <v>5.0371749645325065E-2</v>
      </c>
    </row>
    <row r="44" spans="1:7" x14ac:dyDescent="0.3">
      <c r="A44" s="84" t="s">
        <v>73</v>
      </c>
      <c r="B44" s="145">
        <v>13.554</v>
      </c>
      <c r="C44" s="145">
        <v>0</v>
      </c>
      <c r="D44" s="145">
        <v>0</v>
      </c>
      <c r="E44" s="145">
        <v>0</v>
      </c>
      <c r="F44" s="145">
        <v>0</v>
      </c>
      <c r="G44" s="148">
        <f t="shared" si="2"/>
        <v>0</v>
      </c>
    </row>
    <row r="45" spans="1:7" x14ac:dyDescent="0.3">
      <c r="A45" s="84" t="s">
        <v>74</v>
      </c>
      <c r="B45" s="145">
        <v>0</v>
      </c>
      <c r="C45" s="145">
        <v>500.35742999999997</v>
      </c>
      <c r="D45" s="145">
        <v>500.35742999999997</v>
      </c>
      <c r="E45" s="145">
        <v>500.35742999999997</v>
      </c>
      <c r="F45" s="145">
        <v>500.35742999999997</v>
      </c>
      <c r="G45" s="148">
        <f t="shared" si="2"/>
        <v>1.2810661854620492E-2</v>
      </c>
    </row>
    <row r="46" spans="1:7" x14ac:dyDescent="0.3">
      <c r="A46" s="84" t="s">
        <v>6</v>
      </c>
      <c r="B46" s="145">
        <v>16913.288</v>
      </c>
      <c r="C46" s="145">
        <v>17147.932120000001</v>
      </c>
      <c r="D46" s="145">
        <v>17099.008600000001</v>
      </c>
      <c r="E46" s="145">
        <v>17471.160649999998</v>
      </c>
      <c r="F46" s="145">
        <v>18803.698809999998</v>
      </c>
      <c r="G46" s="148">
        <f t="shared" si="2"/>
        <v>0.48143149802140389</v>
      </c>
    </row>
    <row r="47" spans="1:7" x14ac:dyDescent="0.3">
      <c r="A47" s="84" t="s">
        <v>75</v>
      </c>
      <c r="B47" s="145">
        <v>0</v>
      </c>
      <c r="C47" s="145">
        <v>0</v>
      </c>
      <c r="D47" s="145">
        <v>1282.66661</v>
      </c>
      <c r="E47" s="145">
        <v>1231.98775</v>
      </c>
      <c r="F47" s="145">
        <v>1179.45669</v>
      </c>
      <c r="G47" s="148">
        <f t="shared" si="2"/>
        <v>3.0197654560181003E-2</v>
      </c>
    </row>
    <row r="48" spans="1:7" x14ac:dyDescent="0.3">
      <c r="A48" s="84" t="s">
        <v>7</v>
      </c>
      <c r="B48" s="145">
        <v>15.388</v>
      </c>
      <c r="C48" s="145">
        <v>11.527520000000001</v>
      </c>
      <c r="D48" s="145">
        <v>7.4675200000000004</v>
      </c>
      <c r="E48" s="145">
        <v>5.1050600000000008</v>
      </c>
      <c r="F48" s="145">
        <v>2.4433099999999999</v>
      </c>
      <c r="G48" s="148">
        <f t="shared" si="2"/>
        <v>6.255611756582249E-5</v>
      </c>
    </row>
    <row r="49" spans="1:7" x14ac:dyDescent="0.3">
      <c r="A49" s="84" t="s">
        <v>8</v>
      </c>
      <c r="B49" s="145">
        <v>49.862000000000002</v>
      </c>
      <c r="C49" s="145">
        <v>59.869410000000002</v>
      </c>
      <c r="D49" s="145">
        <v>138.37129999999999</v>
      </c>
      <c r="E49" s="145">
        <v>188.92751000000001</v>
      </c>
      <c r="F49" s="145">
        <v>199.83462</v>
      </c>
      <c r="G49" s="148">
        <f t="shared" si="2"/>
        <v>5.1163699990756234E-3</v>
      </c>
    </row>
    <row r="50" spans="1:7" x14ac:dyDescent="0.3">
      <c r="A50" s="84" t="s">
        <v>9</v>
      </c>
      <c r="B50" s="145">
        <v>0</v>
      </c>
      <c r="C50" s="145">
        <v>1278.61023</v>
      </c>
      <c r="D50" s="145">
        <v>7.9728000000000003</v>
      </c>
      <c r="E50" s="145">
        <v>8.7310200000000009</v>
      </c>
      <c r="F50" s="145">
        <v>90.678490000000011</v>
      </c>
      <c r="G50" s="148">
        <f t="shared" si="2"/>
        <v>2.3216432958287157E-3</v>
      </c>
    </row>
    <row r="51" spans="1:7" x14ac:dyDescent="0.3">
      <c r="A51" s="84" t="s">
        <v>10</v>
      </c>
      <c r="B51" s="145">
        <v>17806.989000000001</v>
      </c>
      <c r="C51" s="145">
        <v>19836.546399999999</v>
      </c>
      <c r="D51" s="145">
        <v>20643.141090000001</v>
      </c>
      <c r="E51" s="145">
        <v>21580.48546</v>
      </c>
      <c r="F51" s="145">
        <v>22993.557339999999</v>
      </c>
      <c r="G51" s="148">
        <f t="shared" si="2"/>
        <v>0.5887045345115931</v>
      </c>
    </row>
    <row r="52" spans="1:7" x14ac:dyDescent="0.3">
      <c r="A52" s="1" t="s">
        <v>11</v>
      </c>
      <c r="B52" s="2">
        <v>35986.387000000002</v>
      </c>
      <c r="C52" s="2">
        <v>36020.30487</v>
      </c>
      <c r="D52" s="2">
        <v>39274.603040000002</v>
      </c>
      <c r="E52" s="2">
        <v>39148.212070000001</v>
      </c>
      <c r="F52" s="2">
        <v>39057.890659999997</v>
      </c>
    </row>
    <row r="53" spans="1:7" x14ac:dyDescent="0.3">
      <c r="A53" s="1"/>
      <c r="B53" s="2"/>
      <c r="C53" s="2"/>
      <c r="D53" s="2"/>
      <c r="E53" s="2"/>
      <c r="F53" s="2"/>
    </row>
    <row r="54" spans="1:7" x14ac:dyDescent="0.3">
      <c r="A54" s="84" t="s">
        <v>76</v>
      </c>
      <c r="B54" s="145"/>
      <c r="C54" s="145"/>
      <c r="D54" s="145"/>
      <c r="E54" s="145"/>
      <c r="F54" s="145"/>
    </row>
    <row r="55" spans="1:7" x14ac:dyDescent="0.3">
      <c r="A55" s="84" t="s">
        <v>12</v>
      </c>
      <c r="B55" s="145"/>
      <c r="C55" s="145"/>
      <c r="D55" s="145"/>
      <c r="E55" s="145"/>
      <c r="F55" s="145"/>
    </row>
    <row r="56" spans="1:7" x14ac:dyDescent="0.3">
      <c r="A56" s="84" t="s">
        <v>138</v>
      </c>
      <c r="B56" s="145">
        <v>14219.591</v>
      </c>
      <c r="C56" s="145">
        <v>11192.934369999999</v>
      </c>
      <c r="D56" s="145">
        <v>12066.05486</v>
      </c>
      <c r="E56" s="145">
        <v>9475.4463599999999</v>
      </c>
      <c r="F56" s="145">
        <v>7625.8200800000004</v>
      </c>
    </row>
    <row r="57" spans="1:7" x14ac:dyDescent="0.3">
      <c r="A57" s="84" t="s">
        <v>13</v>
      </c>
      <c r="B57" s="145">
        <v>2471.0419999999999</v>
      </c>
      <c r="C57" s="145">
        <v>2988.1444799999999</v>
      </c>
      <c r="D57" s="145">
        <v>2542.79459</v>
      </c>
      <c r="E57" s="145">
        <v>2310.6202000000003</v>
      </c>
      <c r="F57" s="145">
        <v>3043.4423900000002</v>
      </c>
    </row>
    <row r="58" spans="1:7" x14ac:dyDescent="0.3">
      <c r="A58" s="84" t="s">
        <v>139</v>
      </c>
      <c r="B58" s="145">
        <v>918.76</v>
      </c>
      <c r="C58" s="145">
        <v>0</v>
      </c>
      <c r="D58" s="145">
        <v>0</v>
      </c>
      <c r="E58" s="145">
        <v>0</v>
      </c>
      <c r="F58" s="145">
        <v>0</v>
      </c>
    </row>
    <row r="59" spans="1:7" x14ac:dyDescent="0.3">
      <c r="A59" s="84" t="s">
        <v>77</v>
      </c>
      <c r="B59" s="145">
        <v>943.33299999999997</v>
      </c>
      <c r="C59" s="145">
        <v>883.55332999999996</v>
      </c>
      <c r="D59" s="145">
        <v>1044.6466700000001</v>
      </c>
      <c r="E59" s="145">
        <v>1511.8266699999999</v>
      </c>
      <c r="F59" s="145">
        <v>2195.48333</v>
      </c>
    </row>
    <row r="60" spans="1:7" x14ac:dyDescent="0.3">
      <c r="A60" s="84" t="s">
        <v>14</v>
      </c>
      <c r="B60" s="145">
        <v>0</v>
      </c>
      <c r="C60" s="145">
        <v>14.742190000000001</v>
      </c>
      <c r="D60" s="145">
        <v>17.556279999999997</v>
      </c>
      <c r="E60" s="145">
        <v>18.570080000000001</v>
      </c>
      <c r="F60" s="145">
        <v>23.94265</v>
      </c>
    </row>
    <row r="61" spans="1:7" x14ac:dyDescent="0.3">
      <c r="A61" s="84" t="s">
        <v>15</v>
      </c>
      <c r="B61" s="145">
        <v>224.18600000000001</v>
      </c>
      <c r="C61" s="145">
        <v>176.70549</v>
      </c>
      <c r="D61" s="145">
        <v>328.25834999999995</v>
      </c>
      <c r="E61" s="145">
        <v>308.62515999999999</v>
      </c>
      <c r="F61" s="145">
        <v>231.21660999999997</v>
      </c>
    </row>
    <row r="62" spans="1:7" x14ac:dyDescent="0.3">
      <c r="A62" s="84" t="s">
        <v>16</v>
      </c>
      <c r="B62" s="145">
        <v>46.970999999999997</v>
      </c>
      <c r="C62" s="145">
        <v>5.3519100000000002</v>
      </c>
      <c r="D62" s="145">
        <v>11.790229999999999</v>
      </c>
      <c r="E62" s="145">
        <v>4.2514899999999995</v>
      </c>
      <c r="F62" s="145">
        <v>0.39831</v>
      </c>
    </row>
    <row r="63" spans="1:7" x14ac:dyDescent="0.3">
      <c r="A63" s="84" t="s">
        <v>17</v>
      </c>
      <c r="B63" s="145">
        <v>18823.883000000002</v>
      </c>
      <c r="C63" s="145">
        <v>15261.431779999999</v>
      </c>
      <c r="D63" s="145">
        <v>16011.100990000001</v>
      </c>
      <c r="E63" s="145">
        <v>13629.339960000001</v>
      </c>
      <c r="F63" s="145">
        <v>13120.30337</v>
      </c>
    </row>
    <row r="64" spans="1:7" x14ac:dyDescent="0.3">
      <c r="A64" s="84" t="s">
        <v>18</v>
      </c>
      <c r="B64" s="145"/>
      <c r="C64" s="145"/>
      <c r="D64" s="145"/>
      <c r="E64" s="145"/>
      <c r="F64" s="145"/>
    </row>
    <row r="65" spans="1:6" x14ac:dyDescent="0.3">
      <c r="A65" s="84" t="s">
        <v>78</v>
      </c>
      <c r="B65" s="145">
        <v>833.33299999999997</v>
      </c>
      <c r="C65" s="145">
        <v>2302.77</v>
      </c>
      <c r="D65" s="145">
        <v>2138.79</v>
      </c>
      <c r="E65" s="145">
        <v>2120.3733299999999</v>
      </c>
      <c r="F65" s="145">
        <v>1075</v>
      </c>
    </row>
    <row r="66" spans="1:6" x14ac:dyDescent="0.3">
      <c r="A66" s="84" t="s">
        <v>19</v>
      </c>
      <c r="B66" s="145">
        <v>0</v>
      </c>
      <c r="C66" s="145">
        <v>1080.9946299999999</v>
      </c>
      <c r="D66" s="145">
        <v>1128.7525900000001</v>
      </c>
      <c r="E66" s="145">
        <v>1131.20478</v>
      </c>
      <c r="F66" s="145">
        <v>1111.23235</v>
      </c>
    </row>
    <row r="67" spans="1:6" x14ac:dyDescent="0.3">
      <c r="A67" s="84" t="s">
        <v>20</v>
      </c>
      <c r="B67" s="145">
        <v>115.601</v>
      </c>
      <c r="C67" s="145">
        <v>147.44324</v>
      </c>
      <c r="D67" s="145">
        <v>143.88514999999998</v>
      </c>
      <c r="E67" s="145">
        <v>162.52321000000001</v>
      </c>
      <c r="F67" s="145">
        <v>192.93518</v>
      </c>
    </row>
    <row r="68" spans="1:6" x14ac:dyDescent="0.3">
      <c r="A68" s="84" t="s">
        <v>79</v>
      </c>
      <c r="B68" s="145">
        <v>10.403</v>
      </c>
      <c r="C68" s="145">
        <v>8.2721700000000009</v>
      </c>
      <c r="D68" s="145">
        <v>10.570639999999999</v>
      </c>
      <c r="E68" s="145">
        <v>7.6759700000000004</v>
      </c>
      <c r="F68" s="145">
        <v>5.4432700000000001</v>
      </c>
    </row>
    <row r="69" spans="1:6" x14ac:dyDescent="0.3">
      <c r="A69" s="84" t="s">
        <v>140</v>
      </c>
      <c r="B69" s="145">
        <v>72.248999999999995</v>
      </c>
      <c r="C69" s="145">
        <v>5.55</v>
      </c>
      <c r="D69" s="145">
        <v>5.4502600000000001</v>
      </c>
      <c r="E69" s="145">
        <v>6.0030000000000001</v>
      </c>
      <c r="F69" s="145">
        <v>5.7700699999999996</v>
      </c>
    </row>
    <row r="70" spans="1:6" x14ac:dyDescent="0.3">
      <c r="A70" s="84" t="s">
        <v>21</v>
      </c>
      <c r="B70" s="145">
        <v>1031.586</v>
      </c>
      <c r="C70" s="145">
        <v>3545.0300400000001</v>
      </c>
      <c r="D70" s="145">
        <v>3427.4486400000001</v>
      </c>
      <c r="E70" s="145">
        <v>3427.7802900000002</v>
      </c>
      <c r="F70" s="145">
        <v>2390.3808599999998</v>
      </c>
    </row>
    <row r="71" spans="1:6" x14ac:dyDescent="0.3">
      <c r="A71" s="1" t="s">
        <v>22</v>
      </c>
      <c r="B71" s="2">
        <v>19855.469000000001</v>
      </c>
      <c r="C71" s="2">
        <v>18806.46182</v>
      </c>
      <c r="D71" s="2">
        <v>19438.549629999998</v>
      </c>
      <c r="E71" s="2">
        <v>17057.12025</v>
      </c>
      <c r="F71" s="2">
        <v>15510.684230000001</v>
      </c>
    </row>
    <row r="72" spans="1:6" x14ac:dyDescent="0.3">
      <c r="A72" s="84" t="s">
        <v>23</v>
      </c>
      <c r="B72" s="145"/>
      <c r="C72" s="145"/>
      <c r="D72" s="145"/>
      <c r="E72" s="145"/>
      <c r="F72" s="145"/>
    </row>
    <row r="73" spans="1:6" x14ac:dyDescent="0.3">
      <c r="A73" s="84" t="s">
        <v>80</v>
      </c>
      <c r="B73" s="145">
        <v>4201.5429999999997</v>
      </c>
      <c r="C73" s="145">
        <v>4401.6139599999997</v>
      </c>
      <c r="D73" s="145">
        <v>4601.6831500000008</v>
      </c>
      <c r="E73" s="145">
        <v>4801.7438099999999</v>
      </c>
      <c r="F73" s="145">
        <v>5001.8090999999995</v>
      </c>
    </row>
    <row r="74" spans="1:6" x14ac:dyDescent="0.3">
      <c r="A74" s="84" t="s">
        <v>24</v>
      </c>
      <c r="B74" s="145">
        <v>4201.5410000000002</v>
      </c>
      <c r="C74" s="145">
        <v>4401.6099699999995</v>
      </c>
      <c r="D74" s="145">
        <v>4601.6711500000001</v>
      </c>
      <c r="E74" s="145">
        <v>4801.7367300000005</v>
      </c>
      <c r="F74" s="145">
        <v>5001.8028600000007</v>
      </c>
    </row>
    <row r="75" spans="1:6" x14ac:dyDescent="0.3">
      <c r="A75" s="84" t="s">
        <v>25</v>
      </c>
      <c r="B75" s="145">
        <v>4739.2960000000003</v>
      </c>
      <c r="C75" s="145">
        <v>4739.29583</v>
      </c>
      <c r="D75" s="145">
        <v>4739.29583</v>
      </c>
      <c r="E75" s="145">
        <v>4739.29583</v>
      </c>
      <c r="F75" s="145">
        <v>4739.29583</v>
      </c>
    </row>
    <row r="76" spans="1:6" x14ac:dyDescent="0.3">
      <c r="A76" s="84" t="s">
        <v>26</v>
      </c>
      <c r="B76" s="145">
        <v>6991.91</v>
      </c>
      <c r="C76" s="145">
        <v>7845.1945300000007</v>
      </c>
      <c r="D76" s="145">
        <v>10174.213519999999</v>
      </c>
      <c r="E76" s="145">
        <v>12289.614109999999</v>
      </c>
      <c r="F76" s="145">
        <v>13538.307199999999</v>
      </c>
    </row>
    <row r="77" spans="1:6" x14ac:dyDescent="0.3">
      <c r="A77" s="84" t="s">
        <v>81</v>
      </c>
      <c r="B77" s="145">
        <v>-20.608000000000001</v>
      </c>
      <c r="C77" s="145">
        <v>-4.9180299999999999</v>
      </c>
      <c r="D77" s="145">
        <v>45.667370000000005</v>
      </c>
      <c r="E77" s="145">
        <v>-43.106319999999997</v>
      </c>
      <c r="F77" s="145">
        <v>-40.204889999999999</v>
      </c>
    </row>
    <row r="78" spans="1:6" x14ac:dyDescent="0.3">
      <c r="A78" s="84" t="s">
        <v>82</v>
      </c>
      <c r="B78" s="145">
        <v>15912.138999999999</v>
      </c>
      <c r="C78" s="145">
        <v>16981.1823</v>
      </c>
      <c r="D78" s="145">
        <v>19560.847870000001</v>
      </c>
      <c r="E78" s="145">
        <v>21787.54034</v>
      </c>
      <c r="F78" s="145">
        <v>23239.201000000001</v>
      </c>
    </row>
    <row r="79" spans="1:6" x14ac:dyDescent="0.3">
      <c r="A79" s="84" t="s">
        <v>83</v>
      </c>
      <c r="B79" s="145">
        <v>218.779</v>
      </c>
      <c r="C79" s="145">
        <v>232.66075000000001</v>
      </c>
      <c r="D79" s="145">
        <v>275.20555000000002</v>
      </c>
      <c r="E79" s="145">
        <v>303.55147999999997</v>
      </c>
      <c r="F79" s="145">
        <v>308.00541999999996</v>
      </c>
    </row>
    <row r="80" spans="1:6" x14ac:dyDescent="0.3">
      <c r="A80" s="1" t="s">
        <v>84</v>
      </c>
      <c r="B80" s="2">
        <v>16130.918</v>
      </c>
      <c r="C80" s="2">
        <v>17213.843049999999</v>
      </c>
      <c r="D80" s="2">
        <v>19836.05342</v>
      </c>
      <c r="E80" s="2">
        <v>22091.091820000001</v>
      </c>
      <c r="F80" s="2">
        <v>23547.206429999998</v>
      </c>
    </row>
    <row r="81" spans="1:14" x14ac:dyDescent="0.3">
      <c r="A81" s="1" t="s">
        <v>27</v>
      </c>
      <c r="B81" s="2">
        <v>35986.387000000002</v>
      </c>
      <c r="C81" s="2">
        <v>36020.30487</v>
      </c>
      <c r="D81" s="2">
        <v>39274.603040000002</v>
      </c>
      <c r="E81" s="2">
        <v>39148.212070000001</v>
      </c>
      <c r="F81" s="2">
        <v>39057.890659999997</v>
      </c>
    </row>
    <row r="84" spans="1:14" x14ac:dyDescent="0.3">
      <c r="A84" s="146"/>
      <c r="B84" s="146"/>
      <c r="C84" s="146"/>
      <c r="D84" s="146"/>
      <c r="E84" s="146"/>
      <c r="F84" s="146"/>
    </row>
    <row r="85" spans="1:14" x14ac:dyDescent="0.3">
      <c r="B85" s="107"/>
      <c r="C85" s="107"/>
      <c r="D85" s="107"/>
      <c r="E85" s="107"/>
      <c r="F85" s="107"/>
    </row>
    <row r="86" spans="1:14" x14ac:dyDescent="0.3">
      <c r="A86" s="84" t="s">
        <v>208</v>
      </c>
      <c r="B86" s="145">
        <f>7%*AVERAGE(A110:B110)</f>
        <v>1185.0073200000002</v>
      </c>
      <c r="C86" s="145">
        <f t="shared" ref="C86:F86" si="3">7%*AVERAGE(B110:C110)</f>
        <v>1193.0847474000002</v>
      </c>
      <c r="D86" s="145">
        <f t="shared" si="3"/>
        <v>1244.2010829500002</v>
      </c>
      <c r="E86" s="145">
        <f t="shared" si="3"/>
        <v>1298.4088666500002</v>
      </c>
      <c r="F86" s="145">
        <f t="shared" si="3"/>
        <v>1354.28482945</v>
      </c>
    </row>
    <row r="87" spans="1:14" x14ac:dyDescent="0.3">
      <c r="A87" s="84" t="s">
        <v>175</v>
      </c>
      <c r="B87" s="107"/>
      <c r="C87" s="147">
        <f>C110-B110+C86</f>
        <v>1423.8683874000017</v>
      </c>
      <c r="D87" s="164">
        <f t="shared" ref="D87:F87" si="4">D110-C110+D86</f>
        <v>2473.8841729499991</v>
      </c>
      <c r="E87" s="147">
        <f t="shared" si="4"/>
        <v>1617.5195966500005</v>
      </c>
      <c r="F87" s="147">
        <f t="shared" si="4"/>
        <v>2631.6301794499959</v>
      </c>
    </row>
    <row r="88" spans="1:14" x14ac:dyDescent="0.3">
      <c r="A88" s="84" t="s">
        <v>209</v>
      </c>
      <c r="B88" s="148">
        <f>B27/(B27+B28)</f>
        <v>0.18902756668796958</v>
      </c>
      <c r="C88" s="148">
        <f t="shared" ref="C88:F88" si="5">C27/(C27+C28)</f>
        <v>0.18713062022920871</v>
      </c>
      <c r="D88" s="148">
        <f t="shared" si="5"/>
        <v>0.18910154530246007</v>
      </c>
      <c r="E88" s="148">
        <f t="shared" si="5"/>
        <v>0.19037160889844218</v>
      </c>
      <c r="F88" s="148">
        <f t="shared" si="5"/>
        <v>0.18799735200392512</v>
      </c>
    </row>
    <row r="91" spans="1:14" x14ac:dyDescent="0.3">
      <c r="A91" s="24" t="s">
        <v>28</v>
      </c>
      <c r="B91" s="25">
        <v>2019</v>
      </c>
      <c r="C91" s="25">
        <v>2020</v>
      </c>
      <c r="D91" s="25">
        <v>2021</v>
      </c>
      <c r="E91" s="25">
        <v>2022</v>
      </c>
      <c r="F91" s="25">
        <v>2023</v>
      </c>
      <c r="H91" s="84" t="s">
        <v>229</v>
      </c>
    </row>
    <row r="92" spans="1:14" x14ac:dyDescent="0.3">
      <c r="A92" s="139" t="s">
        <v>29</v>
      </c>
      <c r="B92" s="149"/>
      <c r="C92" s="150">
        <f>C8/B8-1</f>
        <v>-4.7920123369253886E-2</v>
      </c>
      <c r="D92" s="150">
        <f t="shared" ref="D92:F92" si="6">D8/C8-1</f>
        <v>0.24940423938942957</v>
      </c>
      <c r="E92" s="150">
        <f t="shared" si="6"/>
        <v>5.4892331654637472E-2</v>
      </c>
      <c r="F92" s="150">
        <f t="shared" si="6"/>
        <v>-8.4087877536887068E-2</v>
      </c>
    </row>
    <row r="93" spans="1:14" x14ac:dyDescent="0.3">
      <c r="A93" s="139" t="s">
        <v>30</v>
      </c>
      <c r="B93" s="150">
        <f>(B8-B16)/B8</f>
        <v>0.21091520225127161</v>
      </c>
      <c r="C93" s="150">
        <f t="shared" ref="C93:F93" si="7">(C8-C16)/C8</f>
        <v>0.24174065126554276</v>
      </c>
      <c r="D93" s="150">
        <f t="shared" si="7"/>
        <v>0.25429745411951205</v>
      </c>
      <c r="E93" s="150">
        <f t="shared" si="7"/>
        <v>0.26211107441155546</v>
      </c>
      <c r="F93" s="150">
        <f t="shared" si="7"/>
        <v>0.25982288495732536</v>
      </c>
      <c r="H93" s="95">
        <f>AVERAGE(B93:F93)</f>
        <v>0.24577745340104143</v>
      </c>
    </row>
    <row r="94" spans="1:14" x14ac:dyDescent="0.3">
      <c r="A94" s="140" t="s">
        <v>212</v>
      </c>
      <c r="B94" s="150"/>
      <c r="C94" s="150">
        <f>C16/B16-1</f>
        <v>-8.511294444288986E-2</v>
      </c>
      <c r="D94" s="150">
        <f t="shared" ref="D94:F94" si="8">D16/C16-1</f>
        <v>0.22871405898465014</v>
      </c>
      <c r="E94" s="150">
        <f t="shared" si="8"/>
        <v>4.3838959000792821E-2</v>
      </c>
      <c r="F94" s="150">
        <f t="shared" si="8"/>
        <v>-8.1247639139285011E-2</v>
      </c>
    </row>
    <row r="95" spans="1:14" x14ac:dyDescent="0.3">
      <c r="A95" s="139" t="s">
        <v>31</v>
      </c>
      <c r="B95" s="150">
        <f>(B8-B16-B17)/B8</f>
        <v>0.10380410590819728</v>
      </c>
      <c r="C95" s="150">
        <f t="shared" ref="C95:F95" si="9">(C8-C16-C17)/C8</f>
        <v>8.4405052913488696E-2</v>
      </c>
      <c r="D95" s="150">
        <f t="shared" si="9"/>
        <v>0.11132594089306566</v>
      </c>
      <c r="E95" s="150">
        <f t="shared" si="9"/>
        <v>0.1095559085404038</v>
      </c>
      <c r="F95" s="150">
        <f t="shared" si="9"/>
        <v>8.9748006863612589E-2</v>
      </c>
      <c r="H95" s="95">
        <f>AVERAGE(B95:F95)</f>
        <v>9.9767803023753612E-2</v>
      </c>
    </row>
    <row r="96" spans="1:14" ht="15.75" customHeight="1" x14ac:dyDescent="0.3">
      <c r="A96" s="140" t="s">
        <v>210</v>
      </c>
      <c r="B96" s="148">
        <f>B17/B8</f>
        <v>0.10711109634307434</v>
      </c>
      <c r="C96" s="148">
        <f t="shared" ref="C96:F96" si="10">C17/C8</f>
        <v>0.15733559835205407</v>
      </c>
      <c r="D96" s="148">
        <f t="shared" si="10"/>
        <v>0.14297151322644641</v>
      </c>
      <c r="E96" s="148">
        <f t="shared" si="10"/>
        <v>0.15255516587115167</v>
      </c>
      <c r="F96" s="148">
        <f t="shared" si="10"/>
        <v>0.17007487809371274</v>
      </c>
      <c r="G96" s="148"/>
      <c r="H96" s="148"/>
      <c r="I96" s="148"/>
      <c r="J96" s="151"/>
      <c r="L96" s="94"/>
      <c r="M96" s="94"/>
      <c r="N96" s="92"/>
    </row>
    <row r="97" spans="1:14" ht="15.75" customHeight="1" x14ac:dyDescent="0.3">
      <c r="A97" s="140" t="s">
        <v>211</v>
      </c>
      <c r="B97" s="148"/>
      <c r="C97" s="148">
        <f>C17/B17-1</f>
        <v>0.39851109906349014</v>
      </c>
      <c r="D97" s="148">
        <f t="shared" ref="D97:F97" si="11">D17/C17-1</f>
        <v>0.1353388337288004</v>
      </c>
      <c r="E97" s="148">
        <f t="shared" si="11"/>
        <v>0.1256037723884913</v>
      </c>
      <c r="F97" s="148">
        <f t="shared" si="11"/>
        <v>2.10971335053598E-2</v>
      </c>
      <c r="G97" s="148"/>
      <c r="H97" s="148"/>
      <c r="I97" s="148"/>
      <c r="J97" s="151"/>
      <c r="L97" s="94"/>
      <c r="M97" s="94"/>
      <c r="N97" s="92"/>
    </row>
    <row r="98" spans="1:14" x14ac:dyDescent="0.3">
      <c r="A98" s="139"/>
    </row>
    <row r="99" spans="1:14" x14ac:dyDescent="0.3">
      <c r="A99" s="139" t="s">
        <v>32</v>
      </c>
      <c r="B99" s="152">
        <f>B8/AVERAGE(A52:B52)</f>
        <v>0.78527552654841393</v>
      </c>
      <c r="C99" s="152">
        <f t="shared" ref="C99:F99" si="12">C8/AVERAGE(B52:C52)</f>
        <v>0.74729285740758744</v>
      </c>
      <c r="D99" s="152">
        <f t="shared" si="12"/>
        <v>0.89289637355504403</v>
      </c>
      <c r="E99" s="152">
        <f t="shared" si="12"/>
        <v>0.90434131675230556</v>
      </c>
      <c r="F99" s="152">
        <f t="shared" si="12"/>
        <v>0.83059242095543306</v>
      </c>
      <c r="G99" s="151" t="s">
        <v>213</v>
      </c>
    </row>
    <row r="100" spans="1:14" x14ac:dyDescent="0.3">
      <c r="A100" s="141" t="s">
        <v>45</v>
      </c>
      <c r="B100" s="149">
        <f>365*AVERAGE(A36:B36)/B8</f>
        <v>3.4787412282196382</v>
      </c>
      <c r="C100" s="149">
        <f t="shared" ref="C100:F100" si="13">365*AVERAGE(B36:C36)/C8</f>
        <v>6.3428788787236465</v>
      </c>
      <c r="D100" s="149">
        <f t="shared" si="13"/>
        <v>7.2737234486372762</v>
      </c>
      <c r="E100" s="149">
        <f t="shared" si="13"/>
        <v>6.7182923316441352</v>
      </c>
      <c r="F100" s="149">
        <f t="shared" si="13"/>
        <v>7.8007579643409422</v>
      </c>
      <c r="G100" s="151" t="s">
        <v>214</v>
      </c>
    </row>
    <row r="101" spans="1:14" x14ac:dyDescent="0.3">
      <c r="A101" s="141" t="s">
        <v>46</v>
      </c>
      <c r="B101" s="149">
        <f>365*AVERAGE(A37:B37/B16)</f>
        <v>255.39009207079371</v>
      </c>
      <c r="C101" s="149">
        <f t="shared" ref="C101:F101" si="14">365*AVERAGE(B37:C37/C16)</f>
        <v>255.6162751381089</v>
      </c>
      <c r="D101" s="149">
        <f t="shared" si="14"/>
        <v>235.67852399202278</v>
      </c>
      <c r="E101" s="149">
        <f t="shared" si="14"/>
        <v>219.6606128648568</v>
      </c>
      <c r="F101" s="149">
        <f t="shared" si="14"/>
        <v>213.14507445329096</v>
      </c>
      <c r="G101" s="151" t="s">
        <v>215</v>
      </c>
    </row>
    <row r="102" spans="1:14" ht="15.75" customHeight="1" x14ac:dyDescent="0.3">
      <c r="A102" s="143" t="s">
        <v>216</v>
      </c>
      <c r="B102" s="153">
        <f>B16/AVERAGE(A37:B37)</f>
        <v>1.4291862187779101</v>
      </c>
      <c r="C102" s="153">
        <f t="shared" ref="C102:F102" si="15">C16/AVERAGE(B37:C37)</f>
        <v>1.3650840996984852</v>
      </c>
      <c r="D102" s="153">
        <f t="shared" si="15"/>
        <v>1.6452034067608206</v>
      </c>
      <c r="E102" s="153">
        <f t="shared" si="15"/>
        <v>1.6388247809175649</v>
      </c>
      <c r="F102" s="153">
        <f t="shared" si="15"/>
        <v>1.614219847721353</v>
      </c>
      <c r="G102" s="154"/>
      <c r="H102" s="155"/>
      <c r="I102" s="155"/>
      <c r="J102" s="151"/>
    </row>
    <row r="103" spans="1:14" x14ac:dyDescent="0.3">
      <c r="A103" s="141" t="s">
        <v>47</v>
      </c>
      <c r="B103" s="149">
        <f>365*AVERAGE(A57:B57)/B16</f>
        <v>40.447250648102901</v>
      </c>
      <c r="C103" s="149">
        <f t="shared" ref="C103:F103" si="16">365*AVERAGE(B57:C57)/C16</f>
        <v>48.835915115688898</v>
      </c>
      <c r="D103" s="149">
        <f t="shared" si="16"/>
        <v>40.267943195641521</v>
      </c>
      <c r="E103" s="149">
        <f t="shared" si="16"/>
        <v>33.851232090375923</v>
      </c>
      <c r="F103" s="149">
        <f t="shared" si="16"/>
        <v>40.645460371727808</v>
      </c>
      <c r="G103" s="151" t="s">
        <v>217</v>
      </c>
    </row>
    <row r="104" spans="1:14" x14ac:dyDescent="0.3">
      <c r="A104" s="143" t="s">
        <v>218</v>
      </c>
      <c r="B104" s="153">
        <f>B16/AVERAGE(A57:B57)</f>
        <v>9.0240991452188997</v>
      </c>
      <c r="C104" s="153">
        <f t="shared" ref="C104:F104" si="17">C16/AVERAGE(B57:C57)</f>
        <v>7.4740075851008481</v>
      </c>
      <c r="D104" s="153">
        <f t="shared" si="17"/>
        <v>9.0642821816512971</v>
      </c>
      <c r="E104" s="153">
        <f t="shared" si="17"/>
        <v>10.782473117242056</v>
      </c>
      <c r="F104" s="153">
        <f t="shared" si="17"/>
        <v>8.980092651475708</v>
      </c>
      <c r="G104" s="151"/>
    </row>
    <row r="105" spans="1:14" x14ac:dyDescent="0.3">
      <c r="A105" s="139" t="s">
        <v>33</v>
      </c>
      <c r="B105" s="149">
        <f>B100+B101-B103</f>
        <v>218.42158265091047</v>
      </c>
      <c r="C105" s="149">
        <f t="shared" ref="C105:F105" si="18">C100+C101-C103</f>
        <v>213.12323890114365</v>
      </c>
      <c r="D105" s="149">
        <f t="shared" si="18"/>
        <v>202.68430424501852</v>
      </c>
      <c r="E105" s="149">
        <f t="shared" si="18"/>
        <v>192.52767310612501</v>
      </c>
      <c r="F105" s="149">
        <f t="shared" si="18"/>
        <v>180.30037204590408</v>
      </c>
      <c r="H105" s="103">
        <f>AVERAGE(B105:F105)</f>
        <v>201.41143418982034</v>
      </c>
    </row>
    <row r="106" spans="1:14" x14ac:dyDescent="0.3">
      <c r="A106" s="139"/>
      <c r="B106" s="149"/>
      <c r="C106" s="149"/>
      <c r="D106" s="149"/>
      <c r="E106" s="149"/>
      <c r="F106" s="149"/>
    </row>
    <row r="107" spans="1:14" x14ac:dyDescent="0.3">
      <c r="A107" s="139" t="s">
        <v>99</v>
      </c>
      <c r="B107" s="149">
        <f>(B8-B16-B17)*(1-B88)</f>
        <v>2378.9259992159091</v>
      </c>
      <c r="C107" s="149">
        <f t="shared" ref="C107:F107" si="19">(C8-C16-C17)*(1-C88)</f>
        <v>1845.962632500095</v>
      </c>
      <c r="D107" s="149">
        <f t="shared" si="19"/>
        <v>3034.5864693055787</v>
      </c>
      <c r="E107" s="149">
        <f t="shared" si="19"/>
        <v>3145.3308825449212</v>
      </c>
      <c r="F107" s="149">
        <f t="shared" si="19"/>
        <v>2366.905235679576</v>
      </c>
    </row>
    <row r="108" spans="1:14" x14ac:dyDescent="0.3">
      <c r="A108" s="144" t="s">
        <v>219</v>
      </c>
      <c r="B108" s="156">
        <f>B107/B8</f>
        <v>8.4182268356150447E-2</v>
      </c>
      <c r="C108" s="156">
        <f t="shared" ref="C108:F108" si="20">C107/C8</f>
        <v>6.8610283011308379E-2</v>
      </c>
      <c r="D108" s="156">
        <f t="shared" si="20"/>
        <v>9.0274033437936621E-2</v>
      </c>
      <c r="E108" s="156">
        <f t="shared" si="20"/>
        <v>8.8699573967236545E-2</v>
      </c>
      <c r="F108" s="156">
        <f t="shared" si="20"/>
        <v>7.2875619225623328E-2</v>
      </c>
    </row>
    <row r="109" spans="1:14" x14ac:dyDescent="0.3">
      <c r="A109" s="139" t="s">
        <v>34</v>
      </c>
      <c r="B109" s="149">
        <f>B36+B37-B57</f>
        <v>13400.826000000001</v>
      </c>
      <c r="C109" s="149">
        <f t="shared" ref="C109:F109" si="21">C36+C37-C57</f>
        <v>11964.820159999999</v>
      </c>
      <c r="D109" s="149">
        <f t="shared" si="21"/>
        <v>14316.834960000002</v>
      </c>
      <c r="E109" s="149">
        <f t="shared" si="21"/>
        <v>14067.667649999999</v>
      </c>
      <c r="F109" s="149">
        <f t="shared" si="21"/>
        <v>11751.807860000001</v>
      </c>
      <c r="G109" s="151" t="s">
        <v>220</v>
      </c>
    </row>
    <row r="110" spans="1:14" x14ac:dyDescent="0.3">
      <c r="A110" s="139" t="s">
        <v>35</v>
      </c>
      <c r="B110" s="149">
        <f>SUM(B46,B47,B48)</f>
        <v>16928.675999999999</v>
      </c>
      <c r="C110" s="149">
        <f t="shared" ref="C110:F110" si="22">SUM(C46,C47,C48)</f>
        <v>17159.459640000001</v>
      </c>
      <c r="D110" s="149">
        <f t="shared" si="22"/>
        <v>18389.14273</v>
      </c>
      <c r="E110" s="149">
        <f t="shared" si="22"/>
        <v>18708.25346</v>
      </c>
      <c r="F110" s="149">
        <f t="shared" si="22"/>
        <v>19985.598809999996</v>
      </c>
      <c r="G110" s="151" t="s">
        <v>221</v>
      </c>
    </row>
    <row r="111" spans="1:14" x14ac:dyDescent="0.3">
      <c r="A111" s="157" t="s">
        <v>222</v>
      </c>
      <c r="B111" s="149"/>
      <c r="C111" s="150">
        <f>C110/B110-1</f>
        <v>1.3632704648609328E-2</v>
      </c>
      <c r="D111" s="150">
        <f t="shared" ref="D111:F111" si="23">D110/C110-1</f>
        <v>7.1662110334378637E-2</v>
      </c>
      <c r="E111" s="150">
        <f t="shared" si="23"/>
        <v>1.7353214050560561E-2</v>
      </c>
      <c r="F111" s="150">
        <f t="shared" si="23"/>
        <v>6.827710308346413E-2</v>
      </c>
      <c r="G111" s="151"/>
    </row>
    <row r="112" spans="1:14" x14ac:dyDescent="0.3">
      <c r="A112" s="139" t="s">
        <v>100</v>
      </c>
      <c r="B112" s="149">
        <f>B109+B110</f>
        <v>30329.502</v>
      </c>
      <c r="C112" s="149">
        <f t="shared" ref="C112:F112" si="24">C109+C110</f>
        <v>29124.2798</v>
      </c>
      <c r="D112" s="149">
        <f t="shared" si="24"/>
        <v>32705.97769</v>
      </c>
      <c r="E112" s="149">
        <f t="shared" si="24"/>
        <v>32775.921109999996</v>
      </c>
      <c r="F112" s="149">
        <f t="shared" si="24"/>
        <v>31737.406669999997</v>
      </c>
      <c r="G112" s="151" t="s">
        <v>224</v>
      </c>
    </row>
    <row r="113" spans="1:7" x14ac:dyDescent="0.3">
      <c r="A113" s="157" t="s">
        <v>223</v>
      </c>
      <c r="B113" s="152">
        <f>B8/AVERAGE(A112:B112)</f>
        <v>0.9317406200734849</v>
      </c>
      <c r="C113" s="152">
        <f t="shared" ref="C113:F113" si="25">C8/AVERAGE(B112:C112)</f>
        <v>0.90507424239243273</v>
      </c>
      <c r="D113" s="152">
        <f t="shared" si="25"/>
        <v>1.0873406152460776</v>
      </c>
      <c r="E113" s="152">
        <f t="shared" si="25"/>
        <v>1.0830625436903183</v>
      </c>
      <c r="F113" s="152">
        <f t="shared" si="25"/>
        <v>1.0068833593814033</v>
      </c>
    </row>
    <row r="114" spans="1:7" x14ac:dyDescent="0.3">
      <c r="A114" s="139" t="s">
        <v>36</v>
      </c>
      <c r="B114" s="158">
        <f>B107/AVERAGE(A112:B112)</f>
        <v>7.8436038917352124E-2</v>
      </c>
      <c r="C114" s="158">
        <f t="shared" ref="C114:F114" si="26">C107/AVERAGE(B112:C112)</f>
        <v>6.2097399916790322E-2</v>
      </c>
      <c r="D114" s="158">
        <f t="shared" si="26"/>
        <v>9.815862305915099E-2</v>
      </c>
      <c r="E114" s="158">
        <f t="shared" si="26"/>
        <v>9.6067186205202756E-2</v>
      </c>
      <c r="F114" s="158">
        <f t="shared" si="26"/>
        <v>7.3377248302895604E-2</v>
      </c>
      <c r="G114" s="151" t="s">
        <v>225</v>
      </c>
    </row>
    <row r="115" spans="1:7" x14ac:dyDescent="0.3">
      <c r="A115" s="139"/>
    </row>
    <row r="116" spans="1:7" x14ac:dyDescent="0.3">
      <c r="A116" s="139" t="s">
        <v>37</v>
      </c>
      <c r="B116" s="159"/>
      <c r="C116" s="159">
        <f>-(C109-B109)</f>
        <v>1436.0058400000016</v>
      </c>
      <c r="D116" s="159">
        <f>-(D109-C109)</f>
        <v>-2352.0148000000027</v>
      </c>
      <c r="E116" s="159">
        <f t="shared" ref="E116:F116" si="27">-(E109-D109)</f>
        <v>249.16731000000254</v>
      </c>
      <c r="F116" s="159">
        <f t="shared" si="27"/>
        <v>2315.8597899999986</v>
      </c>
    </row>
    <row r="117" spans="1:7" x14ac:dyDescent="0.3">
      <c r="A117" s="139" t="s">
        <v>38</v>
      </c>
      <c r="B117" s="149">
        <f>(B8-B16-B17)</f>
        <v>2933.4239999999995</v>
      </c>
      <c r="C117" s="149">
        <f t="shared" ref="C117:F117" si="28">(C8-C16-C17)</f>
        <v>2270.9216000000024</v>
      </c>
      <c r="D117" s="149">
        <f t="shared" si="28"/>
        <v>3742.2521300000017</v>
      </c>
      <c r="E117" s="149">
        <f t="shared" si="28"/>
        <v>3884.9068500000003</v>
      </c>
      <c r="F117" s="149">
        <f t="shared" si="28"/>
        <v>2914.8984200000014</v>
      </c>
    </row>
    <row r="118" spans="1:7" x14ac:dyDescent="0.3">
      <c r="A118" s="139" t="s">
        <v>39</v>
      </c>
      <c r="B118" s="149"/>
      <c r="C118" s="149">
        <f>(C8-C16-C17)*(1-C88)+C86+C116</f>
        <v>4475.0532199000972</v>
      </c>
      <c r="D118" s="149">
        <f t="shared" ref="D118:F118" si="29">(D8-D16-D17)*(1-D88)+D86+D116</f>
        <v>1926.7727522555761</v>
      </c>
      <c r="E118" s="149">
        <f t="shared" si="29"/>
        <v>4692.9070591949239</v>
      </c>
      <c r="F118" s="149">
        <f t="shared" si="29"/>
        <v>6037.049855129575</v>
      </c>
      <c r="G118" s="151" t="s">
        <v>226</v>
      </c>
    </row>
    <row r="119" spans="1:7" x14ac:dyDescent="0.3">
      <c r="A119" s="139" t="s">
        <v>40</v>
      </c>
      <c r="B119" s="149"/>
      <c r="C119" s="149">
        <f>C118-C87</f>
        <v>3051.1848325000956</v>
      </c>
      <c r="D119" s="149">
        <f t="shared" ref="D119:F119" si="30">D118-D87</f>
        <v>-547.11142069442303</v>
      </c>
      <c r="E119" s="149">
        <f t="shared" si="30"/>
        <v>3075.3874625449234</v>
      </c>
      <c r="F119" s="149">
        <f t="shared" si="30"/>
        <v>3405.4196756795791</v>
      </c>
      <c r="G119" s="151" t="s">
        <v>227</v>
      </c>
    </row>
    <row r="120" spans="1:7" x14ac:dyDescent="0.3">
      <c r="A120" s="139"/>
    </row>
    <row r="121" spans="1:7" x14ac:dyDescent="0.3">
      <c r="A121" s="139" t="s">
        <v>41</v>
      </c>
      <c r="B121" s="159">
        <f>SUM(B56,B59,B60,B65,B66)</f>
        <v>15996.257000000001</v>
      </c>
      <c r="C121" s="159">
        <f t="shared" ref="C121:F121" si="31">SUM(C56,C59,C60,C65,C66)</f>
        <v>15474.99452</v>
      </c>
      <c r="D121" s="159">
        <f t="shared" si="31"/>
        <v>16395.8004</v>
      </c>
      <c r="E121" s="159">
        <f t="shared" si="31"/>
        <v>14257.42122</v>
      </c>
      <c r="F121" s="159">
        <f t="shared" si="31"/>
        <v>12031.478410000002</v>
      </c>
    </row>
    <row r="122" spans="1:7" x14ac:dyDescent="0.3">
      <c r="A122" s="139" t="s">
        <v>42</v>
      </c>
      <c r="B122" s="159">
        <f>B121-B34</f>
        <v>14696.986000000001</v>
      </c>
      <c r="C122" s="159">
        <f t="shared" ref="C122:F122" si="32">C121-C34</f>
        <v>14250.705320000001</v>
      </c>
      <c r="D122" s="159">
        <f t="shared" si="32"/>
        <v>14701.68526</v>
      </c>
      <c r="E122" s="159">
        <f t="shared" si="32"/>
        <v>13109.981739999999</v>
      </c>
      <c r="F122" s="159">
        <f t="shared" si="32"/>
        <v>10978.774280000001</v>
      </c>
    </row>
    <row r="123" spans="1:7" x14ac:dyDescent="0.3">
      <c r="A123" s="157" t="s">
        <v>228</v>
      </c>
      <c r="B123" s="159"/>
      <c r="C123" s="162">
        <f>C122/B122-1</f>
        <v>-3.0365455883267445E-2</v>
      </c>
      <c r="D123" s="162">
        <f t="shared" ref="D123:F123" si="33">D122/C122-1</f>
        <v>3.1646148725500423E-2</v>
      </c>
      <c r="E123" s="162">
        <f t="shared" si="33"/>
        <v>-0.10826673893847194</v>
      </c>
      <c r="F123" s="162">
        <f t="shared" si="33"/>
        <v>-0.16256372451667489</v>
      </c>
    </row>
    <row r="124" spans="1:7" x14ac:dyDescent="0.3">
      <c r="A124" s="139" t="s">
        <v>43</v>
      </c>
      <c r="B124" s="160">
        <f>B35/B52</f>
        <v>0</v>
      </c>
      <c r="C124" s="160">
        <f t="shared" ref="C124:F124" si="34">C35/C52</f>
        <v>0</v>
      </c>
      <c r="D124" s="160">
        <f t="shared" si="34"/>
        <v>1.9788171995232468E-3</v>
      </c>
      <c r="E124" s="160">
        <f t="shared" si="34"/>
        <v>1.0722132066962619E-3</v>
      </c>
      <c r="F124" s="160">
        <f t="shared" si="34"/>
        <v>5.5377980312058149E-3</v>
      </c>
    </row>
    <row r="125" spans="1:7" ht="16.2" thickBot="1" x14ac:dyDescent="0.35">
      <c r="A125" s="142" t="s">
        <v>44</v>
      </c>
      <c r="B125" s="161">
        <f>B122/B80</f>
        <v>0.9111066090596952</v>
      </c>
      <c r="C125" s="161">
        <f t="shared" ref="C125:F125" si="35">C122/C80</f>
        <v>0.82786309126944213</v>
      </c>
      <c r="D125" s="161">
        <f t="shared" si="35"/>
        <v>0.7411597936702875</v>
      </c>
      <c r="E125" s="161">
        <f t="shared" si="35"/>
        <v>0.5934510546975762</v>
      </c>
      <c r="F125" s="161">
        <f t="shared" si="35"/>
        <v>0.46624529804149689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3350A-8D68-4D6B-B578-24DE07252220}">
  <dimension ref="Q4:R27"/>
  <sheetViews>
    <sheetView topLeftCell="A43" workbookViewId="0">
      <selection activeCell="G61" sqref="G61"/>
    </sheetView>
  </sheetViews>
  <sheetFormatPr defaultRowHeight="14.4" x14ac:dyDescent="0.3"/>
  <sheetData>
    <row r="4" spans="17:17" x14ac:dyDescent="0.3">
      <c r="Q4" s="6"/>
    </row>
    <row r="5" spans="17:17" x14ac:dyDescent="0.3">
      <c r="Q5" s="6"/>
    </row>
    <row r="24" spans="18:18" x14ac:dyDescent="0.3">
      <c r="R24" s="26"/>
    </row>
    <row r="25" spans="18:18" x14ac:dyDescent="0.3">
      <c r="R25" s="26"/>
    </row>
    <row r="26" spans="18:18" x14ac:dyDescent="0.3">
      <c r="R26" s="26"/>
    </row>
    <row r="27" spans="18:18" x14ac:dyDescent="0.3">
      <c r="R27" s="2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3532-C002-417E-865C-98862929719F}">
  <dimension ref="B16:W74"/>
  <sheetViews>
    <sheetView topLeftCell="A55" zoomScale="70" zoomScaleNormal="70" workbookViewId="0">
      <selection activeCell="A75" sqref="A75"/>
    </sheetView>
  </sheetViews>
  <sheetFormatPr defaultColWidth="9.109375" defaultRowHeight="18" customHeight="1" x14ac:dyDescent="0.3"/>
  <cols>
    <col min="1" max="1" width="9.109375" style="7" customWidth="1"/>
    <col min="2" max="22" width="12.44140625" style="7" customWidth="1"/>
    <col min="23" max="23" width="11.88671875" style="7" customWidth="1"/>
    <col min="24" max="24" width="9.109375" style="7"/>
    <col min="25" max="25" width="14.88671875" style="7" bestFit="1" customWidth="1"/>
    <col min="26" max="26" width="9.88671875" style="7" bestFit="1" customWidth="1"/>
    <col min="27" max="16384" width="9.109375" style="7"/>
  </cols>
  <sheetData>
    <row r="16" spans="2:20" s="4" customFormat="1" ht="18" customHeight="1" x14ac:dyDescent="0.35">
      <c r="B16" s="27" t="s">
        <v>141</v>
      </c>
      <c r="C16" s="28"/>
      <c r="D16" s="28"/>
      <c r="E16" s="28"/>
      <c r="F16" s="28"/>
      <c r="G16" s="28"/>
      <c r="H16" s="28"/>
      <c r="I16" s="28"/>
      <c r="J16" s="28"/>
      <c r="K16" s="28"/>
      <c r="L16" s="28"/>
      <c r="M16" s="28"/>
      <c r="N16" s="28"/>
      <c r="O16" s="28"/>
      <c r="P16" s="28"/>
      <c r="Q16" s="28"/>
      <c r="R16" s="28"/>
      <c r="S16" s="28"/>
      <c r="T16" s="28"/>
    </row>
    <row r="17" spans="2:23" s="4" customFormat="1" ht="42.6" customHeight="1" x14ac:dyDescent="0.35">
      <c r="B17" s="173" t="s">
        <v>48</v>
      </c>
      <c r="C17" s="175" t="s">
        <v>49</v>
      </c>
      <c r="D17" s="177" t="s">
        <v>50</v>
      </c>
      <c r="E17" s="178"/>
      <c r="F17" s="179"/>
      <c r="G17" s="177" t="s">
        <v>51</v>
      </c>
      <c r="H17" s="178"/>
      <c r="I17" s="179"/>
      <c r="J17" s="177" t="s">
        <v>52</v>
      </c>
      <c r="K17" s="178"/>
      <c r="L17" s="179"/>
      <c r="M17" s="177" t="s">
        <v>53</v>
      </c>
      <c r="N17" s="178"/>
      <c r="O17" s="179"/>
      <c r="P17" s="177" t="s">
        <v>54</v>
      </c>
      <c r="Q17" s="178"/>
      <c r="R17" s="179"/>
      <c r="S17" s="177" t="s">
        <v>154</v>
      </c>
      <c r="T17" s="178"/>
      <c r="U17" s="179"/>
      <c r="V17" s="171" t="s">
        <v>152</v>
      </c>
      <c r="W17" s="169" t="s">
        <v>155</v>
      </c>
    </row>
    <row r="18" spans="2:23" s="4" customFormat="1" ht="48.6" customHeight="1" x14ac:dyDescent="0.35">
      <c r="B18" s="174"/>
      <c r="C18" s="176"/>
      <c r="D18" s="29" t="s">
        <v>55</v>
      </c>
      <c r="E18" s="30" t="s">
        <v>56</v>
      </c>
      <c r="F18" s="31" t="s">
        <v>58</v>
      </c>
      <c r="G18" s="29" t="s">
        <v>56</v>
      </c>
      <c r="H18" s="30" t="s">
        <v>58</v>
      </c>
      <c r="I18" s="43" t="s">
        <v>151</v>
      </c>
      <c r="J18" s="29" t="s">
        <v>55</v>
      </c>
      <c r="K18" s="30" t="s">
        <v>56</v>
      </c>
      <c r="L18" s="31" t="s">
        <v>58</v>
      </c>
      <c r="M18" s="29" t="s">
        <v>55</v>
      </c>
      <c r="N18" s="30" t="s">
        <v>56</v>
      </c>
      <c r="O18" s="31" t="s">
        <v>58</v>
      </c>
      <c r="P18" s="29" t="s">
        <v>55</v>
      </c>
      <c r="Q18" s="30" t="s">
        <v>56</v>
      </c>
      <c r="R18" s="31" t="s">
        <v>58</v>
      </c>
      <c r="S18" s="29" t="s">
        <v>55</v>
      </c>
      <c r="T18" s="30" t="s">
        <v>56</v>
      </c>
      <c r="U18" s="31" t="s">
        <v>58</v>
      </c>
      <c r="V18" s="172"/>
      <c r="W18" s="170"/>
    </row>
    <row r="19" spans="2:23" s="40" customFormat="1" ht="18" customHeight="1" x14ac:dyDescent="0.35">
      <c r="B19" s="32" t="s">
        <v>142</v>
      </c>
      <c r="C19" s="58">
        <v>2.2999999999999998</v>
      </c>
      <c r="D19" s="33">
        <v>-0.1712213861356586</v>
      </c>
      <c r="E19" s="34">
        <v>0.11418032881356287</v>
      </c>
      <c r="F19" s="35">
        <v>0.16444112662444502</v>
      </c>
      <c r="G19" s="41">
        <f t="shared" ref="G19:G26" si="0">((E19-D19)/ABS(D19))</f>
        <v>1.6668578697470529</v>
      </c>
      <c r="H19" s="42">
        <f t="shared" ref="H19:H26" si="1">((F19-E19)/ABS(E19))</f>
        <v>0.44018788816898152</v>
      </c>
      <c r="I19" s="44">
        <f>((F19-D19)/ABS(D19))</f>
        <v>1.9604006271398737</v>
      </c>
      <c r="J19" s="36">
        <f t="shared" ref="J19:J27" si="2">+$C19/D19</f>
        <v>-13.432901414416254</v>
      </c>
      <c r="K19" s="36">
        <f t="shared" ref="K19:K27" si="3">+$C19/E19</f>
        <v>20.143574851282047</v>
      </c>
      <c r="L19" s="37">
        <f t="shared" ref="L19:L27" si="4">+$C19/F19</f>
        <v>13.986768682586325</v>
      </c>
      <c r="M19" s="34">
        <v>4.3916291514408696</v>
      </c>
      <c r="N19" s="34">
        <v>4.054184139662488</v>
      </c>
      <c r="O19" s="35">
        <v>3.1431231108890603</v>
      </c>
      <c r="P19" s="50">
        <v>-31.939678572940664</v>
      </c>
      <c r="Q19" s="51">
        <v>22.378428465228946</v>
      </c>
      <c r="R19" s="52">
        <v>25.3167190744458</v>
      </c>
      <c r="S19" s="54">
        <v>0</v>
      </c>
      <c r="T19" s="47">
        <v>0</v>
      </c>
      <c r="U19" s="55">
        <v>0</v>
      </c>
      <c r="V19" s="39">
        <v>2.5051657705522681</v>
      </c>
      <c r="W19" s="59">
        <f t="shared" ref="W19:W27" si="5">+K19/(G19*100)</f>
        <v>0.12084758524935814</v>
      </c>
    </row>
    <row r="20" spans="2:23" s="40" customFormat="1" ht="18" customHeight="1" x14ac:dyDescent="0.35">
      <c r="B20" s="165" t="s">
        <v>143</v>
      </c>
      <c r="C20" s="58">
        <v>63.25</v>
      </c>
      <c r="D20" s="33">
        <v>0.61536134428134392</v>
      </c>
      <c r="E20" s="34">
        <v>1.0302277515345528</v>
      </c>
      <c r="F20" s="35">
        <v>1.5025780582240262</v>
      </c>
      <c r="G20" s="41">
        <f t="shared" si="0"/>
        <v>0.67418340639793506</v>
      </c>
      <c r="H20" s="42">
        <f t="shared" si="1"/>
        <v>0.45849115012277092</v>
      </c>
      <c r="I20" s="44">
        <f t="shared" ref="I20:I26" si="6">((F20-D20)/ABS(D20))</f>
        <v>1.4417816819137828</v>
      </c>
      <c r="J20" s="36">
        <f t="shared" si="2"/>
        <v>102.78513687574439</v>
      </c>
      <c r="K20" s="36">
        <f t="shared" si="3"/>
        <v>61.394191629751163</v>
      </c>
      <c r="L20" s="37">
        <f t="shared" si="4"/>
        <v>42.094318929931937</v>
      </c>
      <c r="M20" s="34">
        <v>7.7270831848916819</v>
      </c>
      <c r="N20" s="34">
        <v>7.2180369186976874</v>
      </c>
      <c r="O20" s="35">
        <v>6.7547351797204618</v>
      </c>
      <c r="P20" s="53">
        <v>8.3015432710585202</v>
      </c>
      <c r="Q20" s="46">
        <v>12.491157372519185</v>
      </c>
      <c r="R20" s="38">
        <v>16.578733830120726</v>
      </c>
      <c r="S20" s="56">
        <v>3.1799163179916301E-3</v>
      </c>
      <c r="T20" s="47">
        <v>0</v>
      </c>
      <c r="U20" s="57">
        <v>1.4253704900148901E-2</v>
      </c>
      <c r="V20" s="39">
        <v>5.4251551855360916</v>
      </c>
      <c r="W20" s="59">
        <f t="shared" si="5"/>
        <v>0.9106452494547661</v>
      </c>
    </row>
    <row r="21" spans="2:23" s="40" customFormat="1" ht="18" customHeight="1" x14ac:dyDescent="0.35">
      <c r="B21" s="32" t="s">
        <v>144</v>
      </c>
      <c r="C21" s="58">
        <v>15.9</v>
      </c>
      <c r="D21" s="33">
        <v>1.953090177860203</v>
      </c>
      <c r="E21" s="34">
        <v>1.1902364348201449</v>
      </c>
      <c r="F21" s="35">
        <v>1.2153505744816828</v>
      </c>
      <c r="G21" s="41">
        <f t="shared" si="0"/>
        <v>-0.39058808020622854</v>
      </c>
      <c r="H21" s="42">
        <f t="shared" si="1"/>
        <v>2.1100126770470556E-2</v>
      </c>
      <c r="I21" s="44">
        <f t="shared" si="6"/>
        <v>-0.37772941144314415</v>
      </c>
      <c r="J21" s="36">
        <f t="shared" si="2"/>
        <v>8.1409451443865084</v>
      </c>
      <c r="K21" s="36">
        <f t="shared" si="3"/>
        <v>13.358690370121824</v>
      </c>
      <c r="L21" s="37">
        <f t="shared" si="4"/>
        <v>13.082644904151183</v>
      </c>
      <c r="M21" s="34">
        <v>1.5443099462904055</v>
      </c>
      <c r="N21" s="34">
        <v>1.3748069760933832</v>
      </c>
      <c r="O21" s="35">
        <v>1.2837303052587452</v>
      </c>
      <c r="P21" s="53">
        <v>21.492007934471609</v>
      </c>
      <c r="Q21" s="46">
        <v>10.953963167828329</v>
      </c>
      <c r="R21" s="38">
        <v>10.148625064220521</v>
      </c>
      <c r="S21" s="54">
        <v>0</v>
      </c>
      <c r="T21" s="47">
        <v>0</v>
      </c>
      <c r="U21" s="57">
        <v>3.8218571524581198E-2</v>
      </c>
      <c r="V21" s="39">
        <v>2.8520519440556784</v>
      </c>
      <c r="W21" s="59">
        <f t="shared" si="5"/>
        <v>-0.34201479889167385</v>
      </c>
    </row>
    <row r="22" spans="2:23" s="40" customFormat="1" ht="18" customHeight="1" x14ac:dyDescent="0.35">
      <c r="B22" s="32" t="s">
        <v>145</v>
      </c>
      <c r="C22" s="58">
        <v>7.65</v>
      </c>
      <c r="D22" s="33">
        <v>0.21835271280245797</v>
      </c>
      <c r="E22" s="34">
        <v>0.26019502381152532</v>
      </c>
      <c r="F22" s="35">
        <v>0.29859001370866883</v>
      </c>
      <c r="G22" s="41">
        <f t="shared" si="0"/>
        <v>0.19162716355588297</v>
      </c>
      <c r="H22" s="42">
        <f t="shared" si="1"/>
        <v>0.14756235278717431</v>
      </c>
      <c r="I22" s="44">
        <f t="shared" si="6"/>
        <v>0.36746647145529598</v>
      </c>
      <c r="J22" s="36">
        <f t="shared" si="2"/>
        <v>35.035058194678335</v>
      </c>
      <c r="K22" s="36">
        <f t="shared" si="3"/>
        <v>29.401023462852038</v>
      </c>
      <c r="L22" s="37">
        <f t="shared" si="4"/>
        <v>25.620414778720718</v>
      </c>
      <c r="M22" s="34">
        <v>3.1630855597272549</v>
      </c>
      <c r="N22" s="34">
        <v>2.8656923592126589</v>
      </c>
      <c r="O22" s="35">
        <v>2.6854420611741876</v>
      </c>
      <c r="P22" s="53">
        <v>8.8202299221622891</v>
      </c>
      <c r="Q22" s="46">
        <v>10.040556407730831</v>
      </c>
      <c r="R22" s="38">
        <v>10.821997965171338</v>
      </c>
      <c r="S22" s="56">
        <v>1.23623891021E-2</v>
      </c>
      <c r="T22" s="48">
        <v>1.3607669409615299E-2</v>
      </c>
      <c r="U22" s="57">
        <v>1.56153140031326E-2</v>
      </c>
      <c r="V22" s="39">
        <v>6.0661503481962038</v>
      </c>
      <c r="W22" s="59">
        <f t="shared" si="5"/>
        <v>1.534282662086057</v>
      </c>
    </row>
    <row r="23" spans="2:23" s="40" customFormat="1" ht="18" customHeight="1" x14ac:dyDescent="0.35">
      <c r="B23" s="32" t="s">
        <v>146</v>
      </c>
      <c r="C23" s="58">
        <v>5.7</v>
      </c>
      <c r="D23" s="33">
        <v>0.1394694120741542</v>
      </c>
      <c r="E23" s="34">
        <v>-0.37062096563506147</v>
      </c>
      <c r="F23" s="35">
        <v>3.6504621970824679E-2</v>
      </c>
      <c r="G23" s="41">
        <f t="shared" si="0"/>
        <v>-3.657363791266337</v>
      </c>
      <c r="H23" s="42">
        <f t="shared" si="1"/>
        <v>1.0984958363277526</v>
      </c>
      <c r="I23" s="44">
        <f t="shared" si="6"/>
        <v>-0.7382607309521344</v>
      </c>
      <c r="J23" s="36">
        <f t="shared" si="2"/>
        <v>40.869176368000886</v>
      </c>
      <c r="K23" s="36">
        <f t="shared" si="3"/>
        <v>-15.379594055703278</v>
      </c>
      <c r="L23" s="37">
        <f t="shared" si="4"/>
        <v>156.14461107296412</v>
      </c>
      <c r="M23" s="34">
        <v>1.6672827938004342</v>
      </c>
      <c r="N23" s="34">
        <v>1.6375240320868896</v>
      </c>
      <c r="O23" s="35">
        <v>1.7716335911151131</v>
      </c>
      <c r="P23" s="53">
        <v>3.109092611271759</v>
      </c>
      <c r="Q23" s="46">
        <v>-9.5776468338157237</v>
      </c>
      <c r="R23" s="38">
        <v>1.0899774232994763</v>
      </c>
      <c r="S23" s="56">
        <v>5.0994992120211698E-2</v>
      </c>
      <c r="T23" s="48">
        <v>5.2631578947368397E-2</v>
      </c>
      <c r="U23" s="57">
        <v>5.2631578947368397E-2</v>
      </c>
      <c r="V23" s="39">
        <v>5.7526609147992369</v>
      </c>
      <c r="W23" s="59">
        <f t="shared" si="5"/>
        <v>4.2051037122501279E-2</v>
      </c>
    </row>
    <row r="24" spans="2:23" s="40" customFormat="1" ht="18" customHeight="1" x14ac:dyDescent="0.35">
      <c r="B24" s="32" t="s">
        <v>148</v>
      </c>
      <c r="C24" s="58">
        <v>6.3</v>
      </c>
      <c r="D24" s="33">
        <v>0.83061000366179538</v>
      </c>
      <c r="E24" s="34">
        <v>0.80815187181363712</v>
      </c>
      <c r="F24" s="35">
        <v>0.92778359464731042</v>
      </c>
      <c r="G24" s="41">
        <f t="shared" si="0"/>
        <v>-2.7038118670796404E-2</v>
      </c>
      <c r="H24" s="42">
        <f t="shared" si="1"/>
        <v>0.14803123893680817</v>
      </c>
      <c r="I24" s="44">
        <f t="shared" si="6"/>
        <v>0.11699063406065334</v>
      </c>
      <c r="J24" s="36">
        <f t="shared" si="2"/>
        <v>7.5847870507531354</v>
      </c>
      <c r="K24" s="36">
        <f t="shared" si="3"/>
        <v>7.7955644473874379</v>
      </c>
      <c r="L24" s="37">
        <f t="shared" si="4"/>
        <v>6.7903765881901537</v>
      </c>
      <c r="M24" s="34">
        <v>1.1473469429492897</v>
      </c>
      <c r="N24" s="34">
        <v>1.2238184328448136</v>
      </c>
      <c r="O24" s="35">
        <v>1.1043927019032502</v>
      </c>
      <c r="P24" s="53">
        <v>18.818698821474509</v>
      </c>
      <c r="Q24" s="46">
        <v>16.474817137145028</v>
      </c>
      <c r="R24" s="38">
        <v>17.098353489675645</v>
      </c>
      <c r="S24" s="56">
        <v>6.2101682516769799E-2</v>
      </c>
      <c r="T24" s="48">
        <v>5.13112299564214E-2</v>
      </c>
      <c r="U24" s="57">
        <v>5.8906894898241899E-2</v>
      </c>
      <c r="V24" s="39">
        <v>1.1681569312743352</v>
      </c>
      <c r="W24" s="59">
        <f t="shared" si="5"/>
        <v>-2.8831756167293352</v>
      </c>
    </row>
    <row r="25" spans="2:23" s="40" customFormat="1" ht="18" customHeight="1" x14ac:dyDescent="0.35">
      <c r="B25" s="165" t="s">
        <v>149</v>
      </c>
      <c r="C25" s="58">
        <v>16.600000000000001</v>
      </c>
      <c r="D25" s="33">
        <v>0.57972422986125083</v>
      </c>
      <c r="E25" s="34">
        <v>0.96384092131146915</v>
      </c>
      <c r="F25" s="35">
        <v>1.2221707797735513</v>
      </c>
      <c r="G25" s="41">
        <f t="shared" si="0"/>
        <v>0.66258519424339302</v>
      </c>
      <c r="H25" s="42">
        <f t="shared" si="1"/>
        <v>0.26802126030359918</v>
      </c>
      <c r="I25" s="44">
        <f t="shared" si="6"/>
        <v>1.1081933733666114</v>
      </c>
      <c r="J25" s="36">
        <f t="shared" si="2"/>
        <v>28.634304286320734</v>
      </c>
      <c r="K25" s="36">
        <f t="shared" si="3"/>
        <v>17.222759101587929</v>
      </c>
      <c r="L25" s="37">
        <f t="shared" si="4"/>
        <v>13.582389854776038</v>
      </c>
      <c r="M25" s="34">
        <v>6.1923076923076925</v>
      </c>
      <c r="N25" s="34">
        <v>5.7439446366782008</v>
      </c>
      <c r="O25" s="35">
        <v>6.1334384498529424</v>
      </c>
      <c r="P25" s="53">
        <v>37</v>
      </c>
      <c r="Q25" s="46">
        <v>35.07</v>
      </c>
      <c r="R25" s="38">
        <v>39.729999999999997</v>
      </c>
      <c r="S25" s="56">
        <v>2.5465838509316802E-2</v>
      </c>
      <c r="T25" s="48">
        <v>4.0361445783132499E-2</v>
      </c>
      <c r="U25" s="57">
        <v>5.1807228915662598E-2</v>
      </c>
      <c r="V25" s="39">
        <v>1.3439815433744249</v>
      </c>
      <c r="W25" s="59">
        <f t="shared" si="5"/>
        <v>0.2599327490445153</v>
      </c>
    </row>
    <row r="26" spans="2:23" s="40" customFormat="1" ht="18" customHeight="1" x14ac:dyDescent="0.35">
      <c r="B26" s="32" t="s">
        <v>150</v>
      </c>
      <c r="C26" s="58">
        <v>15.9</v>
      </c>
      <c r="D26" s="33">
        <v>0.40204619714389334</v>
      </c>
      <c r="E26" s="34">
        <v>0.69399847764689926</v>
      </c>
      <c r="F26" s="35">
        <v>0.80375511262523447</v>
      </c>
      <c r="G26" s="41">
        <f t="shared" si="0"/>
        <v>0.72616600424780409</v>
      </c>
      <c r="H26" s="42">
        <f t="shared" si="1"/>
        <v>0.15815111778123883</v>
      </c>
      <c r="I26" s="44">
        <f t="shared" si="6"/>
        <v>0.99916108729556896</v>
      </c>
      <c r="J26" s="36">
        <f t="shared" si="2"/>
        <v>39.547694053450655</v>
      </c>
      <c r="K26" s="36">
        <f t="shared" si="3"/>
        <v>22.910713080972766</v>
      </c>
      <c r="L26" s="37">
        <f t="shared" si="4"/>
        <v>19.782144773010813</v>
      </c>
      <c r="M26" s="34">
        <v>1.2245004185923389</v>
      </c>
      <c r="N26" s="34">
        <v>1.2165698706152535</v>
      </c>
      <c r="O26" s="35">
        <v>1.1754887254564197</v>
      </c>
      <c r="P26" s="53">
        <v>5.6238693434496669</v>
      </c>
      <c r="Q26" s="46">
        <v>5.412119071519137</v>
      </c>
      <c r="R26" s="38">
        <v>6.0442209303189722</v>
      </c>
      <c r="S26" s="56">
        <v>1.30534479592173E-2</v>
      </c>
      <c r="T26" s="48">
        <v>2.1823851498330198E-2</v>
      </c>
      <c r="U26" s="57">
        <v>2.5275318007082801E-2</v>
      </c>
      <c r="V26" s="39">
        <v>7.6512648132292119E-3</v>
      </c>
      <c r="W26" s="59">
        <f t="shared" si="5"/>
        <v>0.31550241882646002</v>
      </c>
    </row>
    <row r="27" spans="2:23" s="40" customFormat="1" ht="18" customHeight="1" x14ac:dyDescent="0.35">
      <c r="B27" s="60" t="s">
        <v>147</v>
      </c>
      <c r="C27" s="61">
        <v>5.45</v>
      </c>
      <c r="D27" s="62">
        <v>-2.2269545466544391</v>
      </c>
      <c r="E27" s="63">
        <v>-1.1162917223738025</v>
      </c>
      <c r="F27" s="64">
        <v>-0.26406637329347987</v>
      </c>
      <c r="G27" s="65">
        <f>((E27-D27)/ABS(D27))</f>
        <v>0.49873618927211105</v>
      </c>
      <c r="H27" s="66">
        <f>((F27-E27)/ABS(E27))</f>
        <v>0.76344322187399116</v>
      </c>
      <c r="I27" s="67">
        <f>((F27-D27)/ABS(D27))</f>
        <v>0.88142264794304515</v>
      </c>
      <c r="J27" s="68">
        <f t="shared" si="2"/>
        <v>-2.4472883868184701</v>
      </c>
      <c r="K27" s="68">
        <f t="shared" si="3"/>
        <v>-4.8822363283412473</v>
      </c>
      <c r="L27" s="69">
        <f t="shared" si="4"/>
        <v>-20.638750523312343</v>
      </c>
      <c r="M27" s="63">
        <v>3.2571563726044772</v>
      </c>
      <c r="N27" s="63">
        <v>14.758990502099138</v>
      </c>
      <c r="O27" s="64">
        <v>51.8060468199021</v>
      </c>
      <c r="P27" s="70">
        <v>-146.83277718898827</v>
      </c>
      <c r="Q27" s="71">
        <v>-302.29979684563006</v>
      </c>
      <c r="R27" s="72">
        <v>-251.01348437438094</v>
      </c>
      <c r="S27" s="73">
        <v>0</v>
      </c>
      <c r="T27" s="74">
        <v>0</v>
      </c>
      <c r="U27" s="75">
        <v>0</v>
      </c>
      <c r="V27" s="76">
        <v>2.4300000000000002</v>
      </c>
      <c r="W27" s="77">
        <f t="shared" si="5"/>
        <v>-9.7892160893050681E-2</v>
      </c>
    </row>
    <row r="28" spans="2:23" ht="18" customHeight="1" x14ac:dyDescent="0.3">
      <c r="B28" s="45" t="s">
        <v>153</v>
      </c>
    </row>
    <row r="29" spans="2:23" ht="18" customHeight="1" x14ac:dyDescent="0.3">
      <c r="S29" s="49"/>
      <c r="T29" s="49"/>
      <c r="U29" s="49"/>
    </row>
    <row r="30" spans="2:23" ht="18" customHeight="1" x14ac:dyDescent="0.3">
      <c r="S30" s="49"/>
      <c r="T30" s="49"/>
      <c r="U30" s="49"/>
    </row>
    <row r="31" spans="2:23" ht="18" customHeight="1" x14ac:dyDescent="0.3">
      <c r="M31"/>
      <c r="S31" s="49"/>
      <c r="T31" s="49"/>
      <c r="U31" s="49"/>
    </row>
    <row r="32" spans="2:23" ht="18" customHeight="1" x14ac:dyDescent="0.3">
      <c r="S32" s="49"/>
      <c r="T32" s="49"/>
      <c r="U32" s="49"/>
    </row>
    <row r="33" spans="19:21" ht="18" customHeight="1" x14ac:dyDescent="0.3">
      <c r="S33" s="49"/>
      <c r="T33" s="49"/>
      <c r="U33" s="49"/>
    </row>
    <row r="34" spans="19:21" ht="18" customHeight="1" x14ac:dyDescent="0.3">
      <c r="S34" s="49"/>
      <c r="T34" s="49"/>
      <c r="U34" s="49"/>
    </row>
    <row r="35" spans="19:21" ht="18" customHeight="1" x14ac:dyDescent="0.3">
      <c r="S35" s="49"/>
      <c r="T35" s="49"/>
      <c r="U35" s="49"/>
    </row>
    <row r="36" spans="19:21" ht="18" customHeight="1" x14ac:dyDescent="0.3">
      <c r="S36" s="49"/>
      <c r="T36" s="49"/>
      <c r="U36" s="49"/>
    </row>
    <row r="72" spans="19:20" ht="18" customHeight="1" x14ac:dyDescent="0.35">
      <c r="S72" s="40" t="s">
        <v>230</v>
      </c>
      <c r="T72" s="40">
        <v>26</v>
      </c>
    </row>
    <row r="73" spans="19:20" ht="18" customHeight="1" x14ac:dyDescent="0.35">
      <c r="S73" s="40" t="s">
        <v>231</v>
      </c>
      <c r="T73" s="166">
        <v>15</v>
      </c>
    </row>
    <row r="74" spans="19:20" ht="18" customHeight="1" x14ac:dyDescent="0.35">
      <c r="S74" s="40" t="s">
        <v>232</v>
      </c>
      <c r="T74" s="167">
        <f>T72*T73</f>
        <v>390</v>
      </c>
    </row>
  </sheetData>
  <mergeCells count="10">
    <mergeCell ref="W17:W18"/>
    <mergeCell ref="V17:V18"/>
    <mergeCell ref="B17:B18"/>
    <mergeCell ref="C17:C18"/>
    <mergeCell ref="D17:F17"/>
    <mergeCell ref="G17:I17"/>
    <mergeCell ref="J17:L17"/>
    <mergeCell ref="M17:O17"/>
    <mergeCell ref="P17:R17"/>
    <mergeCell ref="S17:U17"/>
  </mergeCells>
  <conditionalFormatting sqref="I19:I27">
    <cfRule type="colorScale" priority="3">
      <colorScale>
        <cfvo type="min"/>
        <cfvo type="percentile" val="50"/>
        <cfvo type="max"/>
        <color rgb="FFF8696B"/>
        <color rgb="FFFFEB84"/>
        <color rgb="FF63BE7B"/>
      </colorScale>
    </cfRule>
  </conditionalFormatting>
  <conditionalFormatting sqref="L19:L27">
    <cfRule type="colorScale" priority="1">
      <colorScale>
        <cfvo type="min"/>
        <cfvo type="percentile" val="50"/>
        <cfvo type="max"/>
        <color rgb="FF63BE7B"/>
        <color rgb="FFFFEB84"/>
        <color rgb="FFF8696B"/>
      </colorScale>
    </cfRule>
  </conditionalFormatting>
  <conditionalFormatting sqref="M19:M27">
    <cfRule type="cellIs" dxfId="0" priority="6" operator="lessThan">
      <formula>0</formula>
    </cfRule>
  </conditionalFormatting>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721E-3739-4CC5-B971-162395381E8D}">
  <dimension ref="A18:S102"/>
  <sheetViews>
    <sheetView zoomScale="85" zoomScaleNormal="85" workbookViewId="0">
      <selection activeCell="I98" sqref="I98"/>
    </sheetView>
  </sheetViews>
  <sheetFormatPr defaultRowHeight="15.6" x14ac:dyDescent="0.3"/>
  <cols>
    <col min="1" max="1" width="4.33203125" style="7" customWidth="1"/>
    <col min="2" max="2" width="40.33203125" style="7" customWidth="1"/>
    <col min="3" max="3" width="13.5546875" style="7" bestFit="1" customWidth="1"/>
    <col min="4" max="9" width="10.44140625" style="7" customWidth="1"/>
    <col min="10" max="10" width="15.21875" style="7" bestFit="1" customWidth="1"/>
    <col min="11" max="11" width="10.44140625" style="7" customWidth="1"/>
    <col min="12" max="12" width="12.109375" style="7" customWidth="1"/>
    <col min="13" max="14" width="10.44140625" style="7" customWidth="1"/>
    <col min="15" max="15" width="14.6640625" style="7" customWidth="1"/>
    <col min="16" max="16" width="12.6640625" style="122" customWidth="1"/>
    <col min="17" max="17" width="17.77734375" style="122" customWidth="1"/>
    <col min="18" max="18" width="10.5546875" style="7" bestFit="1" customWidth="1"/>
    <col min="19" max="23" width="9.44140625" style="7" customWidth="1"/>
    <col min="24" max="16384" width="8.88671875" style="7"/>
  </cols>
  <sheetData>
    <row r="18" spans="1:17" x14ac:dyDescent="0.3">
      <c r="A18" s="19"/>
      <c r="J18" s="181" t="s">
        <v>194</v>
      </c>
      <c r="K18" s="181"/>
      <c r="L18" s="181"/>
      <c r="M18" s="181"/>
      <c r="N18" s="181"/>
      <c r="O18" s="122"/>
      <c r="Q18" s="7"/>
    </row>
    <row r="19" spans="1:17" x14ac:dyDescent="0.3">
      <c r="B19" s="86" t="s">
        <v>57</v>
      </c>
      <c r="C19" s="8" t="s">
        <v>56</v>
      </c>
      <c r="D19" s="8" t="s">
        <v>58</v>
      </c>
      <c r="E19" s="8" t="s">
        <v>59</v>
      </c>
      <c r="F19" s="8" t="s">
        <v>101</v>
      </c>
      <c r="G19" s="8" t="s">
        <v>102</v>
      </c>
      <c r="H19" s="8" t="s">
        <v>103</v>
      </c>
      <c r="I19" s="8" t="s">
        <v>104</v>
      </c>
      <c r="J19" s="135" t="s">
        <v>189</v>
      </c>
      <c r="K19" s="135" t="s">
        <v>190</v>
      </c>
      <c r="L19" s="135" t="s">
        <v>191</v>
      </c>
      <c r="M19" s="135" t="s">
        <v>192</v>
      </c>
      <c r="N19" s="135" t="s">
        <v>193</v>
      </c>
      <c r="O19" s="122"/>
      <c r="Q19" s="7"/>
    </row>
    <row r="20" spans="1:17" x14ac:dyDescent="0.3">
      <c r="A20" s="109"/>
      <c r="B20" s="9" t="s">
        <v>38</v>
      </c>
      <c r="C20" s="10">
        <v>150</v>
      </c>
      <c r="D20" s="10">
        <f>+C20*(1+D21)</f>
        <v>240</v>
      </c>
      <c r="E20" s="10">
        <f t="shared" ref="E20:H20" si="0">+D20*(1+E21)</f>
        <v>432</v>
      </c>
      <c r="F20" s="10">
        <f t="shared" si="0"/>
        <v>648</v>
      </c>
      <c r="G20" s="10">
        <f t="shared" si="0"/>
        <v>842.4</v>
      </c>
      <c r="H20" s="10">
        <f t="shared" si="0"/>
        <v>1053</v>
      </c>
      <c r="I20" s="10">
        <f>+H20*(1+I21)</f>
        <v>1263.5999999999999</v>
      </c>
      <c r="J20" s="132">
        <f>I20*(1+J21)</f>
        <v>1453.1399999999999</v>
      </c>
      <c r="K20" s="132">
        <f t="shared" ref="K20:N20" si="1">J20*(1+K21)</f>
        <v>1627.5168000000001</v>
      </c>
      <c r="L20" s="132">
        <f t="shared" si="1"/>
        <v>1790.2684800000002</v>
      </c>
      <c r="M20" s="132">
        <f t="shared" si="1"/>
        <v>1933.4899584000004</v>
      </c>
      <c r="N20" s="132">
        <f t="shared" si="1"/>
        <v>2049.4993559040004</v>
      </c>
      <c r="O20" s="122"/>
      <c r="Q20" s="7"/>
    </row>
    <row r="21" spans="1:17" x14ac:dyDescent="0.3">
      <c r="A21" s="109"/>
      <c r="B21" s="18" t="s">
        <v>105</v>
      </c>
      <c r="C21" s="10"/>
      <c r="D21" s="81">
        <v>0.6</v>
      </c>
      <c r="E21" s="81">
        <v>0.8</v>
      </c>
      <c r="F21" s="81">
        <v>0.5</v>
      </c>
      <c r="G21" s="81">
        <v>0.3</v>
      </c>
      <c r="H21" s="81">
        <v>0.25</v>
      </c>
      <c r="I21" s="81">
        <v>0.2</v>
      </c>
      <c r="J21" s="133">
        <v>0.15</v>
      </c>
      <c r="K21" s="133">
        <v>0.12</v>
      </c>
      <c r="L21" s="133">
        <v>0.1</v>
      </c>
      <c r="M21" s="133">
        <v>0.08</v>
      </c>
      <c r="N21" s="133">
        <v>0.06</v>
      </c>
      <c r="O21" s="122"/>
      <c r="Q21" s="7"/>
    </row>
    <row r="22" spans="1:17" x14ac:dyDescent="0.3">
      <c r="A22" s="109"/>
      <c r="C22" s="104"/>
      <c r="D22" s="104"/>
      <c r="E22" s="104"/>
      <c r="F22" s="104"/>
      <c r="G22" s="104"/>
      <c r="H22" s="104"/>
      <c r="I22" s="104"/>
      <c r="J22" s="104"/>
      <c r="O22" s="122"/>
      <c r="Q22" s="7"/>
    </row>
    <row r="23" spans="1:17" x14ac:dyDescent="0.3">
      <c r="A23" s="109"/>
      <c r="B23" s="9" t="s">
        <v>60</v>
      </c>
      <c r="C23" s="10">
        <f t="shared" ref="C23:H23" ca="1" si="2">0.07*AVERAGE(B26:C26)</f>
        <v>75.233644859813097</v>
      </c>
      <c r="D23" s="10">
        <f t="shared" ca="1" si="2"/>
        <v>82.834439478080284</v>
      </c>
      <c r="E23" s="10">
        <f t="shared" ca="1" si="2"/>
        <v>97.521965310480667</v>
      </c>
      <c r="F23" s="10">
        <f t="shared" ca="1" si="2"/>
        <v>108.51081789817762</v>
      </c>
      <c r="G23" s="10">
        <f t="shared" ca="1" si="2"/>
        <v>115.37482055240714</v>
      </c>
      <c r="H23" s="10">
        <f t="shared" ca="1" si="2"/>
        <v>120.42193413823469</v>
      </c>
      <c r="I23" s="10">
        <f t="shared" ref="I23" ca="1" si="3">0.07*AVERAGE(H26:I26)</f>
        <v>123.43687579072122</v>
      </c>
      <c r="J23" s="49">
        <f ca="1">J26*J33</f>
        <v>125.47943004361488</v>
      </c>
      <c r="K23" s="49">
        <f t="shared" ref="K23:N23" ca="1" si="4">K26*K33</f>
        <v>127.57754598190655</v>
      </c>
      <c r="L23" s="49">
        <f t="shared" ca="1" si="4"/>
        <v>129.73230751571433</v>
      </c>
      <c r="M23" s="49">
        <f t="shared" ca="1" si="4"/>
        <v>131.94483902061276</v>
      </c>
      <c r="N23" s="49">
        <f t="shared" ca="1" si="4"/>
        <v>134.21630563963578</v>
      </c>
      <c r="O23" s="122"/>
      <c r="Q23" s="104"/>
    </row>
    <row r="24" spans="1:17" x14ac:dyDescent="0.3">
      <c r="A24" s="109"/>
      <c r="B24" s="9" t="s">
        <v>37</v>
      </c>
      <c r="C24" s="10">
        <f ca="1">-C30*(C27/365)</f>
        <v>-88.336960696453716</v>
      </c>
      <c r="D24" s="10">
        <f t="shared" ref="D24:I24" ca="1" si="5">-D30*(D27/365)</f>
        <v>-159.27927727341043</v>
      </c>
      <c r="E24" s="10">
        <f t="shared" ca="1" si="5"/>
        <v>-214.94937642043936</v>
      </c>
      <c r="F24" s="10">
        <f t="shared" ca="1" si="5"/>
        <v>-217.78632070259096</v>
      </c>
      <c r="G24" s="10">
        <f t="shared" ca="1" si="5"/>
        <v>-215.3681657627354</v>
      </c>
      <c r="H24" s="10">
        <f t="shared" ca="1" si="5"/>
        <v>-215.76604657349668</v>
      </c>
      <c r="I24" s="10">
        <f t="shared" ca="1" si="5"/>
        <v>-219.04095229792833</v>
      </c>
      <c r="J24" s="120">
        <f ca="1">I24</f>
        <v>-219.04095229792833</v>
      </c>
      <c r="K24" s="120">
        <f t="shared" ref="K24:N24" ca="1" si="6">J24</f>
        <v>-219.04095229792833</v>
      </c>
      <c r="L24" s="120">
        <f t="shared" ca="1" si="6"/>
        <v>-219.04095229792833</v>
      </c>
      <c r="M24" s="120">
        <f t="shared" ca="1" si="6"/>
        <v>-219.04095229792833</v>
      </c>
      <c r="N24" s="120">
        <f t="shared" ca="1" si="6"/>
        <v>-219.04095229792833</v>
      </c>
      <c r="O24" s="122"/>
      <c r="Q24" s="7"/>
    </row>
    <row r="25" spans="1:17" x14ac:dyDescent="0.3">
      <c r="A25" s="109"/>
      <c r="B25" s="18" t="s">
        <v>158</v>
      </c>
      <c r="C25" s="82">
        <v>150</v>
      </c>
      <c r="D25" s="82">
        <v>300</v>
      </c>
      <c r="E25" s="82">
        <v>300</v>
      </c>
      <c r="F25" s="82">
        <v>220</v>
      </c>
      <c r="G25" s="82">
        <v>200</v>
      </c>
      <c r="H25" s="82">
        <v>180</v>
      </c>
      <c r="I25" s="82">
        <v>150</v>
      </c>
      <c r="J25" s="120">
        <f ca="1">J26-I26+J23</f>
        <v>141.37721440888478</v>
      </c>
      <c r="K25" s="120">
        <f t="shared" ref="K25:N25" ca="1" si="7">K26-J26+K23</f>
        <v>157.55063081464465</v>
      </c>
      <c r="L25" s="120">
        <f t="shared" ca="1" si="7"/>
        <v>160.51461514153962</v>
      </c>
      <c r="M25" s="120">
        <f t="shared" ca="1" si="7"/>
        <v>163.55243194773354</v>
      </c>
      <c r="N25" s="120">
        <f t="shared" ca="1" si="7"/>
        <v>166.66582876853573</v>
      </c>
      <c r="O25" s="122"/>
      <c r="Q25" s="7"/>
    </row>
    <row r="26" spans="1:17" x14ac:dyDescent="0.3">
      <c r="A26" s="109"/>
      <c r="B26" s="9" t="s">
        <v>35</v>
      </c>
      <c r="C26" s="10">
        <f ca="1">1000+C25-C23</f>
        <v>1074.766355140187</v>
      </c>
      <c r="D26" s="10">
        <f ca="1">+C26+D25-D23</f>
        <v>1291.9319156621068</v>
      </c>
      <c r="E26" s="10">
        <f t="shared" ref="E26:I26" ca="1" si="8">+D26+E25-E23</f>
        <v>1494.4099503516261</v>
      </c>
      <c r="F26" s="10">
        <f t="shared" ca="1" si="8"/>
        <v>1605.8991324534484</v>
      </c>
      <c r="G26" s="10">
        <f t="shared" ca="1" si="8"/>
        <v>1690.5243119010413</v>
      </c>
      <c r="H26" s="10">
        <f t="shared" ca="1" si="8"/>
        <v>1750.1023777628066</v>
      </c>
      <c r="I26" s="10">
        <f t="shared" ca="1" si="8"/>
        <v>1776.6655019720854</v>
      </c>
      <c r="J26" s="49">
        <f ca="1">J27/J34</f>
        <v>1792.5632863373553</v>
      </c>
      <c r="K26" s="49">
        <f t="shared" ref="K26:N26" ca="1" si="9">K27/K34</f>
        <v>1822.5363711700934</v>
      </c>
      <c r="L26" s="49">
        <f t="shared" ca="1" si="9"/>
        <v>1853.3186787959187</v>
      </c>
      <c r="M26" s="49">
        <f t="shared" ca="1" si="9"/>
        <v>1884.9262717230395</v>
      </c>
      <c r="N26" s="49">
        <f t="shared" ca="1" si="9"/>
        <v>1917.3757948519394</v>
      </c>
      <c r="O26" s="122"/>
      <c r="Q26" s="7"/>
    </row>
    <row r="27" spans="1:17" s="97" customFormat="1" x14ac:dyDescent="0.3">
      <c r="B27" s="79" t="s">
        <v>156</v>
      </c>
      <c r="C27" s="80">
        <f ca="1">+C26*1.5</f>
        <v>1612.1495327102805</v>
      </c>
      <c r="D27" s="80">
        <f t="shared" ref="D27:I27" ca="1" si="10">+D26*1.5</f>
        <v>1937.8978734931602</v>
      </c>
      <c r="E27" s="80">
        <f t="shared" ca="1" si="10"/>
        <v>2241.614925527439</v>
      </c>
      <c r="F27" s="80">
        <f t="shared" ca="1" si="10"/>
        <v>2408.8486986801727</v>
      </c>
      <c r="G27" s="80">
        <f t="shared" ca="1" si="10"/>
        <v>2535.7864678515621</v>
      </c>
      <c r="H27" s="80">
        <f t="shared" ca="1" si="10"/>
        <v>2625.1535666442096</v>
      </c>
      <c r="I27" s="80">
        <f t="shared" ca="1" si="10"/>
        <v>2664.998252958128</v>
      </c>
      <c r="J27" s="131">
        <f ca="1">I27*(1+J28)</f>
        <v>2744.9482005468717</v>
      </c>
      <c r="K27" s="131">
        <f t="shared" ref="K27:M27" ca="1" si="11">J27*(1+K28)</f>
        <v>2827.296646563278</v>
      </c>
      <c r="L27" s="131">
        <f t="shared" ca="1" si="11"/>
        <v>2912.1155459601764</v>
      </c>
      <c r="M27" s="131">
        <f t="shared" ca="1" si="11"/>
        <v>2999.4790123389816</v>
      </c>
      <c r="N27" s="131">
        <f ca="1">M27*(1+N28)</f>
        <v>3089.4633827091511</v>
      </c>
      <c r="O27" s="122"/>
      <c r="P27" s="122"/>
    </row>
    <row r="28" spans="1:17" s="97" customFormat="1" x14ac:dyDescent="0.3">
      <c r="B28" s="79" t="s">
        <v>201</v>
      </c>
      <c r="C28" s="80"/>
      <c r="D28" s="124">
        <f ca="1">D27/C27-1</f>
        <v>0.2020583910943079</v>
      </c>
      <c r="E28" s="124">
        <f t="shared" ref="E28:I28" ca="1" si="12">E27/D27-1</f>
        <v>0.1567250040306889</v>
      </c>
      <c r="F28" s="124">
        <f t="shared" ca="1" si="12"/>
        <v>7.4604148664554559E-2</v>
      </c>
      <c r="G28" s="124">
        <f t="shared" ca="1" si="12"/>
        <v>5.269644757719294E-2</v>
      </c>
      <c r="H28" s="124">
        <f t="shared" ca="1" si="12"/>
        <v>3.5242359688260061E-2</v>
      </c>
      <c r="I28" s="124">
        <f t="shared" ca="1" si="12"/>
        <v>1.5178040180275021E-2</v>
      </c>
      <c r="J28" s="168">
        <v>0.03</v>
      </c>
      <c r="K28" s="168">
        <f t="shared" ref="K28:N28" si="13">J28</f>
        <v>0.03</v>
      </c>
      <c r="L28" s="168">
        <v>0.03</v>
      </c>
      <c r="M28" s="168">
        <f t="shared" si="13"/>
        <v>0.03</v>
      </c>
      <c r="N28" s="168">
        <f t="shared" si="13"/>
        <v>0.03</v>
      </c>
      <c r="O28" s="122"/>
      <c r="P28" s="122"/>
    </row>
    <row r="29" spans="1:17" s="97" customFormat="1" x14ac:dyDescent="0.3">
      <c r="B29" s="79" t="s">
        <v>200</v>
      </c>
      <c r="C29" s="125">
        <f t="shared" ref="C29:I29" ca="1" si="14">C20/C27</f>
        <v>9.3043478260869561E-2</v>
      </c>
      <c r="D29" s="125">
        <f t="shared" ca="1" si="14"/>
        <v>0.12384553555827361</v>
      </c>
      <c r="E29" s="125">
        <f t="shared" ca="1" si="14"/>
        <v>0.19271820288150202</v>
      </c>
      <c r="F29" s="125">
        <f t="shared" ca="1" si="14"/>
        <v>0.26900817820357265</v>
      </c>
      <c r="G29" s="125">
        <f t="shared" ca="1" si="14"/>
        <v>0.33220462790533029</v>
      </c>
      <c r="H29" s="125">
        <f t="shared" ca="1" si="14"/>
        <v>0.40111939102521632</v>
      </c>
      <c r="I29" s="125">
        <f t="shared" ca="1" si="14"/>
        <v>0.47414665229045211</v>
      </c>
      <c r="J29" s="130">
        <f ca="1">I29-1%</f>
        <v>0.4641466522904521</v>
      </c>
      <c r="K29" s="130">
        <f t="shared" ref="K29:N29" ca="1" si="15">J29-1%</f>
        <v>0.45414665229045209</v>
      </c>
      <c r="L29" s="130">
        <f t="shared" ca="1" si="15"/>
        <v>0.44414665229045208</v>
      </c>
      <c r="M29" s="130">
        <f t="shared" ca="1" si="15"/>
        <v>0.43414665229045207</v>
      </c>
      <c r="N29" s="130">
        <f t="shared" ca="1" si="15"/>
        <v>0.42414665229045206</v>
      </c>
      <c r="O29" s="122"/>
      <c r="P29" s="122"/>
    </row>
    <row r="30" spans="1:17" s="97" customFormat="1" x14ac:dyDescent="0.3">
      <c r="B30" s="18" t="s">
        <v>157</v>
      </c>
      <c r="C30" s="78">
        <v>20</v>
      </c>
      <c r="D30" s="78">
        <v>30</v>
      </c>
      <c r="E30" s="78">
        <v>35</v>
      </c>
      <c r="F30" s="78">
        <v>33</v>
      </c>
      <c r="G30" s="78">
        <v>31</v>
      </c>
      <c r="H30" s="78">
        <v>30</v>
      </c>
      <c r="I30" s="78">
        <v>30</v>
      </c>
      <c r="J30" s="128">
        <f>I30</f>
        <v>30</v>
      </c>
      <c r="K30" s="128">
        <f>J30</f>
        <v>30</v>
      </c>
      <c r="L30" s="128">
        <f>K30</f>
        <v>30</v>
      </c>
      <c r="M30" s="128">
        <f t="shared" ref="M30:N30" si="16">L30</f>
        <v>30</v>
      </c>
      <c r="N30" s="128">
        <f t="shared" si="16"/>
        <v>30</v>
      </c>
      <c r="O30" s="122" t="s">
        <v>196</v>
      </c>
      <c r="P30" s="122"/>
    </row>
    <row r="31" spans="1:17" s="97" customFormat="1" x14ac:dyDescent="0.3">
      <c r="B31" s="18"/>
      <c r="C31" s="78"/>
      <c r="D31" s="78"/>
      <c r="E31" s="78"/>
      <c r="F31" s="78"/>
      <c r="G31" s="78"/>
      <c r="H31" s="78"/>
      <c r="I31" s="78"/>
      <c r="J31" s="128"/>
      <c r="K31" s="128"/>
      <c r="L31" s="128"/>
      <c r="M31" s="128"/>
      <c r="N31" s="128"/>
      <c r="O31" s="122"/>
      <c r="P31" s="122"/>
    </row>
    <row r="32" spans="1:17" s="97" customFormat="1" x14ac:dyDescent="0.3">
      <c r="B32" s="18"/>
      <c r="C32" s="78"/>
      <c r="D32" s="78"/>
      <c r="E32" s="78"/>
      <c r="F32" s="78"/>
      <c r="G32" s="78"/>
      <c r="H32" s="78"/>
      <c r="I32" s="78"/>
      <c r="J32" s="122"/>
      <c r="K32" s="122"/>
      <c r="L32" s="122"/>
      <c r="M32" s="122"/>
      <c r="N32" s="122"/>
      <c r="O32" s="122"/>
      <c r="P32" s="122"/>
    </row>
    <row r="33" spans="1:16" s="97" customFormat="1" x14ac:dyDescent="0.3">
      <c r="B33" s="79" t="s">
        <v>195</v>
      </c>
      <c r="C33" s="80"/>
      <c r="D33" s="126">
        <f ca="1">D23/AVERAGE(C26:D26)</f>
        <v>7.0000000000000007E-2</v>
      </c>
      <c r="E33" s="126">
        <f t="shared" ref="E33:I33" ca="1" si="17">E23/AVERAGE(D26:E26)</f>
        <v>7.0000000000000007E-2</v>
      </c>
      <c r="F33" s="126">
        <f t="shared" ca="1" si="17"/>
        <v>7.0000000000000007E-2</v>
      </c>
      <c r="G33" s="126">
        <f t="shared" ca="1" si="17"/>
        <v>7.0000000000000007E-2</v>
      </c>
      <c r="H33" s="126">
        <f t="shared" ca="1" si="17"/>
        <v>7.0000000000000007E-2</v>
      </c>
      <c r="I33" s="126">
        <f t="shared" ca="1" si="17"/>
        <v>7.0000000000000007E-2</v>
      </c>
      <c r="J33" s="127">
        <f ca="1">I33</f>
        <v>7.0000000000000007E-2</v>
      </c>
      <c r="K33" s="127">
        <f t="shared" ref="K33:N33" ca="1" si="18">J33</f>
        <v>7.0000000000000007E-2</v>
      </c>
      <c r="L33" s="127">
        <f t="shared" ca="1" si="18"/>
        <v>7.0000000000000007E-2</v>
      </c>
      <c r="M33" s="127">
        <f t="shared" ca="1" si="18"/>
        <v>7.0000000000000007E-2</v>
      </c>
      <c r="N33" s="127">
        <f t="shared" ca="1" si="18"/>
        <v>7.0000000000000007E-2</v>
      </c>
      <c r="O33" s="122" t="s">
        <v>199</v>
      </c>
      <c r="P33" s="122"/>
    </row>
    <row r="34" spans="1:16" s="97" customFormat="1" x14ac:dyDescent="0.3">
      <c r="B34" s="79" t="s">
        <v>197</v>
      </c>
      <c r="C34" s="80"/>
      <c r="D34" s="123">
        <f t="shared" ref="D34:I34" ca="1" si="19">D27/AVERAGE(C26:D26)</f>
        <v>1.6376383059900801</v>
      </c>
      <c r="E34" s="123">
        <f t="shared" ca="1" si="19"/>
        <v>1.6090020775048648</v>
      </c>
      <c r="F34" s="123">
        <f t="shared" ca="1" si="19"/>
        <v>1.5539410002958238</v>
      </c>
      <c r="G34" s="123">
        <f t="shared" ca="1" si="19"/>
        <v>1.538507725513476</v>
      </c>
      <c r="H34" s="123">
        <f t="shared" ca="1" si="19"/>
        <v>1.5259740759034157</v>
      </c>
      <c r="I34" s="123">
        <f t="shared" ca="1" si="19"/>
        <v>1.5112977909725416</v>
      </c>
      <c r="J34" s="129">
        <f ca="1">I34+0.02</f>
        <v>1.5312977909725416</v>
      </c>
      <c r="K34" s="129">
        <f t="shared" ref="K34:N34" ca="1" si="20">J34+0.02</f>
        <v>1.5512977909725416</v>
      </c>
      <c r="L34" s="129">
        <f t="shared" ca="1" si="20"/>
        <v>1.5712977909725416</v>
      </c>
      <c r="M34" s="129">
        <f t="shared" ca="1" si="20"/>
        <v>1.5912977909725416</v>
      </c>
      <c r="N34" s="129">
        <f t="shared" ca="1" si="20"/>
        <v>1.6112977909725417</v>
      </c>
      <c r="O34" s="122" t="s">
        <v>198</v>
      </c>
      <c r="P34" s="122"/>
    </row>
    <row r="35" spans="1:16" x14ac:dyDescent="0.3">
      <c r="B35" s="121" t="s">
        <v>123</v>
      </c>
      <c r="C35" s="110"/>
      <c r="D35" s="110"/>
      <c r="E35" s="110"/>
      <c r="F35" s="110"/>
      <c r="G35" s="110"/>
      <c r="H35" s="110"/>
      <c r="I35" s="110"/>
    </row>
    <row r="36" spans="1:16" x14ac:dyDescent="0.3">
      <c r="B36" s="9" t="s">
        <v>61</v>
      </c>
      <c r="C36" s="11">
        <v>100</v>
      </c>
      <c r="E36" s="97"/>
      <c r="G36" s="111"/>
      <c r="H36" s="97"/>
      <c r="I36" s="97"/>
    </row>
    <row r="37" spans="1:16" x14ac:dyDescent="0.3">
      <c r="B37" s="12" t="s">
        <v>62</v>
      </c>
      <c r="C37" s="13">
        <v>200</v>
      </c>
      <c r="E37" s="97"/>
      <c r="G37" s="111"/>
      <c r="H37" s="97"/>
      <c r="I37" s="97"/>
      <c r="L37" s="101"/>
    </row>
    <row r="38" spans="1:16" x14ac:dyDescent="0.3">
      <c r="B38" s="9" t="s">
        <v>63</v>
      </c>
      <c r="C38" s="13">
        <v>5000</v>
      </c>
      <c r="E38" s="97"/>
      <c r="G38" s="112"/>
      <c r="H38" s="97"/>
      <c r="I38" s="97"/>
      <c r="L38" s="101"/>
    </row>
    <row r="39" spans="1:16" x14ac:dyDescent="0.3">
      <c r="B39" s="9" t="s">
        <v>64</v>
      </c>
      <c r="C39" s="14">
        <v>0.06</v>
      </c>
      <c r="E39" s="97"/>
      <c r="G39" s="97"/>
      <c r="H39" s="97"/>
      <c r="I39" s="97"/>
      <c r="L39" s="104"/>
    </row>
    <row r="40" spans="1:16" x14ac:dyDescent="0.3">
      <c r="B40" s="15" t="s">
        <v>65</v>
      </c>
      <c r="C40" s="17">
        <v>0.2</v>
      </c>
      <c r="E40" s="97"/>
      <c r="G40" s="97"/>
      <c r="H40" s="97"/>
      <c r="I40" s="97"/>
    </row>
    <row r="41" spans="1:16" x14ac:dyDescent="0.3">
      <c r="B41" s="9" t="s">
        <v>66</v>
      </c>
      <c r="C41" s="14">
        <v>0.04</v>
      </c>
      <c r="E41" s="97"/>
      <c r="G41" s="113"/>
      <c r="H41" s="97"/>
      <c r="I41" s="97"/>
      <c r="L41" s="114"/>
    </row>
    <row r="42" spans="1:16" x14ac:dyDescent="0.3">
      <c r="B42" s="9" t="s">
        <v>67</v>
      </c>
      <c r="C42" s="16">
        <v>1.5</v>
      </c>
      <c r="E42" s="97"/>
      <c r="G42" s="113"/>
      <c r="H42" s="97"/>
      <c r="I42" s="97"/>
    </row>
    <row r="43" spans="1:16" x14ac:dyDescent="0.3">
      <c r="B43" s="9" t="s">
        <v>68</v>
      </c>
      <c r="C43" s="14">
        <v>2.5000000000000001E-2</v>
      </c>
    </row>
    <row r="44" spans="1:16" x14ac:dyDescent="0.3">
      <c r="B44" s="12" t="s">
        <v>69</v>
      </c>
      <c r="C44" s="14">
        <v>0.04</v>
      </c>
      <c r="L44" s="115"/>
    </row>
    <row r="47" spans="1:16" x14ac:dyDescent="0.3">
      <c r="A47" s="19" t="s">
        <v>106</v>
      </c>
    </row>
    <row r="48" spans="1:16" x14ac:dyDescent="0.3">
      <c r="A48" s="19"/>
      <c r="B48" s="83" t="s">
        <v>163</v>
      </c>
      <c r="C48" s="84">
        <v>1</v>
      </c>
      <c r="D48" s="84">
        <f>C48+1</f>
        <v>2</v>
      </c>
      <c r="E48" s="84">
        <f t="shared" ref="E48:F48" si="21">D48+1</f>
        <v>3</v>
      </c>
      <c r="F48" s="84">
        <f t="shared" si="21"/>
        <v>4</v>
      </c>
      <c r="G48" s="84">
        <f t="shared" ref="G48" si="22">F48+1</f>
        <v>5</v>
      </c>
      <c r="H48" s="84">
        <f t="shared" ref="H48" si="23">G48+1</f>
        <v>6</v>
      </c>
      <c r="I48" s="84">
        <f t="shared" ref="I48" si="24">H48+1</f>
        <v>7</v>
      </c>
      <c r="J48" s="84">
        <f>I48</f>
        <v>7</v>
      </c>
      <c r="K48" s="116"/>
      <c r="L48" s="84" t="s">
        <v>164</v>
      </c>
      <c r="M48" s="85">
        <f>$C$38</f>
        <v>5000</v>
      </c>
    </row>
    <row r="49" spans="1:13" x14ac:dyDescent="0.3">
      <c r="A49" s="19"/>
      <c r="B49" s="86" t="s">
        <v>57</v>
      </c>
      <c r="C49" s="8" t="s">
        <v>56</v>
      </c>
      <c r="D49" s="8" t="s">
        <v>58</v>
      </c>
      <c r="E49" s="8" t="s">
        <v>59</v>
      </c>
      <c r="F49" s="8" t="s">
        <v>101</v>
      </c>
      <c r="G49" s="8" t="s">
        <v>102</v>
      </c>
      <c r="H49" s="8" t="s">
        <v>103</v>
      </c>
      <c r="I49" s="8" t="s">
        <v>104</v>
      </c>
      <c r="J49" s="8" t="s">
        <v>165</v>
      </c>
      <c r="K49" s="116"/>
      <c r="L49" s="84" t="s">
        <v>166</v>
      </c>
      <c r="M49" s="84">
        <f>$C$36*$C$37</f>
        <v>20000</v>
      </c>
    </row>
    <row r="50" spans="1:13" x14ac:dyDescent="0.3">
      <c r="A50" s="19"/>
      <c r="B50" s="84" t="s">
        <v>162</v>
      </c>
      <c r="C50" s="87">
        <f>C$20</f>
        <v>150</v>
      </c>
      <c r="D50" s="87">
        <f t="shared" ref="D50:I50" si="25">D$20</f>
        <v>240</v>
      </c>
      <c r="E50" s="87">
        <f t="shared" si="25"/>
        <v>432</v>
      </c>
      <c r="F50" s="87">
        <f t="shared" si="25"/>
        <v>648</v>
      </c>
      <c r="G50" s="87">
        <f t="shared" si="25"/>
        <v>842.4</v>
      </c>
      <c r="H50" s="87">
        <f t="shared" si="25"/>
        <v>1053</v>
      </c>
      <c r="I50" s="87">
        <f t="shared" si="25"/>
        <v>1263.5999999999999</v>
      </c>
      <c r="J50" s="87"/>
      <c r="K50" s="116"/>
      <c r="L50" s="84" t="s">
        <v>167</v>
      </c>
      <c r="M50" s="88">
        <f>M48+M49</f>
        <v>25000</v>
      </c>
    </row>
    <row r="51" spans="1:13" x14ac:dyDescent="0.3">
      <c r="A51" s="19"/>
      <c r="B51" s="89" t="s">
        <v>168</v>
      </c>
      <c r="C51" s="87">
        <f t="shared" ref="C51:I51" si="26">-C50*$C$40</f>
        <v>-30</v>
      </c>
      <c r="D51" s="87">
        <f t="shared" si="26"/>
        <v>-48</v>
      </c>
      <c r="E51" s="87">
        <f t="shared" si="26"/>
        <v>-86.4</v>
      </c>
      <c r="F51" s="87">
        <f t="shared" si="26"/>
        <v>-129.6</v>
      </c>
      <c r="G51" s="87">
        <f t="shared" si="26"/>
        <v>-168.48000000000002</v>
      </c>
      <c r="H51" s="87">
        <f t="shared" si="26"/>
        <v>-210.60000000000002</v>
      </c>
      <c r="I51" s="87">
        <f t="shared" si="26"/>
        <v>-252.72</v>
      </c>
      <c r="J51" s="87"/>
      <c r="K51" s="116"/>
      <c r="L51" s="84"/>
      <c r="M51" s="84"/>
    </row>
    <row r="52" spans="1:13" x14ac:dyDescent="0.3">
      <c r="A52" s="19"/>
      <c r="B52" s="84" t="s">
        <v>169</v>
      </c>
      <c r="C52" s="90">
        <f>C50+C51</f>
        <v>120</v>
      </c>
      <c r="D52" s="90">
        <f t="shared" ref="D52:F52" si="27">D50+D51</f>
        <v>192</v>
      </c>
      <c r="E52" s="90">
        <f t="shared" si="27"/>
        <v>345.6</v>
      </c>
      <c r="F52" s="90">
        <f t="shared" si="27"/>
        <v>518.4</v>
      </c>
      <c r="G52" s="90">
        <f t="shared" ref="G52:I52" si="28">G50+G51</f>
        <v>673.92</v>
      </c>
      <c r="H52" s="90">
        <f t="shared" si="28"/>
        <v>842.4</v>
      </c>
      <c r="I52" s="90">
        <f t="shared" si="28"/>
        <v>1010.8799999999999</v>
      </c>
      <c r="J52" s="90"/>
      <c r="K52" s="116"/>
      <c r="L52" s="91" t="s">
        <v>170</v>
      </c>
      <c r="M52" s="84"/>
    </row>
    <row r="53" spans="1:13" x14ac:dyDescent="0.3">
      <c r="A53" s="19"/>
      <c r="B53" s="84"/>
      <c r="C53" s="84"/>
      <c r="D53" s="84"/>
      <c r="E53" s="84"/>
      <c r="F53" s="84"/>
      <c r="J53" s="84"/>
      <c r="K53" s="116"/>
      <c r="L53" s="9" t="s">
        <v>171</v>
      </c>
      <c r="M53" s="92">
        <f>M48/M50</f>
        <v>0.2</v>
      </c>
    </row>
    <row r="54" spans="1:13" x14ac:dyDescent="0.3">
      <c r="A54" s="19"/>
      <c r="B54" s="84" t="s">
        <v>172</v>
      </c>
      <c r="C54" s="93">
        <f ca="1">C$23</f>
        <v>75.233644859813097</v>
      </c>
      <c r="D54" s="93">
        <f t="shared" ref="D54:I54" ca="1" si="29">D$23</f>
        <v>82.834439478080284</v>
      </c>
      <c r="E54" s="93">
        <f t="shared" ca="1" si="29"/>
        <v>97.521965310480667</v>
      </c>
      <c r="F54" s="93">
        <f t="shared" ca="1" si="29"/>
        <v>108.51081789817762</v>
      </c>
      <c r="G54" s="93">
        <f t="shared" ca="1" si="29"/>
        <v>115.37482055240714</v>
      </c>
      <c r="H54" s="93">
        <f t="shared" ca="1" si="29"/>
        <v>120.42193413823469</v>
      </c>
      <c r="I54" s="93">
        <f t="shared" ca="1" si="29"/>
        <v>123.43687579072122</v>
      </c>
      <c r="J54" s="84"/>
      <c r="K54" s="116"/>
      <c r="L54" s="9" t="s">
        <v>173</v>
      </c>
      <c r="M54" s="94">
        <f>1-M53</f>
        <v>0.8</v>
      </c>
    </row>
    <row r="55" spans="1:13" x14ac:dyDescent="0.3">
      <c r="A55" s="19"/>
      <c r="B55" s="9" t="s">
        <v>37</v>
      </c>
      <c r="C55" s="93">
        <f ca="1">C$24</f>
        <v>-88.336960696453716</v>
      </c>
      <c r="D55" s="93">
        <f t="shared" ref="D55:I55" ca="1" si="30">D$24</f>
        <v>-159.27927727341043</v>
      </c>
      <c r="E55" s="93">
        <f t="shared" ca="1" si="30"/>
        <v>-214.94937642043936</v>
      </c>
      <c r="F55" s="93">
        <f t="shared" ca="1" si="30"/>
        <v>-217.78632070259096</v>
      </c>
      <c r="G55" s="93">
        <f t="shared" ca="1" si="30"/>
        <v>-215.3681657627354</v>
      </c>
      <c r="H55" s="93">
        <f t="shared" ca="1" si="30"/>
        <v>-215.76604657349668</v>
      </c>
      <c r="I55" s="93">
        <f t="shared" ca="1" si="30"/>
        <v>-219.04095229792833</v>
      </c>
      <c r="J55" s="84"/>
      <c r="K55" s="116"/>
      <c r="L55" s="9" t="s">
        <v>174</v>
      </c>
      <c r="M55" s="95">
        <f>$C$39</f>
        <v>0.06</v>
      </c>
    </row>
    <row r="56" spans="1:13" x14ac:dyDescent="0.3">
      <c r="A56" s="19"/>
      <c r="B56" s="84" t="s">
        <v>175</v>
      </c>
      <c r="C56" s="93">
        <f>-C$25</f>
        <v>-150</v>
      </c>
      <c r="D56" s="93">
        <f t="shared" ref="D56:I56" si="31">-D$25</f>
        <v>-300</v>
      </c>
      <c r="E56" s="93">
        <f t="shared" si="31"/>
        <v>-300</v>
      </c>
      <c r="F56" s="93">
        <f t="shared" si="31"/>
        <v>-220</v>
      </c>
      <c r="G56" s="93">
        <f t="shared" si="31"/>
        <v>-200</v>
      </c>
      <c r="H56" s="93">
        <f t="shared" si="31"/>
        <v>-180</v>
      </c>
      <c r="I56" s="93">
        <f t="shared" si="31"/>
        <v>-150</v>
      </c>
      <c r="J56" s="84"/>
      <c r="K56" s="116"/>
      <c r="L56" s="9" t="s">
        <v>176</v>
      </c>
      <c r="M56" s="96">
        <f>$C$40</f>
        <v>0.2</v>
      </c>
    </row>
    <row r="57" spans="1:13" x14ac:dyDescent="0.3">
      <c r="A57" s="19"/>
      <c r="B57" s="97"/>
      <c r="C57" s="97"/>
      <c r="D57" s="97"/>
      <c r="E57" s="97"/>
      <c r="F57" s="97"/>
      <c r="J57" s="97"/>
      <c r="K57" s="116"/>
      <c r="L57" s="9" t="s">
        <v>177</v>
      </c>
      <c r="M57" s="92">
        <f>M58+M59*M60</f>
        <v>8.4999999999999992E-2</v>
      </c>
    </row>
    <row r="58" spans="1:13" x14ac:dyDescent="0.3">
      <c r="A58" s="19"/>
      <c r="B58" s="84" t="s">
        <v>178</v>
      </c>
      <c r="C58" s="90">
        <f ca="1">SUM(C52:C56)</f>
        <v>-43.103315836640618</v>
      </c>
      <c r="D58" s="90">
        <f t="shared" ref="D58:I58" ca="1" si="32">SUM(D52:D56)</f>
        <v>-184.44483779533013</v>
      </c>
      <c r="E58" s="90">
        <f t="shared" ca="1" si="32"/>
        <v>-71.827411109958689</v>
      </c>
      <c r="F58" s="90">
        <f t="shared" ca="1" si="32"/>
        <v>189.12449719558663</v>
      </c>
      <c r="G58" s="90">
        <f t="shared" ca="1" si="32"/>
        <v>373.92665478967172</v>
      </c>
      <c r="H58" s="90">
        <f t="shared" ca="1" si="32"/>
        <v>567.05588756473799</v>
      </c>
      <c r="I58" s="90">
        <f t="shared" ca="1" si="32"/>
        <v>765.27592349279269</v>
      </c>
      <c r="J58" s="98">
        <f ca="1">I58*(1+$C$44)/($M$61-$C$44)</f>
        <v>21167.206394481509</v>
      </c>
      <c r="K58" s="116"/>
      <c r="L58" s="99" t="s">
        <v>179</v>
      </c>
      <c r="M58" s="95">
        <f>$C$43</f>
        <v>2.5000000000000001E-2</v>
      </c>
    </row>
    <row r="59" spans="1:13" x14ac:dyDescent="0.3">
      <c r="A59" s="19"/>
      <c r="B59" s="84" t="s">
        <v>180</v>
      </c>
      <c r="C59" s="100">
        <f ca="1">C58/(1+$M$61)^C48</f>
        <v>-39.999365104529161</v>
      </c>
      <c r="D59" s="100">
        <f t="shared" ref="D59:J59" ca="1" si="33">D58/(1+$M$61)^D48</f>
        <v>-158.83687694186008</v>
      </c>
      <c r="E59" s="100">
        <f t="shared" ca="1" si="33"/>
        <v>-57.400736553750349</v>
      </c>
      <c r="F59" s="100">
        <f t="shared" ca="1" si="33"/>
        <v>140.25471032816998</v>
      </c>
      <c r="G59" s="100">
        <f t="shared" ca="1" si="33"/>
        <v>257.33479397887936</v>
      </c>
      <c r="H59" s="100">
        <f t="shared" ca="1" si="33"/>
        <v>362.14322737973686</v>
      </c>
      <c r="I59" s="100">
        <f t="shared" ca="1" si="33"/>
        <v>453.53934770546857</v>
      </c>
      <c r="J59" s="100">
        <f t="shared" ca="1" si="33"/>
        <v>12544.705362066157</v>
      </c>
      <c r="K59" s="116"/>
      <c r="L59" s="99" t="s">
        <v>67</v>
      </c>
      <c r="M59" s="100">
        <f>$C$42</f>
        <v>1.5</v>
      </c>
    </row>
    <row r="60" spans="1:13" x14ac:dyDescent="0.3">
      <c r="A60" s="19"/>
      <c r="B60" s="84"/>
      <c r="C60" s="84"/>
      <c r="D60" s="84"/>
      <c r="E60" s="101"/>
      <c r="F60" s="84"/>
      <c r="J60" s="84"/>
      <c r="K60" s="116"/>
      <c r="L60" s="99" t="s">
        <v>66</v>
      </c>
      <c r="M60" s="95">
        <f>$C$41</f>
        <v>0.04</v>
      </c>
    </row>
    <row r="61" spans="1:13" x14ac:dyDescent="0.3">
      <c r="A61" s="19"/>
      <c r="B61" s="84" t="s">
        <v>181</v>
      </c>
      <c r="C61" s="100">
        <f ca="1">SUM(C59:J59)</f>
        <v>13501.740462858272</v>
      </c>
      <c r="D61" s="84"/>
      <c r="E61" s="101"/>
      <c r="F61" s="84"/>
      <c r="J61" s="84"/>
      <c r="K61" s="84"/>
      <c r="L61" s="91" t="s">
        <v>182</v>
      </c>
      <c r="M61" s="102">
        <f>M53*M55*(1-M56)+M54*M57</f>
        <v>7.7599999999999988E-2</v>
      </c>
    </row>
    <row r="62" spans="1:13" x14ac:dyDescent="0.3">
      <c r="A62" s="19"/>
      <c r="B62" s="84" t="s">
        <v>183</v>
      </c>
      <c r="C62" s="103">
        <f>-M48</f>
        <v>-5000</v>
      </c>
      <c r="D62" s="84"/>
      <c r="E62" s="104"/>
      <c r="F62" s="84"/>
      <c r="J62" s="84"/>
      <c r="K62" s="84"/>
      <c r="L62" s="84"/>
      <c r="M62" s="84"/>
    </row>
    <row r="63" spans="1:13" x14ac:dyDescent="0.3">
      <c r="A63" s="19"/>
      <c r="B63" s="84" t="s">
        <v>184</v>
      </c>
      <c r="C63" s="98">
        <f ca="1">C61+C62</f>
        <v>8501.7404628582717</v>
      </c>
      <c r="D63" s="84"/>
      <c r="E63" s="84"/>
      <c r="F63" s="84"/>
      <c r="J63" s="84"/>
      <c r="K63" s="84"/>
      <c r="L63" s="84"/>
      <c r="M63" s="84"/>
    </row>
    <row r="64" spans="1:13" x14ac:dyDescent="0.3">
      <c r="B64" s="12" t="s">
        <v>62</v>
      </c>
      <c r="C64" s="85">
        <f>$C$37</f>
        <v>200</v>
      </c>
      <c r="D64" s="84"/>
      <c r="E64" s="105"/>
      <c r="F64" s="84"/>
      <c r="J64" s="84"/>
      <c r="K64" s="84"/>
      <c r="L64" s="84"/>
      <c r="M64" s="84"/>
    </row>
    <row r="65" spans="1:13" x14ac:dyDescent="0.3">
      <c r="B65" s="84" t="s">
        <v>185</v>
      </c>
      <c r="C65" s="106">
        <f ca="1">C63/C64</f>
        <v>42.508702314291355</v>
      </c>
      <c r="D65" s="84"/>
      <c r="E65" s="84"/>
      <c r="F65" s="84"/>
      <c r="J65" s="84"/>
      <c r="K65" s="84"/>
      <c r="L65" s="84"/>
      <c r="M65" s="84"/>
    </row>
    <row r="66" spans="1:13" x14ac:dyDescent="0.3">
      <c r="B66" s="84" t="s">
        <v>186</v>
      </c>
      <c r="C66" s="84">
        <f>$C$36</f>
        <v>100</v>
      </c>
      <c r="D66" s="84"/>
      <c r="E66" s="84"/>
      <c r="F66" s="84"/>
      <c r="J66" s="84"/>
      <c r="K66" s="84"/>
      <c r="L66" s="84"/>
      <c r="M66" s="84"/>
    </row>
    <row r="67" spans="1:13" x14ac:dyDescent="0.3">
      <c r="B67" s="84" t="s">
        <v>187</v>
      </c>
      <c r="C67" s="107">
        <f ca="1">C65/C66-1</f>
        <v>-0.57491297685708642</v>
      </c>
      <c r="D67" s="84"/>
      <c r="E67" s="108"/>
      <c r="F67" s="84"/>
      <c r="G67" s="84"/>
      <c r="H67" s="84"/>
      <c r="I67" s="84"/>
    </row>
    <row r="69" spans="1:13" x14ac:dyDescent="0.3">
      <c r="B69" s="117" t="s">
        <v>188</v>
      </c>
      <c r="C69" s="118"/>
      <c r="D69" s="118"/>
      <c r="E69" s="118"/>
      <c r="F69" s="118"/>
    </row>
    <row r="71" spans="1:13" x14ac:dyDescent="0.3">
      <c r="A71" s="19" t="s">
        <v>107</v>
      </c>
    </row>
    <row r="72" spans="1:13" ht="69.599999999999994" customHeight="1" x14ac:dyDescent="0.3">
      <c r="A72" s="19"/>
      <c r="B72" s="180" t="s">
        <v>234</v>
      </c>
      <c r="C72" s="180"/>
      <c r="D72" s="180"/>
      <c r="E72" s="180"/>
      <c r="F72" s="180"/>
      <c r="G72" s="180"/>
      <c r="H72" s="180"/>
      <c r="I72" s="180"/>
      <c r="J72" s="180"/>
      <c r="K72" s="180"/>
      <c r="L72" s="180"/>
      <c r="M72" s="180"/>
    </row>
    <row r="73" spans="1:13" x14ac:dyDescent="0.3">
      <c r="A73" s="19"/>
    </row>
    <row r="74" spans="1:13" x14ac:dyDescent="0.3">
      <c r="A74" s="19" t="s">
        <v>108</v>
      </c>
      <c r="B74" s="7" t="s">
        <v>236</v>
      </c>
    </row>
    <row r="75" spans="1:13" x14ac:dyDescent="0.3">
      <c r="B75" s="121" t="s">
        <v>233</v>
      </c>
    </row>
    <row r="76" spans="1:13" x14ac:dyDescent="0.3">
      <c r="A76" s="19"/>
    </row>
    <row r="77" spans="1:13" x14ac:dyDescent="0.3">
      <c r="A77" s="19"/>
    </row>
    <row r="78" spans="1:13" x14ac:dyDescent="0.3">
      <c r="A78" s="19"/>
    </row>
    <row r="80" spans="1:13" x14ac:dyDescent="0.3">
      <c r="A80" s="19" t="s">
        <v>109</v>
      </c>
    </row>
    <row r="81" spans="2:19" x14ac:dyDescent="0.3">
      <c r="B81" s="83" t="s">
        <v>163</v>
      </c>
      <c r="C81" s="84">
        <v>1</v>
      </c>
      <c r="D81" s="84">
        <f>C81+1</f>
        <v>2</v>
      </c>
      <c r="E81" s="84">
        <f t="shared" ref="E81" si="34">D81+1</f>
        <v>3</v>
      </c>
      <c r="F81" s="84">
        <f t="shared" ref="F81" si="35">E81+1</f>
        <v>4</v>
      </c>
      <c r="G81" s="84">
        <f t="shared" ref="G81" si="36">F81+1</f>
        <v>5</v>
      </c>
      <c r="H81" s="84">
        <f t="shared" ref="H81" si="37">G81+1</f>
        <v>6</v>
      </c>
      <c r="I81" s="84">
        <f t="shared" ref="I81" si="38">H81+1</f>
        <v>7</v>
      </c>
      <c r="J81" s="84">
        <f t="shared" ref="J81" si="39">I81+1</f>
        <v>8</v>
      </c>
      <c r="K81" s="84">
        <f t="shared" ref="K81" si="40">J81+1</f>
        <v>9</v>
      </c>
      <c r="L81" s="84">
        <f t="shared" ref="L81" si="41">K81+1</f>
        <v>10</v>
      </c>
      <c r="M81" s="84">
        <f t="shared" ref="M81" si="42">L81+1</f>
        <v>11</v>
      </c>
      <c r="N81" s="84">
        <f t="shared" ref="N81" si="43">M81+1</f>
        <v>12</v>
      </c>
      <c r="O81" s="84">
        <f>N81</f>
        <v>12</v>
      </c>
      <c r="P81" s="84"/>
      <c r="Q81" s="84" t="s">
        <v>164</v>
      </c>
      <c r="R81" s="85">
        <f>$C$38</f>
        <v>5000</v>
      </c>
    </row>
    <row r="82" spans="2:19" x14ac:dyDescent="0.3">
      <c r="B82" s="86" t="s">
        <v>57</v>
      </c>
      <c r="C82" s="8" t="s">
        <v>56</v>
      </c>
      <c r="D82" s="8" t="s">
        <v>58</v>
      </c>
      <c r="E82" s="8" t="s">
        <v>59</v>
      </c>
      <c r="F82" s="8" t="s">
        <v>101</v>
      </c>
      <c r="G82" s="8" t="s">
        <v>102</v>
      </c>
      <c r="H82" s="8" t="s">
        <v>103</v>
      </c>
      <c r="I82" s="8" t="s">
        <v>104</v>
      </c>
      <c r="J82" s="119" t="s">
        <v>189</v>
      </c>
      <c r="K82" s="119" t="s">
        <v>190</v>
      </c>
      <c r="L82" s="119" t="s">
        <v>191</v>
      </c>
      <c r="M82" s="119" t="s">
        <v>192</v>
      </c>
      <c r="N82" s="119" t="s">
        <v>193</v>
      </c>
      <c r="O82" s="8" t="s">
        <v>165</v>
      </c>
      <c r="P82" s="8"/>
      <c r="Q82" s="84" t="s">
        <v>166</v>
      </c>
      <c r="R82" s="84">
        <f>$C$36*$C$37</f>
        <v>20000</v>
      </c>
    </row>
    <row r="83" spans="2:19" x14ac:dyDescent="0.3">
      <c r="B83" s="84" t="s">
        <v>162</v>
      </c>
      <c r="C83" s="87">
        <f>C$20</f>
        <v>150</v>
      </c>
      <c r="D83" s="87">
        <f t="shared" ref="D83:N83" si="44">D$20</f>
        <v>240</v>
      </c>
      <c r="E83" s="87">
        <f t="shared" si="44"/>
        <v>432</v>
      </c>
      <c r="F83" s="87">
        <f t="shared" si="44"/>
        <v>648</v>
      </c>
      <c r="G83" s="87">
        <f t="shared" si="44"/>
        <v>842.4</v>
      </c>
      <c r="H83" s="87">
        <f t="shared" si="44"/>
        <v>1053</v>
      </c>
      <c r="I83" s="87">
        <f t="shared" si="44"/>
        <v>1263.5999999999999</v>
      </c>
      <c r="J83" s="87">
        <f t="shared" si="44"/>
        <v>1453.1399999999999</v>
      </c>
      <c r="K83" s="87">
        <f t="shared" si="44"/>
        <v>1627.5168000000001</v>
      </c>
      <c r="L83" s="87">
        <f t="shared" si="44"/>
        <v>1790.2684800000002</v>
      </c>
      <c r="M83" s="87">
        <f t="shared" si="44"/>
        <v>1933.4899584000004</v>
      </c>
      <c r="N83" s="87">
        <f t="shared" si="44"/>
        <v>2049.4993559040004</v>
      </c>
      <c r="O83" s="87"/>
      <c r="P83" s="87"/>
      <c r="Q83" s="84" t="s">
        <v>167</v>
      </c>
      <c r="R83" s="88">
        <f>R81+R82</f>
        <v>25000</v>
      </c>
    </row>
    <row r="84" spans="2:19" x14ac:dyDescent="0.3">
      <c r="B84" s="89" t="s">
        <v>168</v>
      </c>
      <c r="C84" s="87">
        <f t="shared" ref="C84:I84" si="45">-C83*$C$40</f>
        <v>-30</v>
      </c>
      <c r="D84" s="87">
        <f t="shared" si="45"/>
        <v>-48</v>
      </c>
      <c r="E84" s="87">
        <f t="shared" si="45"/>
        <v>-86.4</v>
      </c>
      <c r="F84" s="87">
        <f t="shared" si="45"/>
        <v>-129.6</v>
      </c>
      <c r="G84" s="87">
        <f t="shared" si="45"/>
        <v>-168.48000000000002</v>
      </c>
      <c r="H84" s="87">
        <f t="shared" si="45"/>
        <v>-210.60000000000002</v>
      </c>
      <c r="I84" s="87">
        <f t="shared" si="45"/>
        <v>-252.72</v>
      </c>
      <c r="J84" s="87">
        <f t="shared" ref="J84:N84" si="46">-J83*$C$40</f>
        <v>-290.62799999999999</v>
      </c>
      <c r="K84" s="87">
        <f t="shared" si="46"/>
        <v>-325.50336000000004</v>
      </c>
      <c r="L84" s="87">
        <f t="shared" si="46"/>
        <v>-358.05369600000006</v>
      </c>
      <c r="M84" s="87">
        <f t="shared" si="46"/>
        <v>-386.69799168000009</v>
      </c>
      <c r="N84" s="87">
        <f t="shared" si="46"/>
        <v>-409.89987118080012</v>
      </c>
      <c r="O84" s="87"/>
      <c r="P84" s="87"/>
      <c r="Q84" s="84"/>
      <c r="R84" s="84"/>
    </row>
    <row r="85" spans="2:19" x14ac:dyDescent="0.3">
      <c r="B85" s="84" t="s">
        <v>169</v>
      </c>
      <c r="C85" s="90">
        <f>C83+C84</f>
        <v>120</v>
      </c>
      <c r="D85" s="90">
        <f t="shared" ref="D85:I85" si="47">D83+D84</f>
        <v>192</v>
      </c>
      <c r="E85" s="90">
        <f t="shared" si="47"/>
        <v>345.6</v>
      </c>
      <c r="F85" s="90">
        <f t="shared" si="47"/>
        <v>518.4</v>
      </c>
      <c r="G85" s="90">
        <f t="shared" si="47"/>
        <v>673.92</v>
      </c>
      <c r="H85" s="90">
        <f t="shared" si="47"/>
        <v>842.4</v>
      </c>
      <c r="I85" s="90">
        <f t="shared" si="47"/>
        <v>1010.8799999999999</v>
      </c>
      <c r="J85" s="90">
        <f t="shared" ref="J85:N85" si="48">J83+J84</f>
        <v>1162.5119999999999</v>
      </c>
      <c r="K85" s="90">
        <f t="shared" si="48"/>
        <v>1302.0134400000002</v>
      </c>
      <c r="L85" s="90">
        <f t="shared" si="48"/>
        <v>1432.2147840000002</v>
      </c>
      <c r="M85" s="90">
        <f t="shared" si="48"/>
        <v>1546.7919667200003</v>
      </c>
      <c r="N85" s="90">
        <f t="shared" si="48"/>
        <v>1639.5994847232002</v>
      </c>
      <c r="O85" s="90"/>
      <c r="P85" s="134"/>
      <c r="Q85" s="91" t="s">
        <v>170</v>
      </c>
      <c r="R85" s="84"/>
    </row>
    <row r="86" spans="2:19" x14ac:dyDescent="0.3">
      <c r="B86" s="84"/>
      <c r="C86" s="84"/>
      <c r="D86" s="84"/>
      <c r="E86" s="84"/>
      <c r="F86" s="84"/>
      <c r="K86" s="116"/>
      <c r="O86" s="84"/>
      <c r="P86" s="84"/>
      <c r="Q86" s="9" t="s">
        <v>171</v>
      </c>
      <c r="R86" s="92">
        <f>R81/R83</f>
        <v>0.2</v>
      </c>
    </row>
    <row r="87" spans="2:19" x14ac:dyDescent="0.3">
      <c r="B87" s="84" t="s">
        <v>172</v>
      </c>
      <c r="C87" s="93">
        <f ca="1">C$23</f>
        <v>75.233644859813097</v>
      </c>
      <c r="D87" s="93">
        <f t="shared" ref="D87:N87" ca="1" si="49">D$23</f>
        <v>82.834439478080284</v>
      </c>
      <c r="E87" s="93">
        <f t="shared" ca="1" si="49"/>
        <v>97.521965310480667</v>
      </c>
      <c r="F87" s="93">
        <f t="shared" ca="1" si="49"/>
        <v>108.51081789817762</v>
      </c>
      <c r="G87" s="93">
        <f t="shared" ca="1" si="49"/>
        <v>115.37482055240714</v>
      </c>
      <c r="H87" s="93">
        <f t="shared" ca="1" si="49"/>
        <v>120.42193413823469</v>
      </c>
      <c r="I87" s="93">
        <f t="shared" ca="1" si="49"/>
        <v>123.43687579072122</v>
      </c>
      <c r="J87" s="93">
        <f t="shared" ca="1" si="49"/>
        <v>125.47943004361488</v>
      </c>
      <c r="K87" s="93">
        <f t="shared" ca="1" si="49"/>
        <v>127.57754598190655</v>
      </c>
      <c r="L87" s="93">
        <f t="shared" ca="1" si="49"/>
        <v>129.73230751571433</v>
      </c>
      <c r="M87" s="93">
        <f t="shared" ca="1" si="49"/>
        <v>131.94483902061276</v>
      </c>
      <c r="N87" s="93">
        <f t="shared" ca="1" si="49"/>
        <v>134.21630563963578</v>
      </c>
      <c r="O87" s="84"/>
      <c r="P87" s="84"/>
      <c r="Q87" s="9" t="s">
        <v>173</v>
      </c>
      <c r="R87" s="94">
        <f>1-R86</f>
        <v>0.8</v>
      </c>
    </row>
    <row r="88" spans="2:19" x14ac:dyDescent="0.3">
      <c r="B88" s="9" t="s">
        <v>37</v>
      </c>
      <c r="C88" s="93">
        <f ca="1">C$24</f>
        <v>-88.336960696453716</v>
      </c>
      <c r="D88" s="93">
        <f t="shared" ref="D88:N88" ca="1" si="50">D$24</f>
        <v>-159.27927727341043</v>
      </c>
      <c r="E88" s="93">
        <f t="shared" ca="1" si="50"/>
        <v>-214.94937642043936</v>
      </c>
      <c r="F88" s="93">
        <f t="shared" ca="1" si="50"/>
        <v>-217.78632070259096</v>
      </c>
      <c r="G88" s="93">
        <f t="shared" ca="1" si="50"/>
        <v>-215.3681657627354</v>
      </c>
      <c r="H88" s="93">
        <f t="shared" ca="1" si="50"/>
        <v>-215.76604657349668</v>
      </c>
      <c r="I88" s="93">
        <f t="shared" ca="1" si="50"/>
        <v>-219.04095229792833</v>
      </c>
      <c r="J88" s="93">
        <f t="shared" ca="1" si="50"/>
        <v>-219.04095229792833</v>
      </c>
      <c r="K88" s="93">
        <f t="shared" ca="1" si="50"/>
        <v>-219.04095229792833</v>
      </c>
      <c r="L88" s="93">
        <f t="shared" ca="1" si="50"/>
        <v>-219.04095229792833</v>
      </c>
      <c r="M88" s="93">
        <f t="shared" ca="1" si="50"/>
        <v>-219.04095229792833</v>
      </c>
      <c r="N88" s="93">
        <f t="shared" ca="1" si="50"/>
        <v>-219.04095229792833</v>
      </c>
      <c r="O88" s="84"/>
      <c r="P88" s="84"/>
      <c r="Q88" s="9" t="s">
        <v>174</v>
      </c>
      <c r="R88" s="95">
        <f>$C$39</f>
        <v>0.06</v>
      </c>
    </row>
    <row r="89" spans="2:19" x14ac:dyDescent="0.3">
      <c r="B89" s="84" t="s">
        <v>175</v>
      </c>
      <c r="C89" s="93">
        <f>-C$25</f>
        <v>-150</v>
      </c>
      <c r="D89" s="93">
        <f t="shared" ref="D89:N89" si="51">-D$25</f>
        <v>-300</v>
      </c>
      <c r="E89" s="93">
        <f t="shared" si="51"/>
        <v>-300</v>
      </c>
      <c r="F89" s="93">
        <f t="shared" si="51"/>
        <v>-220</v>
      </c>
      <c r="G89" s="93">
        <f t="shared" si="51"/>
        <v>-200</v>
      </c>
      <c r="H89" s="93">
        <f t="shared" si="51"/>
        <v>-180</v>
      </c>
      <c r="I89" s="93">
        <f t="shared" si="51"/>
        <v>-150</v>
      </c>
      <c r="J89" s="93">
        <f t="shared" ca="1" si="51"/>
        <v>-141.37721440888478</v>
      </c>
      <c r="K89" s="93">
        <f t="shared" ca="1" si="51"/>
        <v>-157.55063081464465</v>
      </c>
      <c r="L89" s="93">
        <f t="shared" ca="1" si="51"/>
        <v>-160.51461514153962</v>
      </c>
      <c r="M89" s="93">
        <f t="shared" ca="1" si="51"/>
        <v>-163.55243194773354</v>
      </c>
      <c r="N89" s="93">
        <f t="shared" ca="1" si="51"/>
        <v>-166.66582876853573</v>
      </c>
      <c r="O89" s="84"/>
      <c r="P89" s="84"/>
      <c r="Q89" s="9" t="s">
        <v>176</v>
      </c>
      <c r="R89" s="96">
        <f>$C$40</f>
        <v>0.2</v>
      </c>
    </row>
    <row r="90" spans="2:19" x14ac:dyDescent="0.3">
      <c r="B90" s="97"/>
      <c r="C90" s="97"/>
      <c r="D90" s="97"/>
      <c r="E90" s="97"/>
      <c r="F90" s="97"/>
      <c r="O90" s="97"/>
      <c r="P90" s="97"/>
      <c r="Q90" s="9" t="s">
        <v>177</v>
      </c>
      <c r="R90" s="92">
        <f>R91+R92*S93</f>
        <v>8.4999999999999992E-2</v>
      </c>
    </row>
    <row r="91" spans="2:19" x14ac:dyDescent="0.3">
      <c r="B91" s="84" t="s">
        <v>178</v>
      </c>
      <c r="C91" s="90">
        <f ca="1">SUM(C85:C89)</f>
        <v>-43.103315836640618</v>
      </c>
      <c r="D91" s="90">
        <f t="shared" ref="D91:I91" ca="1" si="52">SUM(D85:D89)</f>
        <v>-184.44483779533013</v>
      </c>
      <c r="E91" s="90">
        <f t="shared" ca="1" si="52"/>
        <v>-71.827411109958689</v>
      </c>
      <c r="F91" s="90">
        <f t="shared" ca="1" si="52"/>
        <v>189.12449719558663</v>
      </c>
      <c r="G91" s="90">
        <f t="shared" ca="1" si="52"/>
        <v>373.92665478967172</v>
      </c>
      <c r="H91" s="90">
        <f t="shared" ca="1" si="52"/>
        <v>567.05588756473799</v>
      </c>
      <c r="I91" s="90">
        <f t="shared" ca="1" si="52"/>
        <v>765.27592349279269</v>
      </c>
      <c r="J91" s="90">
        <f t="shared" ref="J91:N91" ca="1" si="53">SUM(J85:J89)</f>
        <v>927.5732633368018</v>
      </c>
      <c r="K91" s="90">
        <f t="shared" ca="1" si="53"/>
        <v>1052.9994028693338</v>
      </c>
      <c r="L91" s="90">
        <f t="shared" ca="1" si="53"/>
        <v>1182.3915240762467</v>
      </c>
      <c r="M91" s="90">
        <f t="shared" ca="1" si="53"/>
        <v>1296.1434214949513</v>
      </c>
      <c r="N91" s="90">
        <f t="shared" ca="1" si="53"/>
        <v>1388.1090092963721</v>
      </c>
      <c r="O91" s="98">
        <f ca="1">N91*(1+$C$44)/($M$61-$C$44)</f>
        <v>38394.504512452862</v>
      </c>
      <c r="P91" s="100"/>
      <c r="Q91" s="99" t="s">
        <v>179</v>
      </c>
      <c r="R91" s="95">
        <f>$C$43</f>
        <v>2.5000000000000001E-2</v>
      </c>
    </row>
    <row r="92" spans="2:19" x14ac:dyDescent="0.3">
      <c r="B92" s="84" t="s">
        <v>180</v>
      </c>
      <c r="C92" s="100">
        <f ca="1">C91/(1+$M$61)^C81</f>
        <v>-39.999365104529161</v>
      </c>
      <c r="D92" s="100">
        <f t="shared" ref="D92" ca="1" si="54">D91/(1+$M$61)^D81</f>
        <v>-158.83687694186008</v>
      </c>
      <c r="E92" s="100">
        <f t="shared" ref="E92" ca="1" si="55">E91/(1+$M$61)^E81</f>
        <v>-57.400736553750349</v>
      </c>
      <c r="F92" s="100">
        <f t="shared" ref="F92" ca="1" si="56">F91/(1+$M$61)^F81</f>
        <v>140.25471032816998</v>
      </c>
      <c r="G92" s="100">
        <f t="shared" ref="G92" ca="1" si="57">G91/(1+$M$61)^G81</f>
        <v>257.33479397887936</v>
      </c>
      <c r="H92" s="100">
        <f t="shared" ref="H92" ca="1" si="58">H91/(1+$M$61)^H81</f>
        <v>362.14322737973686</v>
      </c>
      <c r="I92" s="100">
        <f t="shared" ref="I92" ca="1" si="59">I91/(1+$M$61)^I81</f>
        <v>453.53934770546857</v>
      </c>
      <c r="J92" s="100">
        <f t="shared" ref="J92" ca="1" si="60">J91/(1+$M$61)^J81</f>
        <v>510.13786492525378</v>
      </c>
      <c r="K92" s="100">
        <f t="shared" ref="K92" ca="1" si="61">K91/(1+$M$61)^K81</f>
        <v>537.41511934400171</v>
      </c>
      <c r="L92" s="100">
        <f t="shared" ref="L92" ca="1" si="62">L91/(1+$M$61)^L81</f>
        <v>559.99671666940105</v>
      </c>
      <c r="M92" s="100">
        <f t="shared" ref="M92" ca="1" si="63">M91/(1+$M$61)^M81</f>
        <v>569.66514783562707</v>
      </c>
      <c r="N92" s="100">
        <f ca="1">N91/(1+$M$61)^N81</f>
        <v>566.15139319024217</v>
      </c>
      <c r="O92" s="100">
        <f ca="1">O91/(1+$M$61)^O81</f>
        <v>15659.506620155642</v>
      </c>
      <c r="P92" s="100"/>
      <c r="Q92" s="99" t="s">
        <v>67</v>
      </c>
      <c r="R92" s="100">
        <f>$C$42</f>
        <v>1.5</v>
      </c>
    </row>
    <row r="93" spans="2:19" x14ac:dyDescent="0.3">
      <c r="B93" s="84"/>
      <c r="C93" s="84"/>
      <c r="D93" s="84"/>
      <c r="E93" s="101"/>
      <c r="F93" s="84"/>
      <c r="J93" s="84"/>
      <c r="K93" s="116"/>
      <c r="R93" s="99" t="s">
        <v>66</v>
      </c>
      <c r="S93" s="95">
        <f>$C$41</f>
        <v>0.04</v>
      </c>
    </row>
    <row r="94" spans="2:19" x14ac:dyDescent="0.3">
      <c r="B94" s="84" t="s">
        <v>181</v>
      </c>
      <c r="C94" s="100">
        <f ca="1">SUM(C92:O92)</f>
        <v>19359.907962912283</v>
      </c>
      <c r="D94" s="84"/>
      <c r="E94" s="101"/>
      <c r="F94" s="84"/>
      <c r="J94" s="84"/>
      <c r="K94" s="84"/>
      <c r="R94" s="91" t="s">
        <v>182</v>
      </c>
      <c r="S94" s="102">
        <f>R86*R88*(1-R89)+R87*R90</f>
        <v>7.7599999999999988E-2</v>
      </c>
    </row>
    <row r="95" spans="2:19" x14ac:dyDescent="0.3">
      <c r="B95" s="84" t="s">
        <v>183</v>
      </c>
      <c r="C95" s="103">
        <f>-R81</f>
        <v>-5000</v>
      </c>
      <c r="D95" s="84"/>
      <c r="E95" s="104"/>
      <c r="F95" s="84"/>
      <c r="J95" s="84"/>
      <c r="K95" s="84"/>
      <c r="R95" s="84"/>
      <c r="S95" s="84"/>
    </row>
    <row r="96" spans="2:19" x14ac:dyDescent="0.3">
      <c r="B96" s="84" t="s">
        <v>184</v>
      </c>
      <c r="C96" s="98">
        <f ca="1">C94+C95</f>
        <v>14359.907962912283</v>
      </c>
      <c r="D96" s="84"/>
      <c r="E96" s="84"/>
      <c r="F96" s="84"/>
      <c r="J96" s="84"/>
      <c r="K96" s="84"/>
      <c r="L96" s="84"/>
      <c r="M96" s="84"/>
    </row>
    <row r="97" spans="2:15" x14ac:dyDescent="0.3">
      <c r="B97" s="12" t="s">
        <v>62</v>
      </c>
      <c r="C97" s="85">
        <f>$C$37</f>
        <v>200</v>
      </c>
      <c r="D97" s="84"/>
      <c r="E97" s="105"/>
      <c r="F97" s="84"/>
      <c r="J97" s="84"/>
      <c r="K97" s="84"/>
      <c r="L97" s="84"/>
      <c r="M97" s="84"/>
    </row>
    <row r="98" spans="2:15" x14ac:dyDescent="0.3">
      <c r="B98" s="84" t="s">
        <v>185</v>
      </c>
      <c r="C98" s="106">
        <f ca="1">C96/C97</f>
        <v>71.799539814561413</v>
      </c>
      <c r="D98" s="84"/>
      <c r="E98" s="84"/>
      <c r="F98" s="84"/>
      <c r="J98" s="84"/>
      <c r="K98" s="84"/>
      <c r="L98" s="84"/>
      <c r="M98" s="84"/>
    </row>
    <row r="99" spans="2:15" x14ac:dyDescent="0.3">
      <c r="B99" s="84" t="s">
        <v>186</v>
      </c>
      <c r="C99" s="84">
        <f>$C$36</f>
        <v>100</v>
      </c>
      <c r="D99" s="84"/>
      <c r="E99" s="84"/>
      <c r="F99" s="84"/>
      <c r="J99" s="84"/>
      <c r="K99" s="84"/>
      <c r="L99" s="84"/>
      <c r="M99" s="84"/>
    </row>
    <row r="100" spans="2:15" x14ac:dyDescent="0.3">
      <c r="B100" s="84" t="s">
        <v>187</v>
      </c>
      <c r="C100" s="107">
        <f ca="1">C98/C99-1</f>
        <v>-0.28200460185438592</v>
      </c>
      <c r="D100" s="84"/>
      <c r="E100" s="108"/>
      <c r="F100" s="84"/>
      <c r="G100" s="84"/>
      <c r="H100" s="84"/>
      <c r="I100" s="84"/>
    </row>
    <row r="102" spans="2:15" x14ac:dyDescent="0.3">
      <c r="B102" s="117" t="s">
        <v>235</v>
      </c>
      <c r="C102" s="118"/>
      <c r="D102" s="118"/>
      <c r="E102" s="118"/>
      <c r="F102" s="118"/>
      <c r="G102" s="118"/>
      <c r="H102" s="118"/>
      <c r="I102" s="118"/>
      <c r="J102" s="118"/>
      <c r="K102" s="118"/>
      <c r="L102" s="118"/>
      <c r="M102" s="118"/>
      <c r="N102" s="118"/>
      <c r="O102" s="118"/>
    </row>
  </sheetData>
  <mergeCells count="2">
    <mergeCell ref="B72:M72"/>
    <mergeCell ref="J18:N18"/>
  </mergeCells>
  <phoneticPr fontId="11" type="noConversion"/>
  <pageMargins left="0.7" right="0.7" top="0.75" bottom="0.75" header="0.3" footer="0.3"/>
  <pageSetup paperSize="9" orientation="portrait"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F25F-43FF-41E2-BAA4-260E112F749E}">
  <dimension ref="A15:Q27"/>
  <sheetViews>
    <sheetView workbookViewId="0">
      <selection activeCell="E28" sqref="E28"/>
    </sheetView>
  </sheetViews>
  <sheetFormatPr defaultRowHeight="14.4" x14ac:dyDescent="0.3"/>
  <sheetData>
    <row r="15" spans="1:17" ht="15.6" x14ac:dyDescent="0.3">
      <c r="A15" s="19" t="s">
        <v>110</v>
      </c>
    </row>
    <row r="16" spans="1:17" ht="47.4" customHeight="1" x14ac:dyDescent="0.3">
      <c r="A16" s="182" t="s">
        <v>202</v>
      </c>
      <c r="B16" s="182"/>
      <c r="C16" s="182"/>
      <c r="D16" s="182"/>
      <c r="E16" s="182"/>
      <c r="F16" s="182"/>
      <c r="G16" s="182"/>
      <c r="H16" s="182"/>
      <c r="I16" s="182"/>
      <c r="J16" s="182"/>
      <c r="K16" s="182"/>
      <c r="L16" s="182"/>
      <c r="M16" s="182"/>
      <c r="N16" s="182"/>
      <c r="O16" s="182"/>
      <c r="P16" s="182"/>
      <c r="Q16" s="182"/>
    </row>
    <row r="17" spans="1:17" ht="15.6" x14ac:dyDescent="0.3">
      <c r="A17" s="19"/>
    </row>
    <row r="18" spans="1:17" ht="15.6" x14ac:dyDescent="0.3">
      <c r="A18" s="19" t="s">
        <v>111</v>
      </c>
    </row>
    <row r="19" spans="1:17" ht="55.2" customHeight="1" x14ac:dyDescent="0.3">
      <c r="A19" s="182" t="s">
        <v>203</v>
      </c>
      <c r="B19" s="182"/>
      <c r="C19" s="182"/>
      <c r="D19" s="182"/>
      <c r="E19" s="182"/>
      <c r="F19" s="182"/>
      <c r="G19" s="182"/>
      <c r="H19" s="182"/>
      <c r="I19" s="182"/>
      <c r="J19" s="182"/>
      <c r="K19" s="182"/>
      <c r="L19" s="182"/>
      <c r="M19" s="182"/>
      <c r="N19" s="182"/>
      <c r="O19" s="182"/>
      <c r="P19" s="182"/>
      <c r="Q19" s="182"/>
    </row>
    <row r="20" spans="1:17" ht="15.6" x14ac:dyDescent="0.3">
      <c r="A20" s="19"/>
    </row>
    <row r="21" spans="1:17" ht="15.6" x14ac:dyDescent="0.3">
      <c r="A21" s="19" t="s">
        <v>112</v>
      </c>
    </row>
    <row r="22" spans="1:17" ht="61.2" customHeight="1" x14ac:dyDescent="0.3">
      <c r="A22" s="182" t="s">
        <v>204</v>
      </c>
      <c r="B22" s="182"/>
      <c r="C22" s="182"/>
      <c r="D22" s="182"/>
      <c r="E22" s="182"/>
      <c r="F22" s="182"/>
      <c r="G22" s="182"/>
      <c r="H22" s="182"/>
      <c r="I22" s="182"/>
      <c r="J22" s="182"/>
      <c r="K22" s="182"/>
      <c r="L22" s="182"/>
      <c r="M22" s="182"/>
      <c r="N22" s="182"/>
      <c r="O22" s="182"/>
      <c r="P22" s="182"/>
      <c r="Q22" s="182"/>
    </row>
    <row r="23" spans="1:17" ht="15.6" x14ac:dyDescent="0.3">
      <c r="A23" s="19"/>
    </row>
    <row r="24" spans="1:17" ht="15.6" x14ac:dyDescent="0.3">
      <c r="A24" s="19" t="s">
        <v>113</v>
      </c>
    </row>
    <row r="25" spans="1:17" ht="15.6" x14ac:dyDescent="0.3">
      <c r="A25" s="136" t="s">
        <v>205</v>
      </c>
      <c r="B25" s="137"/>
      <c r="C25" s="137"/>
      <c r="D25" s="137"/>
      <c r="E25" s="137"/>
      <c r="F25" s="137"/>
      <c r="G25" s="137"/>
      <c r="H25" s="137"/>
      <c r="I25" s="137"/>
      <c r="J25" s="137"/>
      <c r="K25" s="137"/>
      <c r="L25" s="137"/>
      <c r="M25" s="137"/>
      <c r="N25" s="137"/>
      <c r="O25" s="137"/>
      <c r="P25" s="137"/>
      <c r="Q25" s="137"/>
    </row>
    <row r="26" spans="1:17" ht="15.6" x14ac:dyDescent="0.3">
      <c r="A26" s="136" t="s">
        <v>206</v>
      </c>
      <c r="B26" s="137"/>
      <c r="C26" s="137"/>
      <c r="D26" s="137"/>
      <c r="E26" s="137"/>
      <c r="F26" s="137"/>
      <c r="G26" s="137"/>
      <c r="H26" s="137"/>
      <c r="I26" s="137"/>
      <c r="J26" s="137"/>
      <c r="K26" s="137"/>
      <c r="L26" s="137"/>
      <c r="M26" s="137"/>
      <c r="N26" s="137"/>
      <c r="O26" s="137"/>
      <c r="P26" s="137"/>
      <c r="Q26" s="137"/>
    </row>
    <row r="27" spans="1:17" ht="15.6" x14ac:dyDescent="0.3">
      <c r="A27" s="136" t="s">
        <v>207</v>
      </c>
      <c r="B27" s="137"/>
      <c r="C27" s="137"/>
      <c r="D27" s="137"/>
      <c r="E27" s="137"/>
      <c r="F27" s="137"/>
      <c r="G27" s="137"/>
      <c r="H27" s="137"/>
      <c r="I27" s="137"/>
      <c r="J27" s="137"/>
      <c r="K27" s="137"/>
      <c r="L27" s="137"/>
      <c r="M27" s="137"/>
      <c r="N27" s="137"/>
      <c r="O27" s="137"/>
      <c r="P27" s="137"/>
      <c r="Q27" s="137"/>
    </row>
  </sheetData>
  <mergeCells count="3">
    <mergeCell ref="A16:Q16"/>
    <mergeCell ref="A19:Q19"/>
    <mergeCell ref="A22:Q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Suparat Patarasupanit</cp:lastModifiedBy>
  <dcterms:created xsi:type="dcterms:W3CDTF">2023-03-10T04:16:06Z</dcterms:created>
  <dcterms:modified xsi:type="dcterms:W3CDTF">2024-03-04T09:02:14Z</dcterms:modified>
</cp:coreProperties>
</file>