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hing\Desktop\MSF program\MSF term 2\Prac Corp Fin Mod\Cases\Case 3_BBB\"/>
    </mc:Choice>
  </mc:AlternateContent>
  <xr:revisionPtr revIDLastSave="0" documentId="13_ncr:1_{40784A76-6673-4994-8474-C9390AF9875D}" xr6:coauthVersionLast="47" xr6:coauthVersionMax="47" xr10:uidLastSave="{00000000-0000-0000-0000-000000000000}"/>
  <bookViews>
    <workbookView xWindow="12525" yWindow="2430" windowWidth="12630" windowHeight="11295" tabRatio="807" xr2:uid="{9388FF8B-AC0C-407F-B5D2-045249990AB7}"/>
  </bookViews>
  <sheets>
    <sheet name="Exhibit1" sheetId="14" r:id="rId1"/>
    <sheet name="Financial&amp;Operating info" sheetId="1" r:id="rId2"/>
    <sheet name="Future lease payment" sheetId="5" r:id="rId3"/>
    <sheet name="FS" sheetId="2" r:id="rId4"/>
    <sheet name="Comparable data" sheetId="6" r:id="rId5"/>
    <sheet name="S&amp;P fin ratios" sheetId="7" r:id="rId6"/>
    <sheet name="Pro forma" sheetId="8" r:id="rId7"/>
    <sheet name="Mkt int rate" sheetId="9" r:id="rId8"/>
    <sheet name="Cost of capital (non-use)" sheetId="12" r:id="rId9"/>
  </sheets>
  <definedNames>
    <definedName name="solver_adj" localSheetId="6" hidden="1">'Pro forma'!$I$30</definedName>
    <definedName name="solver_cvg" localSheetId="6" hidden="1">0.0001</definedName>
    <definedName name="solver_drv" localSheetId="6" hidden="1">1</definedName>
    <definedName name="solver_eng" localSheetId="6" hidden="1">1</definedName>
    <definedName name="solver_est" localSheetId="6" hidden="1">1</definedName>
    <definedName name="solver_itr" localSheetId="6" hidden="1">2147483647</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0</definedName>
    <definedName name="solver_nwt" localSheetId="6" hidden="1">1</definedName>
    <definedName name="solver_opt" localSheetId="6" hidden="1">'Pro forma'!$I$39</definedName>
    <definedName name="solver_pre" localSheetId="6" hidden="1">0.000001</definedName>
    <definedName name="solver_rbv"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0.4</definedName>
    <definedName name="solver_ver" localSheetId="6" hidden="1">3</definedName>
  </definedNames>
  <calcPr calcId="191028"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7" l="1"/>
  <c r="E18" i="7"/>
  <c r="F18" i="7"/>
  <c r="G18" i="7"/>
  <c r="C40" i="8"/>
  <c r="F11" i="2"/>
  <c r="F12" i="2"/>
  <c r="F13" i="2"/>
  <c r="F10" i="2"/>
  <c r="P15" i="1"/>
  <c r="G18" i="8"/>
  <c r="F29" i="5"/>
  <c r="D6" i="14"/>
  <c r="D7" i="14"/>
  <c r="C7" i="14"/>
  <c r="B6" i="14"/>
  <c r="B10" i="14"/>
  <c r="C10" i="14"/>
  <c r="D10" i="14"/>
  <c r="B13" i="14"/>
  <c r="C13" i="14"/>
  <c r="D13" i="14"/>
  <c r="B11" i="14"/>
  <c r="B14" i="14" s="1"/>
  <c r="C11" i="14"/>
  <c r="C14" i="14" s="1"/>
  <c r="D11" i="14"/>
  <c r="D14" i="14" s="1"/>
  <c r="D9" i="14"/>
  <c r="C9" i="14"/>
  <c r="B9" i="14"/>
  <c r="D8" i="14"/>
  <c r="C8" i="14"/>
  <c r="B8" i="14"/>
  <c r="C6" i="14"/>
  <c r="B7" i="14"/>
  <c r="D26" i="5"/>
  <c r="E26" i="5"/>
  <c r="C26" i="5"/>
  <c r="S7" i="7"/>
  <c r="T7" i="7" s="1"/>
  <c r="J12" i="7"/>
  <c r="K12" i="7"/>
  <c r="M28" i="8"/>
  <c r="E27" i="8"/>
  <c r="C28" i="8"/>
  <c r="J11" i="7" s="1"/>
  <c r="K7" i="7"/>
  <c r="S11" i="7"/>
  <c r="T11" i="7" s="1"/>
  <c r="S10" i="7"/>
  <c r="T10" i="7" s="1"/>
  <c r="S9" i="7"/>
  <c r="T9" i="7" s="1"/>
  <c r="S8" i="7"/>
  <c r="T8" i="7" s="1"/>
  <c r="N46" i="8"/>
  <c r="O46" i="8" s="1"/>
  <c r="M46" i="8"/>
  <c r="N25" i="8"/>
  <c r="N21" i="8" s="1"/>
  <c r="O25" i="8"/>
  <c r="N24" i="8"/>
  <c r="O27" i="8"/>
  <c r="O11" i="8" s="1"/>
  <c r="M22" i="8"/>
  <c r="M18" i="8"/>
  <c r="O10" i="8"/>
  <c r="O12" i="8"/>
  <c r="O8" i="8"/>
  <c r="E32" i="6"/>
  <c r="F32" i="6"/>
  <c r="G32" i="6"/>
  <c r="H32" i="6"/>
  <c r="I32" i="6"/>
  <c r="D32" i="6"/>
  <c r="I31" i="6"/>
  <c r="G31" i="6"/>
  <c r="E31" i="6"/>
  <c r="F31" i="6"/>
  <c r="H31" i="6"/>
  <c r="D31" i="6"/>
  <c r="F33" i="2"/>
  <c r="F31" i="5"/>
  <c r="G29" i="5"/>
  <c r="C31" i="8"/>
  <c r="D22" i="8"/>
  <c r="C22" i="8"/>
  <c r="D14" i="9"/>
  <c r="C11" i="12"/>
  <c r="C6" i="12"/>
  <c r="D15" i="9"/>
  <c r="D16" i="9"/>
  <c r="E38" i="5"/>
  <c r="D38" i="5"/>
  <c r="D38" i="6"/>
  <c r="E38" i="6"/>
  <c r="F38" i="6"/>
  <c r="G38" i="6"/>
  <c r="H38" i="6"/>
  <c r="I38" i="6"/>
  <c r="C38" i="6"/>
  <c r="E34" i="6"/>
  <c r="F34" i="6"/>
  <c r="G34" i="6"/>
  <c r="H34" i="6"/>
  <c r="I34" i="6"/>
  <c r="D34" i="6"/>
  <c r="D19" i="5"/>
  <c r="G31" i="5"/>
  <c r="H31" i="5"/>
  <c r="I31" i="5"/>
  <c r="J31" i="5"/>
  <c r="K28" i="5"/>
  <c r="C18" i="8"/>
  <c r="C13" i="12"/>
  <c r="D13" i="12" s="1"/>
  <c r="E13" i="12" s="1"/>
  <c r="D11" i="12"/>
  <c r="E11" i="12" s="1"/>
  <c r="D53" i="8"/>
  <c r="C53" i="8"/>
  <c r="C54" i="8"/>
  <c r="C55" i="8"/>
  <c r="D54" i="8"/>
  <c r="D55" i="8" s="1"/>
  <c r="D8" i="12"/>
  <c r="E8" i="12" s="1"/>
  <c r="C56" i="8"/>
  <c r="D56" i="8"/>
  <c r="C65" i="8"/>
  <c r="D65" i="8"/>
  <c r="C61" i="8"/>
  <c r="D61" i="8"/>
  <c r="C60" i="8"/>
  <c r="C62" i="8" s="1"/>
  <c r="D60" i="8"/>
  <c r="C38" i="5"/>
  <c r="E15" i="5"/>
  <c r="E16" i="5"/>
  <c r="E17" i="5"/>
  <c r="E18" i="5"/>
  <c r="E14" i="5"/>
  <c r="E19" i="5"/>
  <c r="D29" i="5"/>
  <c r="E29" i="5"/>
  <c r="H29" i="5"/>
  <c r="I29" i="5"/>
  <c r="J29" i="5"/>
  <c r="T12" i="7" l="1"/>
  <c r="N20" i="8"/>
  <c r="O24" i="8"/>
  <c r="M31" i="8"/>
  <c r="K31" i="5"/>
  <c r="L28" i="5"/>
  <c r="E59" i="8"/>
  <c r="E65" i="8"/>
  <c r="E56" i="8"/>
  <c r="E61" i="8"/>
  <c r="G61" i="8"/>
  <c r="E60" i="8"/>
  <c r="G60" i="8"/>
  <c r="G62" i="8" s="1"/>
  <c r="C64" i="8" s="1"/>
  <c r="G46" i="8"/>
  <c r="I46" i="8"/>
  <c r="J46" i="8" s="1"/>
  <c r="D46" i="8"/>
  <c r="E46" i="8" s="1"/>
  <c r="E11" i="8" s="1"/>
  <c r="C46" i="8"/>
  <c r="E10" i="8"/>
  <c r="G9" i="8"/>
  <c r="E12" i="8" l="1"/>
  <c r="I9" i="8"/>
  <c r="J9" i="8" s="1"/>
  <c r="G10" i="8"/>
  <c r="L31" i="5"/>
  <c r="M28" i="5"/>
  <c r="C66" i="8"/>
  <c r="C7" i="12" s="1"/>
  <c r="C9" i="12" s="1"/>
  <c r="C14" i="12" s="1"/>
  <c r="G12" i="8"/>
  <c r="G14" i="8" s="1"/>
  <c r="D62" i="8"/>
  <c r="D64" i="8" s="1"/>
  <c r="G15" i="8"/>
  <c r="G16" i="8" s="1"/>
  <c r="G22" i="8" s="1"/>
  <c r="I10" i="8"/>
  <c r="I12" i="8" s="1"/>
  <c r="I14" i="8" s="1"/>
  <c r="I15" i="8" s="1"/>
  <c r="I16" i="8" s="1"/>
  <c r="M31" i="5" l="1"/>
  <c r="N28" i="5"/>
  <c r="E64" i="8"/>
  <c r="D66" i="8"/>
  <c r="D7" i="12"/>
  <c r="E62" i="8"/>
  <c r="N31" i="5" l="1"/>
  <c r="O28" i="5"/>
  <c r="O31" i="5" l="1"/>
  <c r="P28" i="5"/>
  <c r="J27" i="8"/>
  <c r="J11" i="8" s="1"/>
  <c r="J8" i="8"/>
  <c r="J10" i="8"/>
  <c r="J12" i="8" s="1"/>
  <c r="E8" i="8"/>
  <c r="L12" i="7" s="1"/>
  <c r="E53" i="8" l="1"/>
  <c r="P31" i="5"/>
  <c r="Q28" i="5"/>
  <c r="E54" i="8"/>
  <c r="C12" i="12"/>
  <c r="E55" i="8" l="1"/>
  <c r="E66" i="8" s="1"/>
  <c r="C15" i="12"/>
  <c r="C16" i="12"/>
  <c r="Q31" i="5"/>
  <c r="R28" i="5"/>
  <c r="R31" i="5" l="1"/>
  <c r="S28" i="5"/>
  <c r="S31" i="5" l="1"/>
  <c r="T28" i="5"/>
  <c r="T31" i="5" l="1"/>
  <c r="U28" i="5"/>
  <c r="E7" i="12"/>
  <c r="U31" i="5" l="1"/>
  <c r="V28" i="5"/>
  <c r="V31" i="5" l="1"/>
  <c r="W28" i="5"/>
  <c r="W31" i="5" l="1"/>
  <c r="X28" i="5"/>
  <c r="X31" i="5" l="1"/>
  <c r="Y28" i="5"/>
  <c r="Y31" i="5" l="1"/>
  <c r="Z28" i="5"/>
  <c r="Z31" i="5" l="1"/>
  <c r="AA28" i="5"/>
  <c r="AA31" i="5" l="1"/>
  <c r="AB28" i="5"/>
  <c r="AB31" i="5" l="1"/>
  <c r="AC28" i="5"/>
  <c r="AC31" i="5" l="1"/>
  <c r="AD28" i="5"/>
  <c r="AD31" i="5" l="1"/>
  <c r="AE28" i="5"/>
  <c r="AE31" i="5" s="1"/>
  <c r="E32" i="5" l="1"/>
  <c r="G29" i="8" s="1"/>
  <c r="G28" i="8" s="1"/>
  <c r="G31" i="8" s="1"/>
  <c r="I33" i="8"/>
  <c r="I34" i="8"/>
  <c r="I47" i="8"/>
  <c r="J13" i="8"/>
  <c r="J14" i="8"/>
  <c r="J15" i="8"/>
  <c r="J16" i="8"/>
  <c r="J33" i="8"/>
  <c r="J34" i="8"/>
  <c r="J37" i="8"/>
  <c r="J24" i="8" s="1"/>
  <c r="I29" i="8" l="1"/>
  <c r="J29" i="8"/>
  <c r="E42" i="5"/>
  <c r="J20" i="8"/>
  <c r="J25" i="8"/>
  <c r="J21" i="8" s="1"/>
  <c r="J28" i="8" l="1"/>
  <c r="J39" i="8" s="1"/>
  <c r="I28" i="8"/>
  <c r="I39" i="8" s="1"/>
  <c r="E39" i="5"/>
  <c r="K8" i="7"/>
  <c r="D6" i="12" l="1"/>
  <c r="E6" i="12"/>
  <c r="D9" i="12"/>
  <c r="E9" i="12"/>
  <c r="D12" i="12"/>
  <c r="E12" i="12"/>
  <c r="D14" i="12"/>
  <c r="E14" i="12"/>
  <c r="D15" i="12"/>
  <c r="E15" i="12"/>
  <c r="D16" i="12"/>
  <c r="E16" i="12"/>
  <c r="E40" i="5"/>
  <c r="E43" i="5"/>
  <c r="E44" i="5"/>
  <c r="E13" i="8"/>
  <c r="O13" i="8"/>
  <c r="E14" i="8"/>
  <c r="O14" i="8"/>
  <c r="E15" i="8"/>
  <c r="O15" i="8"/>
  <c r="E16" i="8"/>
  <c r="O16" i="8"/>
  <c r="D18" i="8"/>
  <c r="E18" i="8"/>
  <c r="N18" i="8"/>
  <c r="O18" i="8"/>
  <c r="E20" i="8"/>
  <c r="O20" i="8"/>
  <c r="E21" i="8"/>
  <c r="O21" i="8"/>
  <c r="E22" i="8"/>
  <c r="N22" i="8"/>
  <c r="O22" i="8"/>
  <c r="E24" i="8"/>
  <c r="E25" i="8"/>
  <c r="D28" i="8"/>
  <c r="E28" i="8"/>
  <c r="N28" i="8"/>
  <c r="O28" i="8"/>
  <c r="D30" i="8"/>
  <c r="E30" i="8"/>
  <c r="N30" i="8"/>
  <c r="O30" i="8"/>
  <c r="D31" i="8"/>
  <c r="E31" i="8"/>
  <c r="N31" i="8"/>
  <c r="O31" i="8"/>
  <c r="E33" i="8"/>
  <c r="N33" i="8"/>
  <c r="O33" i="8"/>
  <c r="E34" i="8"/>
  <c r="N34" i="8"/>
  <c r="O34" i="8"/>
  <c r="E37" i="8"/>
  <c r="D38" i="8"/>
  <c r="D47" i="8"/>
  <c r="N47" i="8"/>
  <c r="L7" i="7"/>
  <c r="L8" i="7"/>
  <c r="K9" i="7"/>
  <c r="L9" i="7"/>
  <c r="K10" i="7"/>
  <c r="L10" i="7"/>
  <c r="K11" i="7"/>
  <c r="L11" i="7"/>
  <c r="K14" i="7"/>
  <c r="L14" i="7"/>
</calcChain>
</file>

<file path=xl/sharedStrings.xml><?xml version="1.0" encoding="utf-8"?>
<sst xmlns="http://schemas.openxmlformats.org/spreadsheetml/2006/main" count="466" uniqueCount="307">
  <si>
    <t>Exhibit 1: Financial ratios</t>
  </si>
  <si>
    <t>Fiscal Year End:</t>
  </si>
  <si>
    <t>FY2001</t>
  </si>
  <si>
    <t>FY2002</t>
  </si>
  <si>
    <t>FY2003</t>
  </si>
  <si>
    <t>Current ratio</t>
  </si>
  <si>
    <t>Quick ratio</t>
  </si>
  <si>
    <t>Net Profit Margin</t>
  </si>
  <si>
    <t>Return on Assets (ROA)</t>
  </si>
  <si>
    <t>Return on Equity (ROE)</t>
  </si>
  <si>
    <t>Days Inventory Outstanding (DIO)</t>
  </si>
  <si>
    <t>Days Sales Outstanding (DSO)</t>
  </si>
  <si>
    <t>Days Payable Outstanding (DPO)</t>
  </si>
  <si>
    <t>Cash Conversion Cycle (CCC)</t>
  </si>
  <si>
    <t>Merchandise inventories</t>
  </si>
  <si>
    <t>Accounts payable</t>
  </si>
  <si>
    <t>Cost of sales</t>
  </si>
  <si>
    <t>Total current assets</t>
  </si>
  <si>
    <t>Total current liabilities</t>
  </si>
  <si>
    <t>Net earnings</t>
  </si>
  <si>
    <t>Total assets</t>
  </si>
  <si>
    <t>Net sales</t>
  </si>
  <si>
    <t>Total shareholders' equity</t>
  </si>
  <si>
    <t>Exhibit 1: Selected Financial Data for Bed Bath &amp; Beyond</t>
  </si>
  <si>
    <t>Unit: USD thousands, except per share and selected operating data</t>
  </si>
  <si>
    <t>Fiscal Year Ended:</t>
  </si>
  <si>
    <t>Statement of earnings data</t>
  </si>
  <si>
    <t>Net sales ($)</t>
  </si>
  <si>
    <t>Growth rate</t>
  </si>
  <si>
    <t>N/A</t>
  </si>
  <si>
    <t>Gross profit</t>
  </si>
  <si>
    <t>Gross margins</t>
  </si>
  <si>
    <t>Operating profit</t>
  </si>
  <si>
    <t>Operating margins</t>
  </si>
  <si>
    <t>Net margins</t>
  </si>
  <si>
    <t>Diluted EPS ($)</t>
  </si>
  <si>
    <t>Selected operating data</t>
  </si>
  <si>
    <t>Stores open—end of period</t>
  </si>
  <si>
    <t>Total square footage—end of period</t>
  </si>
  <si>
    <t>% increase in comparable same-store sales</t>
  </si>
  <si>
    <t>Selected balance sheet data</t>
  </si>
  <si>
    <t>Working capital ($)</t>
  </si>
  <si>
    <t>Return on assets</t>
  </si>
  <si>
    <t>Long-term debt</t>
  </si>
  <si>
    <t>Shareholders' equity</t>
  </si>
  <si>
    <t>Return on equity</t>
  </si>
  <si>
    <t>Source: Company’s 2002 Annual Report and Fiscal Year Ending Earnings Release.</t>
  </si>
  <si>
    <t>Note: The company has never declared a cash dividend.</t>
  </si>
  <si>
    <t>a. Year ending 2/29/04 is Fiscal Year 2003.</t>
  </si>
  <si>
    <t>b. Net EPS amounts for fiscal 2000 and prior have been adjusted for two-for-one stock splits, distributed in fiscal 2000, 1998, 1996, and 1993.</t>
  </si>
  <si>
    <t>c. Based on average total assets. Does not include after-tax interest expense for 1994–1996.</t>
  </si>
  <si>
    <t>Exhibit 5: Excerpt from Bed Bath &amp; Beyond’s 2003 Annual Report Regarding Operating Leases</t>
  </si>
  <si>
    <t>Unit: USD thousands</t>
  </si>
  <si>
    <t>The company leases retail stores, as well as warehouses, office facilities, and equipment, under agreements expiring at various dates through 2029. Certain leases provide for contingent rents (which are based upon store sales exceeding stipulated amounts and are immaterial in fiscal 2003, 2002, and 2001), scheduled rent increases, and renewal options generally ranging from five to twenty years. The Company is obligated under a majority of the leases to pay for taxes, insurance, and common area maintenance charges.</t>
  </si>
  <si>
    <t>As of February 28, 2004, future minimum lease payments under noncancelable operating leases are as follows:</t>
  </si>
  <si>
    <t>Fiscal Year</t>
  </si>
  <si>
    <t>Amount (in thousands)</t>
  </si>
  <si>
    <t>Monthly lease payments</t>
  </si>
  <si>
    <t>Thereafter</t>
  </si>
  <si>
    <t>Total future minimum lease payments</t>
  </si>
  <si>
    <t>PV of total lease payment</t>
  </si>
  <si>
    <t>Expenses for all operating leases were $251.0 million, $219.8 million, and $178.7 million for fiscal 2003, 2002, and 2001, respectively.</t>
  </si>
  <si>
    <t>Lease patment / cash</t>
  </si>
  <si>
    <t>2004F</t>
  </si>
  <si>
    <t>2005F</t>
  </si>
  <si>
    <t>2006F</t>
  </si>
  <si>
    <t>2007F</t>
  </si>
  <si>
    <t>2008F</t>
  </si>
  <si>
    <t>2009F</t>
  </si>
  <si>
    <t>2010F</t>
  </si>
  <si>
    <t>2011F</t>
  </si>
  <si>
    <t>2012F</t>
  </si>
  <si>
    <t>2013F</t>
  </si>
  <si>
    <t>2014F</t>
  </si>
  <si>
    <t>2015F</t>
  </si>
  <si>
    <t>2016F</t>
  </si>
  <si>
    <t>2017F</t>
  </si>
  <si>
    <t>2018F</t>
  </si>
  <si>
    <t>2019F</t>
  </si>
  <si>
    <t>2020F</t>
  </si>
  <si>
    <t>2021F</t>
  </si>
  <si>
    <t>2022F</t>
  </si>
  <si>
    <t>2023F</t>
  </si>
  <si>
    <t>2024F</t>
  </si>
  <si>
    <t>2025F</t>
  </si>
  <si>
    <t>2026F</t>
  </si>
  <si>
    <t>2027F</t>
  </si>
  <si>
    <t>2028F</t>
  </si>
  <si>
    <t>2029F</t>
  </si>
  <si>
    <t>Lease payment (in thousands)</t>
  </si>
  <si>
    <t>No leverage</t>
  </si>
  <si>
    <t>Fixed charge coverage ratio</t>
  </si>
  <si>
    <t>40% leverage</t>
  </si>
  <si>
    <t>80% leverage</t>
  </si>
  <si>
    <t>Debt-to-capital ratio</t>
  </si>
  <si>
    <t>Exhibit 2&amp;3&amp;4: Financial Statements for Bed Bath &amp; Beyond, FYE 2001–2003</t>
  </si>
  <si>
    <t xml:space="preserve">Exhibit 2: Balance Sheet for Bed Bath &amp; Beyond, FYE 2001–2003 </t>
  </si>
  <si>
    <t>Assets</t>
  </si>
  <si>
    <t>Current assets:</t>
  </si>
  <si>
    <t>Cash and cash equivalents</t>
  </si>
  <si>
    <t>Short-term investment securities</t>
  </si>
  <si>
    <t>Other current assets</t>
  </si>
  <si>
    <t>Noncurrent assets:</t>
  </si>
  <si>
    <t>Long-term investment securities</t>
  </si>
  <si>
    <t>Property and equipment, net</t>
  </si>
  <si>
    <t>Goodwill and other assets</t>
  </si>
  <si>
    <t>Liabilities and equity</t>
  </si>
  <si>
    <t>Current liabilities:</t>
  </si>
  <si>
    <t>Accrued expenses and other current liabilities</t>
  </si>
  <si>
    <t>Income taxes payable</t>
  </si>
  <si>
    <t>Noncurrent liabilities</t>
  </si>
  <si>
    <t>Deferred rent and other liabilities</t>
  </si>
  <si>
    <t>Total liabilities</t>
  </si>
  <si>
    <t>Shareholders' equity:</t>
  </si>
  <si>
    <t>Common stock—$0.01 par value; authorized 900,000 shares; issued and outstanding February 28, 2004, 300,278 shares and March 1, 2003, 294,430 shares</t>
  </si>
  <si>
    <t>Additional paid-in capital</t>
  </si>
  <si>
    <t>Retained earnings</t>
  </si>
  <si>
    <t>Total liabilities and shareholders' equity</t>
  </si>
  <si>
    <t xml:space="preserve">   </t>
  </si>
  <si>
    <t xml:space="preserve">Exhibit 3: Income Statement for Bed Bath &amp; Beyond, FYE 2001–2003 </t>
  </si>
  <si>
    <t>Selling, general, and administrative expenses</t>
  </si>
  <si>
    <t>Interest income</t>
  </si>
  <si>
    <t>Earnings before provision for income taxes</t>
  </si>
  <si>
    <t>Provision for income taxes</t>
  </si>
  <si>
    <t>Net earnings per share—basic</t>
  </si>
  <si>
    <t>Net earnings per share—diluted</t>
  </si>
  <si>
    <t>Weighted average shares outstanding—basic</t>
  </si>
  <si>
    <t>Weighted average shares outstanding—diluted</t>
  </si>
  <si>
    <t>Exhibit 4: Statement of Cash Flows for Bed Bath &amp; Beyond, FYE 2001–2003</t>
  </si>
  <si>
    <t>Cash flows from operating activities:</t>
  </si>
  <si>
    <t>Adjustments to reconcile net earnings to net cash provided by operating activities:</t>
  </si>
  <si>
    <t>Depreciation and amortization</t>
  </si>
  <si>
    <t>Amortization of bond premium</t>
  </si>
  <si>
    <t>Tax benefit from exercise of stock options</t>
  </si>
  <si>
    <t>Deferred income taxes</t>
  </si>
  <si>
    <t>(Increase) decrease in assets, net of effects of acquisitions:</t>
  </si>
  <si>
    <t>Other assets</t>
  </si>
  <si>
    <t>Increase (decrease) in liabilities, net of effects of acquisitions:</t>
  </si>
  <si>
    <t>Net cash provided by operating activities</t>
  </si>
  <si>
    <t>Cash flows from investing activities:</t>
  </si>
  <si>
    <t>Purchase of investment securities</t>
  </si>
  <si>
    <t>Redemption of investment securities</t>
  </si>
  <si>
    <t>Payments for acquisitions, net of cash acquired</t>
  </si>
  <si>
    <t>Capital expenditures</t>
  </si>
  <si>
    <t>Net cash used in investing activities</t>
  </si>
  <si>
    <t>Cash flows from financing activities:</t>
  </si>
  <si>
    <t>Proceeds from exercise of stock options</t>
  </si>
  <si>
    <t>Prepayment of acquired debt</t>
  </si>
  <si>
    <t>Net cash provided by financing activities</t>
  </si>
  <si>
    <t>Net increase in cash and cash equivalents</t>
  </si>
  <si>
    <t>Cash and cash equivalents:</t>
  </si>
  <si>
    <t>Beginning of period</t>
  </si>
  <si>
    <t>End of period</t>
  </si>
  <si>
    <t>Exhibit 6: Comparables Data for Bed Bath &amp; Beyond ($ in thousands except per share and ratio data)</t>
  </si>
  <si>
    <t>Direct competitor</t>
  </si>
  <si>
    <t>Bed Bath &amp; Beyond</t>
  </si>
  <si>
    <t>Williams Sonoma</t>
  </si>
  <si>
    <t>Linens 'n Things</t>
  </si>
  <si>
    <t>Target</t>
  </si>
  <si>
    <t>Kohl’s</t>
  </si>
  <si>
    <t>JC Penney</t>
  </si>
  <si>
    <t>Best Buy</t>
  </si>
  <si>
    <t>Average</t>
  </si>
  <si>
    <t>Sales ($)</t>
  </si>
  <si>
    <t>5-yr CAGR</t>
  </si>
  <si>
    <t>EBIT ($)</t>
  </si>
  <si>
    <t>EBIT margins</t>
  </si>
  <si>
    <t>Net income ($)</t>
  </si>
  <si>
    <t>Return on common equity</t>
  </si>
  <si>
    <t>Annual dividends ($)</t>
  </si>
  <si>
    <t>Cash and equivalents</t>
  </si>
  <si>
    <t>Accounts receivable</t>
  </si>
  <si>
    <t>Inventory</t>
  </si>
  <si>
    <t>PP&amp;E, net</t>
  </si>
  <si>
    <t>Total debt</t>
  </si>
  <si>
    <t>Market capitalization</t>
  </si>
  <si>
    <t>Interest expense</t>
  </si>
  <si>
    <t>EBIT interest coverage</t>
  </si>
  <si>
    <t>A</t>
  </si>
  <si>
    <t>AA</t>
  </si>
  <si>
    <t>BB</t>
  </si>
  <si>
    <t>Total debt to capital</t>
  </si>
  <si>
    <t>BBB</t>
  </si>
  <si>
    <t>Bond rating</t>
  </si>
  <si>
    <t>A+</t>
  </si>
  <si>
    <t>A–</t>
  </si>
  <si>
    <t>BB+</t>
  </si>
  <si>
    <t>BBB–</t>
  </si>
  <si>
    <t>A-</t>
  </si>
  <si>
    <t>Bond rating last updated</t>
  </si>
  <si>
    <t>Est. effective interest rate</t>
  </si>
  <si>
    <t>All in investment grade</t>
  </si>
  <si>
    <t>EBIT interest coverage (x)</t>
  </si>
  <si>
    <t>EBITDA interest coverage (x)</t>
  </si>
  <si>
    <t>FFO/total debt (%)</t>
  </si>
  <si>
    <t>Free operating cash flow/total debt (%)</t>
  </si>
  <si>
    <t>Return on capital (%)</t>
  </si>
  <si>
    <t>B</t>
  </si>
  <si>
    <t>Operating income/sales (%)</t>
  </si>
  <si>
    <t>Long-term debt/capital (%)</t>
  </si>
  <si>
    <t>Total debt/capital (%)</t>
  </si>
  <si>
    <t>a 2003 fiscal year ending 2/29/2004 for Bed Bath &amp; Beyond, 2/1/2004 for Williams Sonoma, 1/3/2004 for Linens ‘n Things, 1/31/2004 for Target, 1/31/2004 for Kohl’s and JCPenney, 2/28/2004 for Best Buy.</t>
  </si>
  <si>
    <t>b Includes ST debt, current maturities, LT debt, and capital leases.</t>
  </si>
  <si>
    <t>c From 2003 annual reports.</t>
  </si>
  <si>
    <t>d Calculated using Standard and Poor’s EBIT Interest Coverage formulas in Exhibit 8.</t>
  </si>
  <si>
    <t>e Calculated as total debt as percentage of total debt and shareholder’s equity.</t>
  </si>
  <si>
    <t>f Bond ratings based on Standard and Poor’s rating system. Moody’s had equivalent ratings for each company.</t>
  </si>
  <si>
    <t>Exhibit 7A: Standard and Poor’s Three-Year Median Key Industrial Financial Ratios, 2000–2002</t>
  </si>
  <si>
    <t>BBBY's FInancial Ratios</t>
  </si>
  <si>
    <t>BBBY's Estimated Credit Rating</t>
  </si>
  <si>
    <t>AAA</t>
  </si>
  <si>
    <t>CCC</t>
  </si>
  <si>
    <t>No Leverage</t>
  </si>
  <si>
    <t>40% Debt-to-Capital</t>
  </si>
  <si>
    <t>80% Debt-to-Capital</t>
  </si>
  <si>
    <t>Base case</t>
  </si>
  <si>
    <t>Altman's z score</t>
  </si>
  <si>
    <t>Higher</t>
  </si>
  <si>
    <t>Working capital/Assets</t>
  </si>
  <si>
    <t>Retained earnings/Assets</t>
  </si>
  <si>
    <t>EBIT/Total assets</t>
  </si>
  <si>
    <t>Market capitalization/Liabilities</t>
  </si>
  <si>
    <t>Sales/Assets</t>
  </si>
  <si>
    <t>Lower</t>
  </si>
  <si>
    <t>Number of companies</t>
  </si>
  <si>
    <t>Average default rate, past 15 years</t>
  </si>
  <si>
    <t>Source: Standard &amp; Poor’s</t>
  </si>
  <si>
    <t>a Based on the bond’s original ratings.</t>
  </si>
  <si>
    <t>Cost of capital</t>
  </si>
  <si>
    <t>FY2003 (without lease liabilities)</t>
  </si>
  <si>
    <t>40% Leverage</t>
  </si>
  <si>
    <t>80% Leverage</t>
  </si>
  <si>
    <t>Enterprise value</t>
  </si>
  <si>
    <t>assuming that share price stay the same</t>
  </si>
  <si>
    <t>FCF</t>
  </si>
  <si>
    <t>g</t>
  </si>
  <si>
    <t>IMF's USA inflation in 2028</t>
  </si>
  <si>
    <t>https://www.imf.org/en/Countries/USA</t>
  </si>
  <si>
    <t>Cost of capital (r)</t>
  </si>
  <si>
    <t>Assume "A"</t>
  </si>
  <si>
    <t>Cost of debt (rd)</t>
  </si>
  <si>
    <t>Wd</t>
  </si>
  <si>
    <t>Tax rate</t>
  </si>
  <si>
    <t>We</t>
  </si>
  <si>
    <t>Cost of equity (re)</t>
  </si>
  <si>
    <t>Exhibit 8: Pro Forma 2003 Results for Alternative Capital Structures</t>
  </si>
  <si>
    <t>Share repurchase</t>
  </si>
  <si>
    <t>Special dividend</t>
  </si>
  <si>
    <t>Exclude Lease Liabilities</t>
  </si>
  <si>
    <t>Include Lease Liabilities</t>
  </si>
  <si>
    <t>Actual 2003</t>
  </si>
  <si>
    <t>Pro Forma 2003 
40% Debt To Total Capital</t>
  </si>
  <si>
    <t xml:space="preserve">Pro Forma 2003 
80% Debt To Total Capital </t>
  </si>
  <si>
    <t>Pro Forma 2003 
40% Debt To Total Capital *d</t>
  </si>
  <si>
    <t xml:space="preserve">Pro Forma 2003 
40% Debt To Total Capital </t>
  </si>
  <si>
    <t>Pro Forma 2003 
80% Debt To Total Capital (not feasable)</t>
  </si>
  <si>
    <t>Note: price for 80% leverage must include PV(tax shield)/#of shares!!!!</t>
  </si>
  <si>
    <t>Sales</t>
  </si>
  <si>
    <t xml:space="preserve">Add back: lease payments </t>
  </si>
  <si>
    <t>a</t>
  </si>
  <si>
    <t>Interest income  (interest rate @1.18% p.a.)</t>
  </si>
  <si>
    <t>EBIT</t>
  </si>
  <si>
    <t>b</t>
  </si>
  <si>
    <t>Interest expense (interest rate @ 4.5% p.a.)</t>
  </si>
  <si>
    <t>Profit before taxes</t>
  </si>
  <si>
    <t>c</t>
  </si>
  <si>
    <t xml:space="preserve">Taxes </t>
  </si>
  <si>
    <t>Profit after tax</t>
  </si>
  <si>
    <t>PV of Tax shield (= Tax rate*Debt)</t>
  </si>
  <si>
    <t>(Tax rate*rd*Debt/rd = Tax rate*Debt &lt;&lt;= assume constant debt and cost of debt)</t>
  </si>
  <si>
    <t>EPS—basic</t>
  </si>
  <si>
    <t>EPS—diluted</t>
  </si>
  <si>
    <t>Return on equity (ROE)</t>
  </si>
  <si>
    <t>Average shares outstanding—basic</t>
  </si>
  <si>
    <t>Average shares outstanding—diluted</t>
  </si>
  <si>
    <t>e</t>
  </si>
  <si>
    <t xml:space="preserve">Cash and equivalents </t>
  </si>
  <si>
    <t>Total capital</t>
  </si>
  <si>
    <t>Lease liabilities</t>
  </si>
  <si>
    <t>f</t>
  </si>
  <si>
    <t>Total repurchase amount or dividend</t>
  </si>
  <si>
    <t>exceed retained earnings</t>
  </si>
  <si>
    <t>Common stock price (4/30/04)</t>
  </si>
  <si>
    <t>Market value of common stock</t>
  </si>
  <si>
    <t>Shares repurchased</t>
  </si>
  <si>
    <t>a Pro forma interest income adjusted for reduction in cash balances.</t>
  </si>
  <si>
    <t>b Based on BBBY's blended interest expense rate on debt assumed to be 4.5%.</t>
  </si>
  <si>
    <t>c Tax rate assumed to be 38.5%, based on actual 2003 results.</t>
  </si>
  <si>
    <t>d Assumes firm continues with policy of not paying dividends.</t>
  </si>
  <si>
    <t>e Cash and equivalents reduced by $400 million in excess cash.</t>
  </si>
  <si>
    <t>f Includes excess cash and debt.</t>
  </si>
  <si>
    <t>Interest income rate</t>
  </si>
  <si>
    <t>Interest expense rate</t>
  </si>
  <si>
    <t>EBIT*Tax</t>
  </si>
  <si>
    <t>EBIT after tax</t>
  </si>
  <si>
    <t>Depreciation &amp; amortization</t>
  </si>
  <si>
    <t>Working Capital</t>
  </si>
  <si>
    <t>Working Capital Changes</t>
  </si>
  <si>
    <t>CAPEX</t>
  </si>
  <si>
    <t>Free Cashflow</t>
  </si>
  <si>
    <t>Exhibit 9: Market Interest Rates—April 2004</t>
  </si>
  <si>
    <t>Government Debt Interest Rates</t>
  </si>
  <si>
    <t>One-year Treasury bill</t>
  </si>
  <si>
    <t>Five-year Treasury note</t>
  </si>
  <si>
    <t>Ten-year Treasury bond</t>
  </si>
  <si>
    <t>Corporate Bond Rates</t>
  </si>
  <si>
    <t>Source: DRI Basic Economics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</si>
</sst>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yy;@"/>
    <numFmt numFmtId="165" formatCode="_(* #,##0_);_(* \(#,##0\);_(* &quot;-&quot;??_);_(@_)"/>
    <numFmt numFmtId="166" formatCode="_(* #,##0.0_);_(* \(#,##0.0\);_(* &quot;-&quot;??_);_(@_)"/>
    <numFmt numFmtId="167" formatCode="0.0%"/>
  </numFmts>
  <fonts count="18" x14ac:knownFonts="1">
    <font>
      <sz val="11"/>
      <color theme="1"/>
      <name val="Calibri"/>
      <family val="2"/>
      <scheme val="minor"/>
    </font>
    <font>
      <sz val="11"/>
      <color theme="1"/>
      <name val="Calibri"/>
      <family val="2"/>
      <scheme val="minor"/>
    </font>
    <font>
      <b/>
      <sz val="11"/>
      <color theme="0"/>
      <name val="Calibri"/>
      <family val="2"/>
      <scheme val="minor"/>
    </font>
    <font>
      <b/>
      <i/>
      <sz val="11"/>
      <color theme="1"/>
      <name val="Calibri"/>
      <family val="2"/>
      <scheme val="minor"/>
    </font>
    <font>
      <i/>
      <sz val="11"/>
      <color rgb="FF0070C0"/>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1"/>
      <color rgb="FFFF0000"/>
      <name val="Calibri"/>
      <family val="2"/>
      <scheme val="minor"/>
    </font>
    <font>
      <sz val="11"/>
      <color theme="0"/>
      <name val="Calibri"/>
      <family val="2"/>
      <scheme val="minor"/>
    </font>
    <font>
      <b/>
      <sz val="11"/>
      <color rgb="FF000000"/>
      <name val="Calibri"/>
      <family val="2"/>
      <scheme val="minor"/>
    </font>
    <font>
      <sz val="11"/>
      <color rgb="FF0070C0"/>
      <name val="Calibri"/>
      <family val="2"/>
      <scheme val="minor"/>
    </font>
    <font>
      <sz val="11"/>
      <color rgb="FF000000"/>
      <name val="Calibri"/>
      <family val="2"/>
      <scheme val="minor"/>
    </font>
    <font>
      <sz val="11"/>
      <color rgb="FFFF0000"/>
      <name val="Consolas"/>
      <family val="3"/>
    </font>
    <font>
      <u/>
      <sz val="11"/>
      <color theme="10"/>
      <name val="Calibri"/>
      <family val="2"/>
      <scheme val="minor"/>
    </font>
    <font>
      <sz val="11"/>
      <color rgb="FF7030A0"/>
      <name val="Calibri"/>
      <family val="2"/>
      <scheme val="minor"/>
    </font>
    <font>
      <sz val="11"/>
      <color rgb="FFFFFFFF"/>
      <name val="Calibri"/>
      <family val="2"/>
      <scheme val="minor"/>
    </font>
    <font>
      <b/>
      <sz val="11"/>
      <color rgb="FFFF0000"/>
      <name val="Calibri"/>
      <family val="2"/>
      <scheme val="minor"/>
    </font>
  </fonts>
  <fills count="15">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79998168889431442"/>
        <bgColor indexed="64"/>
      </patternFill>
    </fill>
  </fills>
  <borders count="7">
    <border>
      <left/>
      <right/>
      <top/>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style="thin">
        <color rgb="FF000000"/>
      </top>
      <bottom/>
      <diagonal/>
    </border>
    <border>
      <left/>
      <right/>
      <top style="thin">
        <color rgb="FF000000"/>
      </top>
      <bottom style="double">
        <color rgb="FF000000"/>
      </bottom>
      <diagonal/>
    </border>
    <border>
      <left/>
      <right style="medium">
        <color rgb="FF000000"/>
      </right>
      <top style="medium">
        <color rgb="FF000000"/>
      </top>
      <bottom style="medium">
        <color rgb="FF000000"/>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cellStyleXfs>
  <cellXfs count="131">
    <xf numFmtId="0" fontId="0" fillId="0" borderId="0" xfId="0"/>
    <xf numFmtId="0" fontId="0" fillId="2" borderId="0" xfId="0" applyFill="1"/>
    <xf numFmtId="0" fontId="2" fillId="2" borderId="0" xfId="0" applyFont="1" applyFill="1"/>
    <xf numFmtId="0" fontId="3" fillId="0" borderId="0" xfId="0" applyFont="1"/>
    <xf numFmtId="16" fontId="0" fillId="0" borderId="0" xfId="0" applyNumberFormat="1" applyAlignment="1">
      <alignment horizontal="right"/>
    </xf>
    <xf numFmtId="0" fontId="0" fillId="0" borderId="0" xfId="0" applyAlignment="1">
      <alignment horizontal="right"/>
    </xf>
    <xf numFmtId="10" fontId="0" fillId="0" borderId="0" xfId="0" applyNumberFormat="1" applyAlignment="1">
      <alignment horizontal="right"/>
    </xf>
    <xf numFmtId="165" fontId="0" fillId="0" borderId="0" xfId="1" applyNumberFormat="1" applyFont="1" applyAlignment="1">
      <alignment horizontal="right"/>
    </xf>
    <xf numFmtId="0" fontId="4" fillId="0" borderId="0" xfId="0" applyFont="1" applyAlignment="1">
      <alignment horizontal="left" indent="1"/>
    </xf>
    <xf numFmtId="43" fontId="0" fillId="0" borderId="0" xfId="1" applyFont="1" applyAlignment="1">
      <alignment horizontal="right"/>
    </xf>
    <xf numFmtId="0" fontId="4" fillId="0" borderId="0" xfId="0" applyFont="1" applyAlignment="1">
      <alignment horizontal="right"/>
    </xf>
    <xf numFmtId="10" fontId="4" fillId="0" borderId="0" xfId="0" applyNumberFormat="1" applyFont="1" applyAlignment="1">
      <alignment horizontal="right"/>
    </xf>
    <xf numFmtId="0" fontId="4" fillId="0" borderId="0" xfId="0" applyFont="1"/>
    <xf numFmtId="0" fontId="5" fillId="0" borderId="0" xfId="0" applyFont="1"/>
    <xf numFmtId="0" fontId="0" fillId="3" borderId="0" xfId="0" applyFill="1"/>
    <xf numFmtId="0" fontId="5" fillId="3" borderId="0" xfId="0" applyFont="1" applyFill="1"/>
    <xf numFmtId="3" fontId="0" fillId="0" borderId="0" xfId="0" applyNumberFormat="1"/>
    <xf numFmtId="43" fontId="0" fillId="0" borderId="0" xfId="1" applyFont="1"/>
    <xf numFmtId="43" fontId="0" fillId="0" borderId="1" xfId="1" applyFont="1" applyBorder="1"/>
    <xf numFmtId="166" fontId="0" fillId="0" borderId="0" xfId="1" applyNumberFormat="1" applyFont="1"/>
    <xf numFmtId="165" fontId="0" fillId="0" borderId="0" xfId="1" applyNumberFormat="1" applyFont="1" applyFill="1"/>
    <xf numFmtId="165" fontId="0" fillId="0" borderId="1" xfId="1" applyNumberFormat="1" applyFont="1" applyFill="1" applyBorder="1"/>
    <xf numFmtId="165" fontId="0" fillId="0" borderId="0" xfId="1" applyNumberFormat="1" applyFont="1"/>
    <xf numFmtId="165" fontId="0" fillId="0" borderId="1" xfId="1" applyNumberFormat="1" applyFont="1" applyBorder="1"/>
    <xf numFmtId="165" fontId="0" fillId="0" borderId="2" xfId="1" applyNumberFormat="1" applyFont="1" applyBorder="1"/>
    <xf numFmtId="165" fontId="0" fillId="0" borderId="0" xfId="0" applyNumberFormat="1"/>
    <xf numFmtId="0" fontId="0" fillId="0" borderId="0" xfId="0" applyAlignment="1">
      <alignment horizontal="left" indent="1"/>
    </xf>
    <xf numFmtId="0" fontId="0" fillId="0" borderId="0" xfId="0" applyAlignment="1">
      <alignment horizontal="left" indent="2"/>
    </xf>
    <xf numFmtId="0" fontId="5" fillId="0" borderId="0" xfId="0" applyFont="1" applyAlignment="1">
      <alignment horizontal="left" indent="1"/>
    </xf>
    <xf numFmtId="0" fontId="0" fillId="0" borderId="0" xfId="0" applyAlignment="1">
      <alignment horizontal="left" indent="3"/>
    </xf>
    <xf numFmtId="43" fontId="0" fillId="0" borderId="3" xfId="1" applyFont="1" applyBorder="1"/>
    <xf numFmtId="164" fontId="2" fillId="2" borderId="0" xfId="0" applyNumberFormat="1" applyFont="1" applyFill="1" applyAlignment="1">
      <alignment horizontal="center"/>
    </xf>
    <xf numFmtId="0" fontId="6" fillId="0" borderId="0" xfId="0" applyFont="1"/>
    <xf numFmtId="0" fontId="0" fillId="0" borderId="0" xfId="0" applyAlignment="1">
      <alignment horizontal="center"/>
    </xf>
    <xf numFmtId="3" fontId="0" fillId="0" borderId="0" xfId="0" applyNumberFormat="1" applyAlignment="1">
      <alignment horizontal="center"/>
    </xf>
    <xf numFmtId="0" fontId="5" fillId="3" borderId="0" xfId="0" applyFont="1" applyFill="1" applyAlignment="1">
      <alignment horizontal="center"/>
    </xf>
    <xf numFmtId="0" fontId="0" fillId="0" borderId="0" xfId="0" applyAlignment="1">
      <alignment horizontal="center" wrapText="1"/>
    </xf>
    <xf numFmtId="43" fontId="0" fillId="0" borderId="0" xfId="1" applyFont="1" applyAlignment="1">
      <alignment horizontal="center"/>
    </xf>
    <xf numFmtId="167" fontId="0" fillId="0" borderId="0" xfId="2" applyNumberFormat="1" applyFont="1"/>
    <xf numFmtId="10" fontId="0" fillId="0" borderId="0" xfId="2" applyNumberFormat="1" applyFont="1"/>
    <xf numFmtId="167" fontId="0" fillId="0" borderId="0" xfId="2" applyNumberFormat="1" applyFont="1" applyAlignment="1">
      <alignment horizontal="center"/>
    </xf>
    <xf numFmtId="0" fontId="0" fillId="3" borderId="0" xfId="0" applyFill="1" applyAlignment="1">
      <alignment horizontal="center" wrapText="1"/>
    </xf>
    <xf numFmtId="43" fontId="5" fillId="3" borderId="0" xfId="1" applyFont="1" applyFill="1" applyAlignment="1">
      <alignment horizontal="center" wrapText="1"/>
    </xf>
    <xf numFmtId="43" fontId="0" fillId="3" borderId="0" xfId="1" applyFont="1" applyFill="1" applyAlignment="1">
      <alignment horizontal="center" wrapText="1"/>
    </xf>
    <xf numFmtId="167" fontId="0" fillId="0" borderId="0" xfId="1" applyNumberFormat="1" applyFont="1"/>
    <xf numFmtId="165" fontId="0" fillId="0" borderId="0" xfId="1" applyNumberFormat="1" applyFont="1" applyAlignment="1">
      <alignment horizontal="center"/>
    </xf>
    <xf numFmtId="14" fontId="0" fillId="0" borderId="0" xfId="1" applyNumberFormat="1" applyFont="1"/>
    <xf numFmtId="165" fontId="0" fillId="0" borderId="0" xfId="1" applyNumberFormat="1" applyFont="1" applyBorder="1"/>
    <xf numFmtId="0" fontId="7" fillId="0" borderId="0" xfId="0" applyFont="1"/>
    <xf numFmtId="10" fontId="0" fillId="0" borderId="0" xfId="0" applyNumberFormat="1"/>
    <xf numFmtId="165" fontId="5" fillId="0" borderId="2" xfId="1" applyNumberFormat="1" applyFont="1" applyBorder="1"/>
    <xf numFmtId="165" fontId="5" fillId="0" borderId="0" xfId="0" applyNumberFormat="1" applyFont="1"/>
    <xf numFmtId="165" fontId="5" fillId="0" borderId="2" xfId="1" applyNumberFormat="1" applyFont="1" applyFill="1" applyBorder="1"/>
    <xf numFmtId="43" fontId="5" fillId="0" borderId="2" xfId="1" applyFont="1" applyBorder="1"/>
    <xf numFmtId="165" fontId="0" fillId="0" borderId="4" xfId="0" applyNumberFormat="1" applyBorder="1"/>
    <xf numFmtId="43" fontId="0" fillId="0" borderId="0" xfId="0" applyNumberFormat="1"/>
    <xf numFmtId="0" fontId="0" fillId="4" borderId="0" xfId="0" applyFill="1"/>
    <xf numFmtId="0" fontId="0" fillId="7" borderId="0" xfId="0" applyFill="1"/>
    <xf numFmtId="165" fontId="8" fillId="0" borderId="0" xfId="1" applyNumberFormat="1" applyFont="1"/>
    <xf numFmtId="0" fontId="8" fillId="0" borderId="0" xfId="0" applyFont="1"/>
    <xf numFmtId="0" fontId="0" fillId="9" borderId="0" xfId="0" applyFill="1"/>
    <xf numFmtId="9" fontId="5" fillId="0" borderId="0" xfId="0" applyNumberFormat="1" applyFont="1" applyAlignment="1">
      <alignment horizontal="center"/>
    </xf>
    <xf numFmtId="10" fontId="11" fillId="6" borderId="0" xfId="0" applyNumberFormat="1" applyFont="1" applyFill="1"/>
    <xf numFmtId="0" fontId="5" fillId="3" borderId="0" xfId="0" applyFont="1" applyFill="1" applyAlignment="1">
      <alignment vertical="center"/>
    </xf>
    <xf numFmtId="0" fontId="5" fillId="3" borderId="0" xfId="0" applyFont="1" applyFill="1" applyAlignment="1">
      <alignment horizontal="center" vertical="center"/>
    </xf>
    <xf numFmtId="0" fontId="5" fillId="3" borderId="0" xfId="0" applyFont="1" applyFill="1" applyAlignment="1">
      <alignment horizontal="center" vertical="center" wrapText="1"/>
    </xf>
    <xf numFmtId="0" fontId="0" fillId="0" borderId="0" xfId="0" applyAlignment="1">
      <alignment vertical="center"/>
    </xf>
    <xf numFmtId="2" fontId="0" fillId="0" borderId="0" xfId="0" applyNumberFormat="1"/>
    <xf numFmtId="0" fontId="5" fillId="7" borderId="0" xfId="0" applyFont="1" applyFill="1"/>
    <xf numFmtId="165" fontId="0" fillId="7" borderId="0" xfId="1" applyNumberFormat="1" applyFont="1" applyFill="1"/>
    <xf numFmtId="43" fontId="1" fillId="7" borderId="3" xfId="1" applyFont="1" applyFill="1" applyBorder="1" applyAlignment="1">
      <alignment vertical="center"/>
    </xf>
    <xf numFmtId="43" fontId="5" fillId="0" borderId="0" xfId="1" applyFont="1" applyFill="1" applyBorder="1" applyAlignment="1">
      <alignment vertical="center"/>
    </xf>
    <xf numFmtId="165" fontId="0" fillId="7" borderId="0" xfId="0" applyNumberFormat="1" applyFill="1"/>
    <xf numFmtId="165" fontId="0" fillId="7" borderId="3" xfId="0" applyNumberFormat="1" applyFill="1" applyBorder="1"/>
    <xf numFmtId="10" fontId="0" fillId="0" borderId="0" xfId="2" applyNumberFormat="1" applyFont="1" applyFill="1"/>
    <xf numFmtId="10" fontId="0" fillId="0" borderId="0" xfId="2" applyNumberFormat="1" applyFont="1" applyFill="1" applyAlignment="1">
      <alignment horizontal="center"/>
    </xf>
    <xf numFmtId="0" fontId="9" fillId="2" borderId="0" xfId="0" applyFont="1" applyFill="1"/>
    <xf numFmtId="0" fontId="9" fillId="2" borderId="0" xfId="0" applyFont="1" applyFill="1" applyAlignment="1">
      <alignment horizontal="center"/>
    </xf>
    <xf numFmtId="0" fontId="5" fillId="0" borderId="0" xfId="0" applyFont="1" applyAlignment="1">
      <alignment horizontal="center"/>
    </xf>
    <xf numFmtId="0" fontId="0" fillId="10" borderId="0" xfId="0" applyFill="1" applyAlignment="1">
      <alignment horizontal="center"/>
    </xf>
    <xf numFmtId="0" fontId="0" fillId="4" borderId="0" xfId="0" applyFill="1" applyAlignment="1">
      <alignment horizontal="center" wrapText="1"/>
    </xf>
    <xf numFmtId="166" fontId="0" fillId="0" borderId="0" xfId="1" applyNumberFormat="1" applyFont="1" applyFill="1"/>
    <xf numFmtId="43" fontId="0" fillId="11" borderId="0" xfId="1" applyFont="1" applyFill="1"/>
    <xf numFmtId="0" fontId="12" fillId="0" borderId="0" xfId="0" applyFont="1"/>
    <xf numFmtId="43" fontId="5" fillId="0" borderId="0" xfId="0" applyNumberFormat="1" applyFont="1"/>
    <xf numFmtId="43" fontId="0" fillId="7" borderId="0" xfId="0" applyNumberFormat="1" applyFill="1"/>
    <xf numFmtId="43" fontId="0" fillId="0" borderId="0" xfId="2" applyNumberFormat="1" applyFont="1"/>
    <xf numFmtId="10" fontId="0" fillId="12" borderId="0" xfId="0" applyNumberFormat="1" applyFill="1"/>
    <xf numFmtId="165" fontId="0" fillId="0" borderId="6" xfId="0" applyNumberFormat="1" applyBorder="1"/>
    <xf numFmtId="9" fontId="0" fillId="0" borderId="0" xfId="0" applyNumberFormat="1"/>
    <xf numFmtId="0" fontId="13" fillId="0" borderId="0" xfId="0" applyFont="1"/>
    <xf numFmtId="0" fontId="14" fillId="0" borderId="0" xfId="3"/>
    <xf numFmtId="43" fontId="8" fillId="0" borderId="0" xfId="0" applyNumberFormat="1" applyFont="1"/>
    <xf numFmtId="10" fontId="0" fillId="0" borderId="0" xfId="1" applyNumberFormat="1" applyFont="1"/>
    <xf numFmtId="10" fontId="0" fillId="0" borderId="0" xfId="1" applyNumberFormat="1" applyFont="1" applyAlignment="1">
      <alignment horizontal="center"/>
    </xf>
    <xf numFmtId="43" fontId="1" fillId="7" borderId="0" xfId="1" applyFont="1" applyFill="1" applyBorder="1" applyAlignment="1">
      <alignment vertical="center"/>
    </xf>
    <xf numFmtId="0" fontId="5" fillId="10" borderId="0" xfId="0" applyFont="1" applyFill="1" applyAlignment="1">
      <alignment horizontal="center" vertical="center"/>
    </xf>
    <xf numFmtId="0" fontId="5" fillId="10" borderId="0" xfId="0" applyFont="1" applyFill="1" applyAlignment="1">
      <alignment horizontal="center" vertical="center" wrapText="1"/>
    </xf>
    <xf numFmtId="167" fontId="0" fillId="0" borderId="0" xfId="0" applyNumberFormat="1"/>
    <xf numFmtId="165" fontId="0" fillId="0" borderId="5" xfId="0" applyNumberFormat="1" applyBorder="1"/>
    <xf numFmtId="0" fontId="15" fillId="0" borderId="0" xfId="0" applyFont="1"/>
    <xf numFmtId="165" fontId="15" fillId="0" borderId="0" xfId="1" applyNumberFormat="1" applyFont="1"/>
    <xf numFmtId="0" fontId="16" fillId="2" borderId="0" xfId="0" applyFont="1" applyFill="1"/>
    <xf numFmtId="0" fontId="17" fillId="3" borderId="0" xfId="0" applyFont="1" applyFill="1" applyAlignment="1">
      <alignment horizontal="center" vertical="center" wrapText="1"/>
    </xf>
    <xf numFmtId="165" fontId="8" fillId="0" borderId="0" xfId="0" applyNumberFormat="1" applyFont="1"/>
    <xf numFmtId="165" fontId="8" fillId="0" borderId="4" xfId="0" applyNumberFormat="1" applyFont="1" applyBorder="1"/>
    <xf numFmtId="165" fontId="8" fillId="0" borderId="5" xfId="0" applyNumberFormat="1" applyFont="1" applyBorder="1"/>
    <xf numFmtId="167" fontId="8" fillId="0" borderId="0" xfId="1" applyNumberFormat="1" applyFont="1"/>
    <xf numFmtId="165" fontId="8" fillId="0" borderId="0" xfId="1" applyNumberFormat="1" applyFont="1" applyFill="1"/>
    <xf numFmtId="167" fontId="8" fillId="0" borderId="0" xfId="2" applyNumberFormat="1" applyFont="1"/>
    <xf numFmtId="43" fontId="12" fillId="0" borderId="0" xfId="0" applyNumberFormat="1" applyFont="1"/>
    <xf numFmtId="167" fontId="12" fillId="0" borderId="0" xfId="1" applyNumberFormat="1" applyFont="1"/>
    <xf numFmtId="165" fontId="0" fillId="0" borderId="0" xfId="2" applyNumberFormat="1" applyFont="1"/>
    <xf numFmtId="43" fontId="0" fillId="0" borderId="0" xfId="2" applyNumberFormat="1" applyFont="1" applyFill="1"/>
    <xf numFmtId="167" fontId="0" fillId="0" borderId="0" xfId="2" applyNumberFormat="1" applyFont="1" applyFill="1"/>
    <xf numFmtId="166" fontId="0" fillId="0" borderId="0" xfId="1" applyNumberFormat="1" applyFont="1" applyFill="1" applyBorder="1"/>
    <xf numFmtId="10" fontId="0" fillId="0" borderId="0" xfId="2" applyNumberFormat="1" applyFont="1" applyFill="1" applyBorder="1" applyAlignment="1">
      <alignment horizontal="center"/>
    </xf>
    <xf numFmtId="10" fontId="0" fillId="0" borderId="0" xfId="2" applyNumberFormat="1" applyFont="1" applyFill="1" applyBorder="1"/>
    <xf numFmtId="165" fontId="5" fillId="6" borderId="0" xfId="0" applyNumberFormat="1" applyFont="1" applyFill="1" applyAlignment="1">
      <alignment horizontal="left" vertical="center" indent="5"/>
    </xf>
    <xf numFmtId="0" fontId="2" fillId="2" borderId="0" xfId="0" applyFont="1" applyFill="1" applyAlignment="1">
      <alignment horizontal="center"/>
    </xf>
    <xf numFmtId="0" fontId="2" fillId="0" borderId="0" xfId="0" applyFont="1" applyAlignment="1">
      <alignment vertical="center"/>
    </xf>
    <xf numFmtId="0" fontId="0" fillId="14" borderId="0" xfId="0" applyFill="1"/>
    <xf numFmtId="165" fontId="0" fillId="14" borderId="0" xfId="1" applyNumberFormat="1" applyFont="1" applyFill="1"/>
    <xf numFmtId="165" fontId="8" fillId="14" borderId="0" xfId="1" applyNumberFormat="1" applyFont="1" applyFill="1"/>
    <xf numFmtId="10" fontId="4" fillId="0" borderId="0" xfId="0" applyNumberFormat="1" applyFont="1"/>
    <xf numFmtId="0" fontId="8" fillId="0" borderId="0" xfId="0" applyFont="1" applyAlignment="1">
      <alignment vertical="center"/>
    </xf>
    <xf numFmtId="0" fontId="10" fillId="8" borderId="0" xfId="0" applyFont="1" applyFill="1" applyAlignment="1">
      <alignment horizontal="center"/>
    </xf>
    <xf numFmtId="0" fontId="10" fillId="13" borderId="0" xfId="0" applyFont="1" applyFill="1" applyAlignment="1">
      <alignment horizontal="center"/>
    </xf>
    <xf numFmtId="0" fontId="10" fillId="4" borderId="0" xfId="0" applyFont="1" applyFill="1" applyAlignment="1">
      <alignment horizontal="center"/>
    </xf>
    <xf numFmtId="164" fontId="10" fillId="5" borderId="0" xfId="0" applyNumberFormat="1" applyFont="1" applyFill="1" applyAlignment="1">
      <alignment horizontal="center" vertical="center"/>
    </xf>
    <xf numFmtId="164" fontId="10" fillId="5" borderId="0" xfId="0" applyNumberFormat="1" applyFont="1" applyFill="1" applyAlignment="1">
      <alignment horizontal="center"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495300</xdr:colOff>
      <xdr:row>22</xdr:row>
      <xdr:rowOff>171450</xdr:rowOff>
    </xdr:from>
    <xdr:to>
      <xdr:col>13</xdr:col>
      <xdr:colOff>492125</xdr:colOff>
      <xdr:row>55</xdr:row>
      <xdr:rowOff>63500</xdr:rowOff>
    </xdr:to>
    <xdr:pic>
      <xdr:nvPicPr>
        <xdr:cNvPr id="10" name="Picture 1">
          <a:extLst>
            <a:ext uri="{FF2B5EF4-FFF2-40B4-BE49-F238E27FC236}">
              <a16:creationId xmlns:a16="http://schemas.microsoft.com/office/drawing/2014/main" id="{15BA3861-B2E1-C15C-4A88-BE38D5EDB061}"/>
            </a:ext>
          </a:extLst>
        </xdr:cNvPr>
        <xdr:cNvPicPr>
          <a:picLocks noChangeAspect="1"/>
        </xdr:cNvPicPr>
      </xdr:nvPicPr>
      <xdr:blipFill>
        <a:blip xmlns:r="http://schemas.openxmlformats.org/officeDocument/2006/relationships" r:embed="rId1"/>
        <a:stretch>
          <a:fillRect/>
        </a:stretch>
      </xdr:blipFill>
      <xdr:spPr>
        <a:xfrm>
          <a:off x="1104900" y="4191000"/>
          <a:ext cx="9398000" cy="6178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imf.org/en/Countries/U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3D9B8-0209-46BC-A14F-8C10B3B2E0D9}">
  <sheetPr>
    <pageSetUpPr fitToPage="1"/>
  </sheetPr>
  <dimension ref="A1:S28"/>
  <sheetViews>
    <sheetView tabSelected="1" zoomScale="85" zoomScaleNormal="85" workbookViewId="0">
      <pane xSplit="1" ySplit="5" topLeftCell="B6" activePane="bottomRight" state="frozen"/>
      <selection pane="topRight"/>
      <selection pane="bottomLeft"/>
      <selection pane="bottomRight" activeCell="F9" sqref="F9"/>
    </sheetView>
  </sheetViews>
  <sheetFormatPr defaultRowHeight="15" customHeight="1" outlineLevelCol="1" x14ac:dyDescent="0.25"/>
  <cols>
    <col min="1" max="1" width="39.28515625" customWidth="1"/>
    <col min="2" max="2" width="10.85546875" bestFit="1" customWidth="1" outlineLevel="1"/>
    <col min="3" max="3" width="12.140625" customWidth="1" outlineLevel="1"/>
    <col min="4" max="4" width="13.140625" customWidth="1" outlineLevel="1"/>
    <col min="5" max="8" width="9.140625" outlineLevel="1"/>
    <col min="9" max="9" width="12.140625" hidden="1" customWidth="1" outlineLevel="1"/>
    <col min="10" max="10" width="19.42578125" bestFit="1" customWidth="1"/>
    <col min="11" max="11" width="18.28515625" customWidth="1"/>
    <col min="12" max="12" width="18.28515625" hidden="1" customWidth="1" outlineLevel="1"/>
    <col min="13" max="13" width="18.28515625" customWidth="1" collapsed="1"/>
    <col min="14" max="14" width="18.28515625" customWidth="1"/>
    <col min="16" max="16" width="15.42578125" bestFit="1" customWidth="1"/>
    <col min="17" max="17" width="11.28515625" customWidth="1"/>
    <col min="19" max="19" width="11.5703125" customWidth="1"/>
  </cols>
  <sheetData>
    <row r="1" spans="1:19" s="1" customFormat="1" x14ac:dyDescent="0.25"/>
    <row r="2" spans="1:19" s="1" customFormat="1" x14ac:dyDescent="0.25"/>
    <row r="3" spans="1:19" s="1" customFormat="1" x14ac:dyDescent="0.25">
      <c r="A3" s="2" t="s">
        <v>0</v>
      </c>
    </row>
    <row r="4" spans="1:19" s="1" customFormat="1" x14ac:dyDescent="0.25">
      <c r="A4" s="2"/>
      <c r="J4" s="77"/>
      <c r="K4" s="77"/>
    </row>
    <row r="5" spans="1:19" s="1" customFormat="1" x14ac:dyDescent="0.25">
      <c r="A5" s="2" t="s">
        <v>1</v>
      </c>
      <c r="B5" s="119" t="s">
        <v>2</v>
      </c>
      <c r="C5" s="119" t="s">
        <v>3</v>
      </c>
      <c r="D5" s="119" t="s">
        <v>4</v>
      </c>
      <c r="Q5" s="102"/>
    </row>
    <row r="6" spans="1:19" x14ac:dyDescent="0.25">
      <c r="A6" t="s">
        <v>5</v>
      </c>
      <c r="B6" s="17">
        <f>+B23/B24</f>
        <v>2.3993150497381071</v>
      </c>
      <c r="C6" s="17">
        <f>+C23/C24</f>
        <v>2.3441031740547595</v>
      </c>
      <c r="D6" s="17">
        <f>+D23/D24</f>
        <v>2.5590630173585573</v>
      </c>
      <c r="E6" s="19"/>
      <c r="F6" s="19"/>
      <c r="G6" s="19"/>
      <c r="H6" s="19"/>
      <c r="I6" s="75"/>
      <c r="J6" s="67"/>
      <c r="K6" s="67"/>
      <c r="L6" s="33"/>
      <c r="M6" s="33"/>
      <c r="N6" s="33"/>
    </row>
    <row r="7" spans="1:19" x14ac:dyDescent="0.25">
      <c r="A7" t="s">
        <v>6</v>
      </c>
      <c r="B7" s="17">
        <f>+(FS!C14-FS!C26)/FS!C26</f>
        <v>1.3993150497381073</v>
      </c>
      <c r="C7" s="17">
        <f>+(FS!D14-FS!D26)/FS!D26</f>
        <v>1.3441031740547598</v>
      </c>
      <c r="D7" s="17">
        <f>+(FS!E14-FS!E26)/FS!E26</f>
        <v>1.5590630173585573</v>
      </c>
      <c r="E7" s="19"/>
      <c r="F7" s="19"/>
      <c r="G7" s="19"/>
      <c r="H7" s="19"/>
      <c r="I7" s="75"/>
      <c r="J7" s="67"/>
      <c r="K7" s="67"/>
      <c r="L7" s="33"/>
      <c r="M7" s="33"/>
      <c r="N7" s="33"/>
    </row>
    <row r="8" spans="1:19" x14ac:dyDescent="0.25">
      <c r="A8" t="s">
        <v>7</v>
      </c>
      <c r="B8" s="49">
        <f>+B25/B27</f>
        <v>7.5000631838801193E-2</v>
      </c>
      <c r="C8" s="49">
        <f>+C25/C27</f>
        <v>8.2446242514659637E-2</v>
      </c>
      <c r="D8" s="49">
        <f>+D25/D27</f>
        <v>8.9207613877772152E-2</v>
      </c>
      <c r="E8" s="19"/>
      <c r="F8" s="19"/>
      <c r="G8" s="19"/>
      <c r="H8" s="19"/>
      <c r="I8" s="75"/>
      <c r="J8" s="39"/>
      <c r="K8" s="39"/>
      <c r="L8" s="33"/>
      <c r="M8" s="33"/>
      <c r="N8" s="33"/>
    </row>
    <row r="9" spans="1:19" x14ac:dyDescent="0.25">
      <c r="A9" t="s">
        <v>8</v>
      </c>
      <c r="B9" s="49">
        <f>+B25/B26</f>
        <v>0.13329088561756874</v>
      </c>
      <c r="C9" s="49">
        <f>+C25/C26</f>
        <v>0.13805427710177345</v>
      </c>
      <c r="D9" s="49">
        <f>+D25/D26</f>
        <v>0.13942994523953212</v>
      </c>
      <c r="E9" s="19"/>
      <c r="F9" s="19"/>
      <c r="G9" s="19"/>
      <c r="H9" s="19"/>
      <c r="I9" s="75"/>
      <c r="J9" s="39"/>
      <c r="K9" s="39"/>
      <c r="L9" s="33"/>
      <c r="M9" s="33"/>
      <c r="N9" s="33"/>
    </row>
    <row r="10" spans="1:19" x14ac:dyDescent="0.25">
      <c r="A10" t="s">
        <v>9</v>
      </c>
      <c r="B10" s="49">
        <f>+B25/B28</f>
        <v>0.200666148855485</v>
      </c>
      <c r="C10" s="49">
        <f>+C25/C28</f>
        <v>0.20812358248141599</v>
      </c>
      <c r="D10" s="49">
        <f>+D25/D28</f>
        <v>0.20065601109090728</v>
      </c>
      <c r="E10" s="19"/>
      <c r="F10" s="19"/>
      <c r="G10" s="19"/>
      <c r="H10" s="19"/>
      <c r="I10" s="75"/>
      <c r="J10" s="39"/>
      <c r="K10" s="39"/>
      <c r="L10" s="33"/>
      <c r="M10" s="33"/>
      <c r="N10" s="33"/>
    </row>
    <row r="11" spans="1:19" x14ac:dyDescent="0.25">
      <c r="A11" t="s">
        <v>10</v>
      </c>
      <c r="B11" s="19">
        <f>+(B19/B21)*100</f>
        <v>43.825491340365822</v>
      </c>
      <c r="C11" s="19">
        <f>+(C19/C21)*100</f>
        <v>42.656468294064567</v>
      </c>
      <c r="D11" s="19">
        <f>+(D19/D21)*100</f>
        <v>38.916210519517612</v>
      </c>
      <c r="E11" s="19"/>
      <c r="F11" s="19"/>
      <c r="G11" s="19"/>
      <c r="H11" s="19"/>
      <c r="I11" s="93"/>
      <c r="J11" s="39"/>
      <c r="K11" s="39"/>
      <c r="L11" s="33"/>
      <c r="M11" s="33"/>
      <c r="N11" s="33"/>
      <c r="S11" s="55"/>
    </row>
    <row r="12" spans="1:19" x14ac:dyDescent="0.25">
      <c r="A12" t="s">
        <v>11</v>
      </c>
      <c r="B12" s="81">
        <v>0</v>
      </c>
      <c r="C12" s="81">
        <v>0</v>
      </c>
      <c r="D12" s="81">
        <v>0</v>
      </c>
      <c r="E12" s="81"/>
      <c r="F12" s="81"/>
      <c r="G12" s="81"/>
      <c r="H12" s="81"/>
      <c r="I12" s="75"/>
      <c r="J12" s="75"/>
      <c r="K12" s="75"/>
      <c r="L12" s="33"/>
      <c r="M12" s="75"/>
      <c r="N12" s="75"/>
    </row>
    <row r="13" spans="1:19" x14ac:dyDescent="0.25">
      <c r="A13" t="s">
        <v>12</v>
      </c>
      <c r="B13" s="115">
        <f>+(B20/B21)*100</f>
        <v>15.747362816467836</v>
      </c>
      <c r="C13" s="115">
        <f>+(C20/C21)*100</f>
        <v>16.90869866399083</v>
      </c>
      <c r="D13" s="115">
        <f>+(D20/D21)*100</f>
        <v>15.324929641408563</v>
      </c>
      <c r="E13" s="115"/>
      <c r="F13" s="115"/>
      <c r="G13" s="115"/>
      <c r="H13" s="115"/>
      <c r="I13" s="116"/>
      <c r="J13" s="117"/>
      <c r="K13" s="117"/>
      <c r="L13" s="33"/>
      <c r="M13" s="33"/>
      <c r="N13" s="33"/>
    </row>
    <row r="14" spans="1:19" x14ac:dyDescent="0.25">
      <c r="A14" t="s">
        <v>13</v>
      </c>
      <c r="B14" s="19">
        <f>+B11+B12-B13</f>
        <v>28.078128523897988</v>
      </c>
      <c r="C14" s="19">
        <f>+C11+C12-C13</f>
        <v>25.747769630073737</v>
      </c>
      <c r="D14" s="19">
        <f>+D11+D12-D13</f>
        <v>23.59128087810905</v>
      </c>
      <c r="E14" s="19"/>
      <c r="F14" s="19"/>
      <c r="G14" s="19"/>
      <c r="H14" s="19"/>
      <c r="I14" s="19"/>
      <c r="J14" s="74"/>
      <c r="K14" s="74"/>
    </row>
    <row r="15" spans="1:19" x14ac:dyDescent="0.25">
      <c r="A15" s="13"/>
      <c r="B15" s="39"/>
      <c r="C15" s="39"/>
      <c r="D15" s="39"/>
      <c r="E15" s="39"/>
      <c r="F15" s="39"/>
      <c r="G15" s="39"/>
      <c r="H15" s="39"/>
      <c r="I15" s="39"/>
      <c r="J15" s="39"/>
      <c r="K15" s="39"/>
    </row>
    <row r="16" spans="1:19" x14ac:dyDescent="0.25"/>
    <row r="17" spans="1:6" x14ac:dyDescent="0.25">
      <c r="F17" s="55"/>
    </row>
    <row r="18" spans="1:6" x14ac:dyDescent="0.25">
      <c r="B18" s="119" t="s">
        <v>2</v>
      </c>
      <c r="C18" s="119" t="s">
        <v>3</v>
      </c>
      <c r="D18" s="119" t="s">
        <v>4</v>
      </c>
    </row>
    <row r="19" spans="1:6" ht="15" customHeight="1" x14ac:dyDescent="0.25">
      <c r="A19" t="s">
        <v>14</v>
      </c>
      <c r="B19" s="22">
        <v>753972</v>
      </c>
      <c r="C19" s="22">
        <v>915671</v>
      </c>
      <c r="D19" s="22">
        <v>1012334</v>
      </c>
    </row>
    <row r="20" spans="1:6" ht="15" customHeight="1" x14ac:dyDescent="0.25">
      <c r="A20" t="s">
        <v>15</v>
      </c>
      <c r="B20" s="22">
        <v>270917</v>
      </c>
      <c r="C20" s="22">
        <v>362965</v>
      </c>
      <c r="D20" s="22">
        <v>398650</v>
      </c>
    </row>
    <row r="21" spans="1:6" ht="15" customHeight="1" x14ac:dyDescent="0.25">
      <c r="A21" t="s">
        <v>16</v>
      </c>
      <c r="B21" s="22">
        <v>1720396</v>
      </c>
      <c r="C21" s="22">
        <v>2146617</v>
      </c>
      <c r="D21" s="22">
        <v>2601317</v>
      </c>
    </row>
    <row r="22" spans="1:6" ht="15" customHeight="1" x14ac:dyDescent="0.25">
      <c r="B22" s="22"/>
      <c r="C22" s="22"/>
      <c r="D22" s="22"/>
    </row>
    <row r="23" spans="1:6" ht="15" customHeight="1" x14ac:dyDescent="0.25">
      <c r="A23" s="13" t="s">
        <v>17</v>
      </c>
      <c r="B23" s="23">
        <v>1226717</v>
      </c>
      <c r="C23" s="23">
        <v>1594391</v>
      </c>
      <c r="D23" s="23">
        <v>1969286</v>
      </c>
    </row>
    <row r="24" spans="1:6" ht="15" customHeight="1" x14ac:dyDescent="0.25">
      <c r="A24" s="13" t="s">
        <v>18</v>
      </c>
      <c r="B24" s="23">
        <v>511278</v>
      </c>
      <c r="C24" s="23">
        <v>680171</v>
      </c>
      <c r="D24" s="23">
        <v>769534</v>
      </c>
    </row>
    <row r="25" spans="1:6" ht="15" customHeight="1" thickBot="1" x14ac:dyDescent="0.3">
      <c r="A25" s="13" t="s">
        <v>19</v>
      </c>
      <c r="B25" s="50">
        <v>219599</v>
      </c>
      <c r="C25" s="50">
        <v>302179</v>
      </c>
      <c r="D25" s="50">
        <v>399470</v>
      </c>
    </row>
    <row r="26" spans="1:6" ht="15" customHeight="1" thickTop="1" thickBot="1" x14ac:dyDescent="0.3">
      <c r="A26" s="13" t="s">
        <v>20</v>
      </c>
      <c r="B26" s="50">
        <v>1647517</v>
      </c>
      <c r="C26" s="50">
        <v>2188842</v>
      </c>
      <c r="D26" s="50">
        <v>2865023</v>
      </c>
    </row>
    <row r="27" spans="1:6" ht="15" customHeight="1" thickTop="1" x14ac:dyDescent="0.25">
      <c r="A27" t="s">
        <v>21</v>
      </c>
      <c r="B27" s="16">
        <v>2927962</v>
      </c>
      <c r="C27" s="16">
        <v>3665164</v>
      </c>
      <c r="D27" s="16">
        <v>4477981</v>
      </c>
    </row>
    <row r="28" spans="1:6" ht="15" customHeight="1" x14ac:dyDescent="0.25">
      <c r="A28" s="13" t="s">
        <v>22</v>
      </c>
      <c r="B28" s="23">
        <v>1094350</v>
      </c>
      <c r="C28" s="23">
        <v>1451921</v>
      </c>
      <c r="D28" s="23">
        <v>1990820</v>
      </c>
    </row>
  </sheetData>
  <pageMargins left="0.7" right="0.7" top="0.75" bottom="0.75" header="0.3" footer="0.3"/>
  <pageSetup paperSize="9" fitToWidth="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4F236-DB2A-45D2-AF33-15CA90A5CAEA}">
  <dimension ref="B1:P36"/>
  <sheetViews>
    <sheetView zoomScaleNormal="100" workbookViewId="0">
      <pane xSplit="2" ySplit="5" topLeftCell="E6" activePane="bottomRight" state="frozen"/>
      <selection pane="topRight" activeCell="C1" sqref="C1"/>
      <selection pane="bottomLeft" activeCell="A6" sqref="A6"/>
      <selection pane="bottomRight" activeCell="O15" sqref="O15"/>
    </sheetView>
  </sheetViews>
  <sheetFormatPr defaultRowHeight="15" x14ac:dyDescent="0.25"/>
  <cols>
    <col min="2" max="2" width="42.5703125" customWidth="1"/>
    <col min="3" max="10" width="13.28515625" bestFit="1" customWidth="1"/>
    <col min="11" max="14" width="14.28515625" bestFit="1" customWidth="1"/>
  </cols>
  <sheetData>
    <row r="1" spans="2:16" s="1" customFormat="1" x14ac:dyDescent="0.25"/>
    <row r="2" spans="2:16" s="1" customFormat="1" x14ac:dyDescent="0.25">
      <c r="B2" s="2" t="s">
        <v>23</v>
      </c>
    </row>
    <row r="3" spans="2:16" s="1" customFormat="1" x14ac:dyDescent="0.25">
      <c r="B3" s="2" t="s">
        <v>24</v>
      </c>
    </row>
    <row r="4" spans="2:16" s="1" customFormat="1" x14ac:dyDescent="0.25"/>
    <row r="5" spans="2:16" s="1" customFormat="1" x14ac:dyDescent="0.25">
      <c r="B5" s="2" t="s">
        <v>25</v>
      </c>
      <c r="C5" s="31">
        <v>34028</v>
      </c>
      <c r="D5" s="31">
        <v>34392</v>
      </c>
      <c r="E5" s="31">
        <v>34756</v>
      </c>
      <c r="F5" s="31">
        <v>35120</v>
      </c>
      <c r="G5" s="31">
        <v>35490</v>
      </c>
      <c r="H5" s="31">
        <v>35854</v>
      </c>
      <c r="I5" s="31">
        <v>36218</v>
      </c>
      <c r="J5" s="31">
        <v>36582</v>
      </c>
      <c r="K5" s="31">
        <v>36953</v>
      </c>
      <c r="L5" s="31">
        <v>37317</v>
      </c>
      <c r="M5" s="31">
        <v>37681</v>
      </c>
      <c r="N5" s="31">
        <v>38046</v>
      </c>
    </row>
    <row r="6" spans="2:16" x14ac:dyDescent="0.25">
      <c r="C6" s="4"/>
      <c r="D6" s="4"/>
      <c r="E6" s="4"/>
      <c r="F6" s="4"/>
      <c r="G6" s="4"/>
      <c r="H6" s="4"/>
      <c r="I6" s="4"/>
      <c r="J6" s="4"/>
      <c r="K6" s="4"/>
      <c r="L6" s="4"/>
      <c r="M6" s="4"/>
      <c r="N6" s="4"/>
    </row>
    <row r="7" spans="2:16" x14ac:dyDescent="0.25">
      <c r="B7" s="3" t="s">
        <v>26</v>
      </c>
      <c r="C7" s="5"/>
      <c r="D7" s="5"/>
      <c r="E7" s="5"/>
      <c r="F7" s="5"/>
      <c r="G7" s="5"/>
      <c r="H7" s="5"/>
      <c r="I7" s="5"/>
      <c r="J7" s="5"/>
      <c r="K7" s="5"/>
      <c r="L7" s="5"/>
      <c r="M7" s="5"/>
      <c r="N7" s="5"/>
    </row>
    <row r="8" spans="2:16" x14ac:dyDescent="0.25">
      <c r="B8" t="s">
        <v>27</v>
      </c>
      <c r="C8" s="7">
        <v>216411</v>
      </c>
      <c r="D8" s="7">
        <v>304571</v>
      </c>
      <c r="E8" s="7">
        <v>437807</v>
      </c>
      <c r="F8" s="7">
        <v>597352</v>
      </c>
      <c r="G8" s="7">
        <v>816912</v>
      </c>
      <c r="H8" s="7">
        <v>1057135</v>
      </c>
      <c r="I8" s="7">
        <v>1382345</v>
      </c>
      <c r="J8" s="7">
        <v>1857505</v>
      </c>
      <c r="K8" s="7">
        <v>2396655</v>
      </c>
      <c r="L8" s="7">
        <v>2927962</v>
      </c>
      <c r="M8" s="7">
        <v>3665164</v>
      </c>
      <c r="N8" s="7">
        <v>4477981</v>
      </c>
    </row>
    <row r="9" spans="2:16" s="12" customFormat="1" x14ac:dyDescent="0.25">
      <c r="B9" s="8" t="s">
        <v>28</v>
      </c>
      <c r="C9" s="10" t="s">
        <v>29</v>
      </c>
      <c r="D9" s="11">
        <v>0.40699999999999997</v>
      </c>
      <c r="E9" s="11">
        <v>0.437</v>
      </c>
      <c r="F9" s="11">
        <v>0.36399999999999999</v>
      </c>
      <c r="G9" s="11">
        <v>0.36799999999999999</v>
      </c>
      <c r="H9" s="11">
        <v>0.29399999999999998</v>
      </c>
      <c r="I9" s="11">
        <v>0.308</v>
      </c>
      <c r="J9" s="11">
        <v>0.34399999999999997</v>
      </c>
      <c r="K9" s="11">
        <v>0.28999999999999998</v>
      </c>
      <c r="L9" s="11">
        <v>0.222</v>
      </c>
      <c r="M9" s="11">
        <v>0.252</v>
      </c>
      <c r="N9" s="11">
        <v>0.222</v>
      </c>
    </row>
    <row r="10" spans="2:16" x14ac:dyDescent="0.25">
      <c r="B10" t="s">
        <v>30</v>
      </c>
      <c r="C10" s="7">
        <v>90528</v>
      </c>
      <c r="D10" s="7">
        <v>127972</v>
      </c>
      <c r="E10" s="7">
        <v>183819</v>
      </c>
      <c r="F10" s="7">
        <v>250036</v>
      </c>
      <c r="G10" s="7">
        <v>341168</v>
      </c>
      <c r="H10" s="7">
        <v>441016</v>
      </c>
      <c r="I10" s="7">
        <v>576125</v>
      </c>
      <c r="J10" s="7">
        <v>766801</v>
      </c>
      <c r="K10" s="7">
        <v>986459</v>
      </c>
      <c r="L10" s="7">
        <v>1207566</v>
      </c>
      <c r="M10" s="7">
        <v>1518547</v>
      </c>
      <c r="N10" s="7">
        <v>1876664</v>
      </c>
    </row>
    <row r="11" spans="2:16" s="12" customFormat="1" x14ac:dyDescent="0.25">
      <c r="B11" s="8" t="s">
        <v>31</v>
      </c>
      <c r="C11" s="11">
        <v>0.41799999999999998</v>
      </c>
      <c r="D11" s="11">
        <v>0.42</v>
      </c>
      <c r="E11" s="11">
        <v>0.42</v>
      </c>
      <c r="F11" s="11">
        <v>0.41899999999999998</v>
      </c>
      <c r="G11" s="11">
        <v>0.41799999999999998</v>
      </c>
      <c r="H11" s="11">
        <v>0.41699999999999998</v>
      </c>
      <c r="I11" s="11">
        <v>0.41699999999999998</v>
      </c>
      <c r="J11" s="11">
        <v>0.41299999999999998</v>
      </c>
      <c r="K11" s="11">
        <v>0.41199999999999998</v>
      </c>
      <c r="L11" s="11">
        <v>0.41199999999999998</v>
      </c>
      <c r="M11" s="11">
        <v>0.41399999999999998</v>
      </c>
      <c r="N11" s="11">
        <v>0.41899999999999998</v>
      </c>
    </row>
    <row r="12" spans="2:16" x14ac:dyDescent="0.25">
      <c r="B12" t="s">
        <v>32</v>
      </c>
      <c r="C12" s="7">
        <v>26660</v>
      </c>
      <c r="D12" s="7">
        <v>36906</v>
      </c>
      <c r="E12" s="7">
        <v>51685</v>
      </c>
      <c r="F12" s="7">
        <v>67585</v>
      </c>
      <c r="G12" s="7">
        <v>90607</v>
      </c>
      <c r="H12" s="7">
        <v>118914</v>
      </c>
      <c r="I12" s="7">
        <v>158052</v>
      </c>
      <c r="J12" s="7">
        <v>209340</v>
      </c>
      <c r="K12" s="7">
        <v>272838</v>
      </c>
      <c r="L12" s="7">
        <v>346100</v>
      </c>
      <c r="M12" s="7">
        <v>480057</v>
      </c>
      <c r="N12" s="7">
        <v>639343</v>
      </c>
    </row>
    <row r="13" spans="2:16" s="12" customFormat="1" x14ac:dyDescent="0.25">
      <c r="B13" s="8" t="s">
        <v>33</v>
      </c>
      <c r="C13" s="11">
        <v>0.123</v>
      </c>
      <c r="D13" s="11">
        <v>0.121</v>
      </c>
      <c r="E13" s="11">
        <v>0.11799999999999999</v>
      </c>
      <c r="F13" s="11">
        <v>0.113</v>
      </c>
      <c r="G13" s="11">
        <v>0.111</v>
      </c>
      <c r="H13" s="11">
        <v>0.112</v>
      </c>
      <c r="I13" s="11">
        <v>0.114</v>
      </c>
      <c r="J13" s="11">
        <v>0.113</v>
      </c>
      <c r="K13" s="11">
        <v>0.114</v>
      </c>
      <c r="L13" s="11">
        <v>0.11799999999999999</v>
      </c>
      <c r="M13" s="11">
        <v>0.13100000000000001</v>
      </c>
      <c r="N13" s="11">
        <v>0.14299999999999999</v>
      </c>
    </row>
    <row r="14" spans="2:16" x14ac:dyDescent="0.25">
      <c r="B14" t="s">
        <v>19</v>
      </c>
      <c r="C14" s="7">
        <v>15960</v>
      </c>
      <c r="D14" s="7">
        <v>21887</v>
      </c>
      <c r="E14" s="7">
        <v>30013</v>
      </c>
      <c r="F14" s="7">
        <v>39459</v>
      </c>
      <c r="G14" s="7">
        <v>55015</v>
      </c>
      <c r="H14" s="7">
        <v>73142</v>
      </c>
      <c r="I14" s="7">
        <v>97346</v>
      </c>
      <c r="J14" s="7">
        <v>131229</v>
      </c>
      <c r="K14" s="7">
        <v>171922</v>
      </c>
      <c r="L14" s="7">
        <v>219599</v>
      </c>
      <c r="M14" s="7">
        <v>302179</v>
      </c>
      <c r="N14" s="7">
        <v>399470</v>
      </c>
    </row>
    <row r="15" spans="2:16" s="12" customFormat="1" x14ac:dyDescent="0.25">
      <c r="B15" s="8" t="s">
        <v>28</v>
      </c>
      <c r="C15" s="10" t="s">
        <v>29</v>
      </c>
      <c r="D15" s="11">
        <v>0.371</v>
      </c>
      <c r="E15" s="11">
        <v>0.371</v>
      </c>
      <c r="F15" s="11">
        <v>0.315</v>
      </c>
      <c r="G15" s="11">
        <v>0.39400000000000002</v>
      </c>
      <c r="H15" s="11">
        <v>0.32900000000000001</v>
      </c>
      <c r="I15" s="11">
        <v>0.33100000000000002</v>
      </c>
      <c r="J15" s="11">
        <v>0.34799999999999998</v>
      </c>
      <c r="K15" s="11">
        <v>0.31</v>
      </c>
      <c r="L15" s="11">
        <v>0.27700000000000002</v>
      </c>
      <c r="M15" s="11">
        <v>0.376</v>
      </c>
      <c r="N15" s="11">
        <v>0.32200000000000001</v>
      </c>
      <c r="P15" s="124">
        <f>AVERAGE(C15:N15)</f>
        <v>0.34036363636363637</v>
      </c>
    </row>
    <row r="16" spans="2:16" s="12" customFormat="1" x14ac:dyDescent="0.25">
      <c r="B16" s="8" t="s">
        <v>34</v>
      </c>
      <c r="C16" s="11">
        <v>7.3999999999999996E-2</v>
      </c>
      <c r="D16" s="11">
        <v>7.1999999999999995E-2</v>
      </c>
      <c r="E16" s="11">
        <v>6.9000000000000006E-2</v>
      </c>
      <c r="F16" s="11">
        <v>6.6000000000000003E-2</v>
      </c>
      <c r="G16" s="11">
        <v>6.7000000000000004E-2</v>
      </c>
      <c r="H16" s="11">
        <v>6.9000000000000006E-2</v>
      </c>
      <c r="I16" s="11">
        <v>7.0000000000000007E-2</v>
      </c>
      <c r="J16" s="11">
        <v>7.0999999999999994E-2</v>
      </c>
      <c r="K16" s="11">
        <v>7.1999999999999995E-2</v>
      </c>
      <c r="L16" s="11">
        <v>7.4999999999999997E-2</v>
      </c>
      <c r="M16" s="11">
        <v>8.2000000000000003E-2</v>
      </c>
      <c r="N16" s="11">
        <v>8.8999999999999996E-2</v>
      </c>
    </row>
    <row r="17" spans="2:14" x14ac:dyDescent="0.25">
      <c r="B17" t="s">
        <v>35</v>
      </c>
      <c r="C17" s="9">
        <v>0.06</v>
      </c>
      <c r="D17" s="9">
        <v>0.08</v>
      </c>
      <c r="E17" s="9">
        <v>0.11</v>
      </c>
      <c r="F17" s="9">
        <v>0.14000000000000001</v>
      </c>
      <c r="G17" s="9">
        <v>0.2</v>
      </c>
      <c r="H17" s="9">
        <v>0.26</v>
      </c>
      <c r="I17" s="9">
        <v>0.34</v>
      </c>
      <c r="J17" s="9">
        <v>0.46</v>
      </c>
      <c r="K17" s="9">
        <v>0.59</v>
      </c>
      <c r="L17" s="9">
        <v>0.74</v>
      </c>
      <c r="M17" s="9">
        <v>1</v>
      </c>
      <c r="N17" s="9">
        <v>1.31</v>
      </c>
    </row>
    <row r="19" spans="2:14" x14ac:dyDescent="0.25">
      <c r="B19" s="3" t="s">
        <v>36</v>
      </c>
    </row>
    <row r="20" spans="2:14" x14ac:dyDescent="0.25">
      <c r="B20" t="s">
        <v>37</v>
      </c>
      <c r="C20" s="7">
        <v>38</v>
      </c>
      <c r="D20" s="7">
        <v>45</v>
      </c>
      <c r="E20" s="7">
        <v>61</v>
      </c>
      <c r="F20" s="7">
        <v>80</v>
      </c>
      <c r="G20" s="7">
        <v>108</v>
      </c>
      <c r="H20" s="7">
        <v>141</v>
      </c>
      <c r="I20" s="7">
        <v>186</v>
      </c>
      <c r="J20" s="7">
        <v>241</v>
      </c>
      <c r="K20" s="7">
        <v>311</v>
      </c>
      <c r="L20" s="7">
        <v>396</v>
      </c>
      <c r="M20" s="7">
        <v>490</v>
      </c>
      <c r="N20" s="7">
        <v>575</v>
      </c>
    </row>
    <row r="21" spans="2:14" x14ac:dyDescent="0.25">
      <c r="B21" t="s">
        <v>38</v>
      </c>
      <c r="C21" s="7">
        <v>1128000</v>
      </c>
      <c r="D21" s="7">
        <v>1512000</v>
      </c>
      <c r="E21" s="7">
        <v>2339000</v>
      </c>
      <c r="F21" s="7">
        <v>3214000</v>
      </c>
      <c r="G21" s="7">
        <v>4347000</v>
      </c>
      <c r="H21" s="7">
        <v>5767000</v>
      </c>
      <c r="I21" s="7">
        <v>7688000</v>
      </c>
      <c r="J21" s="7">
        <v>9815000</v>
      </c>
      <c r="K21" s="7">
        <v>12204000</v>
      </c>
      <c r="L21" s="7">
        <v>14724000</v>
      </c>
      <c r="M21" s="7">
        <v>17255000</v>
      </c>
      <c r="N21" s="7">
        <v>19353000</v>
      </c>
    </row>
    <row r="22" spans="2:14" x14ac:dyDescent="0.25">
      <c r="B22" t="s">
        <v>39</v>
      </c>
      <c r="C22" s="6">
        <v>7.1999999999999995E-2</v>
      </c>
      <c r="D22" s="6">
        <v>0.106</v>
      </c>
      <c r="E22" s="6">
        <v>0.12</v>
      </c>
      <c r="F22" s="6">
        <v>3.7999999999999999E-2</v>
      </c>
      <c r="G22" s="6">
        <v>6.0999999999999999E-2</v>
      </c>
      <c r="H22" s="6">
        <v>6.4000000000000001E-2</v>
      </c>
      <c r="I22" s="6">
        <v>7.5999999999999998E-2</v>
      </c>
      <c r="J22" s="6">
        <v>9.1999999999999998E-2</v>
      </c>
      <c r="K22" s="6">
        <v>0.05</v>
      </c>
      <c r="L22" s="6">
        <v>7.0999999999999994E-2</v>
      </c>
      <c r="M22" s="6">
        <v>7.9000000000000001E-2</v>
      </c>
      <c r="N22" s="6">
        <v>6.3E-2</v>
      </c>
    </row>
    <row r="24" spans="2:14" x14ac:dyDescent="0.25">
      <c r="B24" s="3" t="s">
        <v>40</v>
      </c>
    </row>
    <row r="25" spans="2:14" x14ac:dyDescent="0.25">
      <c r="B25" t="s">
        <v>41</v>
      </c>
      <c r="C25" s="7">
        <v>34842</v>
      </c>
      <c r="D25" s="7">
        <v>56001</v>
      </c>
      <c r="E25" s="7">
        <v>74390</v>
      </c>
      <c r="F25" s="7">
        <v>91331</v>
      </c>
      <c r="G25" s="7">
        <v>127333</v>
      </c>
      <c r="H25" s="7">
        <v>188293</v>
      </c>
      <c r="I25" s="7">
        <v>267557</v>
      </c>
      <c r="J25" s="7">
        <v>360585</v>
      </c>
      <c r="K25" s="7">
        <v>532524</v>
      </c>
      <c r="L25" s="7">
        <v>715439</v>
      </c>
      <c r="M25" s="7">
        <v>914220</v>
      </c>
      <c r="N25" s="7">
        <v>1199752</v>
      </c>
    </row>
    <row r="26" spans="2:14" x14ac:dyDescent="0.25">
      <c r="B26" t="s">
        <v>20</v>
      </c>
      <c r="C26" s="7">
        <v>76654</v>
      </c>
      <c r="D26" s="7">
        <v>121468</v>
      </c>
      <c r="E26" s="7">
        <v>176678</v>
      </c>
      <c r="F26" s="7">
        <v>235810</v>
      </c>
      <c r="G26" s="7">
        <v>329925</v>
      </c>
      <c r="H26" s="7">
        <v>458330</v>
      </c>
      <c r="I26" s="7">
        <v>633148</v>
      </c>
      <c r="J26" s="7">
        <v>865800</v>
      </c>
      <c r="K26" s="7">
        <v>1195725</v>
      </c>
      <c r="L26" s="7">
        <v>1647517</v>
      </c>
      <c r="M26" s="7">
        <v>2188842</v>
      </c>
      <c r="N26" s="7">
        <v>2865023</v>
      </c>
    </row>
    <row r="27" spans="2:14" s="12" customFormat="1" x14ac:dyDescent="0.25">
      <c r="B27" s="8" t="s">
        <v>42</v>
      </c>
      <c r="C27" s="10" t="s">
        <v>29</v>
      </c>
      <c r="D27" s="11">
        <v>0.221</v>
      </c>
      <c r="E27" s="11">
        <v>0.20100000000000001</v>
      </c>
      <c r="F27" s="11">
        <v>0.191</v>
      </c>
      <c r="G27" s="11">
        <v>0.19400000000000001</v>
      </c>
      <c r="H27" s="11">
        <v>0.186</v>
      </c>
      <c r="I27" s="11">
        <v>0.17799999999999999</v>
      </c>
      <c r="J27" s="11">
        <v>0.17499999999999999</v>
      </c>
      <c r="K27" s="11">
        <v>0.16700000000000001</v>
      </c>
      <c r="L27" s="11">
        <v>0.154</v>
      </c>
      <c r="M27" s="11">
        <v>0.158</v>
      </c>
      <c r="N27" s="11">
        <v>0.158</v>
      </c>
    </row>
    <row r="28" spans="2:14" x14ac:dyDescent="0.25">
      <c r="B28" t="s">
        <v>43</v>
      </c>
      <c r="C28" s="7">
        <v>0</v>
      </c>
      <c r="D28" s="7">
        <v>13300</v>
      </c>
      <c r="E28" s="7">
        <v>16800</v>
      </c>
      <c r="F28" s="7">
        <v>5000</v>
      </c>
      <c r="G28" s="7">
        <v>0</v>
      </c>
      <c r="H28" s="7">
        <v>0</v>
      </c>
      <c r="I28" s="7">
        <v>0</v>
      </c>
      <c r="J28" s="7">
        <v>0</v>
      </c>
      <c r="K28" s="7">
        <v>0</v>
      </c>
      <c r="L28" s="7">
        <v>0</v>
      </c>
      <c r="M28" s="7">
        <v>0</v>
      </c>
      <c r="N28" s="7">
        <v>0</v>
      </c>
    </row>
    <row r="29" spans="2:14" x14ac:dyDescent="0.25">
      <c r="B29" t="s">
        <v>44</v>
      </c>
      <c r="C29" s="7">
        <v>54643</v>
      </c>
      <c r="D29" s="7">
        <v>77305</v>
      </c>
      <c r="E29" s="7">
        <v>108939</v>
      </c>
      <c r="F29" s="7">
        <v>151446</v>
      </c>
      <c r="G29" s="7">
        <v>214361</v>
      </c>
      <c r="H29" s="7">
        <v>295397</v>
      </c>
      <c r="I29" s="7">
        <v>411087</v>
      </c>
      <c r="J29" s="7">
        <v>559045</v>
      </c>
      <c r="K29" s="7">
        <v>817018</v>
      </c>
      <c r="L29" s="7">
        <v>1094350</v>
      </c>
      <c r="M29" s="7">
        <v>1451921</v>
      </c>
      <c r="N29" s="7">
        <v>1990820</v>
      </c>
    </row>
    <row r="30" spans="2:14" s="12" customFormat="1" x14ac:dyDescent="0.25">
      <c r="B30" s="8" t="s">
        <v>45</v>
      </c>
      <c r="C30" s="10" t="s">
        <v>29</v>
      </c>
      <c r="D30" s="11">
        <v>0.33200000000000002</v>
      </c>
      <c r="E30" s="11">
        <v>0.32200000000000001</v>
      </c>
      <c r="F30" s="11">
        <v>0.30299999999999999</v>
      </c>
      <c r="G30" s="11">
        <v>0.30099999999999999</v>
      </c>
      <c r="H30" s="11">
        <v>0.28699999999999998</v>
      </c>
      <c r="I30" s="11">
        <v>0.27600000000000002</v>
      </c>
      <c r="J30" s="11">
        <v>0.27100000000000002</v>
      </c>
      <c r="K30" s="11">
        <v>0.25</v>
      </c>
      <c r="L30" s="11">
        <v>0.23</v>
      </c>
      <c r="M30" s="11">
        <v>0.23699999999999999</v>
      </c>
      <c r="N30" s="11">
        <v>0.20100000000000001</v>
      </c>
    </row>
    <row r="32" spans="2:14" x14ac:dyDescent="0.25">
      <c r="B32" t="s">
        <v>46</v>
      </c>
    </row>
    <row r="33" spans="2:2" x14ac:dyDescent="0.25">
      <c r="B33" t="s">
        <v>47</v>
      </c>
    </row>
    <row r="34" spans="2:2" x14ac:dyDescent="0.25">
      <c r="B34" t="s">
        <v>48</v>
      </c>
    </row>
    <row r="35" spans="2:2" x14ac:dyDescent="0.25">
      <c r="B35" t="s">
        <v>49</v>
      </c>
    </row>
    <row r="36" spans="2:2" x14ac:dyDescent="0.25">
      <c r="B36"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A0438-08C5-4B53-97B5-09D5B80DC845}">
  <dimension ref="A1:AE44"/>
  <sheetViews>
    <sheetView workbookViewId="0">
      <selection activeCell="E32" sqref="E32"/>
    </sheetView>
  </sheetViews>
  <sheetFormatPr defaultRowHeight="15" x14ac:dyDescent="0.25"/>
  <cols>
    <col min="1" max="1" width="3.42578125" customWidth="1"/>
    <col min="2" max="2" width="40.140625" customWidth="1"/>
    <col min="3" max="3" width="21.5703125" customWidth="1"/>
    <col min="4" max="4" width="11" bestFit="1" customWidth="1"/>
    <col min="5" max="5" width="16.7109375" customWidth="1"/>
    <col min="6" max="11" width="11.85546875" bestFit="1" customWidth="1"/>
  </cols>
  <sheetData>
    <row r="1" spans="2:5" s="1" customFormat="1" x14ac:dyDescent="0.25"/>
    <row r="2" spans="2:5" s="1" customFormat="1" x14ac:dyDescent="0.25"/>
    <row r="3" spans="2:5" s="1" customFormat="1" x14ac:dyDescent="0.25">
      <c r="B3" s="2" t="s">
        <v>51</v>
      </c>
    </row>
    <row r="4" spans="2:5" s="1" customFormat="1" x14ac:dyDescent="0.25">
      <c r="B4" s="2" t="s">
        <v>52</v>
      </c>
    </row>
    <row r="5" spans="2:5" s="1" customFormat="1" x14ac:dyDescent="0.25">
      <c r="B5" s="2"/>
      <c r="C5" s="31"/>
      <c r="D5" s="31"/>
      <c r="E5" s="31"/>
    </row>
    <row r="7" spans="2:5" x14ac:dyDescent="0.25">
      <c r="B7" t="s">
        <v>53</v>
      </c>
    </row>
    <row r="8" spans="2:5" x14ac:dyDescent="0.25">
      <c r="B8" s="32" t="s">
        <v>54</v>
      </c>
    </row>
    <row r="9" spans="2:5" x14ac:dyDescent="0.25">
      <c r="B9" s="32"/>
    </row>
    <row r="10" spans="2:5" x14ac:dyDescent="0.25">
      <c r="B10" s="35" t="s">
        <v>55</v>
      </c>
      <c r="C10" s="35" t="s">
        <v>56</v>
      </c>
      <c r="E10" t="s">
        <v>57</v>
      </c>
    </row>
    <row r="11" spans="2:5" x14ac:dyDescent="0.25">
      <c r="B11" s="33">
        <v>2001</v>
      </c>
      <c r="C11" s="33">
        <v>251000</v>
      </c>
    </row>
    <row r="12" spans="2:5" x14ac:dyDescent="0.25">
      <c r="B12" s="33">
        <v>2002</v>
      </c>
      <c r="C12" s="33">
        <v>219800</v>
      </c>
    </row>
    <row r="13" spans="2:5" x14ac:dyDescent="0.25">
      <c r="B13" s="33">
        <v>2003</v>
      </c>
      <c r="C13" s="33">
        <v>178700</v>
      </c>
    </row>
    <row r="14" spans="2:5" x14ac:dyDescent="0.25">
      <c r="B14" s="33">
        <v>2004</v>
      </c>
      <c r="C14" s="34">
        <v>273934</v>
      </c>
      <c r="E14" s="55">
        <f>C14/12</f>
        <v>22827.833333333332</v>
      </c>
    </row>
    <row r="15" spans="2:5" x14ac:dyDescent="0.25">
      <c r="B15" s="33">
        <v>2005</v>
      </c>
      <c r="C15" s="34">
        <v>285298</v>
      </c>
      <c r="E15" s="55">
        <f>C15/12</f>
        <v>23774.833333333332</v>
      </c>
    </row>
    <row r="16" spans="2:5" x14ac:dyDescent="0.25">
      <c r="B16" s="33">
        <v>2006</v>
      </c>
      <c r="C16" s="34">
        <v>283051</v>
      </c>
      <c r="E16" s="55">
        <f>C16/12</f>
        <v>23587.583333333332</v>
      </c>
    </row>
    <row r="17" spans="2:31" x14ac:dyDescent="0.25">
      <c r="B17" s="33">
        <v>2007</v>
      </c>
      <c r="C17" s="34">
        <v>274325</v>
      </c>
      <c r="E17" s="55">
        <f>C17/12</f>
        <v>22860.416666666668</v>
      </c>
    </row>
    <row r="18" spans="2:31" x14ac:dyDescent="0.25">
      <c r="B18" s="33">
        <v>2008</v>
      </c>
      <c r="C18" s="34">
        <v>265991</v>
      </c>
      <c r="E18" s="55">
        <f>C18/12</f>
        <v>22165.916666666668</v>
      </c>
    </row>
    <row r="19" spans="2:31" x14ac:dyDescent="0.25">
      <c r="B19" t="s">
        <v>58</v>
      </c>
      <c r="C19" s="34">
        <v>1344563</v>
      </c>
      <c r="D19">
        <f>C19/(2029-2008)</f>
        <v>64026.809523809527</v>
      </c>
      <c r="E19" s="55">
        <f>D19/12</f>
        <v>5335.5674603174602</v>
      </c>
    </row>
    <row r="20" spans="2:31" x14ac:dyDescent="0.25">
      <c r="B20" t="s">
        <v>59</v>
      </c>
      <c r="C20" s="34">
        <v>2727162</v>
      </c>
      <c r="D20" s="16"/>
    </row>
    <row r="21" spans="2:31" x14ac:dyDescent="0.25">
      <c r="B21" s="13" t="s">
        <v>60</v>
      </c>
      <c r="C21" s="118">
        <v>1903626</v>
      </c>
    </row>
    <row r="24" spans="2:31" x14ac:dyDescent="0.25">
      <c r="B24" t="s">
        <v>61</v>
      </c>
    </row>
    <row r="26" spans="2:31" x14ac:dyDescent="0.25">
      <c r="B26" t="s">
        <v>62</v>
      </c>
      <c r="C26" s="49">
        <f>C28/FS!C10</f>
        <v>0.58440590832045003</v>
      </c>
      <c r="D26" s="49">
        <f>D28/FS!D10</f>
        <v>0.42624158861287259</v>
      </c>
      <c r="E26" s="49">
        <f>E28/FS!E10</f>
        <v>0.2166021223856536</v>
      </c>
      <c r="F26">
        <v>1</v>
      </c>
      <c r="G26">
        <v>2</v>
      </c>
      <c r="H26">
        <v>3</v>
      </c>
      <c r="I26">
        <v>4</v>
      </c>
      <c r="J26">
        <v>5</v>
      </c>
      <c r="K26">
        <v>6</v>
      </c>
      <c r="L26">
        <v>7</v>
      </c>
      <c r="M26">
        <v>8</v>
      </c>
      <c r="N26">
        <v>9</v>
      </c>
      <c r="O26">
        <v>10</v>
      </c>
      <c r="P26">
        <v>11</v>
      </c>
      <c r="Q26">
        <v>12</v>
      </c>
      <c r="R26">
        <v>13</v>
      </c>
      <c r="S26">
        <v>14</v>
      </c>
      <c r="T26">
        <v>15</v>
      </c>
      <c r="U26">
        <v>16</v>
      </c>
      <c r="V26">
        <v>17</v>
      </c>
      <c r="W26">
        <v>18</v>
      </c>
      <c r="X26">
        <v>19</v>
      </c>
      <c r="Y26">
        <v>20</v>
      </c>
      <c r="Z26">
        <v>21</v>
      </c>
      <c r="AA26">
        <v>22</v>
      </c>
      <c r="AB26">
        <v>23</v>
      </c>
      <c r="AC26">
        <v>24</v>
      </c>
      <c r="AD26">
        <v>25</v>
      </c>
      <c r="AE26">
        <v>26</v>
      </c>
    </row>
    <row r="27" spans="2:31" x14ac:dyDescent="0.25">
      <c r="C27" s="79">
        <v>2001</v>
      </c>
      <c r="D27" s="79">
        <v>2002</v>
      </c>
      <c r="E27" s="79">
        <v>2003</v>
      </c>
      <c r="F27" s="33" t="s">
        <v>63</v>
      </c>
      <c r="G27" s="33" t="s">
        <v>64</v>
      </c>
      <c r="H27" s="33" t="s">
        <v>65</v>
      </c>
      <c r="I27" s="33" t="s">
        <v>66</v>
      </c>
      <c r="J27" s="33" t="s">
        <v>67</v>
      </c>
      <c r="K27" s="33" t="s">
        <v>68</v>
      </c>
      <c r="L27" t="s">
        <v>69</v>
      </c>
      <c r="M27" t="s">
        <v>70</v>
      </c>
      <c r="N27" t="s">
        <v>71</v>
      </c>
      <c r="O27" t="s">
        <v>72</v>
      </c>
      <c r="P27" t="s">
        <v>73</v>
      </c>
      <c r="Q27" t="s">
        <v>74</v>
      </c>
      <c r="R27" t="s">
        <v>75</v>
      </c>
      <c r="S27" t="s">
        <v>76</v>
      </c>
      <c r="T27" t="s">
        <v>77</v>
      </c>
      <c r="U27" t="s">
        <v>78</v>
      </c>
      <c r="V27" t="s">
        <v>79</v>
      </c>
      <c r="W27" t="s">
        <v>80</v>
      </c>
      <c r="X27" t="s">
        <v>81</v>
      </c>
      <c r="Y27" t="s">
        <v>82</v>
      </c>
      <c r="Z27" t="s">
        <v>83</v>
      </c>
      <c r="AA27" t="s">
        <v>84</v>
      </c>
      <c r="AB27" t="s">
        <v>85</v>
      </c>
      <c r="AC27" t="s">
        <v>86</v>
      </c>
      <c r="AD27" t="s">
        <v>87</v>
      </c>
      <c r="AE27" t="s">
        <v>88</v>
      </c>
    </row>
    <row r="28" spans="2:31" x14ac:dyDescent="0.25">
      <c r="B28" t="s">
        <v>89</v>
      </c>
      <c r="C28" s="79">
        <v>251000</v>
      </c>
      <c r="D28" s="79">
        <v>219800</v>
      </c>
      <c r="E28" s="79">
        <v>178700</v>
      </c>
      <c r="F28" s="34">
        <v>273934</v>
      </c>
      <c r="G28" s="34">
        <v>285298</v>
      </c>
      <c r="H28" s="34">
        <v>283051</v>
      </c>
      <c r="I28" s="34">
        <v>274325</v>
      </c>
      <c r="J28" s="34">
        <v>265991</v>
      </c>
      <c r="K28" s="34">
        <f>C19/21</f>
        <v>64026.809523809527</v>
      </c>
      <c r="L28" s="16">
        <f>K28</f>
        <v>64026.809523809527</v>
      </c>
      <c r="M28" s="16">
        <f t="shared" ref="M28:AE28" si="0">L28</f>
        <v>64026.809523809527</v>
      </c>
      <c r="N28" s="16">
        <f t="shared" si="0"/>
        <v>64026.809523809527</v>
      </c>
      <c r="O28" s="16">
        <f t="shared" si="0"/>
        <v>64026.809523809527</v>
      </c>
      <c r="P28" s="16">
        <f t="shared" si="0"/>
        <v>64026.809523809527</v>
      </c>
      <c r="Q28" s="16">
        <f t="shared" si="0"/>
        <v>64026.809523809527</v>
      </c>
      <c r="R28" s="16">
        <f t="shared" si="0"/>
        <v>64026.809523809527</v>
      </c>
      <c r="S28" s="16">
        <f t="shared" si="0"/>
        <v>64026.809523809527</v>
      </c>
      <c r="T28" s="16">
        <f t="shared" si="0"/>
        <v>64026.809523809527</v>
      </c>
      <c r="U28" s="16">
        <f t="shared" si="0"/>
        <v>64026.809523809527</v>
      </c>
      <c r="V28" s="16">
        <f t="shared" si="0"/>
        <v>64026.809523809527</v>
      </c>
      <c r="W28" s="16">
        <f t="shared" si="0"/>
        <v>64026.809523809527</v>
      </c>
      <c r="X28" s="16">
        <f t="shared" si="0"/>
        <v>64026.809523809527</v>
      </c>
      <c r="Y28" s="16">
        <f t="shared" si="0"/>
        <v>64026.809523809527</v>
      </c>
      <c r="Z28" s="16">
        <f t="shared" si="0"/>
        <v>64026.809523809527</v>
      </c>
      <c r="AA28" s="16">
        <f t="shared" si="0"/>
        <v>64026.809523809527</v>
      </c>
      <c r="AB28" s="16">
        <f t="shared" si="0"/>
        <v>64026.809523809527</v>
      </c>
      <c r="AC28" s="16">
        <f t="shared" si="0"/>
        <v>64026.809523809527</v>
      </c>
      <c r="AD28" s="16">
        <f t="shared" si="0"/>
        <v>64026.809523809527</v>
      </c>
      <c r="AE28" s="16">
        <f t="shared" si="0"/>
        <v>64026.809523809527</v>
      </c>
    </row>
    <row r="29" spans="2:31" x14ac:dyDescent="0.25">
      <c r="D29" s="49">
        <f t="shared" ref="D29:E29" si="1">D28/C28-1</f>
        <v>-0.12430278884462154</v>
      </c>
      <c r="E29" s="49">
        <f t="shared" si="1"/>
        <v>-0.18698817106460419</v>
      </c>
      <c r="F29" s="49">
        <f>F28/E28-1</f>
        <v>0.53292669278119753</v>
      </c>
      <c r="G29" s="49">
        <f>G28/F28-1</f>
        <v>4.1484445158322725E-2</v>
      </c>
      <c r="H29" s="49">
        <f t="shared" ref="H29:J29" si="2">H28/G28-1</f>
        <v>-7.8759752960062546E-3</v>
      </c>
      <c r="I29" s="49">
        <f t="shared" si="2"/>
        <v>-3.0828366619443104E-2</v>
      </c>
      <c r="J29" s="49">
        <f t="shared" si="2"/>
        <v>-3.0380023694522973E-2</v>
      </c>
      <c r="K29" s="49"/>
    </row>
    <row r="31" spans="2:31" x14ac:dyDescent="0.25">
      <c r="B31" s="87">
        <v>4.4999999999999998E-2</v>
      </c>
      <c r="F31" s="55">
        <f>F28/(1+$B$31)^F26</f>
        <v>262137.79904306223</v>
      </c>
      <c r="G31" s="55">
        <f t="shared" ref="G31:AE31" si="3">G28/(1+$B$31)^G26</f>
        <v>261255.92362812211</v>
      </c>
      <c r="H31" s="55">
        <f t="shared" si="3"/>
        <v>248036.63007434615</v>
      </c>
      <c r="I31" s="55">
        <f t="shared" si="3"/>
        <v>230038.34058120867</v>
      </c>
      <c r="J31" s="55">
        <f t="shared" si="3"/>
        <v>213444.75630976347</v>
      </c>
      <c r="K31" s="55">
        <f t="shared" si="3"/>
        <v>49165.914168881274</v>
      </c>
      <c r="L31" s="55">
        <f t="shared" si="3"/>
        <v>47048.721692709354</v>
      </c>
      <c r="M31" s="55">
        <f t="shared" si="3"/>
        <v>45022.700184410882</v>
      </c>
      <c r="N31" s="55">
        <f t="shared" si="3"/>
        <v>43083.923621445821</v>
      </c>
      <c r="O31" s="55">
        <f t="shared" si="3"/>
        <v>41228.635044445771</v>
      </c>
      <c r="P31" s="55">
        <f t="shared" si="3"/>
        <v>39453.239276981592</v>
      </c>
      <c r="Q31" s="55">
        <f t="shared" si="3"/>
        <v>37754.295958834075</v>
      </c>
      <c r="R31" s="55">
        <f t="shared" si="3"/>
        <v>36128.512879267051</v>
      </c>
      <c r="S31" s="55">
        <f t="shared" si="3"/>
        <v>34572.739597384745</v>
      </c>
      <c r="T31" s="55">
        <f t="shared" si="3"/>
        <v>33083.961337210283</v>
      </c>
      <c r="U31" s="55">
        <f t="shared" si="3"/>
        <v>31659.293145655785</v>
      </c>
      <c r="V31" s="55">
        <f t="shared" si="3"/>
        <v>30295.97430206295</v>
      </c>
      <c r="W31" s="55">
        <f t="shared" si="3"/>
        <v>28991.362968481299</v>
      </c>
      <c r="X31" s="55">
        <f t="shared" si="3"/>
        <v>27742.931070317034</v>
      </c>
      <c r="Y31" s="55">
        <f t="shared" si="3"/>
        <v>26548.259397432575</v>
      </c>
      <c r="Z31" s="55">
        <f t="shared" si="3"/>
        <v>25405.032916203418</v>
      </c>
      <c r="AA31" s="55">
        <f t="shared" si="3"/>
        <v>24311.036283448255</v>
      </c>
      <c r="AB31" s="55">
        <f t="shared" si="3"/>
        <v>23264.149553538999</v>
      </c>
      <c r="AC31" s="55">
        <f t="shared" si="3"/>
        <v>22262.344070372252</v>
      </c>
      <c r="AD31" s="55">
        <f t="shared" si="3"/>
        <v>21303.67853624139</v>
      </c>
      <c r="AE31" s="55">
        <f t="shared" si="3"/>
        <v>20386.295249991766</v>
      </c>
    </row>
    <row r="32" spans="2:31" x14ac:dyDescent="0.25">
      <c r="B32" t="s">
        <v>60</v>
      </c>
      <c r="C32" s="90">
        <v>1646050.23</v>
      </c>
      <c r="E32" s="84">
        <f>SUM(F31:AE31)</f>
        <v>1903626.4508918198</v>
      </c>
    </row>
    <row r="35" spans="1:6" x14ac:dyDescent="0.25">
      <c r="C35" s="49"/>
    </row>
    <row r="38" spans="1:6" x14ac:dyDescent="0.25">
      <c r="A38" t="s">
        <v>90</v>
      </c>
      <c r="B38" s="13" t="s">
        <v>91</v>
      </c>
      <c r="C38" s="84">
        <f>(FS!C42+'Future lease payment'!C28)/'Future lease payment'!C28</f>
        <v>2.3788844621513943</v>
      </c>
      <c r="D38" s="84">
        <f>(FS!D42+'Future lease payment'!D28)/'Future lease payment'!D28</f>
        <v>3.1840627843494085</v>
      </c>
      <c r="E38" s="84">
        <f>(FS!E42+'Future lease payment'!E28)/'Future lease payment'!E28</f>
        <v>4.5777448237269169</v>
      </c>
    </row>
    <row r="39" spans="1:6" x14ac:dyDescent="0.25">
      <c r="A39" t="s">
        <v>92</v>
      </c>
      <c r="B39" s="13" t="s">
        <v>91</v>
      </c>
      <c r="E39" s="55">
        <f>(FS!E42+'Future lease payment'!E28)/('Future lease payment'!E28+'Pro forma'!D13)</f>
        <v>3.9455132997323172</v>
      </c>
    </row>
    <row r="40" spans="1:6" x14ac:dyDescent="0.25">
      <c r="A40" t="s">
        <v>93</v>
      </c>
      <c r="B40" s="13" t="s">
        <v>91</v>
      </c>
      <c r="E40" s="55">
        <f ca="1">(FS!E42+'Future lease payment'!E28)/('Future lease payment'!E28+'Pro forma'!E13)</f>
        <v>3.4667316355095354</v>
      </c>
    </row>
    <row r="42" spans="1:6" x14ac:dyDescent="0.25">
      <c r="A42" t="s">
        <v>90</v>
      </c>
      <c r="B42" t="s">
        <v>94</v>
      </c>
      <c r="E42" s="49">
        <f>E32/(FS!E34+E32)</f>
        <v>0.48880539889202829</v>
      </c>
      <c r="F42">
        <v>0</v>
      </c>
    </row>
    <row r="43" spans="1:6" x14ac:dyDescent="0.25">
      <c r="A43" t="s">
        <v>92</v>
      </c>
      <c r="B43" t="s">
        <v>94</v>
      </c>
      <c r="E43" s="49">
        <f ca="1">('Pro forma'!D30+E32)/('Pro forma'!D28+E32)</f>
        <v>0.72685459244728057</v>
      </c>
      <c r="F43" s="89">
        <v>0.4</v>
      </c>
    </row>
    <row r="44" spans="1:6" x14ac:dyDescent="0.25">
      <c r="A44" t="s">
        <v>93</v>
      </c>
      <c r="B44" t="s">
        <v>94</v>
      </c>
      <c r="E44" s="49">
        <f ca="1">('Pro forma'!E30+E32)/('Pro forma'!E28+E32)</f>
        <v>0.90895153081576019</v>
      </c>
      <c r="F44" s="89">
        <v>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CBCD-A991-4F77-9072-B288579CF4D4}">
  <dimension ref="B1:I85"/>
  <sheetViews>
    <sheetView workbookViewId="0">
      <pane xSplit="2" ySplit="5" topLeftCell="C42" activePane="bottomRight" state="frozen"/>
      <selection pane="topRight" activeCell="C1" sqref="C1"/>
      <selection pane="bottomLeft" activeCell="A6" sqref="A6"/>
      <selection pane="bottomRight" activeCell="E48" sqref="E48"/>
    </sheetView>
  </sheetViews>
  <sheetFormatPr defaultRowHeight="15" x14ac:dyDescent="0.25"/>
  <cols>
    <col min="2" max="2" width="93" customWidth="1"/>
    <col min="3" max="5" width="13.28515625" bestFit="1" customWidth="1"/>
    <col min="7" max="9" width="10.5703125" bestFit="1" customWidth="1"/>
  </cols>
  <sheetData>
    <row r="1" spans="2:9" s="1" customFormat="1" x14ac:dyDescent="0.25"/>
    <row r="2" spans="2:9" s="1" customFormat="1" x14ac:dyDescent="0.25">
      <c r="B2" s="2" t="s">
        <v>95</v>
      </c>
    </row>
    <row r="3" spans="2:9" s="1" customFormat="1" x14ac:dyDescent="0.25">
      <c r="B3" s="2" t="s">
        <v>52</v>
      </c>
    </row>
    <row r="4" spans="2:9" s="1" customFormat="1" x14ac:dyDescent="0.25"/>
    <row r="5" spans="2:9" s="1" customFormat="1" x14ac:dyDescent="0.25">
      <c r="B5" s="2" t="s">
        <v>25</v>
      </c>
      <c r="C5" s="31">
        <v>37317</v>
      </c>
      <c r="D5" s="31">
        <v>37681</v>
      </c>
      <c r="E5" s="31">
        <v>38046</v>
      </c>
    </row>
    <row r="7" spans="2:9" s="14" customFormat="1" x14ac:dyDescent="0.25">
      <c r="B7" s="15" t="s">
        <v>96</v>
      </c>
    </row>
    <row r="8" spans="2:9" x14ac:dyDescent="0.25">
      <c r="B8" s="13" t="s">
        <v>97</v>
      </c>
    </row>
    <row r="9" spans="2:9" x14ac:dyDescent="0.25">
      <c r="B9" s="13" t="s">
        <v>98</v>
      </c>
    </row>
    <row r="10" spans="2:9" x14ac:dyDescent="0.25">
      <c r="B10" t="s">
        <v>99</v>
      </c>
      <c r="C10" s="20">
        <v>429496</v>
      </c>
      <c r="D10" s="20">
        <v>515670</v>
      </c>
      <c r="E10" s="20">
        <v>825015</v>
      </c>
      <c r="F10">
        <f>E10/$E$19</f>
        <v>0.28796103905623094</v>
      </c>
    </row>
    <row r="11" spans="2:9" x14ac:dyDescent="0.25">
      <c r="B11" t="s">
        <v>100</v>
      </c>
      <c r="C11" s="20">
        <v>0</v>
      </c>
      <c r="D11" s="20">
        <v>100927</v>
      </c>
      <c r="E11" s="20">
        <v>41580</v>
      </c>
      <c r="F11">
        <f t="shared" ref="F11:F13" si="0">E11/$E$19</f>
        <v>1.4512972496206837E-2</v>
      </c>
    </row>
    <row r="12" spans="2:9" x14ac:dyDescent="0.25">
      <c r="B12" t="s">
        <v>14</v>
      </c>
      <c r="C12" s="20">
        <v>753972</v>
      </c>
      <c r="D12" s="20">
        <v>915671</v>
      </c>
      <c r="E12" s="20">
        <v>1012334</v>
      </c>
      <c r="F12">
        <f t="shared" si="0"/>
        <v>0.35334236409271408</v>
      </c>
    </row>
    <row r="13" spans="2:9" x14ac:dyDescent="0.25">
      <c r="B13" t="s">
        <v>101</v>
      </c>
      <c r="C13" s="20">
        <v>43249</v>
      </c>
      <c r="D13" s="20">
        <v>62123</v>
      </c>
      <c r="E13" s="20">
        <v>90357</v>
      </c>
      <c r="F13">
        <f t="shared" si="0"/>
        <v>3.1537966710912968E-2</v>
      </c>
    </row>
    <row r="14" spans="2:9" x14ac:dyDescent="0.25">
      <c r="B14" s="13" t="s">
        <v>17</v>
      </c>
      <c r="C14" s="21">
        <v>1226717</v>
      </c>
      <c r="D14" s="21">
        <v>1594391</v>
      </c>
      <c r="E14" s="21">
        <v>1969286</v>
      </c>
      <c r="G14" s="25"/>
      <c r="H14" s="25"/>
      <c r="I14" s="25"/>
    </row>
    <row r="15" spans="2:9" x14ac:dyDescent="0.25">
      <c r="B15" s="13" t="s">
        <v>102</v>
      </c>
      <c r="C15" s="20"/>
      <c r="D15" s="20"/>
      <c r="E15" s="20"/>
    </row>
    <row r="16" spans="2:9" x14ac:dyDescent="0.25">
      <c r="B16" t="s">
        <v>103</v>
      </c>
      <c r="C16" s="20">
        <v>51909</v>
      </c>
      <c r="D16" s="20">
        <v>148005</v>
      </c>
      <c r="E16" s="20">
        <v>210788</v>
      </c>
    </row>
    <row r="17" spans="2:9" x14ac:dyDescent="0.25">
      <c r="B17" t="s">
        <v>104</v>
      </c>
      <c r="C17" s="20">
        <v>361741</v>
      </c>
      <c r="D17" s="20">
        <v>423907</v>
      </c>
      <c r="E17" s="20">
        <v>516164</v>
      </c>
    </row>
    <row r="18" spans="2:9" x14ac:dyDescent="0.25">
      <c r="B18" t="s">
        <v>105</v>
      </c>
      <c r="C18" s="20">
        <v>7150</v>
      </c>
      <c r="D18" s="20">
        <v>22539</v>
      </c>
      <c r="E18" s="20">
        <v>168785</v>
      </c>
    </row>
    <row r="19" spans="2:9" s="13" customFormat="1" ht="15.75" thickBot="1" x14ac:dyDescent="0.3">
      <c r="B19" s="13" t="s">
        <v>20</v>
      </c>
      <c r="C19" s="52">
        <v>1647517</v>
      </c>
      <c r="D19" s="52">
        <v>2188842</v>
      </c>
      <c r="E19" s="52">
        <v>2865023</v>
      </c>
      <c r="G19" s="51"/>
      <c r="H19" s="51"/>
      <c r="I19" s="51"/>
    </row>
    <row r="20" spans="2:9" ht="13.5" customHeight="1" thickTop="1" x14ac:dyDescent="0.25">
      <c r="B20" s="13"/>
      <c r="C20" s="20"/>
      <c r="D20" s="20"/>
      <c r="E20" s="20"/>
    </row>
    <row r="21" spans="2:9" x14ac:dyDescent="0.25">
      <c r="B21" s="13" t="s">
        <v>106</v>
      </c>
      <c r="C21" s="20"/>
      <c r="D21" s="20"/>
      <c r="E21" s="20"/>
    </row>
    <row r="22" spans="2:9" x14ac:dyDescent="0.25">
      <c r="B22" s="13" t="s">
        <v>107</v>
      </c>
      <c r="C22" s="22"/>
      <c r="D22" s="22"/>
      <c r="E22" s="22"/>
    </row>
    <row r="23" spans="2:9" x14ac:dyDescent="0.25">
      <c r="B23" t="s">
        <v>15</v>
      </c>
      <c r="C23" s="20">
        <v>270917</v>
      </c>
      <c r="D23" s="20">
        <v>362965</v>
      </c>
      <c r="E23" s="20">
        <v>398650</v>
      </c>
    </row>
    <row r="24" spans="2:9" x14ac:dyDescent="0.25">
      <c r="B24" t="s">
        <v>108</v>
      </c>
      <c r="C24" s="20">
        <v>190923</v>
      </c>
      <c r="D24" s="20">
        <v>246198</v>
      </c>
      <c r="E24" s="20">
        <v>337039</v>
      </c>
    </row>
    <row r="25" spans="2:9" x14ac:dyDescent="0.25">
      <c r="B25" t="s">
        <v>109</v>
      </c>
      <c r="C25" s="20">
        <v>49438</v>
      </c>
      <c r="D25" s="20">
        <v>71008</v>
      </c>
      <c r="E25" s="20">
        <v>33845</v>
      </c>
    </row>
    <row r="26" spans="2:9" x14ac:dyDescent="0.25">
      <c r="B26" s="13" t="s">
        <v>18</v>
      </c>
      <c r="C26" s="23">
        <v>511278</v>
      </c>
      <c r="D26" s="23">
        <v>680171</v>
      </c>
      <c r="E26" s="23">
        <v>769534</v>
      </c>
      <c r="G26" s="25"/>
      <c r="H26" s="25"/>
      <c r="I26" s="25"/>
    </row>
    <row r="27" spans="2:9" x14ac:dyDescent="0.25">
      <c r="B27" s="13" t="s">
        <v>110</v>
      </c>
      <c r="C27" s="22"/>
      <c r="D27" s="22"/>
      <c r="E27" s="22"/>
    </row>
    <row r="28" spans="2:9" x14ac:dyDescent="0.25">
      <c r="B28" t="s">
        <v>111</v>
      </c>
      <c r="C28" s="22">
        <v>41889</v>
      </c>
      <c r="D28" s="22">
        <v>56750</v>
      </c>
      <c r="E28" s="22">
        <v>104669</v>
      </c>
    </row>
    <row r="29" spans="2:9" x14ac:dyDescent="0.25">
      <c r="B29" s="13" t="s">
        <v>112</v>
      </c>
      <c r="C29" s="23">
        <v>553167</v>
      </c>
      <c r="D29" s="23">
        <v>736921</v>
      </c>
      <c r="E29" s="23">
        <v>874203</v>
      </c>
      <c r="G29" s="25"/>
      <c r="H29" s="25"/>
      <c r="I29" s="25"/>
    </row>
    <row r="30" spans="2:9" x14ac:dyDescent="0.25">
      <c r="B30" s="13" t="s">
        <v>113</v>
      </c>
      <c r="C30" s="22"/>
      <c r="D30" s="22"/>
      <c r="E30" s="22"/>
    </row>
    <row r="31" spans="2:9" x14ac:dyDescent="0.25">
      <c r="B31" t="s">
        <v>114</v>
      </c>
      <c r="C31" s="22">
        <v>2914</v>
      </c>
      <c r="D31" s="22">
        <v>2944</v>
      </c>
      <c r="E31" s="22">
        <v>3003</v>
      </c>
    </row>
    <row r="32" spans="2:9" x14ac:dyDescent="0.25">
      <c r="B32" t="s">
        <v>115</v>
      </c>
      <c r="C32" s="22">
        <v>238672</v>
      </c>
      <c r="D32" s="22">
        <v>294034</v>
      </c>
      <c r="E32" s="22">
        <v>433404</v>
      </c>
      <c r="F32" s="25"/>
    </row>
    <row r="33" spans="2:7" x14ac:dyDescent="0.25">
      <c r="B33" t="s">
        <v>116</v>
      </c>
      <c r="C33" s="22">
        <v>852764</v>
      </c>
      <c r="D33" s="22">
        <v>1154943</v>
      </c>
      <c r="E33" s="22">
        <v>1554413</v>
      </c>
      <c r="F33" s="25">
        <f>E33-D33</f>
        <v>399470</v>
      </c>
    </row>
    <row r="34" spans="2:7" x14ac:dyDescent="0.25">
      <c r="B34" s="13" t="s">
        <v>22</v>
      </c>
      <c r="C34" s="23">
        <v>1094350</v>
      </c>
      <c r="D34" s="23">
        <v>1451921</v>
      </c>
      <c r="E34" s="23">
        <v>1990820</v>
      </c>
      <c r="G34" s="25"/>
    </row>
    <row r="35" spans="2:7" s="13" customFormat="1" ht="15.75" thickBot="1" x14ac:dyDescent="0.3">
      <c r="B35" s="13" t="s">
        <v>117</v>
      </c>
      <c r="C35" s="50">
        <v>1647517</v>
      </c>
      <c r="D35" s="50">
        <v>2188842</v>
      </c>
      <c r="E35" s="50">
        <v>2865023</v>
      </c>
      <c r="G35" s="51" t="s">
        <v>118</v>
      </c>
    </row>
    <row r="36" spans="2:7" ht="15.75" thickTop="1" x14ac:dyDescent="0.25"/>
    <row r="37" spans="2:7" s="14" customFormat="1" x14ac:dyDescent="0.25">
      <c r="B37" s="15" t="s">
        <v>119</v>
      </c>
    </row>
    <row r="38" spans="2:7" x14ac:dyDescent="0.25">
      <c r="B38" t="s">
        <v>21</v>
      </c>
      <c r="C38" s="16">
        <v>2927962</v>
      </c>
      <c r="D38" s="16">
        <v>3665164</v>
      </c>
      <c r="E38" s="16">
        <v>4477981</v>
      </c>
    </row>
    <row r="39" spans="2:7" x14ac:dyDescent="0.25">
      <c r="B39" t="s">
        <v>16</v>
      </c>
      <c r="C39" s="22">
        <v>1720396</v>
      </c>
      <c r="D39" s="22">
        <v>2146617</v>
      </c>
      <c r="E39" s="22">
        <v>2601317</v>
      </c>
    </row>
    <row r="40" spans="2:7" x14ac:dyDescent="0.25">
      <c r="B40" t="s">
        <v>30</v>
      </c>
      <c r="C40" s="22">
        <v>1207566</v>
      </c>
      <c r="D40" s="22">
        <v>1518547</v>
      </c>
      <c r="E40" s="22">
        <v>1876664</v>
      </c>
    </row>
    <row r="41" spans="2:7" x14ac:dyDescent="0.25">
      <c r="B41" t="s">
        <v>120</v>
      </c>
      <c r="C41" s="22">
        <v>861466</v>
      </c>
      <c r="D41" s="22">
        <v>1038490</v>
      </c>
      <c r="E41" s="22">
        <v>1237321</v>
      </c>
    </row>
    <row r="42" spans="2:7" x14ac:dyDescent="0.25">
      <c r="B42" t="s">
        <v>32</v>
      </c>
      <c r="C42" s="22">
        <v>346100</v>
      </c>
      <c r="D42" s="22">
        <v>480057</v>
      </c>
      <c r="E42" s="22">
        <v>639343</v>
      </c>
    </row>
    <row r="43" spans="2:7" x14ac:dyDescent="0.25">
      <c r="B43" t="s">
        <v>121</v>
      </c>
      <c r="C43" s="22">
        <v>10972</v>
      </c>
      <c r="D43" s="22">
        <v>11291</v>
      </c>
      <c r="E43" s="22">
        <v>10202</v>
      </c>
    </row>
    <row r="44" spans="2:7" x14ac:dyDescent="0.25">
      <c r="B44" t="s">
        <v>122</v>
      </c>
      <c r="C44" s="22">
        <v>357072</v>
      </c>
      <c r="D44" s="22">
        <v>491348</v>
      </c>
      <c r="E44" s="22">
        <v>649545</v>
      </c>
    </row>
    <row r="45" spans="2:7" x14ac:dyDescent="0.25">
      <c r="B45" t="s">
        <v>123</v>
      </c>
      <c r="C45" s="22">
        <v>137473</v>
      </c>
      <c r="D45" s="22">
        <v>189169</v>
      </c>
      <c r="E45" s="22">
        <v>250075</v>
      </c>
    </row>
    <row r="46" spans="2:7" s="13" customFormat="1" ht="15.75" thickBot="1" x14ac:dyDescent="0.3">
      <c r="B46" s="13" t="s">
        <v>19</v>
      </c>
      <c r="C46" s="50">
        <v>219599</v>
      </c>
      <c r="D46" s="50">
        <v>302179</v>
      </c>
      <c r="E46" s="50">
        <v>399470</v>
      </c>
    </row>
    <row r="47" spans="2:7" ht="15.75" thickTop="1" x14ac:dyDescent="0.25">
      <c r="C47" s="22"/>
      <c r="D47" s="22"/>
      <c r="E47" s="22"/>
    </row>
    <row r="48" spans="2:7" x14ac:dyDescent="0.25">
      <c r="B48" t="s">
        <v>124</v>
      </c>
      <c r="C48" s="17">
        <v>0.76</v>
      </c>
      <c r="D48" s="17">
        <v>1.03</v>
      </c>
      <c r="E48" s="17">
        <v>1.35</v>
      </c>
    </row>
    <row r="49" spans="2:5" x14ac:dyDescent="0.25">
      <c r="B49" t="s">
        <v>125</v>
      </c>
      <c r="C49" s="17">
        <v>0.74</v>
      </c>
      <c r="D49" s="17">
        <v>1</v>
      </c>
      <c r="E49" s="17">
        <v>1.31</v>
      </c>
    </row>
    <row r="50" spans="2:5" x14ac:dyDescent="0.25">
      <c r="B50" t="s">
        <v>126</v>
      </c>
      <c r="C50" s="22">
        <v>289877</v>
      </c>
      <c r="D50" s="22">
        <v>292927</v>
      </c>
      <c r="E50" s="22">
        <v>296854</v>
      </c>
    </row>
    <row r="51" spans="2:5" x14ac:dyDescent="0.25">
      <c r="B51" t="s">
        <v>127</v>
      </c>
      <c r="C51" s="22">
        <v>298667</v>
      </c>
      <c r="D51" s="22">
        <v>301147</v>
      </c>
      <c r="E51" s="22">
        <v>304690</v>
      </c>
    </row>
    <row r="53" spans="2:5" s="14" customFormat="1" x14ac:dyDescent="0.25">
      <c r="B53" s="15" t="s">
        <v>128</v>
      </c>
    </row>
    <row r="54" spans="2:5" x14ac:dyDescent="0.25">
      <c r="B54" s="13" t="s">
        <v>129</v>
      </c>
    </row>
    <row r="55" spans="2:5" x14ac:dyDescent="0.25">
      <c r="B55" s="26" t="s">
        <v>19</v>
      </c>
      <c r="C55" s="17">
        <v>219599</v>
      </c>
      <c r="D55" s="17">
        <v>302179</v>
      </c>
      <c r="E55" s="17">
        <v>399470</v>
      </c>
    </row>
    <row r="56" spans="2:5" ht="13.5" customHeight="1" x14ac:dyDescent="0.25">
      <c r="B56" s="13" t="s">
        <v>130</v>
      </c>
      <c r="C56" s="17"/>
      <c r="D56" s="17"/>
      <c r="E56" s="17"/>
    </row>
    <row r="57" spans="2:5" x14ac:dyDescent="0.25">
      <c r="B57" s="27" t="s">
        <v>131</v>
      </c>
      <c r="C57" s="17">
        <v>62547</v>
      </c>
      <c r="D57" s="17">
        <v>74825</v>
      </c>
      <c r="E57" s="17">
        <v>84645</v>
      </c>
    </row>
    <row r="58" spans="2:5" x14ac:dyDescent="0.25">
      <c r="B58" s="27" t="s">
        <v>132</v>
      </c>
      <c r="C58" s="17">
        <v>0</v>
      </c>
      <c r="D58" s="17">
        <v>985</v>
      </c>
      <c r="E58" s="17">
        <v>1185</v>
      </c>
    </row>
    <row r="59" spans="2:5" x14ac:dyDescent="0.25">
      <c r="B59" s="27" t="s">
        <v>133</v>
      </c>
      <c r="C59" s="17">
        <v>31980</v>
      </c>
      <c r="D59" s="17">
        <v>31176</v>
      </c>
      <c r="E59" s="17">
        <v>64832</v>
      </c>
    </row>
    <row r="60" spans="2:5" x14ac:dyDescent="0.25">
      <c r="B60" s="27" t="s">
        <v>134</v>
      </c>
      <c r="C60" s="17">
        <v>1733</v>
      </c>
      <c r="D60" s="17">
        <v>-13291</v>
      </c>
      <c r="E60" s="17">
        <v>-3061</v>
      </c>
    </row>
    <row r="61" spans="2:5" x14ac:dyDescent="0.25">
      <c r="B61" s="28" t="s">
        <v>135</v>
      </c>
      <c r="C61" s="17"/>
      <c r="D61" s="17"/>
      <c r="E61" s="17"/>
    </row>
    <row r="62" spans="2:5" x14ac:dyDescent="0.25">
      <c r="B62" s="27" t="s">
        <v>14</v>
      </c>
      <c r="C62" s="17">
        <v>-147268</v>
      </c>
      <c r="D62" s="17">
        <v>-145789</v>
      </c>
      <c r="E62" s="17">
        <v>-27058</v>
      </c>
    </row>
    <row r="63" spans="2:5" x14ac:dyDescent="0.25">
      <c r="B63" s="27" t="s">
        <v>101</v>
      </c>
      <c r="C63" s="17">
        <v>644</v>
      </c>
      <c r="D63" s="17">
        <v>-7927</v>
      </c>
      <c r="E63" s="17">
        <v>-2055</v>
      </c>
    </row>
    <row r="64" spans="2:5" x14ac:dyDescent="0.25">
      <c r="B64" s="27" t="s">
        <v>136</v>
      </c>
      <c r="C64" s="17">
        <v>206</v>
      </c>
      <c r="D64" s="17">
        <v>190</v>
      </c>
      <c r="E64" s="17">
        <v>5466</v>
      </c>
    </row>
    <row r="65" spans="2:5" x14ac:dyDescent="0.25">
      <c r="B65" s="28" t="s">
        <v>137</v>
      </c>
      <c r="C65" s="17"/>
      <c r="D65" s="17"/>
      <c r="E65" s="17"/>
    </row>
    <row r="66" spans="2:5" x14ac:dyDescent="0.25">
      <c r="B66" s="27" t="s">
        <v>15</v>
      </c>
      <c r="C66" s="17">
        <v>78516</v>
      </c>
      <c r="D66" s="17">
        <v>86144</v>
      </c>
      <c r="E66" s="17">
        <v>19341</v>
      </c>
    </row>
    <row r="67" spans="2:5" x14ac:dyDescent="0.25">
      <c r="B67" s="27" t="s">
        <v>108</v>
      </c>
      <c r="C67" s="17">
        <v>62123</v>
      </c>
      <c r="D67" s="17">
        <v>52891</v>
      </c>
      <c r="E67" s="17">
        <v>36628</v>
      </c>
    </row>
    <row r="68" spans="2:5" x14ac:dyDescent="0.25">
      <c r="B68" s="27" t="s">
        <v>109</v>
      </c>
      <c r="C68" s="17">
        <v>17450</v>
      </c>
      <c r="D68" s="17">
        <v>20378</v>
      </c>
      <c r="E68" s="17">
        <v>-37993</v>
      </c>
    </row>
    <row r="69" spans="2:5" x14ac:dyDescent="0.25">
      <c r="B69" s="27" t="s">
        <v>111</v>
      </c>
      <c r="C69" s="17">
        <v>10426</v>
      </c>
      <c r="D69" s="17">
        <v>17556</v>
      </c>
      <c r="E69" s="17">
        <v>7042</v>
      </c>
    </row>
    <row r="70" spans="2:5" x14ac:dyDescent="0.25">
      <c r="B70" s="29" t="s">
        <v>138</v>
      </c>
      <c r="C70" s="18">
        <v>337956</v>
      </c>
      <c r="D70" s="18">
        <v>419317</v>
      </c>
      <c r="E70" s="18">
        <v>548442</v>
      </c>
    </row>
    <row r="71" spans="2:5" x14ac:dyDescent="0.25">
      <c r="B71" s="13" t="s">
        <v>139</v>
      </c>
      <c r="C71" s="17"/>
      <c r="D71" s="17"/>
      <c r="E71" s="17"/>
    </row>
    <row r="72" spans="2:5" x14ac:dyDescent="0.25">
      <c r="B72" s="26" t="s">
        <v>140</v>
      </c>
      <c r="C72" s="17">
        <v>-51909</v>
      </c>
      <c r="D72" s="17">
        <v>-368008</v>
      </c>
      <c r="E72" s="17">
        <v>-361013</v>
      </c>
    </row>
    <row r="73" spans="2:5" x14ac:dyDescent="0.25">
      <c r="B73" s="26" t="s">
        <v>141</v>
      </c>
      <c r="C73" s="17">
        <v>0</v>
      </c>
      <c r="D73" s="17">
        <v>170000</v>
      </c>
      <c r="E73" s="17">
        <v>357020</v>
      </c>
    </row>
    <row r="74" spans="2:5" x14ac:dyDescent="0.25">
      <c r="B74" s="26" t="s">
        <v>142</v>
      </c>
      <c r="C74" s="17">
        <v>0</v>
      </c>
      <c r="D74" s="17">
        <v>-24097</v>
      </c>
      <c r="E74" s="17">
        <v>-175487</v>
      </c>
    </row>
    <row r="75" spans="2:5" x14ac:dyDescent="0.25">
      <c r="B75" s="26" t="s">
        <v>143</v>
      </c>
      <c r="C75" s="17">
        <v>-121632</v>
      </c>
      <c r="D75" s="17">
        <v>-135254</v>
      </c>
      <c r="E75" s="17">
        <v>-112999</v>
      </c>
    </row>
    <row r="76" spans="2:5" x14ac:dyDescent="0.25">
      <c r="B76" s="27" t="s">
        <v>144</v>
      </c>
      <c r="C76" s="18">
        <v>-173541</v>
      </c>
      <c r="D76" s="18">
        <v>-357359</v>
      </c>
      <c r="E76" s="18">
        <v>-292479</v>
      </c>
    </row>
    <row r="77" spans="2:5" x14ac:dyDescent="0.25">
      <c r="B77" s="13" t="s">
        <v>145</v>
      </c>
      <c r="C77" s="17"/>
      <c r="D77" s="17"/>
      <c r="E77" s="17"/>
    </row>
    <row r="78" spans="2:5" x14ac:dyDescent="0.25">
      <c r="B78" s="26" t="s">
        <v>146</v>
      </c>
      <c r="C78" s="17">
        <v>25753</v>
      </c>
      <c r="D78" s="17">
        <v>24216</v>
      </c>
      <c r="E78" s="17">
        <v>74597</v>
      </c>
    </row>
    <row r="79" spans="2:5" x14ac:dyDescent="0.25">
      <c r="B79" s="26" t="s">
        <v>147</v>
      </c>
      <c r="C79" s="17">
        <v>0</v>
      </c>
      <c r="D79" s="17">
        <v>0</v>
      </c>
      <c r="E79" s="17">
        <v>-21215</v>
      </c>
    </row>
    <row r="80" spans="2:5" x14ac:dyDescent="0.25">
      <c r="B80" s="27" t="s">
        <v>148</v>
      </c>
      <c r="C80" s="30">
        <v>25753</v>
      </c>
      <c r="D80" s="30">
        <v>24216</v>
      </c>
      <c r="E80" s="30">
        <v>53382</v>
      </c>
    </row>
    <row r="81" spans="2:5" x14ac:dyDescent="0.25">
      <c r="B81" s="13" t="s">
        <v>149</v>
      </c>
      <c r="C81" s="18">
        <v>190168</v>
      </c>
      <c r="D81" s="18">
        <v>86174</v>
      </c>
      <c r="E81" s="18">
        <v>309345</v>
      </c>
    </row>
    <row r="82" spans="2:5" x14ac:dyDescent="0.25">
      <c r="B82" t="s">
        <v>150</v>
      </c>
    </row>
    <row r="83" spans="2:5" x14ac:dyDescent="0.25">
      <c r="B83" t="s">
        <v>151</v>
      </c>
      <c r="C83" s="17">
        <v>239328</v>
      </c>
      <c r="D83" s="17">
        <v>429496</v>
      </c>
      <c r="E83" s="17">
        <v>515670</v>
      </c>
    </row>
    <row r="84" spans="2:5" s="13" customFormat="1" ht="15.75" thickBot="1" x14ac:dyDescent="0.3">
      <c r="B84" s="13" t="s">
        <v>152</v>
      </c>
      <c r="C84" s="53">
        <v>429496</v>
      </c>
      <c r="D84" s="53">
        <v>515670</v>
      </c>
      <c r="E84" s="53">
        <v>825015</v>
      </c>
    </row>
    <row r="85" spans="2:5" ht="15.75" thickTop="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4DDF9-E7F2-40F6-B133-F517FB2184CE}">
  <dimension ref="B1:O48"/>
  <sheetViews>
    <sheetView workbookViewId="0">
      <pane xSplit="2" ySplit="6" topLeftCell="C7" activePane="bottomRight" state="frozen"/>
      <selection pane="topRight"/>
      <selection pane="bottomLeft"/>
      <selection pane="bottomRight" activeCell="I29" sqref="I29"/>
    </sheetView>
  </sheetViews>
  <sheetFormatPr defaultRowHeight="15" customHeight="1" outlineLevelRow="1" x14ac:dyDescent="0.25"/>
  <cols>
    <col min="2" max="2" width="27" customWidth="1"/>
    <col min="3" max="3" width="14.28515625" bestFit="1" customWidth="1"/>
    <col min="4" max="5" width="13.28515625" bestFit="1" customWidth="1"/>
    <col min="6" max="9" width="14.28515625" bestFit="1" customWidth="1"/>
    <col min="10" max="10" width="8.28515625" bestFit="1" customWidth="1"/>
  </cols>
  <sheetData>
    <row r="1" spans="2:15" s="1" customFormat="1" x14ac:dyDescent="0.25"/>
    <row r="2" spans="2:15" s="1" customFormat="1" x14ac:dyDescent="0.25"/>
    <row r="3" spans="2:15" s="1" customFormat="1" x14ac:dyDescent="0.25">
      <c r="B3" s="2" t="s">
        <v>153</v>
      </c>
    </row>
    <row r="4" spans="2:15" s="1" customFormat="1" x14ac:dyDescent="0.25">
      <c r="B4" s="2" t="s">
        <v>52</v>
      </c>
    </row>
    <row r="5" spans="2:15" s="1" customFormat="1" x14ac:dyDescent="0.25">
      <c r="B5" s="2"/>
      <c r="C5" s="31"/>
      <c r="D5" s="31"/>
      <c r="E5" s="31" t="s">
        <v>154</v>
      </c>
    </row>
    <row r="6" spans="2:15" s="36" customFormat="1" ht="30" x14ac:dyDescent="0.25">
      <c r="B6" s="41"/>
      <c r="C6" s="42" t="s">
        <v>155</v>
      </c>
      <c r="D6" s="43" t="s">
        <v>156</v>
      </c>
      <c r="E6" s="43" t="s">
        <v>157</v>
      </c>
      <c r="F6" s="80" t="s">
        <v>158</v>
      </c>
      <c r="G6" s="80" t="s">
        <v>159</v>
      </c>
      <c r="H6" s="36" t="s">
        <v>160</v>
      </c>
      <c r="I6" s="80" t="s">
        <v>161</v>
      </c>
      <c r="J6" s="36" t="s">
        <v>162</v>
      </c>
      <c r="L6" s="80" t="s">
        <v>158</v>
      </c>
      <c r="M6" s="80" t="s">
        <v>159</v>
      </c>
      <c r="N6" s="36" t="s">
        <v>160</v>
      </c>
      <c r="O6" s="80" t="s">
        <v>161</v>
      </c>
    </row>
    <row r="7" spans="2:15" x14ac:dyDescent="0.25">
      <c r="B7" t="s">
        <v>163</v>
      </c>
      <c r="C7" s="22">
        <v>4477981</v>
      </c>
      <c r="D7" s="22">
        <v>2754368</v>
      </c>
      <c r="E7" s="22">
        <v>2395272</v>
      </c>
      <c r="F7" s="22">
        <v>48163000</v>
      </c>
      <c r="G7" s="22">
        <v>10282094</v>
      </c>
      <c r="H7" s="22">
        <v>17786000</v>
      </c>
      <c r="I7" s="22">
        <v>24547000</v>
      </c>
      <c r="J7" s="25"/>
    </row>
    <row r="8" spans="2:15" x14ac:dyDescent="0.25">
      <c r="B8" s="26" t="s">
        <v>164</v>
      </c>
      <c r="C8" s="38">
        <v>0.26500000000000001</v>
      </c>
      <c r="D8" s="38">
        <v>0.189</v>
      </c>
      <c r="E8" s="38">
        <v>0.17599999999999999</v>
      </c>
      <c r="F8" s="38">
        <v>9.5000000000000001E-2</v>
      </c>
      <c r="G8" s="38">
        <v>0.22800000000000001</v>
      </c>
      <c r="H8" s="38">
        <v>-9.8000000000000004E-2</v>
      </c>
      <c r="I8" s="38">
        <v>0.19500000000000001</v>
      </c>
      <c r="J8" s="49"/>
    </row>
    <row r="9" spans="2:15" x14ac:dyDescent="0.25">
      <c r="B9" t="s">
        <v>165</v>
      </c>
      <c r="C9" s="22">
        <v>639343</v>
      </c>
      <c r="D9" s="22">
        <v>254787</v>
      </c>
      <c r="E9" s="22">
        <v>121953</v>
      </c>
      <c r="F9" s="22">
        <v>3519000</v>
      </c>
      <c r="G9" s="22">
        <v>1023304</v>
      </c>
      <c r="H9" s="22">
        <v>790000</v>
      </c>
      <c r="I9" s="22">
        <v>1304000</v>
      </c>
      <c r="J9" s="25"/>
    </row>
    <row r="10" spans="2:15" x14ac:dyDescent="0.25">
      <c r="B10" s="26" t="s">
        <v>166</v>
      </c>
      <c r="C10" s="38">
        <v>0.14299999999999999</v>
      </c>
      <c r="D10" s="38">
        <v>9.2999999999999999E-2</v>
      </c>
      <c r="E10" s="38">
        <v>5.0999999999999997E-2</v>
      </c>
      <c r="F10" s="38">
        <v>7.2999999999999995E-2</v>
      </c>
      <c r="G10" s="38">
        <v>0.1</v>
      </c>
      <c r="H10" s="38">
        <v>4.3999999999999997E-2</v>
      </c>
      <c r="I10" s="38">
        <v>5.2999999999999999E-2</v>
      </c>
      <c r="J10" s="49"/>
    </row>
    <row r="11" spans="2:15" x14ac:dyDescent="0.25">
      <c r="B11" t="s">
        <v>167</v>
      </c>
      <c r="C11" s="17">
        <v>399470</v>
      </c>
      <c r="D11" s="17">
        <v>157211</v>
      </c>
      <c r="E11" s="17">
        <v>74825</v>
      </c>
      <c r="F11" s="17">
        <v>1841000</v>
      </c>
      <c r="G11" s="82">
        <v>591152</v>
      </c>
      <c r="H11" s="17">
        <v>-928000</v>
      </c>
      <c r="I11" s="17">
        <v>800000</v>
      </c>
      <c r="J11" s="25"/>
    </row>
    <row r="12" spans="2:15" x14ac:dyDescent="0.25">
      <c r="B12" s="26" t="s">
        <v>164</v>
      </c>
      <c r="C12" s="38">
        <v>0.32200000000000001</v>
      </c>
      <c r="D12" s="38">
        <v>0.23400000000000001</v>
      </c>
      <c r="E12" s="38">
        <v>0.14499999999999999</v>
      </c>
      <c r="F12" s="38">
        <v>0.14499999999999999</v>
      </c>
      <c r="G12" s="38">
        <v>0.252</v>
      </c>
      <c r="H12" s="40" t="s">
        <v>29</v>
      </c>
      <c r="I12" s="38">
        <v>0.29899999999999999</v>
      </c>
      <c r="J12" s="49"/>
    </row>
    <row r="13" spans="2:15" x14ac:dyDescent="0.25">
      <c r="B13" s="26" t="s">
        <v>34</v>
      </c>
      <c r="C13" s="38">
        <v>8.8999999999999996E-2</v>
      </c>
      <c r="D13" s="38">
        <v>5.7000000000000002E-2</v>
      </c>
      <c r="E13" s="38">
        <v>3.1E-2</v>
      </c>
      <c r="F13" s="38">
        <v>3.7999999999999999E-2</v>
      </c>
      <c r="G13" s="38">
        <v>5.7000000000000002E-2</v>
      </c>
      <c r="H13" s="38">
        <v>-5.1999999999999998E-2</v>
      </c>
      <c r="I13" s="38">
        <v>3.3000000000000002E-2</v>
      </c>
      <c r="J13" s="49"/>
    </row>
    <row r="14" spans="2:15" x14ac:dyDescent="0.25">
      <c r="B14" s="26" t="s">
        <v>168</v>
      </c>
      <c r="C14" s="38">
        <v>0.20100000000000001</v>
      </c>
      <c r="D14" s="38">
        <v>0.19500000000000001</v>
      </c>
      <c r="E14" s="38">
        <v>9.8000000000000004E-2</v>
      </c>
      <c r="F14" s="38">
        <v>0.16600000000000001</v>
      </c>
      <c r="G14" s="38">
        <v>0.14099999999999999</v>
      </c>
      <c r="H14" s="38">
        <v>-0.17100000000000001</v>
      </c>
      <c r="I14" s="38">
        <v>0.23400000000000001</v>
      </c>
      <c r="J14" s="49"/>
    </row>
    <row r="15" spans="2:15" x14ac:dyDescent="0.25">
      <c r="B15" t="s">
        <v>169</v>
      </c>
      <c r="C15" s="37" t="s">
        <v>29</v>
      </c>
      <c r="D15" s="37" t="s">
        <v>29</v>
      </c>
      <c r="E15" s="37" t="s">
        <v>29</v>
      </c>
      <c r="F15" s="17">
        <v>0.28000000000000003</v>
      </c>
      <c r="G15" s="37" t="s">
        <v>29</v>
      </c>
      <c r="H15" s="17">
        <v>0.5</v>
      </c>
      <c r="I15" s="17">
        <v>0.4</v>
      </c>
      <c r="J15" s="49"/>
    </row>
    <row r="16" spans="2:15" x14ac:dyDescent="0.25">
      <c r="B16" s="26" t="s">
        <v>164</v>
      </c>
      <c r="C16" s="37" t="s">
        <v>29</v>
      </c>
      <c r="D16" s="37" t="s">
        <v>29</v>
      </c>
      <c r="E16" s="37" t="s">
        <v>29</v>
      </c>
      <c r="F16" s="38">
        <v>7.0000000000000007E-2</v>
      </c>
      <c r="G16" s="37" t="s">
        <v>29</v>
      </c>
      <c r="H16" s="44">
        <v>-0.27400000000000002</v>
      </c>
      <c r="I16" s="37" t="s">
        <v>29</v>
      </c>
      <c r="J16" s="49"/>
    </row>
    <row r="17" spans="2:15" x14ac:dyDescent="0.25">
      <c r="B17" t="s">
        <v>170</v>
      </c>
      <c r="C17" s="22">
        <v>866595</v>
      </c>
      <c r="D17" s="22">
        <v>163910</v>
      </c>
      <c r="E17" s="22">
        <v>136129</v>
      </c>
      <c r="F17" s="22">
        <v>716000</v>
      </c>
      <c r="G17" s="22">
        <v>147033</v>
      </c>
      <c r="H17" s="22">
        <v>2994000</v>
      </c>
      <c r="I17" s="22">
        <v>2600000</v>
      </c>
      <c r="J17" s="25"/>
    </row>
    <row r="18" spans="2:15" x14ac:dyDescent="0.25">
      <c r="B18" t="s">
        <v>171</v>
      </c>
      <c r="C18" s="22">
        <v>0</v>
      </c>
      <c r="D18" s="22">
        <v>31573</v>
      </c>
      <c r="E18" s="22">
        <v>55786</v>
      </c>
      <c r="F18" s="22">
        <v>5776000</v>
      </c>
      <c r="G18" s="22">
        <v>1150157</v>
      </c>
      <c r="H18" s="22">
        <v>233000</v>
      </c>
      <c r="I18" s="22">
        <v>343000</v>
      </c>
      <c r="J18" s="25"/>
    </row>
    <row r="19" spans="2:15" x14ac:dyDescent="0.25">
      <c r="B19" t="s">
        <v>172</v>
      </c>
      <c r="C19" s="22">
        <v>1012334</v>
      </c>
      <c r="D19" s="22">
        <v>404100</v>
      </c>
      <c r="E19" s="22">
        <v>701928</v>
      </c>
      <c r="F19" s="22">
        <v>5343000</v>
      </c>
      <c r="G19" s="22">
        <v>1606990</v>
      </c>
      <c r="H19" s="22">
        <v>3156000</v>
      </c>
      <c r="I19" s="22">
        <v>2607000</v>
      </c>
      <c r="J19" s="25"/>
    </row>
    <row r="20" spans="2:15" x14ac:dyDescent="0.25">
      <c r="B20" t="s">
        <v>173</v>
      </c>
      <c r="C20" s="22">
        <v>516164</v>
      </c>
      <c r="D20" s="22">
        <v>765030</v>
      </c>
      <c r="E20" s="22">
        <v>377244</v>
      </c>
      <c r="F20" s="22">
        <v>16969000</v>
      </c>
      <c r="G20" s="22">
        <v>3324243</v>
      </c>
      <c r="H20" s="22">
        <v>3515000</v>
      </c>
      <c r="I20" s="22">
        <v>2244000</v>
      </c>
      <c r="J20" s="25"/>
    </row>
    <row r="21" spans="2:15" x14ac:dyDescent="0.25">
      <c r="B21" t="s">
        <v>20</v>
      </c>
      <c r="C21" s="22">
        <v>2865023</v>
      </c>
      <c r="D21" s="22">
        <v>1470735</v>
      </c>
      <c r="E21" s="22">
        <v>1335273</v>
      </c>
      <c r="F21" s="22">
        <v>31392000</v>
      </c>
      <c r="G21" s="22">
        <v>6698450</v>
      </c>
      <c r="H21" s="22">
        <v>18300000</v>
      </c>
      <c r="I21" s="22">
        <v>8652000</v>
      </c>
      <c r="J21" s="25"/>
    </row>
    <row r="22" spans="2:15" x14ac:dyDescent="0.25">
      <c r="B22" t="s">
        <v>174</v>
      </c>
      <c r="C22" s="22">
        <v>0</v>
      </c>
      <c r="D22" s="22">
        <v>37377</v>
      </c>
      <c r="E22" s="22">
        <v>0</v>
      </c>
      <c r="F22" s="22">
        <v>11083000</v>
      </c>
      <c r="G22" s="22">
        <v>1088502</v>
      </c>
      <c r="H22" s="22">
        <v>5374000</v>
      </c>
      <c r="I22" s="22">
        <v>850000</v>
      </c>
      <c r="J22" s="25"/>
    </row>
    <row r="23" spans="2:15" x14ac:dyDescent="0.25">
      <c r="B23" t="s">
        <v>112</v>
      </c>
      <c r="C23" s="22">
        <v>874203</v>
      </c>
      <c r="D23" s="22">
        <v>666144</v>
      </c>
      <c r="E23" s="22">
        <v>573554</v>
      </c>
      <c r="F23" s="22">
        <v>20327000</v>
      </c>
      <c r="G23" s="22">
        <v>2507111</v>
      </c>
      <c r="H23" s="22">
        <v>12875000</v>
      </c>
      <c r="I23" s="22">
        <v>5230000</v>
      </c>
      <c r="J23" s="25"/>
    </row>
    <row r="24" spans="2:15" x14ac:dyDescent="0.25">
      <c r="B24" t="s">
        <v>44</v>
      </c>
      <c r="C24" s="22">
        <v>1990820</v>
      </c>
      <c r="D24" s="22">
        <v>804591</v>
      </c>
      <c r="E24" s="22">
        <v>761719</v>
      </c>
      <c r="F24" s="22">
        <v>11065000</v>
      </c>
      <c r="G24" s="22">
        <v>4191339</v>
      </c>
      <c r="H24" s="22">
        <v>5425000</v>
      </c>
      <c r="I24" s="22">
        <v>3422000</v>
      </c>
      <c r="J24" s="25"/>
    </row>
    <row r="25" spans="2:15" x14ac:dyDescent="0.25">
      <c r="B25" t="s">
        <v>175</v>
      </c>
      <c r="C25" s="22">
        <v>12171014</v>
      </c>
      <c r="D25" s="22">
        <v>3899885</v>
      </c>
      <c r="E25" s="22">
        <v>1593834</v>
      </c>
      <c r="F25" s="22">
        <v>40420163</v>
      </c>
      <c r="G25" s="22">
        <v>16089477</v>
      </c>
      <c r="H25" s="22">
        <v>9517079</v>
      </c>
      <c r="I25" s="22">
        <v>16982748</v>
      </c>
      <c r="J25" s="25"/>
    </row>
    <row r="26" spans="2:15" x14ac:dyDescent="0.25">
      <c r="B26" t="s">
        <v>176</v>
      </c>
      <c r="C26" s="22">
        <v>0</v>
      </c>
      <c r="D26" s="22">
        <v>-851</v>
      </c>
      <c r="E26" s="22">
        <v>1045</v>
      </c>
      <c r="F26" s="22">
        <v>559000</v>
      </c>
      <c r="G26" s="22">
        <v>75240</v>
      </c>
      <c r="H26" s="22">
        <v>261000</v>
      </c>
      <c r="I26" s="45" t="s">
        <v>29</v>
      </c>
      <c r="J26" s="25"/>
    </row>
    <row r="27" spans="2:15" x14ac:dyDescent="0.25">
      <c r="B27" t="s">
        <v>177</v>
      </c>
      <c r="C27" s="37" t="s">
        <v>29</v>
      </c>
      <c r="D27" s="37" t="s">
        <v>29</v>
      </c>
      <c r="E27" s="17">
        <v>116.7</v>
      </c>
      <c r="F27" s="17">
        <v>6.3</v>
      </c>
      <c r="G27" s="17">
        <v>13.6</v>
      </c>
      <c r="H27" s="17">
        <v>3</v>
      </c>
      <c r="I27" s="37" t="s">
        <v>29</v>
      </c>
      <c r="J27" s="25"/>
      <c r="L27" t="s">
        <v>178</v>
      </c>
      <c r="M27" t="s">
        <v>179</v>
      </c>
      <c r="N27" t="s">
        <v>180</v>
      </c>
      <c r="O27" t="s">
        <v>29</v>
      </c>
    </row>
    <row r="28" spans="2:15" x14ac:dyDescent="0.25">
      <c r="B28" t="s">
        <v>181</v>
      </c>
      <c r="C28" s="37" t="s">
        <v>29</v>
      </c>
      <c r="D28" s="38">
        <v>4.3999999999999997E-2</v>
      </c>
      <c r="E28" s="38">
        <v>0</v>
      </c>
      <c r="F28" s="38">
        <v>0.5</v>
      </c>
      <c r="G28" s="38">
        <v>0.20599999999999999</v>
      </c>
      <c r="H28" s="38">
        <v>0.498</v>
      </c>
      <c r="I28" s="38">
        <v>0.19900000000000001</v>
      </c>
      <c r="J28" s="49"/>
      <c r="L28" t="s">
        <v>182</v>
      </c>
      <c r="M28" t="s">
        <v>179</v>
      </c>
      <c r="N28" t="s">
        <v>182</v>
      </c>
      <c r="O28" t="s">
        <v>179</v>
      </c>
    </row>
    <row r="29" spans="2:15" x14ac:dyDescent="0.25">
      <c r="B29" t="s">
        <v>183</v>
      </c>
      <c r="C29" s="37" t="s">
        <v>29</v>
      </c>
      <c r="D29" s="37" t="s">
        <v>29</v>
      </c>
      <c r="E29" s="37" t="s">
        <v>29</v>
      </c>
      <c r="F29" s="37" t="s">
        <v>184</v>
      </c>
      <c r="G29" s="37" t="s">
        <v>185</v>
      </c>
      <c r="H29" s="37" t="s">
        <v>186</v>
      </c>
      <c r="I29" s="37" t="s">
        <v>187</v>
      </c>
      <c r="J29" s="25"/>
      <c r="L29" t="s">
        <v>184</v>
      </c>
      <c r="M29" t="s">
        <v>188</v>
      </c>
      <c r="N29" s="37" t="s">
        <v>186</v>
      </c>
      <c r="O29" s="37" t="s">
        <v>187</v>
      </c>
    </row>
    <row r="30" spans="2:15" x14ac:dyDescent="0.25">
      <c r="B30" t="s">
        <v>189</v>
      </c>
      <c r="C30" s="37" t="s">
        <v>29</v>
      </c>
      <c r="D30" s="37" t="s">
        <v>29</v>
      </c>
      <c r="E30" s="37" t="s">
        <v>29</v>
      </c>
      <c r="F30" s="46">
        <v>37124</v>
      </c>
      <c r="G30" s="46">
        <v>36864</v>
      </c>
      <c r="H30" s="46">
        <v>37770</v>
      </c>
      <c r="I30" s="46">
        <v>37063</v>
      </c>
    </row>
    <row r="31" spans="2:15" x14ac:dyDescent="0.25">
      <c r="B31" t="s">
        <v>190</v>
      </c>
      <c r="C31" s="37"/>
      <c r="D31" s="94">
        <f>D26/D22</f>
        <v>-2.2768012414051422E-2</v>
      </c>
      <c r="E31" s="94" t="e">
        <f t="shared" ref="E31:H31" si="0">E26/E22</f>
        <v>#DIV/0!</v>
      </c>
      <c r="F31" s="94">
        <f t="shared" si="0"/>
        <v>5.0437607146079581E-2</v>
      </c>
      <c r="G31" s="94">
        <f>G26/G22</f>
        <v>6.9122518837815644E-2</v>
      </c>
      <c r="H31" s="94">
        <f t="shared" si="0"/>
        <v>4.8567175288425753E-2</v>
      </c>
      <c r="I31" s="94" t="e">
        <f>I26/I22</f>
        <v>#VALUE!</v>
      </c>
      <c r="K31" t="s">
        <v>191</v>
      </c>
    </row>
    <row r="32" spans="2:15" x14ac:dyDescent="0.25">
      <c r="B32" t="s">
        <v>94</v>
      </c>
      <c r="C32" s="33"/>
      <c r="D32" s="49">
        <f>D22/(D22+D24)</f>
        <v>4.4392423465024797E-2</v>
      </c>
      <c r="E32" s="49">
        <f t="shared" ref="E32:I32" si="1">E22/(E22+E24)</f>
        <v>0</v>
      </c>
      <c r="F32" s="49">
        <f t="shared" si="1"/>
        <v>0.50040635723315874</v>
      </c>
      <c r="G32" s="49">
        <f t="shared" si="1"/>
        <v>0.2061618901023724</v>
      </c>
      <c r="H32" s="49">
        <f t="shared" si="1"/>
        <v>0.49763867024724512</v>
      </c>
      <c r="I32" s="49">
        <f t="shared" si="1"/>
        <v>0.19897003745318351</v>
      </c>
      <c r="J32" s="49"/>
    </row>
    <row r="33" spans="2:15" x14ac:dyDescent="0.25">
      <c r="C33" s="33"/>
    </row>
    <row r="34" spans="2:15" outlineLevel="1" x14ac:dyDescent="0.25">
      <c r="B34" t="s">
        <v>192</v>
      </c>
      <c r="D34" s="55" t="str">
        <f>D27</f>
        <v>N/A</v>
      </c>
      <c r="E34" s="55">
        <f t="shared" ref="E34:I34" si="2">E27</f>
        <v>116.7</v>
      </c>
      <c r="F34" s="55">
        <f t="shared" si="2"/>
        <v>6.3</v>
      </c>
      <c r="G34" s="55">
        <f t="shared" si="2"/>
        <v>13.6</v>
      </c>
      <c r="H34" s="55">
        <f t="shared" si="2"/>
        <v>3</v>
      </c>
      <c r="I34" s="55" t="str">
        <f t="shared" si="2"/>
        <v>N/A</v>
      </c>
    </row>
    <row r="35" spans="2:15" outlineLevel="1" x14ac:dyDescent="0.25">
      <c r="B35" t="s">
        <v>193</v>
      </c>
    </row>
    <row r="36" spans="2:15" outlineLevel="1" x14ac:dyDescent="0.25">
      <c r="B36" t="s">
        <v>194</v>
      </c>
      <c r="C36" s="25"/>
    </row>
    <row r="37" spans="2:15" outlineLevel="1" x14ac:dyDescent="0.25">
      <c r="B37" t="s">
        <v>195</v>
      </c>
    </row>
    <row r="38" spans="2:15" outlineLevel="1" x14ac:dyDescent="0.25">
      <c r="B38" t="s">
        <v>196</v>
      </c>
      <c r="C38" s="55">
        <f>C9/(C22+C24)</f>
        <v>0.32114555811173284</v>
      </c>
      <c r="D38" s="49">
        <f t="shared" ref="D38:I38" si="3">D9/(D22+D24)</f>
        <v>0.30260888774870304</v>
      </c>
      <c r="E38" s="49">
        <f t="shared" si="3"/>
        <v>0.16010234745358853</v>
      </c>
      <c r="F38" s="49">
        <f t="shared" si="3"/>
        <v>0.15888567816507135</v>
      </c>
      <c r="G38" s="49">
        <f t="shared" si="3"/>
        <v>0.19381341218419268</v>
      </c>
      <c r="H38" s="49">
        <f t="shared" si="3"/>
        <v>7.3154921752014074E-2</v>
      </c>
      <c r="I38" s="49">
        <f t="shared" si="3"/>
        <v>0.30524344569288392</v>
      </c>
      <c r="L38" t="s">
        <v>182</v>
      </c>
      <c r="M38" t="s">
        <v>178</v>
      </c>
      <c r="N38" t="s">
        <v>197</v>
      </c>
      <c r="O38" t="s">
        <v>179</v>
      </c>
    </row>
    <row r="39" spans="2:15" outlineLevel="1" x14ac:dyDescent="0.25">
      <c r="B39" t="s">
        <v>198</v>
      </c>
      <c r="C39" s="49"/>
      <c r="D39" s="49"/>
      <c r="E39" s="49"/>
      <c r="F39" s="49"/>
      <c r="G39" s="49"/>
      <c r="H39" s="49"/>
      <c r="I39" s="49"/>
    </row>
    <row r="40" spans="2:15" ht="15" customHeight="1" outlineLevel="1" x14ac:dyDescent="0.25">
      <c r="B40" t="s">
        <v>199</v>
      </c>
    </row>
    <row r="41" spans="2:15" ht="15" customHeight="1" outlineLevel="1" x14ac:dyDescent="0.25">
      <c r="B41" s="56" t="s">
        <v>200</v>
      </c>
    </row>
    <row r="43" spans="2:15" ht="15" customHeight="1" x14ac:dyDescent="0.25">
      <c r="B43" t="s">
        <v>201</v>
      </c>
    </row>
    <row r="44" spans="2:15" ht="15" customHeight="1" x14ac:dyDescent="0.25">
      <c r="B44" t="s">
        <v>202</v>
      </c>
    </row>
    <row r="45" spans="2:15" ht="15" customHeight="1" x14ac:dyDescent="0.25">
      <c r="B45" t="s">
        <v>203</v>
      </c>
    </row>
    <row r="46" spans="2:15" ht="15" customHeight="1" x14ac:dyDescent="0.25">
      <c r="B46" t="s">
        <v>204</v>
      </c>
    </row>
    <row r="47" spans="2:15" ht="15" customHeight="1" x14ac:dyDescent="0.25">
      <c r="B47" t="s">
        <v>205</v>
      </c>
    </row>
    <row r="48" spans="2:15" ht="15" customHeight="1" x14ac:dyDescent="0.25">
      <c r="B48"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9CF6F-2544-4BF3-B49A-5480E51C602D}">
  <dimension ref="A1:V19"/>
  <sheetViews>
    <sheetView workbookViewId="0">
      <pane xSplit="2" ySplit="6" topLeftCell="C7" activePane="bottomRight" state="frozen"/>
      <selection pane="topRight"/>
      <selection pane="bottomLeft"/>
      <selection pane="bottomRight" activeCell="K18" sqref="K18"/>
    </sheetView>
  </sheetViews>
  <sheetFormatPr defaultRowHeight="15" customHeight="1" outlineLevelCol="1" x14ac:dyDescent="0.25"/>
  <cols>
    <col min="2" max="2" width="39.28515625" customWidth="1"/>
    <col min="3" max="9" width="9.140625" outlineLevel="1"/>
    <col min="10" max="10" width="12.140625" hidden="1" customWidth="1" outlineLevel="1"/>
    <col min="11" max="11" width="19.42578125" bestFit="1" customWidth="1"/>
    <col min="12" max="12" width="18.28515625" customWidth="1"/>
    <col min="13" max="13" width="18.28515625" hidden="1" customWidth="1" outlineLevel="1"/>
    <col min="14" max="14" width="18.28515625" customWidth="1" collapsed="1"/>
    <col min="15" max="15" width="18.28515625" customWidth="1"/>
    <col min="17" max="17" width="15.42578125" bestFit="1" customWidth="1"/>
    <col min="18" max="18" width="11.28515625" customWidth="1"/>
    <col min="20" max="20" width="11.5703125" customWidth="1"/>
  </cols>
  <sheetData>
    <row r="1" spans="1:22" s="1" customFormat="1" x14ac:dyDescent="0.25"/>
    <row r="2" spans="1:22" s="1" customFormat="1" x14ac:dyDescent="0.25"/>
    <row r="3" spans="1:22" s="1" customFormat="1" x14ac:dyDescent="0.25">
      <c r="B3" s="2" t="s">
        <v>207</v>
      </c>
    </row>
    <row r="4" spans="1:22" s="1" customFormat="1" x14ac:dyDescent="0.25">
      <c r="B4" s="2"/>
      <c r="K4" s="77"/>
      <c r="L4" s="77"/>
    </row>
    <row r="5" spans="1:22" s="1" customFormat="1" x14ac:dyDescent="0.25">
      <c r="B5" s="2"/>
      <c r="C5" s="31"/>
      <c r="D5" s="31"/>
      <c r="E5" s="31"/>
      <c r="J5" s="126" t="s">
        <v>208</v>
      </c>
      <c r="K5" s="126"/>
      <c r="L5" s="126"/>
      <c r="M5" s="127" t="s">
        <v>209</v>
      </c>
      <c r="N5" s="127"/>
      <c r="O5" s="127"/>
      <c r="R5" s="102"/>
    </row>
    <row r="6" spans="1:22" x14ac:dyDescent="0.25">
      <c r="C6" s="78" t="s">
        <v>210</v>
      </c>
      <c r="D6" s="78" t="s">
        <v>179</v>
      </c>
      <c r="E6" s="78" t="s">
        <v>178</v>
      </c>
      <c r="F6" s="78" t="s">
        <v>182</v>
      </c>
      <c r="G6" s="78" t="s">
        <v>180</v>
      </c>
      <c r="H6" s="78" t="s">
        <v>197</v>
      </c>
      <c r="I6" s="78" t="s">
        <v>211</v>
      </c>
      <c r="J6" s="78" t="s">
        <v>212</v>
      </c>
      <c r="K6" s="61" t="s">
        <v>213</v>
      </c>
      <c r="L6" s="61" t="s">
        <v>214</v>
      </c>
      <c r="M6" s="78" t="s">
        <v>212</v>
      </c>
      <c r="N6" s="61" t="s">
        <v>213</v>
      </c>
      <c r="O6" s="61" t="s">
        <v>214</v>
      </c>
      <c r="R6" s="13" t="s">
        <v>215</v>
      </c>
      <c r="S6" s="78" t="s">
        <v>212</v>
      </c>
      <c r="T6" s="13" t="s">
        <v>216</v>
      </c>
      <c r="U6" s="61" t="s">
        <v>213</v>
      </c>
      <c r="V6" s="61" t="s">
        <v>214</v>
      </c>
    </row>
    <row r="7" spans="1:22" x14ac:dyDescent="0.25">
      <c r="A7" t="s">
        <v>217</v>
      </c>
      <c r="B7" t="s">
        <v>192</v>
      </c>
      <c r="C7" s="19">
        <v>23.4</v>
      </c>
      <c r="D7" s="19">
        <v>13.3</v>
      </c>
      <c r="E7" s="19">
        <v>6.3</v>
      </c>
      <c r="F7" s="19">
        <v>3.9</v>
      </c>
      <c r="G7" s="19">
        <v>2.2000000000000002</v>
      </c>
      <c r="H7" s="19">
        <v>1</v>
      </c>
      <c r="I7" s="19">
        <v>0.1</v>
      </c>
      <c r="J7" s="75" t="s">
        <v>29</v>
      </c>
      <c r="K7" s="67">
        <f>'Pro forma'!D12/'Pro forma'!D13</f>
        <v>22.519154880391131</v>
      </c>
      <c r="L7" s="67">
        <f ca="1">'Pro forma'!E12/'Pro forma'!E13</f>
        <v>11.259671811462713</v>
      </c>
      <c r="M7" s="33" t="s">
        <v>210</v>
      </c>
      <c r="N7" s="33" t="s">
        <v>179</v>
      </c>
      <c r="O7" s="33" t="s">
        <v>178</v>
      </c>
      <c r="Q7" t="s">
        <v>218</v>
      </c>
      <c r="R7">
        <v>1.2</v>
      </c>
      <c r="S7">
        <f>(FS!E14-FS!E26)/FS!$E$19</f>
        <v>0.41875824382561677</v>
      </c>
      <c r="T7">
        <f>S7*R7</f>
        <v>0.50250989259074008</v>
      </c>
    </row>
    <row r="8" spans="1:22" x14ac:dyDescent="0.25">
      <c r="A8" t="s">
        <v>217</v>
      </c>
      <c r="B8" t="s">
        <v>193</v>
      </c>
      <c r="C8" s="19">
        <v>25.3</v>
      </c>
      <c r="D8" s="19">
        <v>16.899999999999999</v>
      </c>
      <c r="E8" s="19">
        <v>8.5</v>
      </c>
      <c r="F8" s="19">
        <v>5.4</v>
      </c>
      <c r="G8" s="19">
        <v>3.2</v>
      </c>
      <c r="H8" s="19">
        <v>1.7</v>
      </c>
      <c r="I8" s="19">
        <v>0.7</v>
      </c>
      <c r="J8" s="75" t="s">
        <v>29</v>
      </c>
      <c r="K8" s="67">
        <f>('Pro forma'!D12+FS!E57)/'Pro forma'!D13</f>
        <v>25.475152785053258</v>
      </c>
      <c r="L8" s="67">
        <f ca="1">('Pro forma'!E12+FS!E57)/'Pro forma'!E13</f>
        <v>12.737683151526328</v>
      </c>
      <c r="M8" s="33" t="s">
        <v>210</v>
      </c>
      <c r="N8" s="33" t="s">
        <v>210</v>
      </c>
      <c r="O8" s="33" t="s">
        <v>178</v>
      </c>
      <c r="Q8" t="s">
        <v>219</v>
      </c>
      <c r="R8">
        <v>1.4</v>
      </c>
      <c r="S8">
        <f>FS!E33/FS!$E$19</f>
        <v>0.54254817500592489</v>
      </c>
      <c r="T8">
        <f>S8*R8</f>
        <v>0.75956744500829476</v>
      </c>
    </row>
    <row r="9" spans="1:22" x14ac:dyDescent="0.25">
      <c r="A9" t="s">
        <v>217</v>
      </c>
      <c r="B9" t="s">
        <v>194</v>
      </c>
      <c r="C9" s="19">
        <v>214.2</v>
      </c>
      <c r="D9" s="19">
        <v>65.7</v>
      </c>
      <c r="E9" s="19">
        <v>42.2</v>
      </c>
      <c r="F9" s="19">
        <v>30.6</v>
      </c>
      <c r="G9" s="19">
        <v>19.7</v>
      </c>
      <c r="H9" s="19">
        <v>10.4</v>
      </c>
      <c r="I9" s="19">
        <v>3.2</v>
      </c>
      <c r="J9" s="75" t="s">
        <v>29</v>
      </c>
      <c r="K9" s="39">
        <f ca="1">('Pro forma'!D16+FS!E57+FS!E58+FS!E59+FS!E60)/'Pro forma'!D30</f>
        <v>0.82750562602934341</v>
      </c>
      <c r="L9" s="39">
        <f ca="1">('Pro forma'!E16+FS!E57+FS!E58+FS!E59+FS!E60)/'Pro forma'!E30</f>
        <v>0.39991512647565408</v>
      </c>
      <c r="M9" s="33" t="s">
        <v>210</v>
      </c>
      <c r="N9" s="33" t="s">
        <v>179</v>
      </c>
      <c r="O9" s="33" t="s">
        <v>182</v>
      </c>
      <c r="Q9" t="s">
        <v>220</v>
      </c>
      <c r="R9">
        <v>3.3</v>
      </c>
      <c r="S9">
        <f>FS!E42/FS!$E$19</f>
        <v>0.22315457851472745</v>
      </c>
      <c r="T9">
        <f>S9*R9</f>
        <v>0.7364101090986005</v>
      </c>
    </row>
    <row r="10" spans="1:22" x14ac:dyDescent="0.25">
      <c r="A10" t="s">
        <v>217</v>
      </c>
      <c r="B10" t="s">
        <v>195</v>
      </c>
      <c r="C10" s="19">
        <v>156.6</v>
      </c>
      <c r="D10" s="19">
        <v>33.6</v>
      </c>
      <c r="E10" s="19">
        <v>22.3</v>
      </c>
      <c r="F10" s="19">
        <v>12.8</v>
      </c>
      <c r="G10" s="19">
        <v>7.3</v>
      </c>
      <c r="H10" s="19">
        <v>1.5</v>
      </c>
      <c r="I10" s="19">
        <v>-2.8</v>
      </c>
      <c r="J10" s="75" t="s">
        <v>29</v>
      </c>
      <c r="K10" s="39">
        <f ca="1">'Pro forma'!D66/'Pro forma'!D30</f>
        <v>0.48469836310833408</v>
      </c>
      <c r="L10" s="39">
        <f ca="1">'Pro forma'!E66/'Pro forma'!E30</f>
        <v>0.24234918155416704</v>
      </c>
      <c r="M10" s="33" t="s">
        <v>210</v>
      </c>
      <c r="N10" s="33" t="s">
        <v>179</v>
      </c>
      <c r="O10" s="33" t="s">
        <v>178</v>
      </c>
      <c r="Q10" t="s">
        <v>221</v>
      </c>
      <c r="R10">
        <v>0.6</v>
      </c>
      <c r="S10">
        <f>'Pro forma'!C36/FS!E29</f>
        <v>12.564127553897665</v>
      </c>
      <c r="T10">
        <f>S10*R10</f>
        <v>7.5384765323385983</v>
      </c>
    </row>
    <row r="11" spans="1:22" x14ac:dyDescent="0.25">
      <c r="A11" t="s">
        <v>217</v>
      </c>
      <c r="B11" t="s">
        <v>196</v>
      </c>
      <c r="C11" s="19">
        <v>35</v>
      </c>
      <c r="D11" s="19">
        <v>26.6</v>
      </c>
      <c r="E11" s="19">
        <v>18.100000000000001</v>
      </c>
      <c r="F11" s="19">
        <v>13.1</v>
      </c>
      <c r="G11" s="19">
        <v>11.5</v>
      </c>
      <c r="H11" s="19">
        <v>8</v>
      </c>
      <c r="I11" s="19">
        <v>1.2</v>
      </c>
      <c r="J11" s="75">
        <f>'Pro forma'!C12/AVERAGE('Pro forma'!C28,FS!D34)</f>
        <v>0.37734177505656102</v>
      </c>
      <c r="K11" s="39">
        <f ca="1">'Pro forma'!D12/AVERAGE('Pro forma'!D28,FS!D34)</f>
        <v>0.42385204655933578</v>
      </c>
      <c r="L11" s="39">
        <f ca="1">'Pro forma'!E12/AVERAGE('Pro forma'!E28,FS!D34)</f>
        <v>0.42385204655933578</v>
      </c>
      <c r="M11" s="33" t="s">
        <v>210</v>
      </c>
      <c r="N11" s="33" t="s">
        <v>210</v>
      </c>
      <c r="O11" s="33" t="s">
        <v>210</v>
      </c>
      <c r="Q11" t="s">
        <v>222</v>
      </c>
      <c r="R11">
        <v>1</v>
      </c>
      <c r="S11">
        <f>FS!E38/FS!$E$19</f>
        <v>1.5629825659340257</v>
      </c>
      <c r="T11">
        <f>S11*R11</f>
        <v>1.5629825659340257</v>
      </c>
    </row>
    <row r="12" spans="1:22" x14ac:dyDescent="0.25">
      <c r="B12" t="s">
        <v>198</v>
      </c>
      <c r="C12" s="19">
        <v>23.4</v>
      </c>
      <c r="D12" s="19">
        <v>24</v>
      </c>
      <c r="E12" s="19">
        <v>18.100000000000001</v>
      </c>
      <c r="F12" s="19">
        <v>15.5</v>
      </c>
      <c r="G12" s="19">
        <v>15.4</v>
      </c>
      <c r="H12" s="19">
        <v>14.7</v>
      </c>
      <c r="I12" s="19">
        <v>8.8000000000000007</v>
      </c>
      <c r="J12" s="93">
        <f>('Pro forma'!C12+FS!E57)/'Pro forma'!C8</f>
        <v>0.16395558623406398</v>
      </c>
      <c r="K12" s="39">
        <f>('Pro forma'!D10+FS!E57)/'Pro forma'!D8</f>
        <v>0.1616773273490888</v>
      </c>
      <c r="L12" s="39">
        <f>('Pro forma'!E10+FS!E57)/'Pro forma'!E8</f>
        <v>0.1616773273490888</v>
      </c>
      <c r="M12" s="33" t="s">
        <v>182</v>
      </c>
      <c r="N12" s="33" t="s">
        <v>182</v>
      </c>
      <c r="O12" s="33" t="s">
        <v>182</v>
      </c>
      <c r="T12" s="55">
        <f>SUM(T7:T11)</f>
        <v>11.099946544970258</v>
      </c>
    </row>
    <row r="13" spans="1:22" x14ac:dyDescent="0.25">
      <c r="B13" t="s">
        <v>199</v>
      </c>
      <c r="C13" s="81">
        <v>-1.1000000000000001</v>
      </c>
      <c r="D13" s="81">
        <v>21.1</v>
      </c>
      <c r="E13" s="81">
        <v>33.799999999999997</v>
      </c>
      <c r="F13" s="81">
        <v>40.299999999999997</v>
      </c>
      <c r="G13" s="81">
        <v>53.6</v>
      </c>
      <c r="H13" s="81">
        <v>72.599999999999994</v>
      </c>
      <c r="I13" s="81">
        <v>78.3</v>
      </c>
      <c r="J13" s="75" t="s">
        <v>29</v>
      </c>
      <c r="K13" s="75" t="s">
        <v>29</v>
      </c>
      <c r="L13" s="75" t="s">
        <v>29</v>
      </c>
      <c r="M13" s="33" t="s">
        <v>210</v>
      </c>
      <c r="N13" s="75" t="s">
        <v>29</v>
      </c>
      <c r="O13" s="75" t="s">
        <v>29</v>
      </c>
    </row>
    <row r="14" spans="1:22" x14ac:dyDescent="0.25">
      <c r="A14" t="s">
        <v>223</v>
      </c>
      <c r="B14" t="s">
        <v>200</v>
      </c>
      <c r="C14" s="115">
        <v>5</v>
      </c>
      <c r="D14" s="115">
        <v>35.9</v>
      </c>
      <c r="E14" s="115">
        <v>42.6</v>
      </c>
      <c r="F14" s="115">
        <v>47</v>
      </c>
      <c r="G14" s="115">
        <v>57.7</v>
      </c>
      <c r="H14" s="115">
        <v>75.099999999999994</v>
      </c>
      <c r="I14" s="115">
        <v>91.7</v>
      </c>
      <c r="J14" s="116" t="s">
        <v>29</v>
      </c>
      <c r="K14" s="117">
        <f ca="1">'Pro forma'!D30/'Pro forma'!D28</f>
        <v>0.4</v>
      </c>
      <c r="L14" s="117">
        <f ca="1">'Pro forma'!E30/'Pro forma'!E28</f>
        <v>0.8</v>
      </c>
      <c r="M14" s="33" t="s">
        <v>210</v>
      </c>
      <c r="N14" s="33" t="s">
        <v>178</v>
      </c>
      <c r="O14" s="33" t="s">
        <v>197</v>
      </c>
    </row>
    <row r="15" spans="1:22" x14ac:dyDescent="0.25">
      <c r="B15" t="s">
        <v>224</v>
      </c>
      <c r="C15" s="19">
        <v>6</v>
      </c>
      <c r="D15" s="19">
        <v>20</v>
      </c>
      <c r="E15" s="19">
        <v>121</v>
      </c>
      <c r="F15" s="19">
        <v>224</v>
      </c>
      <c r="G15" s="19">
        <v>279</v>
      </c>
      <c r="H15" s="19">
        <v>264</v>
      </c>
      <c r="I15" s="19">
        <v>56</v>
      </c>
      <c r="J15" s="19"/>
      <c r="K15" s="74"/>
      <c r="L15" s="74"/>
    </row>
    <row r="16" spans="1:22" x14ac:dyDescent="0.25">
      <c r="B16" s="13" t="s">
        <v>225</v>
      </c>
      <c r="C16" s="39">
        <v>5.1999999999999998E-3</v>
      </c>
      <c r="D16" s="39">
        <v>1.3100000000000001E-2</v>
      </c>
      <c r="E16" s="39">
        <v>2.3199999999999998E-2</v>
      </c>
      <c r="F16" s="39">
        <v>6.6400000000000001E-2</v>
      </c>
      <c r="G16" s="39">
        <v>0.19520000000000001</v>
      </c>
      <c r="H16" s="39">
        <v>0.35759999999999997</v>
      </c>
      <c r="I16" s="39">
        <v>0.54379999999999995</v>
      </c>
      <c r="J16" s="39"/>
      <c r="K16" s="39"/>
      <c r="L16" s="39"/>
    </row>
    <row r="17" spans="2:7" x14ac:dyDescent="0.25"/>
    <row r="18" spans="2:7" x14ac:dyDescent="0.25">
      <c r="B18" t="s">
        <v>226</v>
      </c>
      <c r="D18" s="55">
        <f t="shared" ref="D18:E18" si="0">D16/C16-1</f>
        <v>1.5192307692307696</v>
      </c>
      <c r="E18" s="55">
        <f t="shared" si="0"/>
        <v>0.77099236641221358</v>
      </c>
      <c r="F18" s="55">
        <f>F16/E16-1</f>
        <v>1.8620689655172415</v>
      </c>
      <c r="G18" s="55">
        <f>G16/F16-1</f>
        <v>1.9397590361445785</v>
      </c>
    </row>
    <row r="19" spans="2:7" x14ac:dyDescent="0.25">
      <c r="B19" t="s">
        <v>227</v>
      </c>
    </row>
  </sheetData>
  <mergeCells count="2">
    <mergeCell ref="J5:L5"/>
    <mergeCell ref="M5:O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E78A-9DF1-46F7-A158-FA15F53AA2BF}">
  <sheetPr>
    <tabColor rgb="FF00B050"/>
    <pageSetUpPr fitToPage="1"/>
  </sheetPr>
  <dimension ref="A1:Q68"/>
  <sheetViews>
    <sheetView zoomScale="85" zoomScaleNormal="85" workbookViewId="0">
      <selection activeCell="Q7" sqref="Q7"/>
    </sheetView>
  </sheetViews>
  <sheetFormatPr defaultRowHeight="15" customHeight="1" outlineLevelRow="1" outlineLevelCol="1" x14ac:dyDescent="0.25"/>
  <cols>
    <col min="1" max="1" width="5.140625" customWidth="1"/>
    <col min="2" max="2" width="37.5703125" customWidth="1"/>
    <col min="3" max="3" width="12" customWidth="1"/>
    <col min="4" max="4" width="12.28515625" customWidth="1"/>
    <col min="5" max="5" width="13.7109375" customWidth="1"/>
    <col min="6" max="6" width="1.5703125" customWidth="1"/>
    <col min="7" max="7" width="12.42578125" customWidth="1"/>
    <col min="8" max="8" width="11" hidden="1" customWidth="1" outlineLevel="1"/>
    <col min="9" max="9" width="12.7109375" hidden="1" customWidth="1" outlineLevel="1"/>
    <col min="10" max="10" width="10" hidden="1" customWidth="1" outlineLevel="1"/>
    <col min="11" max="11" width="0" hidden="1" customWidth="1" collapsed="1"/>
    <col min="12" max="12" width="1.5703125" customWidth="1"/>
    <col min="13" max="13" width="11.7109375" bestFit="1" customWidth="1"/>
    <col min="14" max="14" width="13.7109375" customWidth="1"/>
    <col min="15" max="15" width="10.7109375" hidden="1" customWidth="1"/>
  </cols>
  <sheetData>
    <row r="1" spans="1:17" s="1" customFormat="1" x14ac:dyDescent="0.25"/>
    <row r="2" spans="1:17" s="1" customFormat="1" x14ac:dyDescent="0.25"/>
    <row r="3" spans="1:17" s="1" customFormat="1" x14ac:dyDescent="0.25">
      <c r="B3" s="2" t="s">
        <v>245</v>
      </c>
    </row>
    <row r="4" spans="1:17" s="1" customFormat="1" x14ac:dyDescent="0.25">
      <c r="B4" s="2" t="s">
        <v>52</v>
      </c>
    </row>
    <row r="5" spans="1:17" s="1" customFormat="1" x14ac:dyDescent="0.25">
      <c r="B5" s="2"/>
      <c r="C5" s="31"/>
      <c r="D5" s="31" t="s">
        <v>246</v>
      </c>
      <c r="E5" s="31"/>
      <c r="N5" s="31" t="s">
        <v>247</v>
      </c>
    </row>
    <row r="6" spans="1:17" s="66" customFormat="1" ht="33.950000000000003" customHeight="1" x14ac:dyDescent="0.25">
      <c r="B6" s="120"/>
      <c r="C6" s="129" t="s">
        <v>248</v>
      </c>
      <c r="D6" s="129"/>
      <c r="E6" s="129"/>
      <c r="G6" s="130" t="s">
        <v>249</v>
      </c>
      <c r="H6" s="130"/>
      <c r="I6" s="130"/>
      <c r="J6" s="130"/>
      <c r="M6" s="129" t="s">
        <v>248</v>
      </c>
      <c r="N6" s="129"/>
      <c r="O6" s="129"/>
    </row>
    <row r="7" spans="1:17" s="66" customFormat="1" ht="83.25" customHeight="1" x14ac:dyDescent="0.25">
      <c r="B7" s="63"/>
      <c r="C7" s="64" t="s">
        <v>250</v>
      </c>
      <c r="D7" s="65" t="s">
        <v>251</v>
      </c>
      <c r="E7" s="65" t="s">
        <v>252</v>
      </c>
      <c r="G7" s="64" t="s">
        <v>250</v>
      </c>
      <c r="H7" s="96"/>
      <c r="I7" s="97" t="s">
        <v>253</v>
      </c>
      <c r="J7" s="97" t="s">
        <v>252</v>
      </c>
      <c r="M7" s="64" t="s">
        <v>250</v>
      </c>
      <c r="N7" s="65" t="s">
        <v>254</v>
      </c>
      <c r="O7" s="103" t="s">
        <v>255</v>
      </c>
      <c r="Q7" s="125" t="s">
        <v>256</v>
      </c>
    </row>
    <row r="8" spans="1:17" x14ac:dyDescent="0.25">
      <c r="B8" t="s">
        <v>257</v>
      </c>
      <c r="C8" s="22">
        <v>4477981</v>
      </c>
      <c r="D8" s="22">
        <v>4477981</v>
      </c>
      <c r="E8" s="25">
        <f>C8</f>
        <v>4477981</v>
      </c>
      <c r="G8" s="22">
        <v>4477981</v>
      </c>
      <c r="H8" s="22"/>
      <c r="I8" s="22">
        <v>4477981</v>
      </c>
      <c r="J8" s="25">
        <f>G8</f>
        <v>4477981</v>
      </c>
      <c r="M8" s="22">
        <v>4477981</v>
      </c>
      <c r="N8" s="22">
        <v>4477981</v>
      </c>
      <c r="O8" s="104">
        <f>M8</f>
        <v>4477981</v>
      </c>
    </row>
    <row r="9" spans="1:17" outlineLevel="1" x14ac:dyDescent="0.25">
      <c r="B9" s="100" t="s">
        <v>258</v>
      </c>
      <c r="C9" s="22"/>
      <c r="D9" s="22"/>
      <c r="E9" s="25"/>
      <c r="G9" s="101">
        <f>'Future lease payment'!E28</f>
        <v>178700</v>
      </c>
      <c r="H9" s="58"/>
      <c r="I9" s="58">
        <f>G9</f>
        <v>178700</v>
      </c>
      <c r="J9" s="58">
        <f>I9</f>
        <v>178700</v>
      </c>
      <c r="M9" s="22"/>
      <c r="N9" s="22"/>
      <c r="O9" s="104"/>
    </row>
    <row r="10" spans="1:17" x14ac:dyDescent="0.25">
      <c r="B10" t="s">
        <v>32</v>
      </c>
      <c r="C10" s="22">
        <v>639343</v>
      </c>
      <c r="D10" s="22">
        <v>639343</v>
      </c>
      <c r="E10" s="25">
        <f>C10</f>
        <v>639343</v>
      </c>
      <c r="G10" s="22">
        <f>639343+G9</f>
        <v>818043</v>
      </c>
      <c r="H10" s="22"/>
      <c r="I10" s="22">
        <f>G10</f>
        <v>818043</v>
      </c>
      <c r="J10" s="25">
        <f>G10</f>
        <v>818043</v>
      </c>
      <c r="M10" s="22">
        <v>639343</v>
      </c>
      <c r="N10" s="22">
        <v>639343</v>
      </c>
      <c r="O10" s="104">
        <f>M10</f>
        <v>639343</v>
      </c>
    </row>
    <row r="11" spans="1:17" x14ac:dyDescent="0.25">
      <c r="A11" t="s">
        <v>259</v>
      </c>
      <c r="B11" t="s">
        <v>260</v>
      </c>
      <c r="C11" s="22">
        <v>10202</v>
      </c>
      <c r="D11" s="22">
        <v>5493</v>
      </c>
      <c r="E11" s="25">
        <f>E27*E46</f>
        <v>5493</v>
      </c>
      <c r="G11" s="22">
        <v>10202</v>
      </c>
      <c r="H11" s="22"/>
      <c r="I11" s="22">
        <v>5493</v>
      </c>
      <c r="J11" s="25">
        <f>J27*J46</f>
        <v>5493</v>
      </c>
      <c r="M11" s="22">
        <v>10202</v>
      </c>
      <c r="N11" s="22">
        <v>5493</v>
      </c>
      <c r="O11" s="104">
        <f>O27*O46</f>
        <v>5493</v>
      </c>
    </row>
    <row r="12" spans="1:17" x14ac:dyDescent="0.25">
      <c r="B12" t="s">
        <v>261</v>
      </c>
      <c r="C12" s="23">
        <v>649545</v>
      </c>
      <c r="D12" s="23">
        <v>644836</v>
      </c>
      <c r="E12" s="54">
        <f>SUM(E10:E11)</f>
        <v>644836</v>
      </c>
      <c r="G12" s="54">
        <f>SUM(G10:G11)</f>
        <v>828245</v>
      </c>
      <c r="H12" s="54"/>
      <c r="I12" s="54">
        <f>SUM(I10:I11)</f>
        <v>823536</v>
      </c>
      <c r="J12" s="54">
        <f>SUM(J10:J11)</f>
        <v>823536</v>
      </c>
      <c r="M12" s="23">
        <v>649545</v>
      </c>
      <c r="N12" s="23">
        <v>644836</v>
      </c>
      <c r="O12" s="105">
        <f>SUM(O10:O11)</f>
        <v>644836</v>
      </c>
    </row>
    <row r="13" spans="1:17" x14ac:dyDescent="0.25">
      <c r="A13" t="s">
        <v>262</v>
      </c>
      <c r="B13" t="s">
        <v>263</v>
      </c>
      <c r="C13" s="22">
        <v>0</v>
      </c>
      <c r="D13" s="22">
        <v>28635</v>
      </c>
      <c r="E13" s="25">
        <f ca="1">E30*E47</f>
        <v>57269.52</v>
      </c>
      <c r="G13" s="22">
        <v>0</v>
      </c>
      <c r="H13" s="22"/>
      <c r="I13" s="22"/>
      <c r="J13" s="55">
        <f>J30*J47</f>
        <v>0</v>
      </c>
      <c r="M13" s="22">
        <v>0</v>
      </c>
      <c r="N13" s="22">
        <v>28635</v>
      </c>
      <c r="O13" s="92">
        <f ca="1">O30*O47</f>
        <v>57269.52</v>
      </c>
    </row>
    <row r="14" spans="1:17" x14ac:dyDescent="0.25">
      <c r="B14" t="s">
        <v>264</v>
      </c>
      <c r="C14" s="23">
        <v>649545</v>
      </c>
      <c r="D14" s="23">
        <v>616201</v>
      </c>
      <c r="E14" s="54">
        <f ca="1">E12-E13</f>
        <v>587566.48</v>
      </c>
      <c r="G14" s="23">
        <f>G12-G13</f>
        <v>828245</v>
      </c>
      <c r="H14" s="23"/>
      <c r="I14" s="23">
        <f>I12-I13</f>
        <v>823536</v>
      </c>
      <c r="J14" s="23">
        <f>J12-J13</f>
        <v>823536</v>
      </c>
      <c r="M14" s="23">
        <v>649545</v>
      </c>
      <c r="N14" s="23">
        <v>616201</v>
      </c>
      <c r="O14" s="105">
        <f ca="1">O12-O13</f>
        <v>587566.48</v>
      </c>
    </row>
    <row r="15" spans="1:17" x14ac:dyDescent="0.25">
      <c r="A15" t="s">
        <v>265</v>
      </c>
      <c r="B15" t="s">
        <v>266</v>
      </c>
      <c r="C15" s="47">
        <v>250075</v>
      </c>
      <c r="D15" s="47">
        <v>237237</v>
      </c>
      <c r="E15" s="25">
        <f ca="1">E14*38.5%</f>
        <v>226213.09479999999</v>
      </c>
      <c r="G15" s="22">
        <f>G14*38.5%</f>
        <v>318874.32500000001</v>
      </c>
      <c r="H15" s="22"/>
      <c r="I15" s="22">
        <f>I14*38.5%</f>
        <v>317061.36</v>
      </c>
      <c r="J15" s="22">
        <f>J14*38.5%</f>
        <v>317061.36</v>
      </c>
      <c r="M15" s="47">
        <v>250075</v>
      </c>
      <c r="N15" s="47">
        <v>237237</v>
      </c>
      <c r="O15" s="104">
        <f ca="1">O14*38.5%</f>
        <v>226213.09479999999</v>
      </c>
    </row>
    <row r="16" spans="1:17" x14ac:dyDescent="0.25">
      <c r="B16" t="s">
        <v>267</v>
      </c>
      <c r="C16" s="24">
        <v>399470</v>
      </c>
      <c r="D16" s="24">
        <v>378964</v>
      </c>
      <c r="E16" s="99">
        <f ca="1">E14-E15</f>
        <v>361353.38520000002</v>
      </c>
      <c r="G16" s="24">
        <f>G14-G15</f>
        <v>509370.67499999999</v>
      </c>
      <c r="H16" s="24"/>
      <c r="I16" s="24">
        <f>I14-I15</f>
        <v>506474.64</v>
      </c>
      <c r="J16" s="24">
        <f>J14-J15</f>
        <v>506474.64</v>
      </c>
      <c r="M16" s="24">
        <v>399470</v>
      </c>
      <c r="N16" s="24">
        <v>378964</v>
      </c>
      <c r="O16" s="106">
        <f ca="1">O14-O15</f>
        <v>361353.38520000002</v>
      </c>
    </row>
    <row r="17" spans="1:15" x14ac:dyDescent="0.25">
      <c r="C17" s="47"/>
      <c r="D17" s="47"/>
      <c r="G17" s="22"/>
      <c r="H17" s="22"/>
      <c r="I17" s="22"/>
      <c r="O17" s="59"/>
    </row>
    <row r="18" spans="1:15" s="121" customFormat="1" x14ac:dyDescent="0.25">
      <c r="B18" s="121" t="s">
        <v>268</v>
      </c>
      <c r="C18" s="122">
        <f>(C30*38.5%)</f>
        <v>0</v>
      </c>
      <c r="D18" s="122">
        <f ca="1">(D30*38.5%)</f>
        <v>244986.28</v>
      </c>
      <c r="E18" s="122">
        <f ca="1">(E30*38.5%)</f>
        <v>489972.56</v>
      </c>
      <c r="G18" s="122">
        <f>(G30*38.5%)</f>
        <v>0</v>
      </c>
      <c r="H18" s="122"/>
      <c r="I18" s="122"/>
      <c r="J18" s="122"/>
      <c r="K18" s="121" t="s">
        <v>269</v>
      </c>
      <c r="M18" s="122">
        <f>(M30*38.5%)</f>
        <v>0</v>
      </c>
      <c r="N18" s="122">
        <f ca="1">(N30*38.5%)</f>
        <v>244986.28</v>
      </c>
      <c r="O18" s="123">
        <f ca="1">(O30*38.5%)</f>
        <v>489972.56</v>
      </c>
    </row>
    <row r="19" spans="1:15" x14ac:dyDescent="0.25">
      <c r="C19" s="47"/>
      <c r="D19" s="47"/>
      <c r="E19" s="25"/>
      <c r="G19" s="22"/>
      <c r="H19" s="22"/>
      <c r="I19" s="22"/>
      <c r="M19" s="47"/>
      <c r="N19" s="47"/>
      <c r="O19" s="59"/>
    </row>
    <row r="20" spans="1:15" x14ac:dyDescent="0.25">
      <c r="B20" t="s">
        <v>270</v>
      </c>
      <c r="C20" s="17">
        <v>1.35</v>
      </c>
      <c r="D20" s="17">
        <v>1.41</v>
      </c>
      <c r="E20" s="55">
        <f ca="1">E$16/E24</f>
        <v>1.435953016612068</v>
      </c>
      <c r="G20" s="17">
        <v>1.35</v>
      </c>
      <c r="H20" s="17"/>
      <c r="I20" s="17">
        <v>1.41</v>
      </c>
      <c r="J20" s="55">
        <f>J$16/J24</f>
        <v>1.7706229658382717</v>
      </c>
      <c r="M20" s="17">
        <v>1.35</v>
      </c>
      <c r="N20" s="110">
        <f>N$16/N24</f>
        <v>1.2766006184858549</v>
      </c>
      <c r="O20" s="92">
        <f ca="1">O$16/O24</f>
        <v>1.2172764564398662</v>
      </c>
    </row>
    <row r="21" spans="1:15" x14ac:dyDescent="0.25">
      <c r="B21" t="s">
        <v>271</v>
      </c>
      <c r="C21" s="17">
        <v>1.31</v>
      </c>
      <c r="D21" s="17">
        <v>1.37</v>
      </c>
      <c r="E21" s="55">
        <f ca="1">E$16/E25</f>
        <v>1.3925893884660918</v>
      </c>
      <c r="G21" s="17">
        <v>1.31</v>
      </c>
      <c r="H21" s="17"/>
      <c r="I21" s="17">
        <v>1.37</v>
      </c>
      <c r="J21" s="55">
        <f>J$16/J25</f>
        <v>1.7234110431479015</v>
      </c>
      <c r="M21" s="17">
        <v>1.31</v>
      </c>
      <c r="N21" s="110">
        <f>N$16/N25</f>
        <v>1.2437690767665497</v>
      </c>
      <c r="O21" s="92">
        <f ca="1">O$16/O25</f>
        <v>1.1859706101283272</v>
      </c>
    </row>
    <row r="22" spans="1:15" x14ac:dyDescent="0.25">
      <c r="B22" t="s">
        <v>272</v>
      </c>
      <c r="C22" s="44">
        <f>C16/C34</f>
        <v>0.20065601109090728</v>
      </c>
      <c r="D22" s="44">
        <f>D16/D34</f>
        <v>0.39703213856166419</v>
      </c>
      <c r="E22" s="44">
        <f ca="1">E16/E34</f>
        <v>1.1357456695289223</v>
      </c>
      <c r="G22" s="44">
        <f>G16/G34</f>
        <v>0.25585973367758008</v>
      </c>
      <c r="H22" s="17"/>
      <c r="I22" s="17"/>
      <c r="J22" s="55"/>
      <c r="M22" s="44">
        <f>M16/M34</f>
        <v>0.20065601109090728</v>
      </c>
      <c r="N22" s="111">
        <f ca="1">N16/N34</f>
        <v>0.39703213856166419</v>
      </c>
      <c r="O22" s="107">
        <f ca="1">O16/O34</f>
        <v>1.1357456695289223</v>
      </c>
    </row>
    <row r="23" spans="1:15" x14ac:dyDescent="0.25">
      <c r="C23" s="17"/>
      <c r="D23" s="17"/>
      <c r="G23" s="17"/>
      <c r="H23" s="17"/>
      <c r="I23" s="17"/>
      <c r="M23" s="17"/>
      <c r="N23" s="17"/>
      <c r="O23" s="59"/>
    </row>
    <row r="24" spans="1:15" x14ac:dyDescent="0.25">
      <c r="B24" t="s">
        <v>273</v>
      </c>
      <c r="C24" s="22">
        <v>296854</v>
      </c>
      <c r="D24" s="22">
        <v>268845</v>
      </c>
      <c r="E24" s="25">
        <f ca="1">C24-E37</f>
        <v>251647.08108108107</v>
      </c>
      <c r="G24" s="22">
        <v>296854</v>
      </c>
      <c r="H24" s="22"/>
      <c r="I24" s="22">
        <v>268845</v>
      </c>
      <c r="J24" s="25">
        <f>G24-J37</f>
        <v>286043.18918918917</v>
      </c>
      <c r="M24" s="22">
        <v>296854</v>
      </c>
      <c r="N24" s="22">
        <f>M24</f>
        <v>296854</v>
      </c>
      <c r="O24" s="58">
        <f>N24</f>
        <v>296854</v>
      </c>
    </row>
    <row r="25" spans="1:15" x14ac:dyDescent="0.25">
      <c r="B25" t="s">
        <v>274</v>
      </c>
      <c r="C25" s="22">
        <v>304690</v>
      </c>
      <c r="D25" s="22">
        <v>276681</v>
      </c>
      <c r="E25" s="25">
        <f ca="1">E24+(C25-C24)</f>
        <v>259483.08108108107</v>
      </c>
      <c r="G25" s="22">
        <v>304690</v>
      </c>
      <c r="H25" s="22"/>
      <c r="I25" s="22">
        <v>276681</v>
      </c>
      <c r="J25" s="25">
        <f>J24+(G25-G24)</f>
        <v>293879.18918918917</v>
      </c>
      <c r="M25" s="22">
        <v>304690</v>
      </c>
      <c r="N25" s="22">
        <f>M25</f>
        <v>304690</v>
      </c>
      <c r="O25" s="58">
        <f>N25</f>
        <v>304690</v>
      </c>
    </row>
    <row r="26" spans="1:15" x14ac:dyDescent="0.25">
      <c r="C26" s="20"/>
      <c r="D26" s="20"/>
      <c r="G26" s="22"/>
      <c r="H26" s="22"/>
      <c r="I26" s="22"/>
      <c r="M26" s="22"/>
      <c r="N26" s="22"/>
      <c r="O26" s="59"/>
    </row>
    <row r="27" spans="1:15" x14ac:dyDescent="0.25">
      <c r="A27" t="s">
        <v>275</v>
      </c>
      <c r="B27" t="s">
        <v>276</v>
      </c>
      <c r="C27" s="20">
        <v>866595</v>
      </c>
      <c r="D27" s="20">
        <v>466595</v>
      </c>
      <c r="E27" s="25">
        <f>C27-400000</f>
        <v>466595</v>
      </c>
      <c r="G27" s="22">
        <v>866595</v>
      </c>
      <c r="H27" s="22"/>
      <c r="I27" s="22">
        <v>466595</v>
      </c>
      <c r="J27" s="25">
        <f>I27</f>
        <v>466595</v>
      </c>
      <c r="M27" s="22">
        <v>866595</v>
      </c>
      <c r="N27" s="22">
        <v>466595</v>
      </c>
      <c r="O27" s="104">
        <f>M27-400000</f>
        <v>466595</v>
      </c>
    </row>
    <row r="28" spans="1:15" x14ac:dyDescent="0.25">
      <c r="B28" t="s">
        <v>277</v>
      </c>
      <c r="C28" s="20">
        <f>C30+C34</f>
        <v>1990820</v>
      </c>
      <c r="D28" s="20">
        <f ca="1">D30+D34</f>
        <v>1590820</v>
      </c>
      <c r="E28" s="20">
        <f ca="1">E30+E34</f>
        <v>1590820</v>
      </c>
      <c r="F28" s="25"/>
      <c r="G28" s="20">
        <f>G30+G34+G29</f>
        <v>3894446.4508918198</v>
      </c>
      <c r="H28" s="20"/>
      <c r="I28" s="20">
        <f>I30+I34+I29</f>
        <v>3494446.4508918198</v>
      </c>
      <c r="J28" s="20">
        <f>J30+J34+J29</f>
        <v>3494446.4508918198</v>
      </c>
      <c r="M28" s="20">
        <f>M30+M34</f>
        <v>1990820</v>
      </c>
      <c r="N28" s="20">
        <f ca="1">N30+N34</f>
        <v>1590820</v>
      </c>
      <c r="O28" s="108">
        <f ca="1">O30+O34</f>
        <v>1590820</v>
      </c>
    </row>
    <row r="29" spans="1:15" x14ac:dyDescent="0.25">
      <c r="B29" t="s">
        <v>278</v>
      </c>
      <c r="C29" s="20">
        <v>0</v>
      </c>
      <c r="D29" s="20">
        <v>0</v>
      </c>
      <c r="E29" s="20">
        <v>0</v>
      </c>
      <c r="G29" s="20">
        <f>'Future lease payment'!$E$32</f>
        <v>1903626.4508918198</v>
      </c>
      <c r="H29" s="20"/>
      <c r="I29" s="20">
        <f>'Future lease payment'!$E$32</f>
        <v>1903626.4508918198</v>
      </c>
      <c r="J29" s="20">
        <f>'Future lease payment'!$E$32</f>
        <v>1903626.4508918198</v>
      </c>
      <c r="M29" s="20">
        <v>0</v>
      </c>
      <c r="N29" s="20">
        <v>0</v>
      </c>
      <c r="O29" s="108">
        <v>0</v>
      </c>
    </row>
    <row r="30" spans="1:15" x14ac:dyDescent="0.25">
      <c r="B30" t="s">
        <v>174</v>
      </c>
      <c r="C30" s="113">
        <v>0</v>
      </c>
      <c r="D30" s="25">
        <f ca="1">D28*40%</f>
        <v>636328</v>
      </c>
      <c r="E30" s="25">
        <f ca="1">E28*80%</f>
        <v>1272656</v>
      </c>
      <c r="F30" s="25"/>
      <c r="G30" s="86">
        <v>0</v>
      </c>
      <c r="H30" s="86"/>
      <c r="I30" s="88"/>
      <c r="J30" s="88"/>
      <c r="M30" s="86">
        <v>0</v>
      </c>
      <c r="N30" s="25">
        <f ca="1">N28*40%</f>
        <v>636328</v>
      </c>
      <c r="O30" s="104">
        <f ca="1">O28*80%</f>
        <v>1272656</v>
      </c>
    </row>
    <row r="31" spans="1:15" x14ac:dyDescent="0.25">
      <c r="B31" t="s">
        <v>94</v>
      </c>
      <c r="C31" s="114">
        <f>C30/C28</f>
        <v>0</v>
      </c>
      <c r="D31" s="114">
        <f ca="1">D30/D28</f>
        <v>0.4</v>
      </c>
      <c r="E31" s="114">
        <f t="shared" ref="E31" ca="1" si="0">E30/E28</f>
        <v>0.8</v>
      </c>
      <c r="F31" s="98"/>
      <c r="G31" s="38">
        <f>(G30+G29)/G28</f>
        <v>0.48880539889202829</v>
      </c>
      <c r="H31" s="86"/>
      <c r="I31" s="25"/>
      <c r="J31" s="25"/>
      <c r="M31" s="38">
        <f>M30/M28</f>
        <v>0</v>
      </c>
      <c r="N31" s="38">
        <f t="shared" ref="N31" ca="1" si="1">N30/N28</f>
        <v>0.4</v>
      </c>
      <c r="O31" s="109">
        <f t="shared" ref="O31" ca="1" si="2">O30/O28</f>
        <v>0.8</v>
      </c>
    </row>
    <row r="32" spans="1:15" x14ac:dyDescent="0.25">
      <c r="D32" s="22"/>
      <c r="I32" s="22"/>
      <c r="N32" s="22"/>
      <c r="O32" s="59"/>
    </row>
    <row r="33" spans="1:16" x14ac:dyDescent="0.25">
      <c r="A33" t="s">
        <v>279</v>
      </c>
      <c r="B33" t="s">
        <v>280</v>
      </c>
      <c r="C33" s="20">
        <v>0</v>
      </c>
      <c r="D33" s="20">
        <v>1036328</v>
      </c>
      <c r="E33" s="25">
        <f ca="1">400000+E30</f>
        <v>1672656</v>
      </c>
      <c r="G33" s="55">
        <v>0</v>
      </c>
      <c r="I33" s="25">
        <f>400000+I30</f>
        <v>400000</v>
      </c>
      <c r="J33" s="25">
        <f>400000+J30</f>
        <v>400000</v>
      </c>
      <c r="M33" s="20">
        <v>0</v>
      </c>
      <c r="N33" s="20">
        <f ca="1">400000+N30</f>
        <v>1036328</v>
      </c>
      <c r="O33" s="108">
        <f ca="1">400000+O30</f>
        <v>1672656</v>
      </c>
      <c r="P33" t="s">
        <v>281</v>
      </c>
    </row>
    <row r="34" spans="1:16" x14ac:dyDescent="0.25">
      <c r="B34" t="s">
        <v>44</v>
      </c>
      <c r="C34" s="20">
        <v>1990820</v>
      </c>
      <c r="D34" s="20">
        <v>954492</v>
      </c>
      <c r="E34" s="25">
        <f ca="1">C34-E33</f>
        <v>318164</v>
      </c>
      <c r="F34" s="112"/>
      <c r="G34" s="22">
        <v>1990820</v>
      </c>
      <c r="H34" s="22"/>
      <c r="I34" s="25">
        <f>G34-I33</f>
        <v>1590820</v>
      </c>
      <c r="J34" s="25">
        <f>G34-J33</f>
        <v>1590820</v>
      </c>
      <c r="M34" s="20">
        <v>1990820</v>
      </c>
      <c r="N34" s="25">
        <f ca="1">M34-N33</f>
        <v>954492</v>
      </c>
      <c r="O34" s="104">
        <f ca="1">M34-O33</f>
        <v>318164</v>
      </c>
    </row>
    <row r="35" spans="1:16" x14ac:dyDescent="0.25">
      <c r="B35" t="s">
        <v>282</v>
      </c>
      <c r="C35" s="20">
        <v>37</v>
      </c>
      <c r="D35" s="20">
        <v>0</v>
      </c>
      <c r="E35" s="20">
        <v>0</v>
      </c>
      <c r="G35" s="22">
        <v>37</v>
      </c>
      <c r="H35" s="22"/>
      <c r="I35" s="22">
        <v>0</v>
      </c>
      <c r="J35" s="60"/>
      <c r="M35" s="20">
        <v>37</v>
      </c>
      <c r="N35" s="20">
        <v>0</v>
      </c>
      <c r="O35" s="108">
        <v>0</v>
      </c>
    </row>
    <row r="36" spans="1:16" x14ac:dyDescent="0.25">
      <c r="B36" t="s">
        <v>283</v>
      </c>
      <c r="C36" s="20">
        <v>10983598</v>
      </c>
      <c r="D36" s="20">
        <v>0</v>
      </c>
      <c r="E36" s="20">
        <v>0</v>
      </c>
      <c r="G36" s="22">
        <v>10983598</v>
      </c>
      <c r="H36" s="22"/>
      <c r="I36" s="22">
        <v>0</v>
      </c>
      <c r="J36" s="60"/>
      <c r="M36" s="20">
        <v>10983598</v>
      </c>
      <c r="N36" s="20">
        <v>0</v>
      </c>
      <c r="O36" s="108">
        <v>0</v>
      </c>
    </row>
    <row r="37" spans="1:16" x14ac:dyDescent="0.25">
      <c r="B37" t="s">
        <v>284</v>
      </c>
      <c r="C37" s="20">
        <v>0</v>
      </c>
      <c r="D37" s="22">
        <v>28009</v>
      </c>
      <c r="E37" s="25">
        <f ca="1">(400000+E30)/37</f>
        <v>45206.91891891892</v>
      </c>
      <c r="G37" s="20">
        <v>0</v>
      </c>
      <c r="H37" s="22"/>
      <c r="I37" s="22">
        <v>28009</v>
      </c>
      <c r="J37" s="25">
        <f>(400000+J30)/37</f>
        <v>10810.81081081081</v>
      </c>
      <c r="M37" s="20"/>
      <c r="N37" s="22"/>
      <c r="O37" s="25"/>
    </row>
    <row r="38" spans="1:16" x14ac:dyDescent="0.25">
      <c r="D38" s="25">
        <f ca="1">(400000+D30)/37</f>
        <v>28008.864864864863</v>
      </c>
    </row>
    <row r="39" spans="1:16" x14ac:dyDescent="0.25">
      <c r="B39" t="s">
        <v>285</v>
      </c>
      <c r="D39" s="25"/>
      <c r="I39" s="49">
        <f>(I29+I30)/I28</f>
        <v>0.54475765407880095</v>
      </c>
      <c r="J39" s="49">
        <f>(J29+J30)/J28</f>
        <v>0.54475765407880095</v>
      </c>
    </row>
    <row r="40" spans="1:16" x14ac:dyDescent="0.25">
      <c r="B40" t="s">
        <v>286</v>
      </c>
      <c r="C40">
        <f>C35/C20</f>
        <v>27.407407407407405</v>
      </c>
      <c r="D40" s="25"/>
      <c r="I40" s="89"/>
    </row>
    <row r="41" spans="1:16" x14ac:dyDescent="0.25">
      <c r="B41" t="s">
        <v>287</v>
      </c>
    </row>
    <row r="42" spans="1:16" x14ac:dyDescent="0.25">
      <c r="B42" t="s">
        <v>288</v>
      </c>
    </row>
    <row r="43" spans="1:16" x14ac:dyDescent="0.25">
      <c r="B43" t="s">
        <v>289</v>
      </c>
    </row>
    <row r="44" spans="1:16" x14ac:dyDescent="0.25">
      <c r="B44" t="s">
        <v>290</v>
      </c>
    </row>
    <row r="46" spans="1:16" x14ac:dyDescent="0.25">
      <c r="B46" t="s">
        <v>291</v>
      </c>
      <c r="C46" s="49">
        <f>C11/C27</f>
        <v>1.177251195771958E-2</v>
      </c>
      <c r="D46" s="49">
        <f>D11/D27</f>
        <v>1.1772522208767774E-2</v>
      </c>
      <c r="E46" s="62">
        <f>D46</f>
        <v>1.1772522208767774E-2</v>
      </c>
      <c r="G46" s="49">
        <f>G11/G27</f>
        <v>1.177251195771958E-2</v>
      </c>
      <c r="H46" s="49"/>
      <c r="I46" s="49">
        <f>I11/I27</f>
        <v>1.1772522208767774E-2</v>
      </c>
      <c r="J46" s="62">
        <f>I46</f>
        <v>1.1772522208767774E-2</v>
      </c>
      <c r="M46" s="49">
        <f>M11/M27</f>
        <v>1.177251195771958E-2</v>
      </c>
      <c r="N46" s="49">
        <f>N11/N27</f>
        <v>1.1772522208767774E-2</v>
      </c>
      <c r="O46" s="62">
        <f>N46</f>
        <v>1.1772522208767774E-2</v>
      </c>
    </row>
    <row r="47" spans="1:16" x14ac:dyDescent="0.25">
      <c r="B47" t="s">
        <v>292</v>
      </c>
      <c r="D47" s="49">
        <f ca="1">D13/D30</f>
        <v>4.5000377163978325E-2</v>
      </c>
      <c r="E47" s="62">
        <v>4.4999999999999998E-2</v>
      </c>
      <c r="I47" s="49" t="e">
        <f>I13/I30</f>
        <v>#DIV/0!</v>
      </c>
      <c r="J47" s="62">
        <v>4.4999999999999998E-2</v>
      </c>
      <c r="N47" s="49">
        <f ca="1">N13/N30</f>
        <v>4.5000377163978325E-2</v>
      </c>
      <c r="O47" s="62">
        <v>4.4999999999999998E-2</v>
      </c>
    </row>
    <row r="52" spans="2:8" ht="75" x14ac:dyDescent="0.25">
      <c r="C52" s="64" t="s">
        <v>250</v>
      </c>
      <c r="D52" s="65" t="s">
        <v>253</v>
      </c>
      <c r="E52" s="65" t="s">
        <v>252</v>
      </c>
    </row>
    <row r="53" spans="2:8" x14ac:dyDescent="0.25">
      <c r="B53" t="s">
        <v>261</v>
      </c>
      <c r="C53" s="25">
        <f>C12</f>
        <v>649545</v>
      </c>
      <c r="D53" s="25">
        <f>D12</f>
        <v>644836</v>
      </c>
      <c r="E53" s="25">
        <f>E12</f>
        <v>644836</v>
      </c>
    </row>
    <row r="54" spans="2:8" x14ac:dyDescent="0.25">
      <c r="B54" t="s">
        <v>293</v>
      </c>
      <c r="C54" s="25">
        <f>C53*38.5%</f>
        <v>250074.82500000001</v>
      </c>
      <c r="D54" s="25">
        <f>D53*38.5%</f>
        <v>248261.86000000002</v>
      </c>
      <c r="E54" s="25">
        <f>E53*38.5%</f>
        <v>248261.86000000002</v>
      </c>
    </row>
    <row r="55" spans="2:8" x14ac:dyDescent="0.25">
      <c r="B55" t="s">
        <v>294</v>
      </c>
      <c r="C55" s="25">
        <f>C53-C54</f>
        <v>399470.17499999999</v>
      </c>
      <c r="D55" s="25">
        <f>D53-D54</f>
        <v>396574.14</v>
      </c>
      <c r="E55" s="25">
        <f>E53-E54</f>
        <v>396574.14</v>
      </c>
    </row>
    <row r="56" spans="2:8" x14ac:dyDescent="0.25">
      <c r="B56" t="s">
        <v>295</v>
      </c>
      <c r="C56" s="25">
        <f>FS!E57+FS!E58</f>
        <v>85830</v>
      </c>
      <c r="D56" s="25">
        <f>FS!E57+FS!E58</f>
        <v>85830</v>
      </c>
      <c r="E56" s="25">
        <f>D56</f>
        <v>85830</v>
      </c>
    </row>
    <row r="57" spans="2:8" x14ac:dyDescent="0.25">
      <c r="D57" s="25"/>
    </row>
    <row r="58" spans="2:8" x14ac:dyDescent="0.25">
      <c r="B58" s="68" t="s">
        <v>296</v>
      </c>
      <c r="C58" s="68"/>
      <c r="D58" s="57"/>
      <c r="E58" s="57"/>
      <c r="G58" t="s">
        <v>3</v>
      </c>
    </row>
    <row r="59" spans="2:8" x14ac:dyDescent="0.25">
      <c r="B59" s="57" t="s">
        <v>171</v>
      </c>
      <c r="C59" s="85">
        <v>0</v>
      </c>
      <c r="D59" s="69">
        <v>0</v>
      </c>
      <c r="E59" s="72">
        <f t="shared" ref="E59:E62" si="3">D59</f>
        <v>0</v>
      </c>
      <c r="G59" s="69">
        <v>0</v>
      </c>
      <c r="H59" s="69"/>
    </row>
    <row r="60" spans="2:8" x14ac:dyDescent="0.25">
      <c r="B60" s="57" t="s">
        <v>172</v>
      </c>
      <c r="C60" s="72">
        <f>FS!E12</f>
        <v>1012334</v>
      </c>
      <c r="D60" s="69">
        <f>FS!E12</f>
        <v>1012334</v>
      </c>
      <c r="E60" s="72">
        <f t="shared" si="3"/>
        <v>1012334</v>
      </c>
      <c r="G60" s="69">
        <f>FS!D12</f>
        <v>915671</v>
      </c>
      <c r="H60" s="69"/>
    </row>
    <row r="61" spans="2:8" x14ac:dyDescent="0.25">
      <c r="B61" s="57" t="s">
        <v>15</v>
      </c>
      <c r="C61" s="72">
        <f>FS!E23</f>
        <v>398650</v>
      </c>
      <c r="D61" s="69">
        <f>FS!E23</f>
        <v>398650</v>
      </c>
      <c r="E61" s="72">
        <f t="shared" si="3"/>
        <v>398650</v>
      </c>
      <c r="G61" s="69">
        <f>FS!D23</f>
        <v>362965</v>
      </c>
      <c r="H61" s="69"/>
    </row>
    <row r="62" spans="2:8" x14ac:dyDescent="0.25">
      <c r="B62" s="57" t="s">
        <v>296</v>
      </c>
      <c r="C62" s="70">
        <f>+C59+C60-C61</f>
        <v>613684</v>
      </c>
      <c r="D62" s="70">
        <f>+D59+D60-D61</f>
        <v>613684</v>
      </c>
      <c r="E62" s="73">
        <f t="shared" si="3"/>
        <v>613684</v>
      </c>
      <c r="G62" s="70">
        <f>+G59+G60-G61</f>
        <v>552706</v>
      </c>
      <c r="H62" s="95"/>
    </row>
    <row r="63" spans="2:8" x14ac:dyDescent="0.25">
      <c r="B63" s="13"/>
      <c r="C63" s="71"/>
      <c r="D63" s="71"/>
    </row>
    <row r="64" spans="2:8" x14ac:dyDescent="0.25">
      <c r="B64" t="s">
        <v>297</v>
      </c>
      <c r="C64" s="55">
        <f>(C62-$G$62)*-1</f>
        <v>-60978</v>
      </c>
      <c r="D64" s="55">
        <f>(D62-$G$62)*-1</f>
        <v>-60978</v>
      </c>
      <c r="E64" s="55">
        <f>D64</f>
        <v>-60978</v>
      </c>
    </row>
    <row r="65" spans="2:5" x14ac:dyDescent="0.25">
      <c r="B65" s="13" t="s">
        <v>298</v>
      </c>
      <c r="C65" s="55">
        <f>FS!E75</f>
        <v>-112999</v>
      </c>
      <c r="D65" s="55">
        <f>FS!E75</f>
        <v>-112999</v>
      </c>
      <c r="E65" s="55">
        <f>D65</f>
        <v>-112999</v>
      </c>
    </row>
    <row r="66" spans="2:5" x14ac:dyDescent="0.25">
      <c r="B66" s="13" t="s">
        <v>299</v>
      </c>
      <c r="C66" s="51">
        <f>SUM(C55:C56,C64:C65)</f>
        <v>311323.17499999999</v>
      </c>
      <c r="D66" s="51">
        <f>SUM(D55:D56,D64:D65)</f>
        <v>308427.14</v>
      </c>
      <c r="E66" s="51">
        <f>SUM(E55:E56,E64:E65)</f>
        <v>308427.14</v>
      </c>
    </row>
    <row r="67" spans="2:5" x14ac:dyDescent="0.25"/>
    <row r="68" spans="2:5" x14ac:dyDescent="0.25"/>
  </sheetData>
  <mergeCells count="3">
    <mergeCell ref="C6:E6"/>
    <mergeCell ref="G6:J6"/>
    <mergeCell ref="M6:O6"/>
  </mergeCells>
  <pageMargins left="0.7" right="0.7" top="0.75" bottom="0.75" header="0.3" footer="0.3"/>
  <pageSetup paperSize="9" scale="45" orientation="landscape" horizontalDpi="1200" verticalDpi="1200" r:id="rId1"/>
  <ignoredErrors>
    <ignoredError sqref="G15 E1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1145-883C-4691-AD29-B21502A5E720}">
  <dimension ref="B1:E17"/>
  <sheetViews>
    <sheetView workbookViewId="0">
      <selection activeCell="G16" sqref="G16"/>
    </sheetView>
  </sheetViews>
  <sheetFormatPr defaultRowHeight="15" x14ac:dyDescent="0.25"/>
  <cols>
    <col min="2" max="2" width="32.140625" customWidth="1"/>
  </cols>
  <sheetData>
    <row r="1" spans="2:5" s="1" customFormat="1" x14ac:dyDescent="0.25"/>
    <row r="2" spans="2:5" s="1" customFormat="1" x14ac:dyDescent="0.25"/>
    <row r="3" spans="2:5" s="1" customFormat="1" x14ac:dyDescent="0.25">
      <c r="B3" s="2" t="s">
        <v>300</v>
      </c>
    </row>
    <row r="4" spans="2:5" s="1" customFormat="1" x14ac:dyDescent="0.25">
      <c r="B4" s="2"/>
    </row>
    <row r="5" spans="2:5" s="1" customFormat="1" x14ac:dyDescent="0.25">
      <c r="B5" s="2"/>
      <c r="C5" s="31"/>
      <c r="D5" s="31"/>
      <c r="E5" s="31"/>
    </row>
    <row r="7" spans="2:5" x14ac:dyDescent="0.25">
      <c r="B7" t="s">
        <v>301</v>
      </c>
    </row>
    <row r="8" spans="2:5" x14ac:dyDescent="0.25">
      <c r="B8" s="26" t="s">
        <v>302</v>
      </c>
      <c r="C8" s="49">
        <v>1.1900000000000001E-2</v>
      </c>
    </row>
    <row r="9" spans="2:5" x14ac:dyDescent="0.25">
      <c r="B9" s="26" t="s">
        <v>303</v>
      </c>
      <c r="C9" s="49">
        <v>2.7900000000000001E-2</v>
      </c>
    </row>
    <row r="10" spans="2:5" x14ac:dyDescent="0.25">
      <c r="B10" s="26" t="s">
        <v>304</v>
      </c>
      <c r="C10" s="49">
        <v>3.8300000000000001E-2</v>
      </c>
    </row>
    <row r="12" spans="2:5" x14ac:dyDescent="0.25">
      <c r="B12" t="s">
        <v>305</v>
      </c>
    </row>
    <row r="13" spans="2:5" x14ac:dyDescent="0.25">
      <c r="B13" s="26" t="s">
        <v>210</v>
      </c>
      <c r="C13" s="49">
        <v>5.33E-2</v>
      </c>
    </row>
    <row r="14" spans="2:5" x14ac:dyDescent="0.25">
      <c r="B14" s="26" t="s">
        <v>179</v>
      </c>
      <c r="C14" s="49">
        <v>5.4800000000000001E-2</v>
      </c>
      <c r="D14" s="49">
        <f>C14-C13</f>
        <v>1.5000000000000013E-3</v>
      </c>
    </row>
    <row r="15" spans="2:5" x14ac:dyDescent="0.25">
      <c r="B15" s="26" t="s">
        <v>178</v>
      </c>
      <c r="C15" s="49">
        <v>5.7500000000000002E-2</v>
      </c>
      <c r="D15" s="49">
        <f>C15-C14</f>
        <v>2.700000000000001E-3</v>
      </c>
    </row>
    <row r="16" spans="2:5" x14ac:dyDescent="0.25">
      <c r="B16" s="26" t="s">
        <v>182</v>
      </c>
      <c r="C16" s="49">
        <v>6.0999999999999999E-2</v>
      </c>
      <c r="D16" s="49">
        <f>C16-C15</f>
        <v>3.4999999999999962E-3</v>
      </c>
    </row>
    <row r="17" spans="2:2" x14ac:dyDescent="0.25">
      <c r="B17" s="48" t="s">
        <v>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B774B-BB5A-4773-97A8-CB637E101218}">
  <sheetPr>
    <tabColor theme="0" tint="-0.34998626667073579"/>
  </sheetPr>
  <dimension ref="A1:G16"/>
  <sheetViews>
    <sheetView workbookViewId="0">
      <selection activeCell="E18" sqref="E18"/>
    </sheetView>
  </sheetViews>
  <sheetFormatPr defaultRowHeight="15" x14ac:dyDescent="0.25"/>
  <cols>
    <col min="1" max="1" width="11.42578125" bestFit="1" customWidth="1"/>
    <col min="2" max="2" width="20.5703125" customWidth="1"/>
    <col min="3" max="5" width="14.7109375" bestFit="1" customWidth="1"/>
    <col min="6" max="6" width="25" bestFit="1" customWidth="1"/>
  </cols>
  <sheetData>
    <row r="1" spans="1:7" s="1" customFormat="1" x14ac:dyDescent="0.25"/>
    <row r="2" spans="1:7" s="1" customFormat="1" x14ac:dyDescent="0.25">
      <c r="B2" s="76" t="s">
        <v>228</v>
      </c>
    </row>
    <row r="3" spans="1:7" s="1" customFormat="1" x14ac:dyDescent="0.25"/>
    <row r="4" spans="1:7" s="83" customFormat="1" x14ac:dyDescent="0.25">
      <c r="C4" s="128" t="s">
        <v>229</v>
      </c>
      <c r="D4" s="128"/>
      <c r="E4" s="128"/>
    </row>
    <row r="5" spans="1:7" x14ac:dyDescent="0.25">
      <c r="C5" t="s">
        <v>90</v>
      </c>
      <c r="D5" t="s">
        <v>230</v>
      </c>
      <c r="E5" t="s">
        <v>231</v>
      </c>
    </row>
    <row r="6" spans="1:7" x14ac:dyDescent="0.25">
      <c r="B6" s="59" t="s">
        <v>232</v>
      </c>
      <c r="C6" s="92">
        <f>'Pro forma'!C30+'Pro forma'!C36-'Pro forma'!C27</f>
        <v>10117003</v>
      </c>
      <c r="D6" s="92">
        <f ca="1">'Pro forma'!D30+'Pro forma'!C36-'Pro forma'!D27</f>
        <v>11153331</v>
      </c>
      <c r="E6" s="92">
        <f ca="1">'Pro forma'!E30+'Pro forma'!C36-'Pro forma'!E27</f>
        <v>11789659</v>
      </c>
      <c r="F6" t="s">
        <v>233</v>
      </c>
    </row>
    <row r="7" spans="1:7" x14ac:dyDescent="0.25">
      <c r="B7" t="s">
        <v>234</v>
      </c>
      <c r="C7" s="55">
        <f>'Pro forma'!C66</f>
        <v>311323.17499999999</v>
      </c>
      <c r="D7" s="55">
        <f>'Pro forma'!D66</f>
        <v>308427.14</v>
      </c>
      <c r="E7" s="55">
        <f>'Pro forma'!E66</f>
        <v>308427.14</v>
      </c>
    </row>
    <row r="8" spans="1:7" x14ac:dyDescent="0.25">
      <c r="B8" t="s">
        <v>235</v>
      </c>
      <c r="C8" s="49">
        <v>2.1000000000000001E-2</v>
      </c>
      <c r="D8" s="49">
        <f>C8</f>
        <v>2.1000000000000001E-2</v>
      </c>
      <c r="E8" s="49">
        <f>D8</f>
        <v>2.1000000000000001E-2</v>
      </c>
      <c r="F8" t="s">
        <v>236</v>
      </c>
      <c r="G8" s="91" t="s">
        <v>237</v>
      </c>
    </row>
    <row r="9" spans="1:7" x14ac:dyDescent="0.25">
      <c r="B9" t="s">
        <v>238</v>
      </c>
      <c r="C9" s="49">
        <f>(C7+(C8*C6))/C6</f>
        <v>5.1772272677985766E-2</v>
      </c>
      <c r="D9" s="49">
        <f t="shared" ref="D9" ca="1" si="0">(D7+(D8*D6))/D6</f>
        <v>4.8653365617858914E-2</v>
      </c>
      <c r="E9" s="49">
        <f ca="1">(E7+(E8*E6))/E6</f>
        <v>4.7160819409619907E-2</v>
      </c>
    </row>
    <row r="11" spans="1:7" x14ac:dyDescent="0.25">
      <c r="A11" t="s">
        <v>239</v>
      </c>
      <c r="B11" t="s">
        <v>240</v>
      </c>
      <c r="C11" s="49">
        <f>'Mkt int rate'!C15</f>
        <v>5.7500000000000002E-2</v>
      </c>
      <c r="D11" s="49">
        <f>C11</f>
        <v>5.7500000000000002E-2</v>
      </c>
      <c r="E11" s="49">
        <f>D11</f>
        <v>5.7500000000000002E-2</v>
      </c>
    </row>
    <row r="12" spans="1:7" x14ac:dyDescent="0.25">
      <c r="B12" t="s">
        <v>241</v>
      </c>
      <c r="C12" s="49">
        <f>'Pro forma'!C30/'Pro forma'!C28</f>
        <v>0</v>
      </c>
      <c r="D12" s="49">
        <f ca="1">'Pro forma'!D30/'Pro forma'!D28</f>
        <v>0.4</v>
      </c>
      <c r="E12" s="49">
        <f ca="1">'Pro forma'!E30/'Pro forma'!E28</f>
        <v>0.8</v>
      </c>
    </row>
    <row r="13" spans="1:7" x14ac:dyDescent="0.25">
      <c r="B13" t="s">
        <v>242</v>
      </c>
      <c r="C13" s="49">
        <f>38.5%</f>
        <v>0.38500000000000001</v>
      </c>
      <c r="D13" s="49">
        <f>C13</f>
        <v>0.38500000000000001</v>
      </c>
      <c r="E13" s="49">
        <f>D13</f>
        <v>0.38500000000000001</v>
      </c>
    </row>
    <row r="14" spans="1:7" x14ac:dyDescent="0.25">
      <c r="B14" t="s">
        <v>238</v>
      </c>
      <c r="C14" s="49">
        <f>C9</f>
        <v>5.1772272677985766E-2</v>
      </c>
      <c r="D14" s="49">
        <f t="shared" ref="D14:E14" ca="1" si="1">D9</f>
        <v>4.8653365617858914E-2</v>
      </c>
      <c r="E14" s="49">
        <f t="shared" ca="1" si="1"/>
        <v>4.7160819409619907E-2</v>
      </c>
    </row>
    <row r="15" spans="1:7" x14ac:dyDescent="0.25">
      <c r="B15" t="s">
        <v>243</v>
      </c>
      <c r="C15" s="49">
        <f>1-C12</f>
        <v>1</v>
      </c>
      <c r="D15" s="49">
        <f t="shared" ref="D15:E15" ca="1" si="2">1-D12</f>
        <v>0.6</v>
      </c>
      <c r="E15" s="49">
        <f t="shared" ca="1" si="2"/>
        <v>0.19999999999999996</v>
      </c>
    </row>
    <row r="16" spans="1:7" x14ac:dyDescent="0.25">
      <c r="B16" t="s">
        <v>244</v>
      </c>
      <c r="C16" s="49">
        <f>(C14-(C11*(1-C13)*C12))/C15</f>
        <v>5.1772272677985766E-2</v>
      </c>
      <c r="D16" s="49">
        <f t="shared" ref="D16" ca="1" si="3">(D14-(D11*(1-D13)*D12))/D15</f>
        <v>5.7513942696431529E-2</v>
      </c>
      <c r="E16" s="49">
        <f ca="1">(E14-(E11*(1-E13)*E12))/E15</f>
        <v>9.4354097048099564E-2</v>
      </c>
    </row>
  </sheetData>
  <mergeCells count="1">
    <mergeCell ref="C4:E4"/>
  </mergeCells>
  <hyperlinks>
    <hyperlink ref="G8" r:id="rId1" xr:uid="{6EDFB862-9F3A-4F28-9EC7-32967BE3F8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Exhibit1</vt:lpstr>
      <vt:lpstr>Financial&amp;Operating info</vt:lpstr>
      <vt:lpstr>Future lease payment</vt:lpstr>
      <vt:lpstr>FS</vt:lpstr>
      <vt:lpstr>Comparable data</vt:lpstr>
      <vt:lpstr>S&amp;P fin ratios</vt:lpstr>
      <vt:lpstr>Pro forma</vt:lpstr>
      <vt:lpstr>Mkt int rate</vt:lpstr>
      <vt:lpstr>Cost of capital (non-use)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Suparat Patarasupanit</dc:creator>
  <cp:keywords/>
  <dc:description/>
  <cp:lastModifiedBy>Suparat Patarasupanit</cp:lastModifiedBy>
  <cp:revision/>
  <dcterms:created xsi:type="dcterms:W3CDTF">2024-01-19T07:21:50Z</dcterms:created>
  <dcterms:modified xsi:type="dcterms:W3CDTF">2024-03-20T04:44:25Z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owerlinkCOMAddIn.COMAddIn.WebAddinBridge.Options">
    <vt:lpwstr>{"port":50152,"version":"1.24.159"}</vt:lpwstr>
  </property>
</Properties>
</file>