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antel.Wetzel\Documents\GitHub\assessment_prioritization\tables\"/>
    </mc:Choice>
  </mc:AlternateContent>
  <bookViews>
    <workbookView xWindow="-120" yWindow="-120" windowWidth="28920" windowHeight="12420" tabRatio="792" activeTab="5"/>
  </bookViews>
  <sheets>
    <sheet name="Overview" sheetId="3" r:id="rId1"/>
    <sheet name="Factor Summary" sheetId="4" r:id="rId2"/>
    <sheet name="Commercial" sheetId="5" r:id="rId3"/>
    <sheet name="Recreational" sheetId="6" r:id="rId4"/>
    <sheet name="Tribal" sheetId="7" r:id="rId5"/>
    <sheet name="Const Demand" sheetId="8" r:id="rId6"/>
    <sheet name="Rebuilding" sheetId="9" r:id="rId7"/>
    <sheet name="Stock Status" sheetId="11" r:id="rId8"/>
    <sheet name="Fishing mortality" sheetId="50" r:id="rId9"/>
    <sheet name="Ecosystem" sheetId="34" r:id="rId10"/>
    <sheet name="New Information" sheetId="13" r:id="rId11"/>
    <sheet name="Assess Freq" sheetId="14" r:id="rId12"/>
    <sheet name="2023 SPEX Limiting" sheetId="49" r:id="rId13"/>
    <sheet name="2023 Scoring" sheetId="51" r:id="rId14"/>
  </sheets>
  <definedNames>
    <definedName name="_xlnm._FilterDatabase" localSheetId="13" hidden="1">'2023 Scoring'!$A$7:$AB$7</definedName>
    <definedName name="_xlnm._FilterDatabase" localSheetId="11" hidden="1">'Assess Freq'!$A$6:$BM$6</definedName>
    <definedName name="_xlnm._FilterDatabase" localSheetId="2" hidden="1">Commercial!$A$6:$J$6</definedName>
    <definedName name="_xlnm._FilterDatabase" localSheetId="5" hidden="1">'Const Demand'!$A$6:$BB$6</definedName>
    <definedName name="_xlnm._FilterDatabase" localSheetId="9" hidden="1">Ecosystem!$A$6:$AB$6</definedName>
    <definedName name="_xlnm._FilterDatabase" localSheetId="1" hidden="1">'Factor Summary'!$A$7:$AH$7</definedName>
    <definedName name="_xlnm._FilterDatabase" localSheetId="8" hidden="1">'Fishing mortality'!$A$6:$L$6</definedName>
    <definedName name="_xlnm._FilterDatabase" localSheetId="10" hidden="1">'New Information'!$A$6:$O$6</definedName>
    <definedName name="_xlnm._FilterDatabase" localSheetId="6" hidden="1">Rebuilding!$A$5:$J$5</definedName>
    <definedName name="_xlnm._FilterDatabase" localSheetId="3" hidden="1">Recreational!$A$6:$AB$6</definedName>
    <definedName name="_xlnm._FilterDatabase" localSheetId="7" hidden="1">'Stock Status'!$A$7:$N$7</definedName>
    <definedName name="_xlnm._FilterDatabase" localSheetId="4" hidden="1">Tribal!$A$6:$N$6</definedName>
    <definedName name="solver_adj" localSheetId="4" hidden="1">Tribal!#REF!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0</definedName>
    <definedName name="solver_nwt" localSheetId="4" hidden="1">1</definedName>
    <definedName name="solver_opt" localSheetId="4" hidden="1">Tribal!#REF!</definedName>
    <definedName name="solver_pre" localSheetId="4" hidden="1">0.000001</definedName>
    <definedName name="solver_rbv" localSheetId="4" hidden="1">1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3</definedName>
    <definedName name="solver_val" localSheetId="4" hidden="1">10</definedName>
    <definedName name="solver_ver" localSheetId="4" hidden="1">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3" i="8" l="1"/>
  <c r="W13" i="8"/>
  <c r="U9" i="4" l="1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8" i="4"/>
  <c r="G7" i="7"/>
  <c r="F7" i="7"/>
  <c r="C7" i="6"/>
  <c r="D7" i="6"/>
  <c r="E7" i="6"/>
  <c r="E8" i="6"/>
  <c r="D8" i="6" s="1"/>
  <c r="E9" i="6"/>
  <c r="D9" i="6" s="1"/>
  <c r="E10" i="6"/>
  <c r="D10" i="6" s="1"/>
  <c r="E11" i="6"/>
  <c r="D11" i="6" s="1"/>
  <c r="E12" i="6"/>
  <c r="D12" i="6" s="1"/>
  <c r="E13" i="6"/>
  <c r="D13" i="6" s="1"/>
  <c r="E14" i="6"/>
  <c r="D14" i="6" s="1"/>
  <c r="E15" i="6"/>
  <c r="D15" i="6" s="1"/>
  <c r="E16" i="6"/>
  <c r="D16" i="6" s="1"/>
  <c r="E17" i="6"/>
  <c r="D17" i="6" s="1"/>
  <c r="E18" i="6"/>
  <c r="D18" i="6" s="1"/>
  <c r="E19" i="6"/>
  <c r="D19" i="6" s="1"/>
  <c r="E20" i="6"/>
  <c r="D20" i="6" s="1"/>
  <c r="E21" i="6"/>
  <c r="D21" i="6" s="1"/>
  <c r="E22" i="6"/>
  <c r="D22" i="6" s="1"/>
  <c r="E23" i="6"/>
  <c r="D23" i="6" s="1"/>
  <c r="E24" i="6"/>
  <c r="D24" i="6" s="1"/>
  <c r="E25" i="6"/>
  <c r="D25" i="6" s="1"/>
  <c r="E26" i="6"/>
  <c r="D26" i="6" s="1"/>
  <c r="E27" i="6"/>
  <c r="D27" i="6" s="1"/>
  <c r="E28" i="6"/>
  <c r="D28" i="6" s="1"/>
  <c r="E29" i="6"/>
  <c r="D29" i="6" s="1"/>
  <c r="E30" i="6"/>
  <c r="D30" i="6" s="1"/>
  <c r="E31" i="6"/>
  <c r="D31" i="6" s="1"/>
  <c r="E32" i="6"/>
  <c r="D32" i="6" s="1"/>
  <c r="E33" i="6"/>
  <c r="D33" i="6" s="1"/>
  <c r="E34" i="6"/>
  <c r="D34" i="6" s="1"/>
  <c r="E35" i="6"/>
  <c r="D35" i="6" s="1"/>
  <c r="E36" i="6"/>
  <c r="D36" i="6" s="1"/>
  <c r="E37" i="6"/>
  <c r="D37" i="6" s="1"/>
  <c r="E38" i="6"/>
  <c r="D38" i="6" s="1"/>
  <c r="E39" i="6"/>
  <c r="D39" i="6" s="1"/>
  <c r="E40" i="6"/>
  <c r="D40" i="6" s="1"/>
  <c r="E41" i="6"/>
  <c r="D41" i="6" s="1"/>
  <c r="E42" i="6"/>
  <c r="D42" i="6" s="1"/>
  <c r="D43" i="6"/>
  <c r="E43" i="6"/>
  <c r="E44" i="6"/>
  <c r="D44" i="6" s="1"/>
  <c r="E45" i="6"/>
  <c r="D45" i="6" s="1"/>
  <c r="E46" i="6"/>
  <c r="D46" i="6" s="1"/>
  <c r="E47" i="6"/>
  <c r="D47" i="6" s="1"/>
  <c r="E48" i="6"/>
  <c r="D48" i="6" s="1"/>
  <c r="D49" i="6"/>
  <c r="E49" i="6"/>
  <c r="E50" i="6"/>
  <c r="D50" i="6" s="1"/>
  <c r="E51" i="6"/>
  <c r="D51" i="6" s="1"/>
  <c r="E52" i="6"/>
  <c r="D52" i="6" s="1"/>
  <c r="E53" i="6"/>
  <c r="D53" i="6" s="1"/>
  <c r="E54" i="6"/>
  <c r="D54" i="6" s="1"/>
  <c r="D55" i="6"/>
  <c r="E55" i="6"/>
  <c r="E56" i="6"/>
  <c r="D56" i="6" s="1"/>
  <c r="E57" i="6"/>
  <c r="D57" i="6" s="1"/>
  <c r="E58" i="6"/>
  <c r="D58" i="6" s="1"/>
  <c r="E59" i="6"/>
  <c r="D59" i="6" s="1"/>
  <c r="E60" i="6"/>
  <c r="D60" i="6" s="1"/>
  <c r="D61" i="6"/>
  <c r="E61" i="6"/>
  <c r="E62" i="6"/>
  <c r="D62" i="6" s="1"/>
  <c r="E63" i="6"/>
  <c r="D63" i="6" s="1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7" i="6"/>
  <c r="J9" i="4" l="1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8" i="4"/>
  <c r="S8" i="4" s="1"/>
  <c r="S61" i="4" l="1"/>
  <c r="B49" i="5" l="1"/>
  <c r="B43" i="5"/>
  <c r="B24" i="5"/>
  <c r="B53" i="5"/>
  <c r="B61" i="5"/>
  <c r="B35" i="5"/>
  <c r="B63" i="5"/>
  <c r="B11" i="5"/>
  <c r="B37" i="5"/>
  <c r="B28" i="5"/>
  <c r="B36" i="5"/>
  <c r="B16" i="5"/>
  <c r="B46" i="5"/>
  <c r="B15" i="5"/>
  <c r="B19" i="5"/>
  <c r="B60" i="5"/>
  <c r="B39" i="5"/>
  <c r="B29" i="5"/>
  <c r="B7" i="5"/>
  <c r="B33" i="5"/>
  <c r="B41" i="5"/>
  <c r="B10" i="5"/>
  <c r="B25" i="5"/>
  <c r="B14" i="5"/>
  <c r="B18" i="5"/>
  <c r="B23" i="5"/>
  <c r="B12" i="5"/>
  <c r="B21" i="5"/>
  <c r="B48" i="5"/>
  <c r="B20" i="5"/>
  <c r="B9" i="5"/>
  <c r="B13" i="5"/>
  <c r="B40" i="5"/>
  <c r="B45" i="5"/>
  <c r="B59" i="5"/>
  <c r="B50" i="5"/>
  <c r="B42" i="5"/>
  <c r="B55" i="5"/>
  <c r="B44" i="5"/>
  <c r="B57" i="5"/>
  <c r="B8" i="5"/>
  <c r="B17" i="5"/>
  <c r="B52" i="5"/>
  <c r="B30" i="5"/>
  <c r="B34" i="5"/>
  <c r="B27" i="5"/>
  <c r="B31" i="5"/>
  <c r="B58" i="5"/>
  <c r="B38" i="5"/>
  <c r="B51" i="5"/>
  <c r="B54" i="5"/>
  <c r="B47" i="5"/>
  <c r="B26" i="5"/>
  <c r="B22" i="5"/>
  <c r="B56" i="5"/>
  <c r="B32" i="5"/>
  <c r="B62" i="5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40" i="49"/>
  <c r="I41" i="49"/>
  <c r="I42" i="49"/>
  <c r="I43" i="49"/>
  <c r="I44" i="49"/>
  <c r="I45" i="49"/>
  <c r="I46" i="49"/>
  <c r="I47" i="49"/>
  <c r="I48" i="49"/>
  <c r="I49" i="49"/>
  <c r="I50" i="49"/>
  <c r="I51" i="49"/>
  <c r="I52" i="49"/>
  <c r="I53" i="49"/>
  <c r="I54" i="49"/>
  <c r="I55" i="49"/>
  <c r="I56" i="49"/>
  <c r="I57" i="49"/>
  <c r="I58" i="49"/>
  <c r="I59" i="49"/>
  <c r="I60" i="49"/>
  <c r="I61" i="49"/>
  <c r="I62" i="49"/>
  <c r="I63" i="49"/>
  <c r="I7" i="49"/>
  <c r="O56" i="14"/>
  <c r="O44" i="14"/>
  <c r="O21" i="14"/>
  <c r="D24" i="34"/>
  <c r="B10" i="11" l="1"/>
  <c r="B45" i="11"/>
  <c r="B46" i="11"/>
  <c r="B53" i="11"/>
  <c r="B55" i="11"/>
  <c r="B61" i="11"/>
  <c r="B31" i="11"/>
  <c r="B63" i="11"/>
  <c r="B12" i="11"/>
  <c r="B13" i="11"/>
  <c r="B14" i="11"/>
  <c r="B16" i="11"/>
  <c r="B24" i="11"/>
  <c r="B27" i="11"/>
  <c r="B29" i="11"/>
  <c r="B30" i="11"/>
  <c r="B33" i="11"/>
  <c r="B39" i="11"/>
  <c r="B50" i="11"/>
  <c r="B57" i="11"/>
  <c r="B15" i="11"/>
  <c r="B17" i="11"/>
  <c r="B18" i="11"/>
  <c r="B19" i="11"/>
  <c r="B21" i="11"/>
  <c r="B22" i="11"/>
  <c r="B23" i="11"/>
  <c r="B28" i="11"/>
  <c r="B35" i="11"/>
  <c r="B36" i="11"/>
  <c r="B37" i="11"/>
  <c r="B40" i="11"/>
  <c r="B42" i="11"/>
  <c r="B48" i="11"/>
  <c r="B49" i="11"/>
  <c r="B51" i="11"/>
  <c r="B58" i="11"/>
  <c r="B59" i="11"/>
  <c r="B60" i="11"/>
  <c r="B9" i="11"/>
  <c r="B11" i="11"/>
  <c r="B20" i="11"/>
  <c r="B38" i="11"/>
  <c r="B41" i="11"/>
  <c r="B43" i="11"/>
  <c r="B44" i="11"/>
  <c r="B47" i="11"/>
  <c r="B52" i="11"/>
  <c r="B54" i="11"/>
  <c r="B56" i="11"/>
  <c r="B64" i="11"/>
  <c r="B8" i="11"/>
  <c r="B25" i="11"/>
  <c r="B26" i="11"/>
  <c r="B32" i="11"/>
  <c r="B34" i="11"/>
  <c r="B62" i="11"/>
  <c r="U64" i="51" l="1"/>
  <c r="O64" i="51"/>
  <c r="P64" i="51" s="1"/>
  <c r="N64" i="51"/>
  <c r="J64" i="51"/>
  <c r="K64" i="51" s="1"/>
  <c r="L64" i="51" s="1"/>
  <c r="U63" i="51"/>
  <c r="O63" i="51"/>
  <c r="P63" i="51" s="1"/>
  <c r="N63" i="51"/>
  <c r="J63" i="51"/>
  <c r="K63" i="51" s="1"/>
  <c r="L63" i="51" s="1"/>
  <c r="U62" i="51"/>
  <c r="O62" i="51"/>
  <c r="P62" i="51" s="1"/>
  <c r="N62" i="51"/>
  <c r="J62" i="51"/>
  <c r="K62" i="51" s="1"/>
  <c r="L62" i="51" s="1"/>
  <c r="U61" i="51"/>
  <c r="N61" i="51"/>
  <c r="O61" i="51" s="1"/>
  <c r="P61" i="51" s="1"/>
  <c r="J61" i="51"/>
  <c r="K61" i="51" s="1"/>
  <c r="L61" i="51" s="1"/>
  <c r="U60" i="51"/>
  <c r="O60" i="51"/>
  <c r="P60" i="51" s="1"/>
  <c r="N60" i="51"/>
  <c r="J60" i="51"/>
  <c r="K60" i="51" s="1"/>
  <c r="L60" i="51" s="1"/>
  <c r="U59" i="51"/>
  <c r="O59" i="51"/>
  <c r="P59" i="51" s="1"/>
  <c r="N59" i="51"/>
  <c r="J59" i="51"/>
  <c r="K59" i="51" s="1"/>
  <c r="L59" i="51" s="1"/>
  <c r="U58" i="51"/>
  <c r="O58" i="51"/>
  <c r="P58" i="51" s="1"/>
  <c r="N58" i="51"/>
  <c r="J58" i="51"/>
  <c r="K58" i="51" s="1"/>
  <c r="L58" i="51" s="1"/>
  <c r="U57" i="51"/>
  <c r="O57" i="51"/>
  <c r="P57" i="51" s="1"/>
  <c r="N57" i="51"/>
  <c r="J57" i="51"/>
  <c r="K57" i="51" s="1"/>
  <c r="L57" i="51" s="1"/>
  <c r="U56" i="51"/>
  <c r="O56" i="51"/>
  <c r="P56" i="51" s="1"/>
  <c r="N56" i="51"/>
  <c r="J56" i="51"/>
  <c r="K56" i="51" s="1"/>
  <c r="L56" i="51" s="1"/>
  <c r="U55" i="51"/>
  <c r="O55" i="51"/>
  <c r="P55" i="51" s="1"/>
  <c r="N55" i="51"/>
  <c r="J55" i="51"/>
  <c r="K55" i="51" s="1"/>
  <c r="L55" i="51" s="1"/>
  <c r="U54" i="51"/>
  <c r="O54" i="51"/>
  <c r="P54" i="51" s="1"/>
  <c r="N54" i="51"/>
  <c r="J54" i="51"/>
  <c r="K54" i="51" s="1"/>
  <c r="L54" i="51" s="1"/>
  <c r="U53" i="51"/>
  <c r="O53" i="51"/>
  <c r="P53" i="51" s="1"/>
  <c r="N53" i="51"/>
  <c r="J53" i="51"/>
  <c r="K53" i="51" s="1"/>
  <c r="L53" i="51" s="1"/>
  <c r="Q53" i="51" s="1"/>
  <c r="U52" i="51"/>
  <c r="O52" i="51"/>
  <c r="P52" i="51" s="1"/>
  <c r="N52" i="51"/>
  <c r="J52" i="51"/>
  <c r="K52" i="51" s="1"/>
  <c r="L52" i="51" s="1"/>
  <c r="U51" i="51"/>
  <c r="O51" i="51"/>
  <c r="P51" i="51" s="1"/>
  <c r="N51" i="51"/>
  <c r="J51" i="51"/>
  <c r="K51" i="51" s="1"/>
  <c r="L51" i="51" s="1"/>
  <c r="U50" i="51"/>
  <c r="O50" i="51"/>
  <c r="P50" i="51" s="1"/>
  <c r="N50" i="51"/>
  <c r="J50" i="51"/>
  <c r="K50" i="51" s="1"/>
  <c r="L50" i="51" s="1"/>
  <c r="U49" i="51"/>
  <c r="O49" i="51"/>
  <c r="P49" i="51" s="1"/>
  <c r="N49" i="51"/>
  <c r="J49" i="51"/>
  <c r="K49" i="51" s="1"/>
  <c r="L49" i="51" s="1"/>
  <c r="U48" i="51"/>
  <c r="O48" i="51"/>
  <c r="P48" i="51" s="1"/>
  <c r="N48" i="51"/>
  <c r="J48" i="51"/>
  <c r="K48" i="51" s="1"/>
  <c r="L48" i="51" s="1"/>
  <c r="U47" i="51"/>
  <c r="O47" i="51"/>
  <c r="P47" i="51" s="1"/>
  <c r="N47" i="51"/>
  <c r="J47" i="51"/>
  <c r="K47" i="51" s="1"/>
  <c r="L47" i="51" s="1"/>
  <c r="U46" i="51"/>
  <c r="O46" i="51"/>
  <c r="P46" i="51" s="1"/>
  <c r="N46" i="51"/>
  <c r="J46" i="51"/>
  <c r="K46" i="51" s="1"/>
  <c r="L46" i="51" s="1"/>
  <c r="U45" i="51"/>
  <c r="O45" i="51"/>
  <c r="P45" i="51" s="1"/>
  <c r="N45" i="51"/>
  <c r="J45" i="51"/>
  <c r="K45" i="51" s="1"/>
  <c r="L45" i="51" s="1"/>
  <c r="U44" i="51"/>
  <c r="O44" i="51"/>
  <c r="P44" i="51" s="1"/>
  <c r="N44" i="51"/>
  <c r="J44" i="51"/>
  <c r="K44" i="51" s="1"/>
  <c r="L44" i="51" s="1"/>
  <c r="U43" i="51"/>
  <c r="O43" i="51"/>
  <c r="P43" i="51" s="1"/>
  <c r="N43" i="51"/>
  <c r="J43" i="51"/>
  <c r="K43" i="51" s="1"/>
  <c r="L43" i="51" s="1"/>
  <c r="U42" i="51"/>
  <c r="O42" i="51"/>
  <c r="P42" i="51" s="1"/>
  <c r="N42" i="51"/>
  <c r="J42" i="51"/>
  <c r="K42" i="51" s="1"/>
  <c r="L42" i="51" s="1"/>
  <c r="U41" i="51"/>
  <c r="O41" i="51"/>
  <c r="P41" i="51" s="1"/>
  <c r="N41" i="51"/>
  <c r="J41" i="51"/>
  <c r="K41" i="51" s="1"/>
  <c r="L41" i="51" s="1"/>
  <c r="U40" i="51"/>
  <c r="O40" i="51"/>
  <c r="P40" i="51" s="1"/>
  <c r="N40" i="51"/>
  <c r="J40" i="51"/>
  <c r="K40" i="51" s="1"/>
  <c r="L40" i="51" s="1"/>
  <c r="U39" i="51"/>
  <c r="O39" i="51"/>
  <c r="P39" i="51" s="1"/>
  <c r="N39" i="51"/>
  <c r="J39" i="51"/>
  <c r="K39" i="51" s="1"/>
  <c r="L39" i="51" s="1"/>
  <c r="U38" i="51"/>
  <c r="O38" i="51"/>
  <c r="P38" i="51" s="1"/>
  <c r="N38" i="51"/>
  <c r="J38" i="51"/>
  <c r="K38" i="51" s="1"/>
  <c r="L38" i="51" s="1"/>
  <c r="Q38" i="51" s="1"/>
  <c r="U37" i="51"/>
  <c r="O37" i="51"/>
  <c r="P37" i="51" s="1"/>
  <c r="N37" i="51"/>
  <c r="J37" i="51"/>
  <c r="K37" i="51" s="1"/>
  <c r="L37" i="51" s="1"/>
  <c r="U36" i="51"/>
  <c r="O36" i="51"/>
  <c r="P36" i="51" s="1"/>
  <c r="N36" i="51"/>
  <c r="J36" i="51"/>
  <c r="K36" i="51" s="1"/>
  <c r="L36" i="51" s="1"/>
  <c r="U35" i="51"/>
  <c r="O35" i="51"/>
  <c r="P35" i="51" s="1"/>
  <c r="N35" i="51"/>
  <c r="J35" i="51"/>
  <c r="K35" i="51" s="1"/>
  <c r="L35" i="51" s="1"/>
  <c r="U34" i="51"/>
  <c r="O34" i="51"/>
  <c r="P34" i="51" s="1"/>
  <c r="N34" i="51"/>
  <c r="J34" i="51"/>
  <c r="K34" i="51" s="1"/>
  <c r="L34" i="51" s="1"/>
  <c r="U33" i="51"/>
  <c r="O33" i="51"/>
  <c r="P33" i="51" s="1"/>
  <c r="N33" i="51"/>
  <c r="J33" i="51"/>
  <c r="K33" i="51" s="1"/>
  <c r="L33" i="51" s="1"/>
  <c r="U32" i="51"/>
  <c r="O32" i="51"/>
  <c r="P32" i="51" s="1"/>
  <c r="N32" i="51"/>
  <c r="J32" i="51"/>
  <c r="K32" i="51" s="1"/>
  <c r="L32" i="51" s="1"/>
  <c r="U31" i="51"/>
  <c r="O31" i="51"/>
  <c r="P31" i="51" s="1"/>
  <c r="N31" i="51"/>
  <c r="J31" i="51"/>
  <c r="K31" i="51" s="1"/>
  <c r="L31" i="51" s="1"/>
  <c r="U30" i="51"/>
  <c r="O30" i="51"/>
  <c r="P30" i="51" s="1"/>
  <c r="N30" i="51"/>
  <c r="J30" i="51"/>
  <c r="K30" i="51" s="1"/>
  <c r="L30" i="51" s="1"/>
  <c r="U29" i="51"/>
  <c r="O29" i="51"/>
  <c r="P29" i="51" s="1"/>
  <c r="N29" i="51"/>
  <c r="J29" i="51"/>
  <c r="K29" i="51" s="1"/>
  <c r="L29" i="51" s="1"/>
  <c r="U28" i="51"/>
  <c r="O28" i="51"/>
  <c r="P28" i="51" s="1"/>
  <c r="N28" i="51"/>
  <c r="K28" i="51"/>
  <c r="L28" i="51" s="1"/>
  <c r="J28" i="51"/>
  <c r="U27" i="51"/>
  <c r="O27" i="51"/>
  <c r="P27" i="51" s="1"/>
  <c r="N27" i="51"/>
  <c r="J27" i="51"/>
  <c r="K27" i="51" s="1"/>
  <c r="L27" i="51" s="1"/>
  <c r="U26" i="51"/>
  <c r="O26" i="51"/>
  <c r="P26" i="51" s="1"/>
  <c r="N26" i="51"/>
  <c r="J26" i="51"/>
  <c r="K26" i="51" s="1"/>
  <c r="L26" i="51" s="1"/>
  <c r="U25" i="51"/>
  <c r="N25" i="51"/>
  <c r="O25" i="51" s="1"/>
  <c r="P25" i="51" s="1"/>
  <c r="J25" i="51"/>
  <c r="K25" i="51" s="1"/>
  <c r="L25" i="51" s="1"/>
  <c r="U24" i="51"/>
  <c r="O24" i="51"/>
  <c r="P24" i="51" s="1"/>
  <c r="N24" i="51"/>
  <c r="J24" i="51"/>
  <c r="K24" i="51" s="1"/>
  <c r="L24" i="51" s="1"/>
  <c r="U23" i="51"/>
  <c r="O23" i="51"/>
  <c r="P23" i="51" s="1"/>
  <c r="N23" i="51"/>
  <c r="J23" i="51"/>
  <c r="K23" i="51" s="1"/>
  <c r="L23" i="51" s="1"/>
  <c r="U22" i="51"/>
  <c r="N22" i="51"/>
  <c r="O22" i="51" s="1"/>
  <c r="P22" i="51" s="1"/>
  <c r="K22" i="51"/>
  <c r="L22" i="51" s="1"/>
  <c r="J22" i="51"/>
  <c r="U21" i="51"/>
  <c r="O21" i="51"/>
  <c r="P21" i="51" s="1"/>
  <c r="N21" i="51"/>
  <c r="J21" i="51"/>
  <c r="K21" i="51" s="1"/>
  <c r="L21" i="51" s="1"/>
  <c r="U20" i="51"/>
  <c r="O20" i="51"/>
  <c r="P20" i="51" s="1"/>
  <c r="N20" i="51"/>
  <c r="J20" i="51"/>
  <c r="K20" i="51" s="1"/>
  <c r="L20" i="51" s="1"/>
  <c r="U19" i="51"/>
  <c r="O19" i="51"/>
  <c r="P19" i="51" s="1"/>
  <c r="N19" i="51"/>
  <c r="J19" i="51"/>
  <c r="K19" i="51" s="1"/>
  <c r="L19" i="51" s="1"/>
  <c r="U18" i="51"/>
  <c r="O18" i="51"/>
  <c r="P18" i="51" s="1"/>
  <c r="N18" i="51"/>
  <c r="J18" i="51"/>
  <c r="K18" i="51" s="1"/>
  <c r="L18" i="51" s="1"/>
  <c r="U17" i="51"/>
  <c r="O17" i="51"/>
  <c r="P17" i="51" s="1"/>
  <c r="N17" i="51"/>
  <c r="J17" i="51"/>
  <c r="K17" i="51" s="1"/>
  <c r="L17" i="51" s="1"/>
  <c r="U16" i="51"/>
  <c r="N16" i="51"/>
  <c r="O16" i="51" s="1"/>
  <c r="P16" i="51" s="1"/>
  <c r="J16" i="51"/>
  <c r="K16" i="51" s="1"/>
  <c r="L16" i="51" s="1"/>
  <c r="U15" i="51"/>
  <c r="O15" i="51"/>
  <c r="P15" i="51" s="1"/>
  <c r="N15" i="51"/>
  <c r="J15" i="51"/>
  <c r="K15" i="51" s="1"/>
  <c r="L15" i="51" s="1"/>
  <c r="U14" i="51"/>
  <c r="O14" i="51"/>
  <c r="P14" i="51" s="1"/>
  <c r="N14" i="51"/>
  <c r="K14" i="51"/>
  <c r="L14" i="51" s="1"/>
  <c r="J14" i="51"/>
  <c r="U13" i="51"/>
  <c r="O13" i="51"/>
  <c r="P13" i="51" s="1"/>
  <c r="N13" i="51"/>
  <c r="J13" i="51"/>
  <c r="K13" i="51" s="1"/>
  <c r="L13" i="51" s="1"/>
  <c r="U12" i="51"/>
  <c r="O12" i="51"/>
  <c r="P12" i="51" s="1"/>
  <c r="N12" i="51"/>
  <c r="J12" i="51"/>
  <c r="K12" i="51" s="1"/>
  <c r="L12" i="51" s="1"/>
  <c r="Q12" i="51" s="1"/>
  <c r="U11" i="51"/>
  <c r="O11" i="51"/>
  <c r="P11" i="51" s="1"/>
  <c r="N11" i="51"/>
  <c r="J11" i="51"/>
  <c r="K11" i="51" s="1"/>
  <c r="L11" i="51" s="1"/>
  <c r="U10" i="51"/>
  <c r="O10" i="51"/>
  <c r="P10" i="51" s="1"/>
  <c r="N10" i="51"/>
  <c r="J10" i="51"/>
  <c r="K10" i="51" s="1"/>
  <c r="L10" i="51" s="1"/>
  <c r="U9" i="51"/>
  <c r="O9" i="51"/>
  <c r="P9" i="51" s="1"/>
  <c r="N9" i="51"/>
  <c r="J9" i="51"/>
  <c r="K9" i="51" s="1"/>
  <c r="L9" i="51" s="1"/>
  <c r="U8" i="51"/>
  <c r="O8" i="51"/>
  <c r="P8" i="51" s="1"/>
  <c r="N8" i="51"/>
  <c r="J8" i="51"/>
  <c r="K8" i="51" s="1"/>
  <c r="L8" i="51" s="1"/>
  <c r="L63" i="49"/>
  <c r="H63" i="49"/>
  <c r="G63" i="49"/>
  <c r="F63" i="49"/>
  <c r="K63" i="49" s="1"/>
  <c r="L62" i="49"/>
  <c r="H62" i="49"/>
  <c r="G62" i="49"/>
  <c r="F62" i="49"/>
  <c r="L61" i="49"/>
  <c r="H61" i="49"/>
  <c r="G61" i="49"/>
  <c r="F61" i="49"/>
  <c r="L60" i="49"/>
  <c r="H60" i="49"/>
  <c r="G60" i="49"/>
  <c r="F60" i="49"/>
  <c r="L59" i="49"/>
  <c r="H59" i="49"/>
  <c r="G59" i="49"/>
  <c r="F59" i="49"/>
  <c r="L58" i="49"/>
  <c r="H58" i="49"/>
  <c r="G58" i="49"/>
  <c r="K58" i="49" s="1"/>
  <c r="F58" i="49"/>
  <c r="L57" i="49"/>
  <c r="H57" i="49"/>
  <c r="G57" i="49"/>
  <c r="F57" i="49"/>
  <c r="L56" i="49"/>
  <c r="H56" i="49"/>
  <c r="G56" i="49"/>
  <c r="F56" i="49"/>
  <c r="L55" i="49"/>
  <c r="H55" i="49"/>
  <c r="G55" i="49"/>
  <c r="F55" i="49"/>
  <c r="L54" i="49"/>
  <c r="H54" i="49"/>
  <c r="G54" i="49"/>
  <c r="K54" i="49" s="1"/>
  <c r="F54" i="49"/>
  <c r="L53" i="49"/>
  <c r="H53" i="49"/>
  <c r="G53" i="49"/>
  <c r="F53" i="49"/>
  <c r="L52" i="49"/>
  <c r="H52" i="49"/>
  <c r="G52" i="49"/>
  <c r="F52" i="49"/>
  <c r="L51" i="49"/>
  <c r="H51" i="49"/>
  <c r="G51" i="49"/>
  <c r="F51" i="49"/>
  <c r="L50" i="49"/>
  <c r="H50" i="49"/>
  <c r="G50" i="49"/>
  <c r="F50" i="49"/>
  <c r="L49" i="49"/>
  <c r="H49" i="49"/>
  <c r="G49" i="49"/>
  <c r="F49" i="49"/>
  <c r="L48" i="49"/>
  <c r="H48" i="49"/>
  <c r="G48" i="49"/>
  <c r="F48" i="49"/>
  <c r="L47" i="49"/>
  <c r="H47" i="49"/>
  <c r="G47" i="49"/>
  <c r="F47" i="49"/>
  <c r="L46" i="49"/>
  <c r="H46" i="49"/>
  <c r="G46" i="49"/>
  <c r="K46" i="49" s="1"/>
  <c r="F46" i="49"/>
  <c r="L45" i="49"/>
  <c r="H45" i="49"/>
  <c r="G45" i="49"/>
  <c r="F45" i="49"/>
  <c r="L44" i="49"/>
  <c r="H44" i="49"/>
  <c r="G44" i="49"/>
  <c r="F44" i="49"/>
  <c r="L43" i="49"/>
  <c r="H43" i="49"/>
  <c r="G43" i="49"/>
  <c r="F43" i="49"/>
  <c r="K43" i="49" s="1"/>
  <c r="L42" i="49"/>
  <c r="H42" i="49"/>
  <c r="G42" i="49"/>
  <c r="F42" i="49"/>
  <c r="L41" i="49"/>
  <c r="H41" i="49"/>
  <c r="G41" i="49"/>
  <c r="F41" i="49"/>
  <c r="K41" i="49" s="1"/>
  <c r="L40" i="49"/>
  <c r="H40" i="49"/>
  <c r="G40" i="49"/>
  <c r="F40" i="49"/>
  <c r="L39" i="49"/>
  <c r="H39" i="49"/>
  <c r="G39" i="49"/>
  <c r="F39" i="49"/>
  <c r="K39" i="49" s="1"/>
  <c r="L38" i="49"/>
  <c r="H38" i="49"/>
  <c r="G38" i="49"/>
  <c r="F38" i="49"/>
  <c r="L37" i="49"/>
  <c r="H37" i="49"/>
  <c r="G37" i="49"/>
  <c r="F37" i="49"/>
  <c r="K37" i="49" s="1"/>
  <c r="L36" i="49"/>
  <c r="H36" i="49"/>
  <c r="G36" i="49"/>
  <c r="F36" i="49"/>
  <c r="L35" i="49"/>
  <c r="H35" i="49"/>
  <c r="G35" i="49"/>
  <c r="F35" i="49"/>
  <c r="L34" i="49"/>
  <c r="H34" i="49"/>
  <c r="G34" i="49"/>
  <c r="F34" i="49"/>
  <c r="K34" i="49" s="1"/>
  <c r="L33" i="49"/>
  <c r="H33" i="49"/>
  <c r="G33" i="49"/>
  <c r="F33" i="49"/>
  <c r="L32" i="49"/>
  <c r="H32" i="49"/>
  <c r="G32" i="49"/>
  <c r="F32" i="49"/>
  <c r="L31" i="49"/>
  <c r="H31" i="49"/>
  <c r="G31" i="49"/>
  <c r="F31" i="49"/>
  <c r="L30" i="49"/>
  <c r="H30" i="49"/>
  <c r="G30" i="49"/>
  <c r="F30" i="49"/>
  <c r="L29" i="49"/>
  <c r="H29" i="49"/>
  <c r="G29" i="49"/>
  <c r="F29" i="49"/>
  <c r="L28" i="49"/>
  <c r="H28" i="49"/>
  <c r="G28" i="49"/>
  <c r="F28" i="49"/>
  <c r="K28" i="49" s="1"/>
  <c r="L27" i="49"/>
  <c r="H27" i="49"/>
  <c r="G27" i="49"/>
  <c r="F27" i="49"/>
  <c r="L26" i="49"/>
  <c r="H26" i="49"/>
  <c r="G26" i="49"/>
  <c r="F26" i="49"/>
  <c r="K26" i="49" s="1"/>
  <c r="L25" i="49"/>
  <c r="H25" i="49"/>
  <c r="G25" i="49"/>
  <c r="F25" i="49"/>
  <c r="L24" i="49"/>
  <c r="H24" i="49"/>
  <c r="G24" i="49"/>
  <c r="F24" i="49"/>
  <c r="K24" i="49" s="1"/>
  <c r="L23" i="49"/>
  <c r="H23" i="49"/>
  <c r="G23" i="49"/>
  <c r="F23" i="49"/>
  <c r="L22" i="49"/>
  <c r="H22" i="49"/>
  <c r="G22" i="49"/>
  <c r="F22" i="49"/>
  <c r="L21" i="49"/>
  <c r="H21" i="49"/>
  <c r="G21" i="49"/>
  <c r="F21" i="49"/>
  <c r="L20" i="49"/>
  <c r="H20" i="49"/>
  <c r="G20" i="49"/>
  <c r="F20" i="49"/>
  <c r="L19" i="49"/>
  <c r="H19" i="49"/>
  <c r="G19" i="49"/>
  <c r="F19" i="49"/>
  <c r="L18" i="49"/>
  <c r="H18" i="49"/>
  <c r="G18" i="49"/>
  <c r="F18" i="49"/>
  <c r="L17" i="49"/>
  <c r="H17" i="49"/>
  <c r="G17" i="49"/>
  <c r="F17" i="49"/>
  <c r="L16" i="49"/>
  <c r="H16" i="49"/>
  <c r="G16" i="49"/>
  <c r="F16" i="49"/>
  <c r="L15" i="49"/>
  <c r="H15" i="49"/>
  <c r="G15" i="49"/>
  <c r="F15" i="49"/>
  <c r="L14" i="49"/>
  <c r="H14" i="49"/>
  <c r="G14" i="49"/>
  <c r="F14" i="49"/>
  <c r="L13" i="49"/>
  <c r="H13" i="49"/>
  <c r="G13" i="49"/>
  <c r="F13" i="49"/>
  <c r="L12" i="49"/>
  <c r="H12" i="49"/>
  <c r="G12" i="49"/>
  <c r="F12" i="49"/>
  <c r="L11" i="49"/>
  <c r="H11" i="49"/>
  <c r="G11" i="49"/>
  <c r="F11" i="49"/>
  <c r="L10" i="49"/>
  <c r="H10" i="49"/>
  <c r="G10" i="49"/>
  <c r="F10" i="49"/>
  <c r="L9" i="49"/>
  <c r="H9" i="49"/>
  <c r="G9" i="49"/>
  <c r="F9" i="49"/>
  <c r="L8" i="49"/>
  <c r="H8" i="49"/>
  <c r="G8" i="49"/>
  <c r="F8" i="49"/>
  <c r="L7" i="49"/>
  <c r="H7" i="49"/>
  <c r="G7" i="49"/>
  <c r="F7" i="49"/>
  <c r="O63" i="14"/>
  <c r="R63" i="14" s="1"/>
  <c r="H63" i="14"/>
  <c r="K63" i="14" s="1"/>
  <c r="G63" i="14"/>
  <c r="O62" i="14"/>
  <c r="R62" i="14" s="1"/>
  <c r="H62" i="14"/>
  <c r="K62" i="14" s="1"/>
  <c r="G62" i="14"/>
  <c r="O61" i="14"/>
  <c r="R61" i="14" s="1"/>
  <c r="H61" i="14"/>
  <c r="K61" i="14" s="1"/>
  <c r="G61" i="14"/>
  <c r="T60" i="14"/>
  <c r="R60" i="14"/>
  <c r="P60" i="14"/>
  <c r="K60" i="14"/>
  <c r="Q60" i="14" s="1"/>
  <c r="T59" i="14"/>
  <c r="R59" i="14"/>
  <c r="P59" i="14"/>
  <c r="K59" i="14"/>
  <c r="Q59" i="14" s="1"/>
  <c r="T58" i="14"/>
  <c r="R58" i="14"/>
  <c r="P58" i="14"/>
  <c r="K58" i="14"/>
  <c r="Q58" i="14" s="1"/>
  <c r="T57" i="14"/>
  <c r="R57" i="14"/>
  <c r="P57" i="14"/>
  <c r="K57" i="14"/>
  <c r="Q57" i="14" s="1"/>
  <c r="T56" i="14"/>
  <c r="R56" i="14"/>
  <c r="P56" i="14"/>
  <c r="K56" i="14"/>
  <c r="Q56" i="14" s="1"/>
  <c r="O55" i="14"/>
  <c r="H55" i="14"/>
  <c r="K55" i="14" s="1"/>
  <c r="G55" i="14"/>
  <c r="T54" i="14"/>
  <c r="R54" i="14"/>
  <c r="P54" i="14"/>
  <c r="K54" i="14"/>
  <c r="Q54" i="14" s="1"/>
  <c r="O53" i="14"/>
  <c r="R53" i="14" s="1"/>
  <c r="H53" i="14"/>
  <c r="K53" i="14" s="1"/>
  <c r="G53" i="14"/>
  <c r="T52" i="14"/>
  <c r="R52" i="14"/>
  <c r="P52" i="14"/>
  <c r="K52" i="14"/>
  <c r="Q52" i="14" s="1"/>
  <c r="O51" i="14"/>
  <c r="H51" i="14"/>
  <c r="K51" i="14" s="1"/>
  <c r="G51" i="14"/>
  <c r="T50" i="14"/>
  <c r="R50" i="14"/>
  <c r="P50" i="14"/>
  <c r="K50" i="14"/>
  <c r="Q50" i="14" s="1"/>
  <c r="O49" i="14"/>
  <c r="R49" i="14" s="1"/>
  <c r="H49" i="14"/>
  <c r="K49" i="14" s="1"/>
  <c r="G49" i="14"/>
  <c r="O48" i="14"/>
  <c r="R48" i="14" s="1"/>
  <c r="H48" i="14"/>
  <c r="K48" i="14" s="1"/>
  <c r="G48" i="14"/>
  <c r="T47" i="14"/>
  <c r="R47" i="14"/>
  <c r="P47" i="14"/>
  <c r="K47" i="14"/>
  <c r="Q47" i="14" s="1"/>
  <c r="O46" i="14"/>
  <c r="R46" i="14" s="1"/>
  <c r="H46" i="14"/>
  <c r="K46" i="14" s="1"/>
  <c r="G46" i="14"/>
  <c r="T45" i="14"/>
  <c r="R45" i="14"/>
  <c r="P45" i="14"/>
  <c r="K45" i="14"/>
  <c r="Q45" i="14" s="1"/>
  <c r="T44" i="14"/>
  <c r="R44" i="14"/>
  <c r="P44" i="14"/>
  <c r="K44" i="14"/>
  <c r="Q44" i="14" s="1"/>
  <c r="O43" i="14"/>
  <c r="S43" i="14" s="1"/>
  <c r="H43" i="14"/>
  <c r="K43" i="14" s="1"/>
  <c r="G43" i="14"/>
  <c r="O42" i="14"/>
  <c r="R42" i="14" s="1"/>
  <c r="H42" i="14"/>
  <c r="K42" i="14" s="1"/>
  <c r="G42" i="14"/>
  <c r="T41" i="14"/>
  <c r="R41" i="14"/>
  <c r="P41" i="14"/>
  <c r="K41" i="14"/>
  <c r="Q41" i="14" s="1"/>
  <c r="O40" i="14"/>
  <c r="R40" i="14" s="1"/>
  <c r="H40" i="14"/>
  <c r="K40" i="14" s="1"/>
  <c r="G40" i="14"/>
  <c r="T39" i="14"/>
  <c r="R39" i="14"/>
  <c r="P39" i="14"/>
  <c r="K39" i="14"/>
  <c r="Q39" i="14" s="1"/>
  <c r="T38" i="14"/>
  <c r="R38" i="14"/>
  <c r="P38" i="14"/>
  <c r="K38" i="14"/>
  <c r="Q38" i="14" s="1"/>
  <c r="O37" i="14"/>
  <c r="R37" i="14" s="1"/>
  <c r="H37" i="14"/>
  <c r="K37" i="14" s="1"/>
  <c r="G37" i="14"/>
  <c r="O36" i="14"/>
  <c r="R36" i="14" s="1"/>
  <c r="K36" i="14"/>
  <c r="G36" i="14"/>
  <c r="O35" i="14"/>
  <c r="R35" i="14" s="1"/>
  <c r="H35" i="14"/>
  <c r="K35" i="14" s="1"/>
  <c r="G35" i="14"/>
  <c r="T34" i="14"/>
  <c r="R34" i="14"/>
  <c r="P34" i="14"/>
  <c r="K34" i="14"/>
  <c r="Q34" i="14" s="1"/>
  <c r="O33" i="14"/>
  <c r="R33" i="14" s="1"/>
  <c r="H33" i="14"/>
  <c r="K33" i="14" s="1"/>
  <c r="G33" i="14"/>
  <c r="T32" i="14"/>
  <c r="R32" i="14"/>
  <c r="P32" i="14"/>
  <c r="K32" i="14"/>
  <c r="Q32" i="14" s="1"/>
  <c r="O31" i="14"/>
  <c r="R31" i="14" s="1"/>
  <c r="H31" i="14"/>
  <c r="K31" i="14" s="1"/>
  <c r="G31" i="14"/>
  <c r="O30" i="14"/>
  <c r="R30" i="14" s="1"/>
  <c r="H30" i="14"/>
  <c r="K30" i="14" s="1"/>
  <c r="G30" i="14"/>
  <c r="T29" i="14"/>
  <c r="R29" i="14"/>
  <c r="P29" i="14"/>
  <c r="K29" i="14"/>
  <c r="Q29" i="14" s="1"/>
  <c r="O28" i="14"/>
  <c r="R28" i="14" s="1"/>
  <c r="H28" i="14"/>
  <c r="K28" i="14" s="1"/>
  <c r="G28" i="14"/>
  <c r="T27" i="14"/>
  <c r="R27" i="14"/>
  <c r="P27" i="14"/>
  <c r="K27" i="14"/>
  <c r="Q27" i="14" s="1"/>
  <c r="T26" i="14"/>
  <c r="R26" i="14"/>
  <c r="P26" i="14"/>
  <c r="K26" i="14"/>
  <c r="Q26" i="14" s="1"/>
  <c r="O25" i="14"/>
  <c r="R25" i="14" s="1"/>
  <c r="H25" i="14"/>
  <c r="K25" i="14" s="1"/>
  <c r="G25" i="14"/>
  <c r="O24" i="14"/>
  <c r="R24" i="14" s="1"/>
  <c r="H24" i="14"/>
  <c r="K24" i="14" s="1"/>
  <c r="G24" i="14"/>
  <c r="O23" i="14"/>
  <c r="R23" i="14" s="1"/>
  <c r="H23" i="14"/>
  <c r="K23" i="14" s="1"/>
  <c r="G23" i="14"/>
  <c r="O22" i="14"/>
  <c r="R22" i="14" s="1"/>
  <c r="K22" i="14"/>
  <c r="G22" i="14"/>
  <c r="T21" i="14"/>
  <c r="P21" i="14"/>
  <c r="K21" i="14"/>
  <c r="Q21" i="14" s="1"/>
  <c r="O20" i="14"/>
  <c r="H20" i="14"/>
  <c r="K20" i="14" s="1"/>
  <c r="G20" i="14"/>
  <c r="O19" i="14"/>
  <c r="H19" i="14"/>
  <c r="K19" i="14" s="1"/>
  <c r="G19" i="14"/>
  <c r="O18" i="14"/>
  <c r="H18" i="14"/>
  <c r="K18" i="14" s="1"/>
  <c r="G18" i="14"/>
  <c r="O17" i="14"/>
  <c r="S17" i="14" s="1"/>
  <c r="H17" i="14"/>
  <c r="K17" i="14" s="1"/>
  <c r="G17" i="14"/>
  <c r="O16" i="14"/>
  <c r="H16" i="14"/>
  <c r="K16" i="14" s="1"/>
  <c r="G16" i="14"/>
  <c r="T15" i="14"/>
  <c r="P15" i="14"/>
  <c r="K15" i="14"/>
  <c r="Q15" i="14" s="1"/>
  <c r="O14" i="14"/>
  <c r="S14" i="14" s="1"/>
  <c r="H14" i="14"/>
  <c r="K14" i="14" s="1"/>
  <c r="G14" i="14"/>
  <c r="O13" i="14"/>
  <c r="S13" i="14" s="1"/>
  <c r="H13" i="14"/>
  <c r="K13" i="14" s="1"/>
  <c r="G13" i="14"/>
  <c r="O12" i="14"/>
  <c r="S12" i="14" s="1"/>
  <c r="H12" i="14"/>
  <c r="K12" i="14" s="1"/>
  <c r="G12" i="14"/>
  <c r="O11" i="14"/>
  <c r="H11" i="14"/>
  <c r="K11" i="14" s="1"/>
  <c r="G11" i="14"/>
  <c r="O10" i="14"/>
  <c r="K10" i="14"/>
  <c r="G10" i="14"/>
  <c r="T9" i="14"/>
  <c r="P9" i="14"/>
  <c r="K9" i="14"/>
  <c r="Q9" i="14" s="1"/>
  <c r="O8" i="14"/>
  <c r="H8" i="14"/>
  <c r="K8" i="14" s="1"/>
  <c r="G8" i="14"/>
  <c r="O7" i="14"/>
  <c r="H7" i="14"/>
  <c r="K7" i="14" s="1"/>
  <c r="G7" i="14"/>
  <c r="G63" i="13"/>
  <c r="G62" i="13"/>
  <c r="G61" i="13"/>
  <c r="G60" i="13"/>
  <c r="G59" i="13"/>
  <c r="G58" i="13"/>
  <c r="G57" i="13"/>
  <c r="G56" i="13"/>
  <c r="G55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B7" i="50"/>
  <c r="B8" i="50"/>
  <c r="B9" i="50"/>
  <c r="B10" i="50"/>
  <c r="B11" i="50"/>
  <c r="B12" i="50"/>
  <c r="B13" i="50"/>
  <c r="B14" i="50"/>
  <c r="B15" i="50"/>
  <c r="B16" i="50"/>
  <c r="B17" i="50"/>
  <c r="B18" i="50"/>
  <c r="B19" i="50"/>
  <c r="B20" i="50"/>
  <c r="B21" i="50"/>
  <c r="B22" i="50"/>
  <c r="B23" i="50"/>
  <c r="B24" i="50"/>
  <c r="B25" i="50"/>
  <c r="B26" i="50"/>
  <c r="B27" i="50"/>
  <c r="B28" i="50"/>
  <c r="B29" i="50"/>
  <c r="B30" i="50"/>
  <c r="B31" i="50"/>
  <c r="B32" i="50"/>
  <c r="B33" i="50"/>
  <c r="B34" i="50"/>
  <c r="B35" i="50"/>
  <c r="B36" i="50"/>
  <c r="B37" i="50"/>
  <c r="B38" i="50"/>
  <c r="B39" i="50"/>
  <c r="B40" i="50"/>
  <c r="B41" i="50"/>
  <c r="B42" i="50"/>
  <c r="B43" i="50"/>
  <c r="B44" i="50"/>
  <c r="B45" i="50"/>
  <c r="B46" i="50"/>
  <c r="B47" i="50"/>
  <c r="B48" i="50"/>
  <c r="B49" i="50"/>
  <c r="B50" i="50"/>
  <c r="B51" i="50"/>
  <c r="B52" i="50"/>
  <c r="B53" i="50"/>
  <c r="B54" i="50"/>
  <c r="B55" i="50"/>
  <c r="B56" i="50"/>
  <c r="B57" i="50"/>
  <c r="B58" i="50"/>
  <c r="B59" i="50"/>
  <c r="B60" i="50"/>
  <c r="B61" i="50"/>
  <c r="B62" i="50"/>
  <c r="B63" i="50"/>
  <c r="H15" i="13" l="1"/>
  <c r="H27" i="13"/>
  <c r="H39" i="13"/>
  <c r="H51" i="13"/>
  <c r="H63" i="13"/>
  <c r="H37" i="13"/>
  <c r="H16" i="13"/>
  <c r="H28" i="13"/>
  <c r="H40" i="13"/>
  <c r="H52" i="13"/>
  <c r="H10" i="13"/>
  <c r="H48" i="13"/>
  <c r="H50" i="13"/>
  <c r="H17" i="13"/>
  <c r="H29" i="13"/>
  <c r="H41" i="13"/>
  <c r="H53" i="13"/>
  <c r="H11" i="13"/>
  <c r="H60" i="13"/>
  <c r="H26" i="13"/>
  <c r="H18" i="13"/>
  <c r="H30" i="13"/>
  <c r="H42" i="13"/>
  <c r="H54" i="13"/>
  <c r="H12" i="13"/>
  <c r="H8" i="13"/>
  <c r="H49" i="13"/>
  <c r="H19" i="13"/>
  <c r="H31" i="13"/>
  <c r="H43" i="13"/>
  <c r="H55" i="13"/>
  <c r="H13" i="13"/>
  <c r="H61" i="13"/>
  <c r="H20" i="13"/>
  <c r="H32" i="13"/>
  <c r="H44" i="13"/>
  <c r="H56" i="13"/>
  <c r="H14" i="13"/>
  <c r="H62" i="13"/>
  <c r="H21" i="13"/>
  <c r="H33" i="13"/>
  <c r="H45" i="13"/>
  <c r="H57" i="13"/>
  <c r="H7" i="13"/>
  <c r="H58" i="13"/>
  <c r="H25" i="13"/>
  <c r="H22" i="13"/>
  <c r="H34" i="13"/>
  <c r="H46" i="13"/>
  <c r="H23" i="13"/>
  <c r="H35" i="13"/>
  <c r="H47" i="13"/>
  <c r="H59" i="13"/>
  <c r="H36" i="13"/>
  <c r="H38" i="13"/>
  <c r="H24" i="13"/>
  <c r="K50" i="49"/>
  <c r="K62" i="49"/>
  <c r="K27" i="49"/>
  <c r="Q13" i="51"/>
  <c r="R13" i="51" s="1"/>
  <c r="Q29" i="51"/>
  <c r="Q52" i="51"/>
  <c r="L63" i="14"/>
  <c r="M63" i="14" s="1"/>
  <c r="K18" i="49"/>
  <c r="K42" i="49"/>
  <c r="K44" i="49"/>
  <c r="K60" i="49"/>
  <c r="L10" i="14"/>
  <c r="M10" i="14" s="1"/>
  <c r="T10" i="14" s="1"/>
  <c r="V10" i="14" s="1"/>
  <c r="L19" i="14"/>
  <c r="M19" i="14" s="1"/>
  <c r="T19" i="14" s="1"/>
  <c r="L36" i="14"/>
  <c r="M36" i="14" s="1"/>
  <c r="T36" i="14" s="1"/>
  <c r="V36" i="14" s="1"/>
  <c r="V60" i="14"/>
  <c r="K20" i="49"/>
  <c r="K29" i="49"/>
  <c r="K31" i="49"/>
  <c r="K32" i="49"/>
  <c r="K33" i="49"/>
  <c r="K61" i="49"/>
  <c r="Q58" i="51"/>
  <c r="Q59" i="51"/>
  <c r="R59" i="51" s="1"/>
  <c r="V27" i="14"/>
  <c r="L61" i="14"/>
  <c r="M61" i="14" s="1"/>
  <c r="T61" i="14" s="1"/>
  <c r="V61" i="14" s="1"/>
  <c r="L25" i="14"/>
  <c r="M25" i="14" s="1"/>
  <c r="T25" i="14" s="1"/>
  <c r="S62" i="14"/>
  <c r="K7" i="49"/>
  <c r="K9" i="49"/>
  <c r="K10" i="49"/>
  <c r="K12" i="49"/>
  <c r="K15" i="49"/>
  <c r="K16" i="49"/>
  <c r="K17" i="49"/>
  <c r="K36" i="49"/>
  <c r="K38" i="49"/>
  <c r="K52" i="49"/>
  <c r="K53" i="49"/>
  <c r="K55" i="49"/>
  <c r="K57" i="49"/>
  <c r="Q46" i="51"/>
  <c r="V9" i="14"/>
  <c r="L16" i="14"/>
  <c r="M16" i="14" s="1"/>
  <c r="T16" i="14" s="1"/>
  <c r="V16" i="14" s="1"/>
  <c r="S23" i="14"/>
  <c r="V26" i="14"/>
  <c r="K13" i="49"/>
  <c r="K19" i="49"/>
  <c r="K30" i="49"/>
  <c r="K45" i="49"/>
  <c r="K47" i="49"/>
  <c r="K49" i="49"/>
  <c r="V47" i="14"/>
  <c r="L49" i="14"/>
  <c r="M49" i="14" s="1"/>
  <c r="T49" i="14" s="1"/>
  <c r="V49" i="14" s="1"/>
  <c r="K8" i="49"/>
  <c r="K21" i="49"/>
  <c r="K23" i="49"/>
  <c r="K25" i="49"/>
  <c r="K40" i="49"/>
  <c r="K51" i="49"/>
  <c r="G66" i="49"/>
  <c r="G67" i="49" s="1"/>
  <c r="G68" i="49" s="1"/>
  <c r="G69" i="49" s="1"/>
  <c r="G70" i="49" s="1"/>
  <c r="Q22" i="51"/>
  <c r="R22" i="51" s="1"/>
  <c r="L33" i="14"/>
  <c r="M33" i="14" s="1"/>
  <c r="P33" i="14" s="1"/>
  <c r="G71" i="49"/>
  <c r="L37" i="14"/>
  <c r="M37" i="14" s="1"/>
  <c r="T37" i="14" s="1"/>
  <c r="V39" i="14"/>
  <c r="K59" i="49"/>
  <c r="L8" i="14"/>
  <c r="M8" i="14" s="1"/>
  <c r="T8" i="14" s="1"/>
  <c r="K14" i="49"/>
  <c r="K35" i="49"/>
  <c r="K48" i="49"/>
  <c r="Q43" i="51"/>
  <c r="R43" i="51" s="1"/>
  <c r="V52" i="14"/>
  <c r="V56" i="14"/>
  <c r="K11" i="49"/>
  <c r="K22" i="49"/>
  <c r="K56" i="49"/>
  <c r="Q16" i="51"/>
  <c r="V21" i="14"/>
  <c r="Q40" i="51"/>
  <c r="R40" i="51" s="1"/>
  <c r="L13" i="14"/>
  <c r="M13" i="14" s="1"/>
  <c r="T13" i="14" s="1"/>
  <c r="V41" i="14"/>
  <c r="P61" i="14"/>
  <c r="V15" i="14"/>
  <c r="L20" i="14"/>
  <c r="M20" i="14" s="1"/>
  <c r="T20" i="14" s="1"/>
  <c r="L30" i="14"/>
  <c r="M30" i="14" s="1"/>
  <c r="T30" i="14" s="1"/>
  <c r="V32" i="14"/>
  <c r="S35" i="14"/>
  <c r="L43" i="14"/>
  <c r="M43" i="14" s="1"/>
  <c r="T43" i="14" s="1"/>
  <c r="S61" i="14"/>
  <c r="L23" i="14"/>
  <c r="M23" i="14" s="1"/>
  <c r="P23" i="14" s="1"/>
  <c r="V34" i="14"/>
  <c r="L40" i="14"/>
  <c r="M40" i="14" s="1"/>
  <c r="L62" i="14"/>
  <c r="M62" i="14" s="1"/>
  <c r="T62" i="14" s="1"/>
  <c r="L11" i="14"/>
  <c r="M11" i="14" s="1"/>
  <c r="T11" i="14" s="1"/>
  <c r="L28" i="14"/>
  <c r="M28" i="14" s="1"/>
  <c r="T28" i="14" s="1"/>
  <c r="V28" i="14" s="1"/>
  <c r="V58" i="14"/>
  <c r="L7" i="14"/>
  <c r="M7" i="14" s="1"/>
  <c r="T7" i="14" s="1"/>
  <c r="L12" i="14"/>
  <c r="M12" i="14" s="1"/>
  <c r="P12" i="14" s="1"/>
  <c r="L14" i="14"/>
  <c r="M14" i="14" s="1"/>
  <c r="P14" i="14" s="1"/>
  <c r="L18" i="14"/>
  <c r="M18" i="14" s="1"/>
  <c r="T18" i="14" s="1"/>
  <c r="L31" i="14"/>
  <c r="M31" i="14" s="1"/>
  <c r="T31" i="14" s="1"/>
  <c r="V38" i="14"/>
  <c r="R43" i="14"/>
  <c r="L51" i="14"/>
  <c r="M51" i="14" s="1"/>
  <c r="T51" i="14" s="1"/>
  <c r="L53" i="14"/>
  <c r="M53" i="14" s="1"/>
  <c r="T53" i="14" s="1"/>
  <c r="L55" i="14"/>
  <c r="M55" i="14" s="1"/>
  <c r="T55" i="14" s="1"/>
  <c r="S63" i="14"/>
  <c r="L24" i="14"/>
  <c r="M24" i="14" s="1"/>
  <c r="P24" i="14" s="1"/>
  <c r="V29" i="14"/>
  <c r="L42" i="14"/>
  <c r="M42" i="14" s="1"/>
  <c r="T42" i="14" s="1"/>
  <c r="V59" i="14"/>
  <c r="L35" i="14"/>
  <c r="M35" i="14" s="1"/>
  <c r="P35" i="14" s="1"/>
  <c r="V44" i="14"/>
  <c r="L46" i="14"/>
  <c r="M46" i="14" s="1"/>
  <c r="T46" i="14" s="1"/>
  <c r="L48" i="14"/>
  <c r="M48" i="14" s="1"/>
  <c r="T48" i="14" s="1"/>
  <c r="R51" i="14"/>
  <c r="R55" i="14"/>
  <c r="L17" i="14"/>
  <c r="M17" i="14" s="1"/>
  <c r="T17" i="14" s="1"/>
  <c r="L22" i="14"/>
  <c r="M22" i="14" s="1"/>
  <c r="T22" i="14" s="1"/>
  <c r="V22" i="14" s="1"/>
  <c r="V50" i="14"/>
  <c r="V54" i="14"/>
  <c r="Q32" i="51"/>
  <c r="R32" i="51" s="1"/>
  <c r="Q48" i="51"/>
  <c r="Q50" i="51"/>
  <c r="R50" i="51" s="1"/>
  <c r="Q56" i="51"/>
  <c r="R56" i="51" s="1"/>
  <c r="Q49" i="51"/>
  <c r="R49" i="51" s="1"/>
  <c r="Q62" i="51"/>
  <c r="R62" i="51" s="1"/>
  <c r="Q26" i="51"/>
  <c r="R26" i="51" s="1"/>
  <c r="Q9" i="51"/>
  <c r="R9" i="51" s="1"/>
  <c r="Q34" i="51"/>
  <c r="R34" i="51" s="1"/>
  <c r="Q55" i="51"/>
  <c r="R55" i="51" s="1"/>
  <c r="Q64" i="51"/>
  <c r="R64" i="51" s="1"/>
  <c r="Q10" i="51"/>
  <c r="R10" i="51" s="1"/>
  <c r="Q24" i="51"/>
  <c r="R24" i="51" s="1"/>
  <c r="Q18" i="51"/>
  <c r="R18" i="51" s="1"/>
  <c r="Q28" i="51"/>
  <c r="R28" i="51" s="1"/>
  <c r="Q42" i="51"/>
  <c r="R42" i="51" s="1"/>
  <c r="Q36" i="51"/>
  <c r="R36" i="51" s="1"/>
  <c r="Q57" i="51"/>
  <c r="R57" i="51" s="1"/>
  <c r="Q20" i="51"/>
  <c r="R20" i="51" s="1"/>
  <c r="Q33" i="51"/>
  <c r="R33" i="51" s="1"/>
  <c r="Q44" i="51"/>
  <c r="R44" i="51" s="1"/>
  <c r="Q54" i="51"/>
  <c r="Q60" i="51"/>
  <c r="R60" i="51" s="1"/>
  <c r="Q8" i="51"/>
  <c r="R8" i="51" s="1"/>
  <c r="Q17" i="51"/>
  <c r="R17" i="51" s="1"/>
  <c r="Q25" i="51"/>
  <c r="R25" i="51" s="1"/>
  <c r="Q27" i="51"/>
  <c r="R27" i="51" s="1"/>
  <c r="Q41" i="51"/>
  <c r="R41" i="51" s="1"/>
  <c r="Q47" i="51"/>
  <c r="R47" i="51" s="1"/>
  <c r="Q63" i="51"/>
  <c r="Q15" i="51"/>
  <c r="Q30" i="51"/>
  <c r="Q35" i="51"/>
  <c r="Q19" i="51"/>
  <c r="R38" i="51"/>
  <c r="R53" i="51"/>
  <c r="R12" i="51"/>
  <c r="R46" i="51"/>
  <c r="R52" i="51"/>
  <c r="R29" i="51"/>
  <c r="Q14" i="51"/>
  <c r="R16" i="51"/>
  <c r="Q31" i="51"/>
  <c r="Q37" i="51"/>
  <c r="R48" i="51"/>
  <c r="R58" i="51"/>
  <c r="Q11" i="51"/>
  <c r="Q21" i="51"/>
  <c r="Q23" i="51"/>
  <c r="Q39" i="51"/>
  <c r="Q45" i="51"/>
  <c r="Q51" i="51"/>
  <c r="Q61" i="51"/>
  <c r="T63" i="14"/>
  <c r="P63" i="14"/>
  <c r="V45" i="14"/>
  <c r="T23" i="14"/>
  <c r="T40" i="14"/>
  <c r="P40" i="14"/>
  <c r="T12" i="14"/>
  <c r="T14" i="14"/>
  <c r="V57" i="14"/>
  <c r="P43" i="14"/>
  <c r="P46" i="14"/>
  <c r="V46" i="14" s="1"/>
  <c r="P53" i="14"/>
  <c r="V53" i="14" s="1"/>
  <c r="T34" i="34"/>
  <c r="D34" i="34"/>
  <c r="T27" i="34"/>
  <c r="D27" i="34"/>
  <c r="T52" i="34"/>
  <c r="D52" i="34"/>
  <c r="T47" i="34"/>
  <c r="D47" i="34"/>
  <c r="T44" i="34"/>
  <c r="D44" i="34"/>
  <c r="T59" i="34"/>
  <c r="D59" i="34"/>
  <c r="T45" i="34"/>
  <c r="D45" i="34"/>
  <c r="T8" i="34"/>
  <c r="D8" i="34"/>
  <c r="T60" i="34"/>
  <c r="D60" i="34"/>
  <c r="T32" i="34"/>
  <c r="D32" i="34"/>
  <c r="T56" i="34"/>
  <c r="D56" i="34"/>
  <c r="T22" i="34"/>
  <c r="D22" i="34"/>
  <c r="T29" i="34"/>
  <c r="D29" i="34"/>
  <c r="T12" i="34"/>
  <c r="D12" i="34"/>
  <c r="T48" i="34"/>
  <c r="D48" i="34"/>
  <c r="T30" i="34"/>
  <c r="D30" i="34"/>
  <c r="T26" i="34"/>
  <c r="D26" i="34"/>
  <c r="T50" i="34"/>
  <c r="D50" i="34"/>
  <c r="T33" i="34"/>
  <c r="D33" i="34"/>
  <c r="T51" i="34"/>
  <c r="D51" i="34"/>
  <c r="T54" i="34"/>
  <c r="D54" i="34"/>
  <c r="T15" i="34"/>
  <c r="D15" i="34"/>
  <c r="T20" i="34"/>
  <c r="D20" i="34"/>
  <c r="T38" i="34"/>
  <c r="D38" i="34"/>
  <c r="D9" i="34"/>
  <c r="T21" i="34"/>
  <c r="D21" i="34"/>
  <c r="T23" i="34"/>
  <c r="D23" i="34"/>
  <c r="T58" i="34"/>
  <c r="D58" i="34"/>
  <c r="T57" i="34"/>
  <c r="D57" i="34"/>
  <c r="T13" i="34"/>
  <c r="D13" i="34"/>
  <c r="T18" i="34"/>
  <c r="D18" i="34"/>
  <c r="T40" i="34"/>
  <c r="D40" i="34"/>
  <c r="T31" i="34"/>
  <c r="D31" i="34"/>
  <c r="T62" i="34"/>
  <c r="D62" i="34"/>
  <c r="T46" i="34"/>
  <c r="D46" i="34"/>
  <c r="T41" i="34"/>
  <c r="D41" i="34"/>
  <c r="T28" i="34"/>
  <c r="D28" i="34"/>
  <c r="T16" i="34"/>
  <c r="D16" i="34"/>
  <c r="T55" i="34"/>
  <c r="D55" i="34"/>
  <c r="T25" i="34"/>
  <c r="D25" i="34"/>
  <c r="T37" i="34"/>
  <c r="D37" i="34"/>
  <c r="T10" i="34"/>
  <c r="D10" i="34"/>
  <c r="T39" i="34"/>
  <c r="D39" i="34"/>
  <c r="T17" i="34"/>
  <c r="D17" i="34"/>
  <c r="T61" i="34"/>
  <c r="D61" i="34"/>
  <c r="T43" i="34"/>
  <c r="D43" i="34"/>
  <c r="T14" i="34"/>
  <c r="D14" i="34"/>
  <c r="T11" i="34"/>
  <c r="D11" i="34"/>
  <c r="T19" i="34"/>
  <c r="D19" i="34"/>
  <c r="T24" i="34"/>
  <c r="T36" i="34"/>
  <c r="D36" i="34"/>
  <c r="T63" i="34"/>
  <c r="D63" i="34"/>
  <c r="T53" i="34"/>
  <c r="D53" i="34"/>
  <c r="T35" i="34"/>
  <c r="D35" i="34"/>
  <c r="T7" i="34"/>
  <c r="D7" i="34"/>
  <c r="T49" i="34"/>
  <c r="D49" i="34"/>
  <c r="T42" i="34"/>
  <c r="D42" i="34"/>
  <c r="P37" i="14" l="1"/>
  <c r="V37" i="14" s="1"/>
  <c r="P30" i="14"/>
  <c r="V30" i="14" s="1"/>
  <c r="T24" i="14"/>
  <c r="P7" i="14"/>
  <c r="P25" i="14"/>
  <c r="V25" i="14" s="1"/>
  <c r="T33" i="14"/>
  <c r="V33" i="14" s="1"/>
  <c r="P19" i="14"/>
  <c r="P17" i="14"/>
  <c r="V17" i="14" s="1"/>
  <c r="P51" i="14"/>
  <c r="V51" i="14" s="1"/>
  <c r="V43" i="14"/>
  <c r="V19" i="14"/>
  <c r="P18" i="14"/>
  <c r="V18" i="14" s="1"/>
  <c r="P48" i="14"/>
  <c r="V48" i="14" s="1"/>
  <c r="P8" i="14"/>
  <c r="V8" i="14" s="1"/>
  <c r="T35" i="14"/>
  <c r="V35" i="14" s="1"/>
  <c r="V14" i="14"/>
  <c r="S63" i="51"/>
  <c r="T63" i="51" s="1"/>
  <c r="S54" i="51"/>
  <c r="T54" i="51" s="1"/>
  <c r="V40" i="14"/>
  <c r="P20" i="14"/>
  <c r="V20" i="14" s="1"/>
  <c r="V7" i="14"/>
  <c r="P42" i="14"/>
  <c r="V42" i="14" s="1"/>
  <c r="P62" i="14"/>
  <c r="V62" i="14" s="1"/>
  <c r="P11" i="14"/>
  <c r="V11" i="14" s="1"/>
  <c r="P13" i="14"/>
  <c r="V13" i="14" s="1"/>
  <c r="P31" i="14"/>
  <c r="V31" i="14" s="1"/>
  <c r="P55" i="14"/>
  <c r="V55" i="14" s="1"/>
  <c r="V23" i="14"/>
  <c r="S29" i="51"/>
  <c r="T29" i="51" s="1"/>
  <c r="S57" i="51"/>
  <c r="T57" i="51" s="1"/>
  <c r="S44" i="51"/>
  <c r="T44" i="51" s="1"/>
  <c r="R63" i="51"/>
  <c r="R54" i="51"/>
  <c r="S10" i="51"/>
  <c r="T10" i="51" s="1"/>
  <c r="S17" i="51"/>
  <c r="T17" i="51" s="1"/>
  <c r="S11" i="51"/>
  <c r="T11" i="51" s="1"/>
  <c r="R11" i="51"/>
  <c r="S56" i="51"/>
  <c r="T56" i="51" s="1"/>
  <c r="S47" i="51"/>
  <c r="T47" i="51" s="1"/>
  <c r="S51" i="51"/>
  <c r="T51" i="51" s="1"/>
  <c r="R51" i="51"/>
  <c r="S41" i="51"/>
  <c r="T41" i="51" s="1"/>
  <c r="S33" i="51"/>
  <c r="T33" i="51" s="1"/>
  <c r="S45" i="51"/>
  <c r="T45" i="51" s="1"/>
  <c r="R45" i="51"/>
  <c r="S58" i="51"/>
  <c r="T58" i="51" s="1"/>
  <c r="S50" i="51"/>
  <c r="T50" i="51" s="1"/>
  <c r="S8" i="51"/>
  <c r="T8" i="51" s="1"/>
  <c r="S39" i="51"/>
  <c r="T39" i="51" s="1"/>
  <c r="R39" i="51"/>
  <c r="S18" i="51"/>
  <c r="T18" i="51" s="1"/>
  <c r="S55" i="51"/>
  <c r="T55" i="51" s="1"/>
  <c r="S62" i="51"/>
  <c r="T62" i="51" s="1"/>
  <c r="S26" i="51"/>
  <c r="T26" i="51" s="1"/>
  <c r="S59" i="51"/>
  <c r="T59" i="51" s="1"/>
  <c r="S38" i="51"/>
  <c r="T38" i="51" s="1"/>
  <c r="S35" i="51"/>
  <c r="T35" i="51" s="1"/>
  <c r="R35" i="51"/>
  <c r="S37" i="51"/>
  <c r="T37" i="51" s="1"/>
  <c r="R37" i="51"/>
  <c r="S46" i="51"/>
  <c r="T46" i="51" s="1"/>
  <c r="S9" i="51"/>
  <c r="T9" i="51" s="1"/>
  <c r="S28" i="51"/>
  <c r="T28" i="51" s="1"/>
  <c r="S13" i="51"/>
  <c r="T13" i="51" s="1"/>
  <c r="S48" i="51"/>
  <c r="T48" i="51" s="1"/>
  <c r="S27" i="51"/>
  <c r="T27" i="51" s="1"/>
  <c r="S60" i="51"/>
  <c r="T60" i="51" s="1"/>
  <c r="S36" i="51"/>
  <c r="T36" i="51" s="1"/>
  <c r="S34" i="51"/>
  <c r="T34" i="51" s="1"/>
  <c r="S22" i="51"/>
  <c r="T22" i="51" s="1"/>
  <c r="S53" i="51"/>
  <c r="T53" i="51" s="1"/>
  <c r="S32" i="51"/>
  <c r="T32" i="51" s="1"/>
  <c r="S15" i="51"/>
  <c r="T15" i="51" s="1"/>
  <c r="R15" i="51"/>
  <c r="S21" i="51"/>
  <c r="T21" i="51" s="1"/>
  <c r="R21" i="51"/>
  <c r="S14" i="51"/>
  <c r="T14" i="51" s="1"/>
  <c r="R14" i="51"/>
  <c r="S24" i="51"/>
  <c r="T24" i="51" s="1"/>
  <c r="S31" i="51"/>
  <c r="T31" i="51" s="1"/>
  <c r="R31" i="51"/>
  <c r="S12" i="51"/>
  <c r="T12" i="51" s="1"/>
  <c r="S64" i="51"/>
  <c r="T64" i="51" s="1"/>
  <c r="S40" i="51"/>
  <c r="T40" i="51" s="1"/>
  <c r="S43" i="51"/>
  <c r="T43" i="51" s="1"/>
  <c r="S20" i="51"/>
  <c r="T20" i="51" s="1"/>
  <c r="S52" i="51"/>
  <c r="T52" i="51" s="1"/>
  <c r="S30" i="51"/>
  <c r="T30" i="51" s="1"/>
  <c r="R30" i="51"/>
  <c r="S25" i="51"/>
  <c r="T25" i="51" s="1"/>
  <c r="S61" i="51"/>
  <c r="T61" i="51" s="1"/>
  <c r="R61" i="51"/>
  <c r="S23" i="51"/>
  <c r="T23" i="51" s="1"/>
  <c r="R23" i="51"/>
  <c r="S42" i="51"/>
  <c r="T42" i="51" s="1"/>
  <c r="S16" i="51"/>
  <c r="T16" i="51" s="1"/>
  <c r="S49" i="51"/>
  <c r="T49" i="51" s="1"/>
  <c r="S19" i="51"/>
  <c r="T19" i="51" s="1"/>
  <c r="R19" i="51"/>
  <c r="G72" i="49"/>
  <c r="V63" i="14"/>
  <c r="V12" i="14"/>
  <c r="V24" i="14"/>
  <c r="C28" i="34"/>
  <c r="C11" i="34"/>
  <c r="C63" i="34"/>
  <c r="C20" i="34"/>
  <c r="C33" i="34"/>
  <c r="C48" i="34"/>
  <c r="C56" i="34"/>
  <c r="C47" i="34"/>
  <c r="C18" i="34"/>
  <c r="C23" i="34"/>
  <c r="C35" i="34"/>
  <c r="C24" i="34"/>
  <c r="C43" i="34"/>
  <c r="C10" i="34"/>
  <c r="C16" i="34"/>
  <c r="C62" i="34"/>
  <c r="C13" i="34"/>
  <c r="C21" i="34"/>
  <c r="C14" i="34"/>
  <c r="C38" i="34"/>
  <c r="C51" i="34"/>
  <c r="C30" i="34"/>
  <c r="C22" i="34"/>
  <c r="C8" i="34"/>
  <c r="C44" i="34"/>
  <c r="C34" i="34"/>
  <c r="C17" i="34"/>
  <c r="C25" i="34"/>
  <c r="C41" i="34"/>
  <c r="C40" i="34"/>
  <c r="C58" i="34"/>
  <c r="C54" i="34"/>
  <c r="C26" i="34"/>
  <c r="C27" i="34"/>
  <c r="C61" i="34"/>
  <c r="C37" i="34"/>
  <c r="C15" i="34"/>
  <c r="C50" i="34"/>
  <c r="C12" i="34"/>
  <c r="C32" i="34"/>
  <c r="C45" i="34"/>
  <c r="C52" i="34"/>
  <c r="C42" i="34"/>
  <c r="C53" i="34"/>
  <c r="C57" i="34"/>
  <c r="C29" i="34"/>
  <c r="C60" i="34"/>
  <c r="C19" i="34"/>
  <c r="C31" i="34"/>
  <c r="C9" i="34"/>
  <c r="C7" i="34"/>
  <c r="C36" i="34"/>
  <c r="C39" i="34"/>
  <c r="C55" i="34"/>
  <c r="C46" i="34"/>
  <c r="C49" i="34"/>
  <c r="C59" i="34"/>
  <c r="B21" i="14" l="1"/>
  <c r="B54" i="14"/>
  <c r="B37" i="14"/>
  <c r="B33" i="14"/>
  <c r="B22" i="14"/>
  <c r="B24" i="14"/>
  <c r="B46" i="14"/>
  <c r="B16" i="14"/>
  <c r="B44" i="14"/>
  <c r="B15" i="14"/>
  <c r="B61" i="14"/>
  <c r="B17" i="14"/>
  <c r="B25" i="14"/>
  <c r="B19" i="14"/>
  <c r="B27" i="14"/>
  <c r="B8" i="14"/>
  <c r="B60" i="14"/>
  <c r="B62" i="14"/>
  <c r="B14" i="14"/>
  <c r="B63" i="14"/>
  <c r="B45" i="14"/>
  <c r="B12" i="14"/>
  <c r="B58" i="14"/>
  <c r="B43" i="14"/>
  <c r="B59" i="14"/>
  <c r="B23" i="14"/>
  <c r="B56" i="14"/>
  <c r="B53" i="14"/>
  <c r="B52" i="14"/>
  <c r="B51" i="14"/>
  <c r="B26" i="14"/>
  <c r="B47" i="14"/>
  <c r="B28" i="14"/>
  <c r="B32" i="14"/>
  <c r="B10" i="14"/>
  <c r="B29" i="14"/>
  <c r="B57" i="14"/>
  <c r="B36" i="14"/>
  <c r="B18" i="14"/>
  <c r="B35" i="14"/>
  <c r="B13" i="14"/>
  <c r="B39" i="14"/>
  <c r="B49" i="14"/>
  <c r="B41" i="14"/>
  <c r="B38" i="14"/>
  <c r="B20" i="14"/>
  <c r="B40" i="14"/>
  <c r="B31" i="14"/>
  <c r="B34" i="14"/>
  <c r="B11" i="14"/>
  <c r="B48" i="14"/>
  <c r="B30" i="14"/>
  <c r="B55" i="14"/>
  <c r="B9" i="14"/>
  <c r="B50" i="14"/>
  <c r="B42" i="14"/>
  <c r="B7" i="14"/>
  <c r="E48" i="34"/>
  <c r="F48" i="34" s="1"/>
  <c r="E43" i="34"/>
  <c r="F43" i="34" s="1"/>
  <c r="E46" i="34"/>
  <c r="F46" i="34" s="1"/>
  <c r="B46" i="34"/>
  <c r="E30" i="34"/>
  <c r="F30" i="34" s="1"/>
  <c r="B18" i="34"/>
  <c r="B17" i="34"/>
  <c r="E18" i="34"/>
  <c r="F18" i="34" s="1"/>
  <c r="E39" i="34"/>
  <c r="F39" i="34" s="1"/>
  <c r="B39" i="34"/>
  <c r="B57" i="34"/>
  <c r="E57" i="34"/>
  <c r="F57" i="34" s="1"/>
  <c r="E15" i="34"/>
  <c r="F15" i="34" s="1"/>
  <c r="B15" i="34"/>
  <c r="E40" i="34"/>
  <c r="F40" i="34" s="1"/>
  <c r="E44" i="34"/>
  <c r="F44" i="34" s="1"/>
  <c r="B35" i="34"/>
  <c r="B21" i="34"/>
  <c r="E28" i="34"/>
  <c r="F28" i="34" s="1"/>
  <c r="B47" i="34"/>
  <c r="B23" i="34"/>
  <c r="B48" i="34"/>
  <c r="E58" i="34"/>
  <c r="F58" i="34" s="1"/>
  <c r="B29" i="34"/>
  <c r="E29" i="34"/>
  <c r="F29" i="34" s="1"/>
  <c r="B38" i="34"/>
  <c r="E36" i="34"/>
  <c r="F36" i="34" s="1"/>
  <c r="B36" i="34"/>
  <c r="B53" i="34"/>
  <c r="E53" i="34"/>
  <c r="F53" i="34" s="1"/>
  <c r="B37" i="34"/>
  <c r="E37" i="34"/>
  <c r="F37" i="34" s="1"/>
  <c r="B40" i="34"/>
  <c r="B44" i="34"/>
  <c r="E35" i="34"/>
  <c r="F35" i="34" s="1"/>
  <c r="E21" i="34"/>
  <c r="F21" i="34" s="1"/>
  <c r="B28" i="34"/>
  <c r="E47" i="34"/>
  <c r="F47" i="34" s="1"/>
  <c r="E23" i="34"/>
  <c r="F23" i="34" s="1"/>
  <c r="B60" i="34"/>
  <c r="E60" i="34"/>
  <c r="F60" i="34" s="1"/>
  <c r="B43" i="34"/>
  <c r="B58" i="34"/>
  <c r="B7" i="34"/>
  <c r="E7" i="34"/>
  <c r="F7" i="34" s="1"/>
  <c r="E42" i="34"/>
  <c r="F42" i="34" s="1"/>
  <c r="B42" i="34"/>
  <c r="B61" i="34"/>
  <c r="E61" i="34"/>
  <c r="F61" i="34" s="1"/>
  <c r="E41" i="34"/>
  <c r="F41" i="34" s="1"/>
  <c r="B14" i="34"/>
  <c r="B56" i="34"/>
  <c r="B16" i="34"/>
  <c r="E51" i="34"/>
  <c r="F51" i="34" s="1"/>
  <c r="B20" i="34"/>
  <c r="B33" i="34"/>
  <c r="E63" i="34"/>
  <c r="F63" i="34" s="1"/>
  <c r="B12" i="34"/>
  <c r="E12" i="34"/>
  <c r="F12" i="34" s="1"/>
  <c r="E50" i="34"/>
  <c r="F50" i="34" s="1"/>
  <c r="B50" i="34"/>
  <c r="E9" i="34"/>
  <c r="F9" i="34" s="1"/>
  <c r="B9" i="34"/>
  <c r="E52" i="34"/>
  <c r="F52" i="34" s="1"/>
  <c r="B52" i="34"/>
  <c r="B27" i="34"/>
  <c r="E27" i="34"/>
  <c r="F27" i="34" s="1"/>
  <c r="B41" i="34"/>
  <c r="E14" i="34"/>
  <c r="F14" i="34" s="1"/>
  <c r="E56" i="34"/>
  <c r="F56" i="34" s="1"/>
  <c r="E16" i="34"/>
  <c r="F16" i="34" s="1"/>
  <c r="B51" i="34"/>
  <c r="E20" i="34"/>
  <c r="F20" i="34" s="1"/>
  <c r="E33" i="34"/>
  <c r="F33" i="34" s="1"/>
  <c r="B63" i="34"/>
  <c r="B10" i="34"/>
  <c r="E55" i="34"/>
  <c r="F55" i="34" s="1"/>
  <c r="B55" i="34"/>
  <c r="B30" i="34"/>
  <c r="B59" i="34"/>
  <c r="E59" i="34"/>
  <c r="F59" i="34" s="1"/>
  <c r="B31" i="34"/>
  <c r="E31" i="34"/>
  <c r="F31" i="34" s="1"/>
  <c r="E45" i="34"/>
  <c r="F45" i="34" s="1"/>
  <c r="B45" i="34"/>
  <c r="B26" i="34"/>
  <c r="E26" i="34"/>
  <c r="F26" i="34" s="1"/>
  <c r="E25" i="34"/>
  <c r="F25" i="34" s="1"/>
  <c r="B62" i="34"/>
  <c r="E11" i="34"/>
  <c r="F11" i="34" s="1"/>
  <c r="B24" i="34"/>
  <c r="B13" i="34"/>
  <c r="B34" i="34"/>
  <c r="B22" i="34"/>
  <c r="E8" i="34"/>
  <c r="F8" i="34" s="1"/>
  <c r="E17" i="34"/>
  <c r="F17" i="34" s="1"/>
  <c r="E38" i="34"/>
  <c r="F38" i="34" s="1"/>
  <c r="E10" i="34"/>
  <c r="F10" i="34" s="1"/>
  <c r="B49" i="34"/>
  <c r="E49" i="34"/>
  <c r="F49" i="34" s="1"/>
  <c r="E19" i="34"/>
  <c r="F19" i="34" s="1"/>
  <c r="B19" i="34"/>
  <c r="B32" i="34"/>
  <c r="E32" i="34"/>
  <c r="F32" i="34" s="1"/>
  <c r="B54" i="34"/>
  <c r="E54" i="34"/>
  <c r="F54" i="34" s="1"/>
  <c r="B25" i="34"/>
  <c r="E62" i="34"/>
  <c r="F62" i="34" s="1"/>
  <c r="B11" i="34"/>
  <c r="E24" i="34"/>
  <c r="F24" i="34" s="1"/>
  <c r="E13" i="34"/>
  <c r="F13" i="34" s="1"/>
  <c r="E34" i="34"/>
  <c r="F34" i="34" s="1"/>
  <c r="E22" i="34"/>
  <c r="F22" i="34" s="1"/>
  <c r="B8" i="34"/>
  <c r="O65" i="6" l="1"/>
  <c r="P65" i="6"/>
  <c r="Q65" i="6"/>
  <c r="N65" i="6"/>
  <c r="D6" i="6" l="1"/>
  <c r="C43" i="6" s="1"/>
  <c r="C48" i="6" l="1"/>
  <c r="C45" i="6"/>
  <c r="C9" i="6"/>
  <c r="C55" i="6"/>
  <c r="C33" i="6"/>
  <c r="C27" i="6"/>
  <c r="C61" i="6"/>
  <c r="C54" i="6"/>
  <c r="C17" i="6"/>
  <c r="C34" i="6"/>
  <c r="C57" i="6"/>
  <c r="C62" i="6"/>
  <c r="C26" i="6"/>
  <c r="C36" i="6"/>
  <c r="C12" i="6"/>
  <c r="C18" i="6"/>
  <c r="C20" i="6"/>
  <c r="C52" i="6"/>
  <c r="C23" i="6"/>
  <c r="C35" i="6"/>
  <c r="C42" i="6"/>
  <c r="C56" i="6"/>
  <c r="C41" i="6"/>
  <c r="C58" i="6"/>
  <c r="C60" i="6"/>
  <c r="C50" i="6"/>
  <c r="C32" i="6"/>
  <c r="C24" i="6"/>
  <c r="C14" i="6"/>
  <c r="C13" i="6"/>
  <c r="C10" i="6"/>
  <c r="C53" i="6"/>
  <c r="C30" i="6"/>
  <c r="C28" i="6"/>
  <c r="C22" i="6"/>
  <c r="C25" i="6"/>
  <c r="C44" i="6"/>
  <c r="C15" i="6"/>
  <c r="C29" i="6"/>
  <c r="C8" i="6"/>
  <c r="C46" i="6"/>
  <c r="C47" i="6"/>
  <c r="C59" i="6"/>
  <c r="C63" i="6"/>
  <c r="C11" i="6"/>
  <c r="C40" i="6"/>
  <c r="C19" i="6"/>
  <c r="C37" i="6"/>
  <c r="C39" i="6"/>
  <c r="C51" i="6"/>
  <c r="C21" i="6"/>
  <c r="C49" i="6"/>
  <c r="C38" i="6"/>
  <c r="C31" i="6"/>
  <c r="C16" i="6"/>
  <c r="B34" i="6" l="1"/>
  <c r="B26" i="6"/>
  <c r="B58" i="6"/>
  <c r="B46" i="6"/>
  <c r="B30" i="6"/>
  <c r="B37" i="6"/>
  <c r="B20" i="6"/>
  <c r="B48" i="6"/>
  <c r="B19" i="6"/>
  <c r="B8" i="6"/>
  <c r="B7" i="6"/>
  <c r="B13" i="6"/>
  <c r="B36" i="6"/>
  <c r="B27" i="6"/>
  <c r="B33" i="6"/>
  <c r="B24" i="6"/>
  <c r="B54" i="6"/>
  <c r="B38" i="6"/>
  <c r="B56" i="6"/>
  <c r="B14" i="6"/>
  <c r="B57" i="6"/>
  <c r="B18" i="6"/>
  <c r="B39" i="6"/>
  <c r="B47" i="6"/>
  <c r="B29" i="6"/>
  <c r="B50" i="6"/>
  <c r="B52" i="6"/>
  <c r="B45" i="6"/>
  <c r="B16" i="6"/>
  <c r="B40" i="6"/>
  <c r="B55" i="6"/>
  <c r="B41" i="6"/>
  <c r="B63" i="6"/>
  <c r="B12" i="6"/>
  <c r="B9" i="6"/>
  <c r="B59" i="6"/>
  <c r="B28" i="6"/>
  <c r="B11" i="6"/>
  <c r="B15" i="6"/>
  <c r="B44" i="6"/>
  <c r="B53" i="6"/>
  <c r="B43" i="6"/>
  <c r="B21" i="6"/>
  <c r="B23" i="6"/>
  <c r="B60" i="6"/>
  <c r="B51" i="6"/>
  <c r="B22" i="6"/>
  <c r="B62" i="6"/>
  <c r="B17" i="6"/>
  <c r="B32" i="6"/>
  <c r="B31" i="6"/>
  <c r="B49" i="6"/>
  <c r="B35" i="6"/>
  <c r="B61" i="6"/>
  <c r="B42" i="6"/>
  <c r="B25" i="6"/>
  <c r="B10" i="6"/>
  <c r="G63" i="7" l="1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6" i="7" l="1"/>
  <c r="F40" i="7" s="1"/>
  <c r="C40" i="7" s="1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 l="1"/>
  <c r="C31" i="5" s="1"/>
  <c r="F41" i="7"/>
  <c r="C41" i="7" s="1"/>
  <c r="F62" i="7"/>
  <c r="C62" i="7" s="1"/>
  <c r="F53" i="7"/>
  <c r="C53" i="7" s="1"/>
  <c r="F45" i="7"/>
  <c r="C45" i="7" s="1"/>
  <c r="F19" i="7"/>
  <c r="C19" i="7" s="1"/>
  <c r="F56" i="7"/>
  <c r="C56" i="7" s="1"/>
  <c r="F30" i="7"/>
  <c r="C30" i="7" s="1"/>
  <c r="F48" i="7"/>
  <c r="C48" i="7" s="1"/>
  <c r="F43" i="7"/>
  <c r="C43" i="7" s="1"/>
  <c r="F60" i="7"/>
  <c r="C60" i="7" s="1"/>
  <c r="F58" i="7"/>
  <c r="C58" i="7" s="1"/>
  <c r="F51" i="7"/>
  <c r="C51" i="7" s="1"/>
  <c r="F36" i="7"/>
  <c r="C36" i="7" s="1"/>
  <c r="F29" i="7"/>
  <c r="C29" i="7" s="1"/>
  <c r="F27" i="7"/>
  <c r="C27" i="7" s="1"/>
  <c r="F25" i="7"/>
  <c r="C25" i="7" s="1"/>
  <c r="F16" i="7"/>
  <c r="C16" i="7" s="1"/>
  <c r="F14" i="7"/>
  <c r="C14" i="7" s="1"/>
  <c r="F12" i="7"/>
  <c r="C12" i="7" s="1"/>
  <c r="F10" i="7"/>
  <c r="C10" i="7" s="1"/>
  <c r="F18" i="7"/>
  <c r="C18" i="7" s="1"/>
  <c r="F9" i="7"/>
  <c r="C9" i="7" s="1"/>
  <c r="F54" i="7"/>
  <c r="C54" i="7" s="1"/>
  <c r="F49" i="7"/>
  <c r="C49" i="7" s="1"/>
  <c r="F39" i="7"/>
  <c r="C39" i="7" s="1"/>
  <c r="F38" i="7"/>
  <c r="C38" i="7" s="1"/>
  <c r="F22" i="7"/>
  <c r="C22" i="7" s="1"/>
  <c r="F34" i="7"/>
  <c r="C34" i="7" s="1"/>
  <c r="F32" i="7"/>
  <c r="C32" i="7" s="1"/>
  <c r="F23" i="7"/>
  <c r="C23" i="7" s="1"/>
  <c r="F20" i="7"/>
  <c r="C20" i="7" s="1"/>
  <c r="F59" i="7"/>
  <c r="C59" i="7" s="1"/>
  <c r="F57" i="7"/>
  <c r="C57" i="7" s="1"/>
  <c r="F42" i="7"/>
  <c r="C42" i="7" s="1"/>
  <c r="F28" i="7"/>
  <c r="C28" i="7" s="1"/>
  <c r="F17" i="7"/>
  <c r="C17" i="7" s="1"/>
  <c r="F15" i="7"/>
  <c r="C15" i="7" s="1"/>
  <c r="F13" i="7"/>
  <c r="C13" i="7" s="1"/>
  <c r="F47" i="7"/>
  <c r="C47" i="7" s="1"/>
  <c r="F26" i="7"/>
  <c r="C26" i="7" s="1"/>
  <c r="F8" i="7"/>
  <c r="C8" i="7" s="1"/>
  <c r="F33" i="7"/>
  <c r="C33" i="7" s="1"/>
  <c r="F35" i="7"/>
  <c r="C35" i="7" s="1"/>
  <c r="F24" i="7"/>
  <c r="C24" i="7" s="1"/>
  <c r="F61" i="7"/>
  <c r="C61" i="7" s="1"/>
  <c r="F52" i="7"/>
  <c r="C52" i="7" s="1"/>
  <c r="F63" i="7"/>
  <c r="C63" i="7" s="1"/>
  <c r="F37" i="7"/>
  <c r="C37" i="7" s="1"/>
  <c r="F55" i="7"/>
  <c r="C55" i="7" s="1"/>
  <c r="F11" i="7"/>
  <c r="C11" i="7" s="1"/>
  <c r="F50" i="7"/>
  <c r="C50" i="7" s="1"/>
  <c r="F21" i="7"/>
  <c r="C21" i="7" s="1"/>
  <c r="C7" i="7"/>
  <c r="F31" i="7"/>
  <c r="C31" i="7" s="1"/>
  <c r="F46" i="7"/>
  <c r="C46" i="7" s="1"/>
  <c r="F44" i="7"/>
  <c r="C44" i="7" s="1"/>
  <c r="C17" i="5"/>
  <c r="C24" i="5"/>
  <c r="C9" i="5"/>
  <c r="C30" i="5"/>
  <c r="C18" i="5"/>
  <c r="C48" i="5"/>
  <c r="C61" i="5"/>
  <c r="C53" i="5"/>
  <c r="C45" i="5"/>
  <c r="C37" i="5"/>
  <c r="C29" i="5"/>
  <c r="C11" i="5"/>
  <c r="C44" i="5"/>
  <c r="C36" i="5"/>
  <c r="C28" i="5"/>
  <c r="C22" i="5"/>
  <c r="C21" i="5"/>
  <c r="C40" i="5"/>
  <c r="C7" i="5"/>
  <c r="C32" i="5" l="1"/>
  <c r="C56" i="5"/>
  <c r="C13" i="5"/>
  <c r="C52" i="5"/>
  <c r="C57" i="5"/>
  <c r="C14" i="5"/>
  <c r="C19" i="5"/>
  <c r="C33" i="5"/>
  <c r="C35" i="5"/>
  <c r="C43" i="5"/>
  <c r="C51" i="5"/>
  <c r="C50" i="5"/>
  <c r="C20" i="5"/>
  <c r="C60" i="5"/>
  <c r="C34" i="5"/>
  <c r="C41" i="5"/>
  <c r="C15" i="5"/>
  <c r="C49" i="5"/>
  <c r="C26" i="5"/>
  <c r="C8" i="5"/>
  <c r="C55" i="5"/>
  <c r="C54" i="5"/>
  <c r="C38" i="5"/>
  <c r="C23" i="5"/>
  <c r="C59" i="5"/>
  <c r="C39" i="5"/>
  <c r="C16" i="5"/>
  <c r="C10" i="5"/>
  <c r="C58" i="5"/>
  <c r="C62" i="5"/>
  <c r="C12" i="5"/>
  <c r="C47" i="5"/>
  <c r="C42" i="5"/>
  <c r="C46" i="5"/>
  <c r="C25" i="5"/>
  <c r="C63" i="5"/>
  <c r="B46" i="7"/>
  <c r="B63" i="7"/>
  <c r="B47" i="7"/>
  <c r="B20" i="7"/>
  <c r="B54" i="7"/>
  <c r="B27" i="7"/>
  <c r="B30" i="7"/>
  <c r="B13" i="7"/>
  <c r="B23" i="7"/>
  <c r="B9" i="7"/>
  <c r="B29" i="7"/>
  <c r="B56" i="7"/>
  <c r="B7" i="7"/>
  <c r="C65" i="7"/>
  <c r="B15" i="7"/>
  <c r="B32" i="7"/>
  <c r="B18" i="7"/>
  <c r="B36" i="7"/>
  <c r="B19" i="7"/>
  <c r="B31" i="7"/>
  <c r="B61" i="7"/>
  <c r="B21" i="7"/>
  <c r="B24" i="7"/>
  <c r="B17" i="7"/>
  <c r="B34" i="7"/>
  <c r="B10" i="7"/>
  <c r="B51" i="7"/>
  <c r="B45" i="7"/>
  <c r="B50" i="7"/>
  <c r="B35" i="7"/>
  <c r="B28" i="7"/>
  <c r="B22" i="7"/>
  <c r="B12" i="7"/>
  <c r="B58" i="7"/>
  <c r="B53" i="7"/>
  <c r="B52" i="7"/>
  <c r="B11" i="7"/>
  <c r="B33" i="7"/>
  <c r="B42" i="7"/>
  <c r="B38" i="7"/>
  <c r="B14" i="7"/>
  <c r="B60" i="7"/>
  <c r="B62" i="7"/>
  <c r="B55" i="7"/>
  <c r="B57" i="7"/>
  <c r="B16" i="7"/>
  <c r="B43" i="7"/>
  <c r="B41" i="7"/>
  <c r="B8" i="7"/>
  <c r="B39" i="7"/>
  <c r="B44" i="7"/>
  <c r="B37" i="7"/>
  <c r="B26" i="7"/>
  <c r="B59" i="7"/>
  <c r="B49" i="7"/>
  <c r="B25" i="7"/>
  <c r="B48" i="7"/>
  <c r="B40" i="7"/>
  <c r="C53" i="8" l="1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62" i="8"/>
  <c r="C23" i="8"/>
  <c r="C40" i="8"/>
  <c r="C39" i="8"/>
  <c r="C61" i="8"/>
  <c r="C25" i="8"/>
  <c r="C36" i="8"/>
  <c r="C46" i="8"/>
  <c r="C47" i="8"/>
  <c r="C51" i="8"/>
  <c r="C54" i="8"/>
  <c r="C59" i="8"/>
  <c r="C60" i="8"/>
  <c r="C63" i="8"/>
  <c r="C24" i="8"/>
  <c r="C27" i="8"/>
  <c r="C28" i="8"/>
  <c r="C29" i="8"/>
  <c r="C31" i="8"/>
  <c r="C37" i="8"/>
  <c r="C41" i="8"/>
  <c r="C43" i="8"/>
  <c r="C44" i="8"/>
  <c r="C45" i="8"/>
  <c r="C48" i="8"/>
  <c r="C49" i="8"/>
  <c r="C50" i="8"/>
  <c r="C55" i="8"/>
  <c r="C57" i="8"/>
  <c r="C26" i="8"/>
  <c r="C30" i="8"/>
  <c r="C32" i="8"/>
  <c r="C33" i="8"/>
  <c r="C34" i="8"/>
  <c r="C35" i="8"/>
  <c r="C38" i="8"/>
  <c r="C42" i="8"/>
  <c r="C52" i="8"/>
  <c r="C56" i="8"/>
  <c r="C58" i="8"/>
  <c r="S64" i="4"/>
  <c r="T64" i="4"/>
  <c r="U64" i="4"/>
  <c r="V64" i="4"/>
  <c r="W64" i="4"/>
  <c r="X64" i="4"/>
  <c r="Y64" i="4"/>
  <c r="Z64" i="4"/>
  <c r="AA64" i="4"/>
  <c r="AB64" i="4"/>
  <c r="S63" i="4"/>
  <c r="T63" i="4"/>
  <c r="U63" i="4"/>
  <c r="V63" i="4"/>
  <c r="W63" i="4"/>
  <c r="X63" i="4"/>
  <c r="Y63" i="4"/>
  <c r="Z63" i="4"/>
  <c r="AA63" i="4"/>
  <c r="AB63" i="4"/>
  <c r="S62" i="4"/>
  <c r="T62" i="4"/>
  <c r="U62" i="4"/>
  <c r="V62" i="4"/>
  <c r="W62" i="4"/>
  <c r="X62" i="4"/>
  <c r="Y62" i="4"/>
  <c r="Z62" i="4"/>
  <c r="AA62" i="4"/>
  <c r="AB62" i="4"/>
  <c r="T61" i="4"/>
  <c r="U61" i="4"/>
  <c r="V61" i="4"/>
  <c r="W61" i="4"/>
  <c r="X61" i="4"/>
  <c r="Y61" i="4"/>
  <c r="Z61" i="4"/>
  <c r="AA61" i="4"/>
  <c r="AB61" i="4"/>
  <c r="S60" i="4"/>
  <c r="T60" i="4"/>
  <c r="U60" i="4"/>
  <c r="V60" i="4"/>
  <c r="W60" i="4"/>
  <c r="X60" i="4"/>
  <c r="Y60" i="4"/>
  <c r="Z60" i="4"/>
  <c r="AA60" i="4"/>
  <c r="AB60" i="4"/>
  <c r="S59" i="4"/>
  <c r="T59" i="4"/>
  <c r="U59" i="4"/>
  <c r="V59" i="4"/>
  <c r="W59" i="4"/>
  <c r="X59" i="4"/>
  <c r="Y59" i="4"/>
  <c r="Z59" i="4"/>
  <c r="AA59" i="4"/>
  <c r="AB59" i="4"/>
  <c r="S58" i="4"/>
  <c r="T58" i="4"/>
  <c r="U58" i="4"/>
  <c r="V58" i="4"/>
  <c r="W58" i="4"/>
  <c r="X58" i="4"/>
  <c r="Y58" i="4"/>
  <c r="Z58" i="4"/>
  <c r="AA58" i="4"/>
  <c r="AB58" i="4"/>
  <c r="S57" i="4"/>
  <c r="T57" i="4"/>
  <c r="U57" i="4"/>
  <c r="V57" i="4"/>
  <c r="W57" i="4"/>
  <c r="X57" i="4"/>
  <c r="Y57" i="4"/>
  <c r="Z57" i="4"/>
  <c r="AA57" i="4"/>
  <c r="AB57" i="4"/>
  <c r="S56" i="4"/>
  <c r="T56" i="4"/>
  <c r="U56" i="4"/>
  <c r="V56" i="4"/>
  <c r="W56" i="4"/>
  <c r="X56" i="4"/>
  <c r="Y56" i="4"/>
  <c r="Z56" i="4"/>
  <c r="AA56" i="4"/>
  <c r="AB56" i="4"/>
  <c r="S55" i="4"/>
  <c r="T55" i="4"/>
  <c r="U55" i="4"/>
  <c r="V55" i="4"/>
  <c r="W55" i="4"/>
  <c r="X55" i="4"/>
  <c r="Y55" i="4"/>
  <c r="Z55" i="4"/>
  <c r="AA55" i="4"/>
  <c r="AB55" i="4"/>
  <c r="S54" i="4"/>
  <c r="T54" i="4"/>
  <c r="U54" i="4"/>
  <c r="V54" i="4"/>
  <c r="W54" i="4"/>
  <c r="X54" i="4"/>
  <c r="Y54" i="4"/>
  <c r="Z54" i="4"/>
  <c r="AA54" i="4"/>
  <c r="AB54" i="4"/>
  <c r="S53" i="4"/>
  <c r="T53" i="4"/>
  <c r="U53" i="4"/>
  <c r="V53" i="4"/>
  <c r="W53" i="4"/>
  <c r="X53" i="4"/>
  <c r="Y53" i="4"/>
  <c r="Z53" i="4"/>
  <c r="AA53" i="4"/>
  <c r="AB53" i="4"/>
  <c r="S52" i="4"/>
  <c r="T52" i="4"/>
  <c r="U52" i="4"/>
  <c r="V52" i="4"/>
  <c r="W52" i="4"/>
  <c r="X52" i="4"/>
  <c r="Y52" i="4"/>
  <c r="Z52" i="4"/>
  <c r="AA52" i="4"/>
  <c r="AB52" i="4"/>
  <c r="S51" i="4"/>
  <c r="T51" i="4"/>
  <c r="U51" i="4"/>
  <c r="V51" i="4"/>
  <c r="W51" i="4"/>
  <c r="X51" i="4"/>
  <c r="Y51" i="4"/>
  <c r="Z51" i="4"/>
  <c r="AA51" i="4"/>
  <c r="AB51" i="4"/>
  <c r="S50" i="4"/>
  <c r="T50" i="4"/>
  <c r="U50" i="4"/>
  <c r="V50" i="4"/>
  <c r="W50" i="4"/>
  <c r="X50" i="4"/>
  <c r="Y50" i="4"/>
  <c r="Z50" i="4"/>
  <c r="AA50" i="4"/>
  <c r="AB50" i="4"/>
  <c r="S49" i="4"/>
  <c r="T49" i="4"/>
  <c r="U49" i="4"/>
  <c r="V49" i="4"/>
  <c r="W49" i="4"/>
  <c r="X49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Y49" i="4"/>
  <c r="Z49" i="4"/>
  <c r="AA49" i="4"/>
  <c r="AA37" i="4"/>
  <c r="AA29" i="4"/>
  <c r="AA17" i="4"/>
  <c r="AA23" i="4"/>
  <c r="AA12" i="4"/>
  <c r="AA40" i="4"/>
  <c r="AA16" i="4"/>
  <c r="AA22" i="4"/>
  <c r="AA43" i="4"/>
  <c r="AA25" i="4"/>
  <c r="AA11" i="4"/>
  <c r="AA10" i="4"/>
  <c r="AA44" i="4"/>
  <c r="AA30" i="4"/>
  <c r="AA42" i="4"/>
  <c r="AA36" i="4"/>
  <c r="AA45" i="4"/>
  <c r="AA19" i="4"/>
  <c r="AA39" i="4"/>
  <c r="AA35" i="4"/>
  <c r="AA46" i="4"/>
  <c r="AA28" i="4"/>
  <c r="AA32" i="4"/>
  <c r="AA26" i="4"/>
  <c r="AA48" i="4"/>
  <c r="AA27" i="4"/>
  <c r="AA21" i="4"/>
  <c r="AA20" i="4"/>
  <c r="AA33" i="4"/>
  <c r="AA15" i="4"/>
  <c r="AA47" i="4"/>
  <c r="AA18" i="4"/>
  <c r="AA38" i="4"/>
  <c r="AA14" i="4"/>
  <c r="AA8" i="4"/>
  <c r="AA34" i="4"/>
  <c r="AA31" i="4"/>
  <c r="AA24" i="4"/>
  <c r="AA13" i="4"/>
  <c r="AA9" i="4"/>
  <c r="AA41" i="4"/>
  <c r="AB49" i="4"/>
  <c r="S48" i="4"/>
  <c r="T48" i="4"/>
  <c r="U48" i="4"/>
  <c r="V48" i="4"/>
  <c r="W48" i="4"/>
  <c r="Y48" i="4"/>
  <c r="Z48" i="4"/>
  <c r="AB48" i="4"/>
  <c r="S47" i="4"/>
  <c r="T47" i="4"/>
  <c r="U47" i="4"/>
  <c r="V47" i="4"/>
  <c r="W47" i="4"/>
  <c r="Y47" i="4"/>
  <c r="Z47" i="4"/>
  <c r="AB47" i="4"/>
  <c r="S46" i="4"/>
  <c r="T46" i="4"/>
  <c r="U46" i="4"/>
  <c r="V46" i="4"/>
  <c r="W46" i="4"/>
  <c r="Y46" i="4"/>
  <c r="Z46" i="4"/>
  <c r="AB46" i="4"/>
  <c r="S45" i="4"/>
  <c r="T45" i="4"/>
  <c r="U45" i="4"/>
  <c r="V45" i="4"/>
  <c r="W45" i="4"/>
  <c r="Y45" i="4"/>
  <c r="Z45" i="4"/>
  <c r="AB45" i="4"/>
  <c r="S44" i="4"/>
  <c r="T44" i="4"/>
  <c r="U44" i="4"/>
  <c r="V44" i="4"/>
  <c r="W44" i="4"/>
  <c r="Y44" i="4"/>
  <c r="Z44" i="4"/>
  <c r="AB44" i="4"/>
  <c r="S43" i="4"/>
  <c r="T43" i="4"/>
  <c r="U43" i="4"/>
  <c r="V43" i="4"/>
  <c r="W43" i="4"/>
  <c r="Y43" i="4"/>
  <c r="Z43" i="4"/>
  <c r="AB43" i="4"/>
  <c r="S42" i="4"/>
  <c r="T42" i="4"/>
  <c r="U42" i="4"/>
  <c r="V42" i="4"/>
  <c r="W42" i="4"/>
  <c r="Y42" i="4"/>
  <c r="Z42" i="4"/>
  <c r="AB42" i="4"/>
  <c r="S41" i="4"/>
  <c r="T41" i="4"/>
  <c r="U41" i="4"/>
  <c r="V41" i="4"/>
  <c r="W41" i="4"/>
  <c r="Y41" i="4"/>
  <c r="Z41" i="4"/>
  <c r="AB41" i="4"/>
  <c r="S40" i="4"/>
  <c r="T40" i="4"/>
  <c r="U40" i="4"/>
  <c r="V40" i="4"/>
  <c r="W40" i="4"/>
  <c r="Y40" i="4"/>
  <c r="Z40" i="4"/>
  <c r="AB40" i="4"/>
  <c r="S39" i="4"/>
  <c r="T39" i="4"/>
  <c r="U39" i="4"/>
  <c r="V39" i="4"/>
  <c r="W39" i="4"/>
  <c r="Y39" i="4"/>
  <c r="Z39" i="4"/>
  <c r="AB39" i="4"/>
  <c r="S38" i="4"/>
  <c r="T38" i="4"/>
  <c r="U38" i="4"/>
  <c r="V38" i="4"/>
  <c r="W38" i="4"/>
  <c r="Y38" i="4"/>
  <c r="Z38" i="4"/>
  <c r="AB38" i="4"/>
  <c r="S37" i="4"/>
  <c r="T37" i="4"/>
  <c r="U37" i="4"/>
  <c r="V37" i="4"/>
  <c r="W37" i="4"/>
  <c r="Y37" i="4"/>
  <c r="Z37" i="4"/>
  <c r="AB37" i="4"/>
  <c r="S36" i="4"/>
  <c r="T36" i="4"/>
  <c r="U36" i="4"/>
  <c r="V36" i="4"/>
  <c r="W36" i="4"/>
  <c r="Y36" i="4"/>
  <c r="Z36" i="4"/>
  <c r="AB36" i="4"/>
  <c r="S35" i="4"/>
  <c r="T35" i="4"/>
  <c r="U35" i="4"/>
  <c r="V35" i="4"/>
  <c r="W35" i="4"/>
  <c r="Y35" i="4"/>
  <c r="Z35" i="4"/>
  <c r="AB35" i="4"/>
  <c r="S34" i="4"/>
  <c r="T34" i="4"/>
  <c r="U34" i="4"/>
  <c r="V34" i="4"/>
  <c r="W34" i="4"/>
  <c r="Y34" i="4"/>
  <c r="Z34" i="4"/>
  <c r="AB34" i="4"/>
  <c r="S33" i="4"/>
  <c r="T33" i="4"/>
  <c r="U33" i="4"/>
  <c r="V33" i="4"/>
  <c r="W33" i="4"/>
  <c r="Y33" i="4"/>
  <c r="Z33" i="4"/>
  <c r="AB33" i="4"/>
  <c r="S32" i="4"/>
  <c r="T32" i="4"/>
  <c r="U32" i="4"/>
  <c r="V32" i="4"/>
  <c r="W32" i="4"/>
  <c r="Y32" i="4"/>
  <c r="Z32" i="4"/>
  <c r="AB32" i="4"/>
  <c r="S31" i="4"/>
  <c r="T31" i="4"/>
  <c r="U31" i="4"/>
  <c r="V31" i="4"/>
  <c r="W31" i="4"/>
  <c r="Y31" i="4"/>
  <c r="Z31" i="4"/>
  <c r="AB31" i="4"/>
  <c r="S30" i="4"/>
  <c r="T30" i="4"/>
  <c r="U30" i="4"/>
  <c r="V30" i="4"/>
  <c r="W30" i="4"/>
  <c r="Y30" i="4"/>
  <c r="Z30" i="4"/>
  <c r="AB30" i="4"/>
  <c r="S29" i="4"/>
  <c r="T29" i="4"/>
  <c r="U29" i="4"/>
  <c r="U8" i="4"/>
  <c r="U10" i="4"/>
  <c r="U11" i="4"/>
  <c r="U12" i="4"/>
  <c r="S12" i="4"/>
  <c r="T12" i="4"/>
  <c r="V12" i="4"/>
  <c r="W12" i="4"/>
  <c r="Y12" i="4"/>
  <c r="Z12" i="4"/>
  <c r="AB12" i="4"/>
  <c r="U13" i="4"/>
  <c r="U14" i="4"/>
  <c r="U15" i="4"/>
  <c r="U16" i="4"/>
  <c r="U17" i="4"/>
  <c r="U18" i="4"/>
  <c r="S18" i="4"/>
  <c r="T18" i="4"/>
  <c r="V18" i="4"/>
  <c r="W18" i="4"/>
  <c r="Y18" i="4"/>
  <c r="Z18" i="4"/>
  <c r="AB18" i="4"/>
  <c r="U19" i="4"/>
  <c r="U20" i="4"/>
  <c r="U21" i="4"/>
  <c r="U22" i="4"/>
  <c r="U23" i="4"/>
  <c r="U24" i="4"/>
  <c r="U25" i="4"/>
  <c r="U26" i="4"/>
  <c r="U27" i="4"/>
  <c r="U28" i="4"/>
  <c r="V29" i="4"/>
  <c r="W29" i="4"/>
  <c r="Y29" i="4"/>
  <c r="Y17" i="4"/>
  <c r="Y23" i="4"/>
  <c r="Y16" i="4"/>
  <c r="Y22" i="4"/>
  <c r="Y25" i="4"/>
  <c r="Y11" i="4"/>
  <c r="Y10" i="4"/>
  <c r="Y19" i="4"/>
  <c r="Y28" i="4"/>
  <c r="Y26" i="4"/>
  <c r="Y27" i="4"/>
  <c r="Y21" i="4"/>
  <c r="Y20" i="4"/>
  <c r="Y15" i="4"/>
  <c r="Y14" i="4"/>
  <c r="Y8" i="4"/>
  <c r="Y24" i="4"/>
  <c r="Y13" i="4"/>
  <c r="Y9" i="4"/>
  <c r="Z29" i="4"/>
  <c r="AB29" i="4"/>
  <c r="S28" i="4"/>
  <c r="T28" i="4"/>
  <c r="V28" i="4"/>
  <c r="W28" i="4"/>
  <c r="Z28" i="4"/>
  <c r="AB28" i="4"/>
  <c r="S27" i="4"/>
  <c r="T27" i="4"/>
  <c r="V27" i="4"/>
  <c r="W27" i="4"/>
  <c r="Z27" i="4"/>
  <c r="AB27" i="4"/>
  <c r="S26" i="4"/>
  <c r="T26" i="4"/>
  <c r="V26" i="4"/>
  <c r="W26" i="4"/>
  <c r="Z26" i="4"/>
  <c r="AB26" i="4"/>
  <c r="S25" i="4"/>
  <c r="T25" i="4"/>
  <c r="V25" i="4"/>
  <c r="W25" i="4"/>
  <c r="Z25" i="4"/>
  <c r="AB25" i="4"/>
  <c r="S24" i="4"/>
  <c r="T24" i="4"/>
  <c r="V24" i="4"/>
  <c r="W24" i="4"/>
  <c r="Z24" i="4"/>
  <c r="AB24" i="4"/>
  <c r="S23" i="4"/>
  <c r="T23" i="4"/>
  <c r="V23" i="4"/>
  <c r="W23" i="4"/>
  <c r="Z23" i="4"/>
  <c r="AB23" i="4"/>
  <c r="S22" i="4"/>
  <c r="T22" i="4"/>
  <c r="V22" i="4"/>
  <c r="W22" i="4"/>
  <c r="Z22" i="4"/>
  <c r="AB22" i="4"/>
  <c r="S21" i="4"/>
  <c r="T21" i="4"/>
  <c r="V21" i="4"/>
  <c r="W21" i="4"/>
  <c r="Z21" i="4"/>
  <c r="AB21" i="4"/>
  <c r="S20" i="4"/>
  <c r="T20" i="4"/>
  <c r="V20" i="4"/>
  <c r="W20" i="4"/>
  <c r="Z20" i="4"/>
  <c r="AB20" i="4"/>
  <c r="S19" i="4"/>
  <c r="T19" i="4"/>
  <c r="V19" i="4"/>
  <c r="W19" i="4"/>
  <c r="Z19" i="4"/>
  <c r="AB19" i="4"/>
  <c r="S17" i="4"/>
  <c r="T17" i="4"/>
  <c r="V17" i="4"/>
  <c r="W17" i="4"/>
  <c r="Z17" i="4"/>
  <c r="AB17" i="4"/>
  <c r="S16" i="4"/>
  <c r="T16" i="4"/>
  <c r="V16" i="4"/>
  <c r="W16" i="4"/>
  <c r="Z16" i="4"/>
  <c r="AB16" i="4"/>
  <c r="S15" i="4"/>
  <c r="T15" i="4"/>
  <c r="V15" i="4"/>
  <c r="W15" i="4"/>
  <c r="Z15" i="4"/>
  <c r="AB15" i="4"/>
  <c r="S14" i="4"/>
  <c r="T14" i="4"/>
  <c r="V14" i="4"/>
  <c r="W14" i="4"/>
  <c r="Z14" i="4"/>
  <c r="AB14" i="4"/>
  <c r="S13" i="4"/>
  <c r="T13" i="4"/>
  <c r="V13" i="4"/>
  <c r="W13" i="4"/>
  <c r="Z13" i="4"/>
  <c r="AB13" i="4"/>
  <c r="S11" i="4"/>
  <c r="T11" i="4"/>
  <c r="V11" i="4"/>
  <c r="W11" i="4"/>
  <c r="Z11" i="4"/>
  <c r="AB11" i="4"/>
  <c r="S10" i="4"/>
  <c r="T10" i="4"/>
  <c r="V10" i="4"/>
  <c r="W10" i="4"/>
  <c r="Z10" i="4"/>
  <c r="AB10" i="4"/>
  <c r="S9" i="4"/>
  <c r="T9" i="4"/>
  <c r="V9" i="4"/>
  <c r="W9" i="4"/>
  <c r="Z9" i="4"/>
  <c r="AB9" i="4"/>
  <c r="T8" i="4"/>
  <c r="V8" i="4"/>
  <c r="W8" i="4"/>
  <c r="Z8" i="4"/>
  <c r="AB8" i="4"/>
  <c r="W7" i="8"/>
  <c r="X7" i="8"/>
  <c r="Y7" i="8"/>
  <c r="Z7" i="8"/>
  <c r="AA7" i="8"/>
  <c r="AC7" i="8"/>
  <c r="AD7" i="8"/>
  <c r="AE7" i="8"/>
  <c r="AF7" i="8"/>
  <c r="AG7" i="8"/>
  <c r="AR7" i="8"/>
  <c r="AS7" i="8"/>
  <c r="AT7" i="8"/>
  <c r="AV7" i="8"/>
  <c r="AW7" i="8"/>
  <c r="AX7" i="8"/>
  <c r="AG63" i="8"/>
  <c r="AF63" i="8"/>
  <c r="AE63" i="8"/>
  <c r="AD63" i="8"/>
  <c r="AC63" i="8"/>
  <c r="AA63" i="8"/>
  <c r="Z63" i="8"/>
  <c r="Y63" i="8"/>
  <c r="X63" i="8"/>
  <c r="W63" i="8"/>
  <c r="AG62" i="8"/>
  <c r="AF62" i="8"/>
  <c r="AE62" i="8"/>
  <c r="AD62" i="8"/>
  <c r="AC62" i="8"/>
  <c r="AA62" i="8"/>
  <c r="Z62" i="8"/>
  <c r="Y62" i="8"/>
  <c r="X62" i="8"/>
  <c r="W62" i="8"/>
  <c r="AG61" i="8"/>
  <c r="AF61" i="8"/>
  <c r="AE61" i="8"/>
  <c r="AD61" i="8"/>
  <c r="AC61" i="8"/>
  <c r="AA61" i="8"/>
  <c r="Z61" i="8"/>
  <c r="Y61" i="8"/>
  <c r="X61" i="8"/>
  <c r="W61" i="8"/>
  <c r="AG60" i="8"/>
  <c r="AF60" i="8"/>
  <c r="AE60" i="8"/>
  <c r="AD60" i="8"/>
  <c r="AC60" i="8"/>
  <c r="AA60" i="8"/>
  <c r="Z60" i="8"/>
  <c r="Y60" i="8"/>
  <c r="X60" i="8"/>
  <c r="W60" i="8"/>
  <c r="AG59" i="8"/>
  <c r="AF59" i="8"/>
  <c r="AE59" i="8"/>
  <c r="AD59" i="8"/>
  <c r="AC59" i="8"/>
  <c r="AA59" i="8"/>
  <c r="Z59" i="8"/>
  <c r="Y59" i="8"/>
  <c r="X59" i="8"/>
  <c r="W59" i="8"/>
  <c r="AG58" i="8"/>
  <c r="AF58" i="8"/>
  <c r="AE58" i="8"/>
  <c r="AD58" i="8"/>
  <c r="AC58" i="8"/>
  <c r="AA58" i="8"/>
  <c r="Z58" i="8"/>
  <c r="Y58" i="8"/>
  <c r="X58" i="8"/>
  <c r="W58" i="8"/>
  <c r="AG57" i="8"/>
  <c r="AF57" i="8"/>
  <c r="AE57" i="8"/>
  <c r="AD57" i="8"/>
  <c r="AC57" i="8"/>
  <c r="AA57" i="8"/>
  <c r="Z57" i="8"/>
  <c r="Y57" i="8"/>
  <c r="X57" i="8"/>
  <c r="W57" i="8"/>
  <c r="AG56" i="8"/>
  <c r="AF56" i="8"/>
  <c r="AE56" i="8"/>
  <c r="AD56" i="8"/>
  <c r="AC56" i="8"/>
  <c r="AA56" i="8"/>
  <c r="Z56" i="8"/>
  <c r="Y56" i="8"/>
  <c r="X56" i="8"/>
  <c r="W56" i="8"/>
  <c r="AG55" i="8"/>
  <c r="AF55" i="8"/>
  <c r="AE55" i="8"/>
  <c r="AD55" i="8"/>
  <c r="AC55" i="8"/>
  <c r="AA55" i="8"/>
  <c r="Z55" i="8"/>
  <c r="Y55" i="8"/>
  <c r="X55" i="8"/>
  <c r="W55" i="8"/>
  <c r="AG54" i="8"/>
  <c r="AF54" i="8"/>
  <c r="AE54" i="8"/>
  <c r="AD54" i="8"/>
  <c r="AC54" i="8"/>
  <c r="AA54" i="8"/>
  <c r="Z54" i="8"/>
  <c r="Y54" i="8"/>
  <c r="X54" i="8"/>
  <c r="W54" i="8"/>
  <c r="AG53" i="8"/>
  <c r="AF53" i="8"/>
  <c r="AE53" i="8"/>
  <c r="AD53" i="8"/>
  <c r="AC53" i="8"/>
  <c r="AA53" i="8"/>
  <c r="Z53" i="8"/>
  <c r="Y53" i="8"/>
  <c r="X53" i="8"/>
  <c r="W53" i="8"/>
  <c r="AG52" i="8"/>
  <c r="AF52" i="8"/>
  <c r="AE52" i="8"/>
  <c r="AD52" i="8"/>
  <c r="AC52" i="8"/>
  <c r="AA52" i="8"/>
  <c r="Z52" i="8"/>
  <c r="Y52" i="8"/>
  <c r="X52" i="8"/>
  <c r="W52" i="8"/>
  <c r="AG51" i="8"/>
  <c r="AF51" i="8"/>
  <c r="AE51" i="8"/>
  <c r="AD51" i="8"/>
  <c r="AC51" i="8"/>
  <c r="AA51" i="8"/>
  <c r="Z51" i="8"/>
  <c r="Y51" i="8"/>
  <c r="X51" i="8"/>
  <c r="W51" i="8"/>
  <c r="AG50" i="8"/>
  <c r="AF50" i="8"/>
  <c r="AE50" i="8"/>
  <c r="AD50" i="8"/>
  <c r="AC50" i="8"/>
  <c r="AA50" i="8"/>
  <c r="Z50" i="8"/>
  <c r="Y50" i="8"/>
  <c r="X50" i="8"/>
  <c r="W50" i="8"/>
  <c r="AG49" i="8"/>
  <c r="AF49" i="8"/>
  <c r="AE49" i="8"/>
  <c r="AD49" i="8"/>
  <c r="AC49" i="8"/>
  <c r="AA49" i="8"/>
  <c r="Z49" i="8"/>
  <c r="Y49" i="8"/>
  <c r="X49" i="8"/>
  <c r="W49" i="8"/>
  <c r="AG48" i="8"/>
  <c r="AF48" i="8"/>
  <c r="AE48" i="8"/>
  <c r="AD48" i="8"/>
  <c r="AC48" i="8"/>
  <c r="AA48" i="8"/>
  <c r="Z48" i="8"/>
  <c r="Y48" i="8"/>
  <c r="X48" i="8"/>
  <c r="W48" i="8"/>
  <c r="AG47" i="8"/>
  <c r="AF47" i="8"/>
  <c r="AE47" i="8"/>
  <c r="AD47" i="8"/>
  <c r="AC47" i="8"/>
  <c r="AA47" i="8"/>
  <c r="Z47" i="8"/>
  <c r="Y47" i="8"/>
  <c r="X47" i="8"/>
  <c r="W47" i="8"/>
  <c r="AG46" i="8"/>
  <c r="AF46" i="8"/>
  <c r="AE46" i="8"/>
  <c r="AD46" i="8"/>
  <c r="AC46" i="8"/>
  <c r="AA46" i="8"/>
  <c r="Z46" i="8"/>
  <c r="Y46" i="8"/>
  <c r="X46" i="8"/>
  <c r="W46" i="8"/>
  <c r="AG45" i="8"/>
  <c r="AF45" i="8"/>
  <c r="AE45" i="8"/>
  <c r="AD45" i="8"/>
  <c r="AC45" i="8"/>
  <c r="AA45" i="8"/>
  <c r="Z45" i="8"/>
  <c r="Y45" i="8"/>
  <c r="X45" i="8"/>
  <c r="W45" i="8"/>
  <c r="AG44" i="8"/>
  <c r="AF44" i="8"/>
  <c r="AE44" i="8"/>
  <c r="AD44" i="8"/>
  <c r="AC44" i="8"/>
  <c r="AA44" i="8"/>
  <c r="Z44" i="8"/>
  <c r="Y44" i="8"/>
  <c r="X44" i="8"/>
  <c r="W44" i="8"/>
  <c r="AG43" i="8"/>
  <c r="AF43" i="8"/>
  <c r="AE43" i="8"/>
  <c r="AD43" i="8"/>
  <c r="AC43" i="8"/>
  <c r="AA43" i="8"/>
  <c r="Z43" i="8"/>
  <c r="Y43" i="8"/>
  <c r="X43" i="8"/>
  <c r="W43" i="8"/>
  <c r="AG42" i="8"/>
  <c r="AF42" i="8"/>
  <c r="AE42" i="8"/>
  <c r="AD42" i="8"/>
  <c r="AC42" i="8"/>
  <c r="AA42" i="8"/>
  <c r="Z42" i="8"/>
  <c r="Y42" i="8"/>
  <c r="X42" i="8"/>
  <c r="W42" i="8"/>
  <c r="AG41" i="8"/>
  <c r="AF41" i="8"/>
  <c r="AE41" i="8"/>
  <c r="AD41" i="8"/>
  <c r="AC41" i="8"/>
  <c r="AA41" i="8"/>
  <c r="Z41" i="8"/>
  <c r="Y41" i="8"/>
  <c r="X41" i="8"/>
  <c r="W41" i="8"/>
  <c r="AG40" i="8"/>
  <c r="AF40" i="8"/>
  <c r="AE40" i="8"/>
  <c r="AD40" i="8"/>
  <c r="AC40" i="8"/>
  <c r="AA40" i="8"/>
  <c r="Z40" i="8"/>
  <c r="Y40" i="8"/>
  <c r="X40" i="8"/>
  <c r="W40" i="8"/>
  <c r="AG39" i="8"/>
  <c r="AF39" i="8"/>
  <c r="AE39" i="8"/>
  <c r="AD39" i="8"/>
  <c r="AC39" i="8"/>
  <c r="AA39" i="8"/>
  <c r="Z39" i="8"/>
  <c r="Y39" i="8"/>
  <c r="X39" i="8"/>
  <c r="W39" i="8"/>
  <c r="AG38" i="8"/>
  <c r="AF38" i="8"/>
  <c r="AE38" i="8"/>
  <c r="AD38" i="8"/>
  <c r="AC38" i="8"/>
  <c r="AA38" i="8"/>
  <c r="Z38" i="8"/>
  <c r="Y38" i="8"/>
  <c r="X38" i="8"/>
  <c r="W38" i="8"/>
  <c r="AG37" i="8"/>
  <c r="AF37" i="8"/>
  <c r="AE37" i="8"/>
  <c r="AD37" i="8"/>
  <c r="AC37" i="8"/>
  <c r="AA37" i="8"/>
  <c r="Z37" i="8"/>
  <c r="Y37" i="8"/>
  <c r="X37" i="8"/>
  <c r="W37" i="8"/>
  <c r="AG36" i="8"/>
  <c r="AF36" i="8"/>
  <c r="AE36" i="8"/>
  <c r="AD36" i="8"/>
  <c r="AC36" i="8"/>
  <c r="AA36" i="8"/>
  <c r="Z36" i="8"/>
  <c r="Y36" i="8"/>
  <c r="X36" i="8"/>
  <c r="W36" i="8"/>
  <c r="AG35" i="8"/>
  <c r="AF35" i="8"/>
  <c r="AE35" i="8"/>
  <c r="AD35" i="8"/>
  <c r="AC35" i="8"/>
  <c r="AA35" i="8"/>
  <c r="Z35" i="8"/>
  <c r="Y35" i="8"/>
  <c r="X35" i="8"/>
  <c r="W35" i="8"/>
  <c r="AG34" i="8"/>
  <c r="AF34" i="8"/>
  <c r="AE34" i="8"/>
  <c r="AD34" i="8"/>
  <c r="AC34" i="8"/>
  <c r="AA34" i="8"/>
  <c r="Z34" i="8"/>
  <c r="Y34" i="8"/>
  <c r="X34" i="8"/>
  <c r="W34" i="8"/>
  <c r="AG33" i="8"/>
  <c r="AF33" i="8"/>
  <c r="AE33" i="8"/>
  <c r="AD33" i="8"/>
  <c r="AC33" i="8"/>
  <c r="AA33" i="8"/>
  <c r="Z33" i="8"/>
  <c r="Y33" i="8"/>
  <c r="X33" i="8"/>
  <c r="W33" i="8"/>
  <c r="AG32" i="8"/>
  <c r="AF32" i="8"/>
  <c r="AE32" i="8"/>
  <c r="AD32" i="8"/>
  <c r="AC32" i="8"/>
  <c r="AA32" i="8"/>
  <c r="Z32" i="8"/>
  <c r="Y32" i="8"/>
  <c r="X32" i="8"/>
  <c r="W32" i="8"/>
  <c r="AG31" i="8"/>
  <c r="AF31" i="8"/>
  <c r="AE31" i="8"/>
  <c r="AD31" i="8"/>
  <c r="AC31" i="8"/>
  <c r="AA31" i="8"/>
  <c r="Z31" i="8"/>
  <c r="Y31" i="8"/>
  <c r="X31" i="8"/>
  <c r="W31" i="8"/>
  <c r="AG30" i="8"/>
  <c r="AF30" i="8"/>
  <c r="AE30" i="8"/>
  <c r="AD30" i="8"/>
  <c r="AC30" i="8"/>
  <c r="AA30" i="8"/>
  <c r="Z30" i="8"/>
  <c r="Y30" i="8"/>
  <c r="X30" i="8"/>
  <c r="W30" i="8"/>
  <c r="AG29" i="8"/>
  <c r="AF29" i="8"/>
  <c r="AE29" i="8"/>
  <c r="AD29" i="8"/>
  <c r="AC29" i="8"/>
  <c r="AA29" i="8"/>
  <c r="Z29" i="8"/>
  <c r="Y29" i="8"/>
  <c r="X29" i="8"/>
  <c r="W29" i="8"/>
  <c r="AG28" i="8"/>
  <c r="AF28" i="8"/>
  <c r="AE28" i="8"/>
  <c r="AD28" i="8"/>
  <c r="AC28" i="8"/>
  <c r="AA28" i="8"/>
  <c r="Z28" i="8"/>
  <c r="Y28" i="8"/>
  <c r="X28" i="8"/>
  <c r="W28" i="8"/>
  <c r="AG27" i="8"/>
  <c r="AF27" i="8"/>
  <c r="AE27" i="8"/>
  <c r="AD27" i="8"/>
  <c r="AC27" i="8"/>
  <c r="AA27" i="8"/>
  <c r="Z27" i="8"/>
  <c r="Y27" i="8"/>
  <c r="X27" i="8"/>
  <c r="W27" i="8"/>
  <c r="AG26" i="8"/>
  <c r="AF26" i="8"/>
  <c r="AE26" i="8"/>
  <c r="AD26" i="8"/>
  <c r="AC26" i="8"/>
  <c r="AA26" i="8"/>
  <c r="Z26" i="8"/>
  <c r="Y26" i="8"/>
  <c r="X26" i="8"/>
  <c r="W26" i="8"/>
  <c r="AG25" i="8"/>
  <c r="AF25" i="8"/>
  <c r="AE25" i="8"/>
  <c r="AD25" i="8"/>
  <c r="AC25" i="8"/>
  <c r="AA25" i="8"/>
  <c r="Z25" i="8"/>
  <c r="Y25" i="8"/>
  <c r="X25" i="8"/>
  <c r="W25" i="8"/>
  <c r="AG24" i="8"/>
  <c r="AF24" i="8"/>
  <c r="AE24" i="8"/>
  <c r="AD24" i="8"/>
  <c r="AC24" i="8"/>
  <c r="AA24" i="8"/>
  <c r="Z24" i="8"/>
  <c r="Y24" i="8"/>
  <c r="X24" i="8"/>
  <c r="W24" i="8"/>
  <c r="AG23" i="8"/>
  <c r="AF23" i="8"/>
  <c r="AE23" i="8"/>
  <c r="AD23" i="8"/>
  <c r="AC23" i="8"/>
  <c r="AA23" i="8"/>
  <c r="Z23" i="8"/>
  <c r="Y23" i="8"/>
  <c r="X23" i="8"/>
  <c r="W23" i="8"/>
  <c r="AG22" i="8"/>
  <c r="AF22" i="8"/>
  <c r="AE22" i="8"/>
  <c r="AD22" i="8"/>
  <c r="AC22" i="8"/>
  <c r="AA22" i="8"/>
  <c r="Z22" i="8"/>
  <c r="Y22" i="8"/>
  <c r="X22" i="8"/>
  <c r="W22" i="8"/>
  <c r="AG21" i="8"/>
  <c r="AF21" i="8"/>
  <c r="AE21" i="8"/>
  <c r="AD21" i="8"/>
  <c r="AC21" i="8"/>
  <c r="AA21" i="8"/>
  <c r="Z21" i="8"/>
  <c r="Y21" i="8"/>
  <c r="X21" i="8"/>
  <c r="W21" i="8"/>
  <c r="AG20" i="8"/>
  <c r="AF20" i="8"/>
  <c r="AE20" i="8"/>
  <c r="AD20" i="8"/>
  <c r="AC20" i="8"/>
  <c r="AA20" i="8"/>
  <c r="Z20" i="8"/>
  <c r="Y20" i="8"/>
  <c r="X20" i="8"/>
  <c r="W20" i="8"/>
  <c r="AG19" i="8"/>
  <c r="AF19" i="8"/>
  <c r="AE19" i="8"/>
  <c r="AD19" i="8"/>
  <c r="AC19" i="8"/>
  <c r="AA19" i="8"/>
  <c r="Z19" i="8"/>
  <c r="Y19" i="8"/>
  <c r="X19" i="8"/>
  <c r="W19" i="8"/>
  <c r="AG18" i="8"/>
  <c r="AF18" i="8"/>
  <c r="AE18" i="8"/>
  <c r="AD18" i="8"/>
  <c r="AC18" i="8"/>
  <c r="AA18" i="8"/>
  <c r="Z18" i="8"/>
  <c r="Y18" i="8"/>
  <c r="X18" i="8"/>
  <c r="W18" i="8"/>
  <c r="AG17" i="8"/>
  <c r="AF17" i="8"/>
  <c r="AE17" i="8"/>
  <c r="AD17" i="8"/>
  <c r="AC17" i="8"/>
  <c r="AA17" i="8"/>
  <c r="Z17" i="8"/>
  <c r="Y17" i="8"/>
  <c r="X17" i="8"/>
  <c r="W17" i="8"/>
  <c r="AG16" i="8"/>
  <c r="AF16" i="8"/>
  <c r="AE16" i="8"/>
  <c r="AD16" i="8"/>
  <c r="AC16" i="8"/>
  <c r="AA16" i="8"/>
  <c r="Z16" i="8"/>
  <c r="Y16" i="8"/>
  <c r="X16" i="8"/>
  <c r="W16" i="8"/>
  <c r="AG15" i="8"/>
  <c r="AF15" i="8"/>
  <c r="AE15" i="8"/>
  <c r="AD15" i="8"/>
  <c r="AC15" i="8"/>
  <c r="AA15" i="8"/>
  <c r="Z15" i="8"/>
  <c r="Y15" i="8"/>
  <c r="X15" i="8"/>
  <c r="W15" i="8"/>
  <c r="AG14" i="8"/>
  <c r="AF14" i="8"/>
  <c r="AE14" i="8"/>
  <c r="AD14" i="8"/>
  <c r="AC14" i="8"/>
  <c r="AA14" i="8"/>
  <c r="Z14" i="8"/>
  <c r="Y14" i="8"/>
  <c r="X14" i="8"/>
  <c r="W14" i="8"/>
  <c r="AG13" i="8"/>
  <c r="AF13" i="8"/>
  <c r="AE13" i="8"/>
  <c r="AD13" i="8"/>
  <c r="AA13" i="8"/>
  <c r="Z13" i="8"/>
  <c r="Y13" i="8"/>
  <c r="X13" i="8"/>
  <c r="AG12" i="8"/>
  <c r="AF12" i="8"/>
  <c r="AE12" i="8"/>
  <c r="AD12" i="8"/>
  <c r="AC12" i="8"/>
  <c r="AA12" i="8"/>
  <c r="Z12" i="8"/>
  <c r="Y12" i="8"/>
  <c r="X12" i="8"/>
  <c r="W12" i="8"/>
  <c r="AG11" i="8"/>
  <c r="AF11" i="8"/>
  <c r="AE11" i="8"/>
  <c r="AD11" i="8"/>
  <c r="AC11" i="8"/>
  <c r="AA11" i="8"/>
  <c r="Z11" i="8"/>
  <c r="Y11" i="8"/>
  <c r="X11" i="8"/>
  <c r="W11" i="8"/>
  <c r="AG10" i="8"/>
  <c r="AF10" i="8"/>
  <c r="AE10" i="8"/>
  <c r="AD10" i="8"/>
  <c r="AC10" i="8"/>
  <c r="AA10" i="8"/>
  <c r="Z10" i="8"/>
  <c r="Y10" i="8"/>
  <c r="X10" i="8"/>
  <c r="W10" i="8"/>
  <c r="AG9" i="8"/>
  <c r="AF9" i="8"/>
  <c r="AE9" i="8"/>
  <c r="AD9" i="8"/>
  <c r="AC9" i="8"/>
  <c r="AA9" i="8"/>
  <c r="Z9" i="8"/>
  <c r="Y9" i="8"/>
  <c r="X9" i="8"/>
  <c r="W9" i="8"/>
  <c r="AG8" i="8"/>
  <c r="AF8" i="8"/>
  <c r="AE8" i="8"/>
  <c r="AD8" i="8"/>
  <c r="AC8" i="8"/>
  <c r="AA8" i="8"/>
  <c r="Z8" i="8"/>
  <c r="Y8" i="8"/>
  <c r="X8" i="8"/>
  <c r="W8" i="8"/>
  <c r="AT63" i="8"/>
  <c r="AX63" i="8"/>
  <c r="AS63" i="8"/>
  <c r="AW63" i="8"/>
  <c r="AR63" i="8"/>
  <c r="AV63" i="8"/>
  <c r="AT62" i="8"/>
  <c r="AX62" i="8"/>
  <c r="AS62" i="8"/>
  <c r="AW62" i="8"/>
  <c r="AR62" i="8"/>
  <c r="AV62" i="8"/>
  <c r="AT61" i="8"/>
  <c r="AX61" i="8"/>
  <c r="AS61" i="8"/>
  <c r="AW61" i="8"/>
  <c r="AR61" i="8"/>
  <c r="AV61" i="8"/>
  <c r="AT60" i="8"/>
  <c r="AX60" i="8"/>
  <c r="AS60" i="8"/>
  <c r="AW60" i="8"/>
  <c r="AR60" i="8"/>
  <c r="AV60" i="8"/>
  <c r="AT59" i="8"/>
  <c r="AX59" i="8"/>
  <c r="AS59" i="8"/>
  <c r="AW59" i="8"/>
  <c r="AR59" i="8"/>
  <c r="AV59" i="8"/>
  <c r="AT58" i="8"/>
  <c r="AX58" i="8"/>
  <c r="AS58" i="8"/>
  <c r="AW58" i="8"/>
  <c r="AR58" i="8"/>
  <c r="AV58" i="8"/>
  <c r="AT57" i="8"/>
  <c r="AX57" i="8"/>
  <c r="AS57" i="8"/>
  <c r="AW57" i="8"/>
  <c r="AR57" i="8"/>
  <c r="AV57" i="8"/>
  <c r="AT56" i="8"/>
  <c r="AX56" i="8"/>
  <c r="AS56" i="8"/>
  <c r="AW56" i="8"/>
  <c r="AR56" i="8"/>
  <c r="AV56" i="8"/>
  <c r="AT55" i="8"/>
  <c r="AX55" i="8"/>
  <c r="AS55" i="8"/>
  <c r="AW55" i="8"/>
  <c r="AR55" i="8"/>
  <c r="AV55" i="8"/>
  <c r="AT54" i="8"/>
  <c r="AX54" i="8"/>
  <c r="AS54" i="8"/>
  <c r="AW54" i="8"/>
  <c r="AR54" i="8"/>
  <c r="AV54" i="8"/>
  <c r="AT53" i="8"/>
  <c r="AX53" i="8"/>
  <c r="AS53" i="8"/>
  <c r="AW53" i="8"/>
  <c r="AR53" i="8"/>
  <c r="AV53" i="8"/>
  <c r="AT52" i="8"/>
  <c r="AX52" i="8"/>
  <c r="AS52" i="8"/>
  <c r="AW52" i="8"/>
  <c r="AR52" i="8"/>
  <c r="AV52" i="8"/>
  <c r="AT51" i="8"/>
  <c r="AX51" i="8"/>
  <c r="AS51" i="8"/>
  <c r="AW51" i="8"/>
  <c r="AR51" i="8"/>
  <c r="AV51" i="8"/>
  <c r="AT50" i="8"/>
  <c r="AX50" i="8"/>
  <c r="AS50" i="8"/>
  <c r="AW50" i="8"/>
  <c r="AR50" i="8"/>
  <c r="AV50" i="8"/>
  <c r="AT49" i="8"/>
  <c r="AX49" i="8"/>
  <c r="AS49" i="8"/>
  <c r="AW49" i="8"/>
  <c r="AR49" i="8"/>
  <c r="AV49" i="8"/>
  <c r="AT48" i="8"/>
  <c r="AX48" i="8"/>
  <c r="AS48" i="8"/>
  <c r="AW48" i="8"/>
  <c r="AR48" i="8"/>
  <c r="AV48" i="8"/>
  <c r="AT47" i="8"/>
  <c r="AX47" i="8"/>
  <c r="AS47" i="8"/>
  <c r="AW47" i="8"/>
  <c r="AR47" i="8"/>
  <c r="AV47" i="8"/>
  <c r="AT46" i="8"/>
  <c r="AX46" i="8"/>
  <c r="AS46" i="8"/>
  <c r="AW46" i="8"/>
  <c r="AR46" i="8"/>
  <c r="AV46" i="8"/>
  <c r="AT45" i="8"/>
  <c r="AX45" i="8"/>
  <c r="AS45" i="8"/>
  <c r="AW45" i="8"/>
  <c r="AR45" i="8"/>
  <c r="AV45" i="8"/>
  <c r="AT44" i="8"/>
  <c r="AX44" i="8"/>
  <c r="AS44" i="8"/>
  <c r="AW44" i="8"/>
  <c r="AR44" i="8"/>
  <c r="AV44" i="8"/>
  <c r="AT43" i="8"/>
  <c r="AX43" i="8"/>
  <c r="AS43" i="8"/>
  <c r="AW43" i="8"/>
  <c r="AR43" i="8"/>
  <c r="AV43" i="8"/>
  <c r="AT42" i="8"/>
  <c r="AX42" i="8"/>
  <c r="AS42" i="8"/>
  <c r="AW42" i="8"/>
  <c r="AR42" i="8"/>
  <c r="AV42" i="8"/>
  <c r="AT41" i="8"/>
  <c r="AX41" i="8"/>
  <c r="AS41" i="8"/>
  <c r="AW41" i="8"/>
  <c r="AR41" i="8"/>
  <c r="AV41" i="8"/>
  <c r="AT40" i="8"/>
  <c r="AX40" i="8"/>
  <c r="AS40" i="8"/>
  <c r="AW40" i="8"/>
  <c r="AR40" i="8"/>
  <c r="AV40" i="8"/>
  <c r="AT39" i="8"/>
  <c r="AX39" i="8"/>
  <c r="AS39" i="8"/>
  <c r="AW39" i="8"/>
  <c r="AR39" i="8"/>
  <c r="AV39" i="8"/>
  <c r="AT38" i="8"/>
  <c r="AX38" i="8"/>
  <c r="AS38" i="8"/>
  <c r="AW38" i="8"/>
  <c r="AR38" i="8"/>
  <c r="AV38" i="8"/>
  <c r="AT37" i="8"/>
  <c r="AX37" i="8"/>
  <c r="AS37" i="8"/>
  <c r="AW37" i="8"/>
  <c r="AR37" i="8"/>
  <c r="AV37" i="8"/>
  <c r="AT36" i="8"/>
  <c r="AX36" i="8"/>
  <c r="AS36" i="8"/>
  <c r="AW36" i="8"/>
  <c r="AR36" i="8"/>
  <c r="AV36" i="8"/>
  <c r="AT35" i="8"/>
  <c r="AX35" i="8"/>
  <c r="AS35" i="8"/>
  <c r="AW35" i="8"/>
  <c r="AR35" i="8"/>
  <c r="AV35" i="8"/>
  <c r="AT34" i="8"/>
  <c r="AX34" i="8"/>
  <c r="AS34" i="8"/>
  <c r="AW34" i="8"/>
  <c r="AR34" i="8"/>
  <c r="AV34" i="8"/>
  <c r="AT33" i="8"/>
  <c r="AX33" i="8"/>
  <c r="AS33" i="8"/>
  <c r="AW33" i="8"/>
  <c r="AR33" i="8"/>
  <c r="AV33" i="8"/>
  <c r="AT32" i="8"/>
  <c r="AX32" i="8"/>
  <c r="AS32" i="8"/>
  <c r="AW32" i="8"/>
  <c r="AR32" i="8"/>
  <c r="AV32" i="8"/>
  <c r="AT31" i="8"/>
  <c r="AX31" i="8"/>
  <c r="AS31" i="8"/>
  <c r="AW31" i="8"/>
  <c r="AR31" i="8"/>
  <c r="AV31" i="8"/>
  <c r="AT30" i="8"/>
  <c r="AX30" i="8"/>
  <c r="AS30" i="8"/>
  <c r="AW30" i="8"/>
  <c r="AR30" i="8"/>
  <c r="AV30" i="8"/>
  <c r="AT29" i="8"/>
  <c r="AX29" i="8"/>
  <c r="AS29" i="8"/>
  <c r="AW29" i="8"/>
  <c r="AR29" i="8"/>
  <c r="AV29" i="8"/>
  <c r="AT28" i="8"/>
  <c r="AX28" i="8"/>
  <c r="AS28" i="8"/>
  <c r="AW28" i="8"/>
  <c r="AR28" i="8"/>
  <c r="AV28" i="8"/>
  <c r="AT27" i="8"/>
  <c r="AX27" i="8"/>
  <c r="AS27" i="8"/>
  <c r="AW27" i="8"/>
  <c r="AR27" i="8"/>
  <c r="AV27" i="8"/>
  <c r="AT26" i="8"/>
  <c r="AX26" i="8"/>
  <c r="AS26" i="8"/>
  <c r="AW26" i="8"/>
  <c r="AR26" i="8"/>
  <c r="AV26" i="8"/>
  <c r="AT25" i="8"/>
  <c r="AX25" i="8"/>
  <c r="AS25" i="8"/>
  <c r="AW25" i="8"/>
  <c r="AR25" i="8"/>
  <c r="AV25" i="8"/>
  <c r="AT24" i="8"/>
  <c r="AX24" i="8"/>
  <c r="AS24" i="8"/>
  <c r="AW24" i="8"/>
  <c r="AR24" i="8"/>
  <c r="AV24" i="8"/>
  <c r="AT23" i="8"/>
  <c r="AX23" i="8"/>
  <c r="AS23" i="8"/>
  <c r="AW23" i="8"/>
  <c r="AR23" i="8"/>
  <c r="AV23" i="8"/>
  <c r="AT22" i="8"/>
  <c r="AX22" i="8"/>
  <c r="AS22" i="8"/>
  <c r="AW22" i="8"/>
  <c r="AR22" i="8"/>
  <c r="AV22" i="8"/>
  <c r="AT21" i="8"/>
  <c r="AX21" i="8"/>
  <c r="AS21" i="8"/>
  <c r="AW21" i="8"/>
  <c r="AR21" i="8"/>
  <c r="AV21" i="8"/>
  <c r="AT20" i="8"/>
  <c r="AX20" i="8"/>
  <c r="AS20" i="8"/>
  <c r="AW20" i="8"/>
  <c r="AR20" i="8"/>
  <c r="AV20" i="8"/>
  <c r="AT19" i="8"/>
  <c r="AX19" i="8"/>
  <c r="AS19" i="8"/>
  <c r="AW19" i="8"/>
  <c r="AR19" i="8"/>
  <c r="AV19" i="8"/>
  <c r="AT18" i="8"/>
  <c r="AX18" i="8"/>
  <c r="AS18" i="8"/>
  <c r="AW18" i="8"/>
  <c r="AR18" i="8"/>
  <c r="AV18" i="8"/>
  <c r="AT17" i="8"/>
  <c r="AX17" i="8"/>
  <c r="AS17" i="8"/>
  <c r="AW17" i="8"/>
  <c r="AR17" i="8"/>
  <c r="AV17" i="8"/>
  <c r="AT16" i="8"/>
  <c r="AX16" i="8"/>
  <c r="AS16" i="8"/>
  <c r="AW16" i="8"/>
  <c r="AR16" i="8"/>
  <c r="AV16" i="8"/>
  <c r="AT15" i="8"/>
  <c r="AX15" i="8"/>
  <c r="AS15" i="8"/>
  <c r="AW15" i="8"/>
  <c r="AR15" i="8"/>
  <c r="AV15" i="8"/>
  <c r="AT14" i="8"/>
  <c r="AX14" i="8"/>
  <c r="AS14" i="8"/>
  <c r="AW14" i="8"/>
  <c r="AR14" i="8"/>
  <c r="AV14" i="8"/>
  <c r="AT13" i="8"/>
  <c r="AX13" i="8"/>
  <c r="AS13" i="8"/>
  <c r="AW13" i="8"/>
  <c r="AR13" i="8"/>
  <c r="AV13" i="8"/>
  <c r="AT12" i="8"/>
  <c r="AX12" i="8"/>
  <c r="AS12" i="8"/>
  <c r="AW12" i="8"/>
  <c r="AR12" i="8"/>
  <c r="AV12" i="8"/>
  <c r="AT11" i="8"/>
  <c r="AX11" i="8"/>
  <c r="AS11" i="8"/>
  <c r="AW11" i="8"/>
  <c r="AR11" i="8"/>
  <c r="AV11" i="8"/>
  <c r="AT10" i="8"/>
  <c r="AX10" i="8"/>
  <c r="AS10" i="8"/>
  <c r="AW10" i="8"/>
  <c r="AR10" i="8"/>
  <c r="AV10" i="8"/>
  <c r="AT9" i="8"/>
  <c r="AX9" i="8"/>
  <c r="AS9" i="8"/>
  <c r="AW9" i="8"/>
  <c r="AR9" i="8"/>
  <c r="AV9" i="8"/>
  <c r="AT8" i="8"/>
  <c r="AX8" i="8"/>
  <c r="AS8" i="8"/>
  <c r="AW8" i="8"/>
  <c r="AR8" i="8"/>
  <c r="AV8" i="8"/>
  <c r="R7" i="4"/>
  <c r="AD8" i="4" l="1"/>
  <c r="AD9" i="4"/>
  <c r="AD18" i="4"/>
  <c r="C27" i="4"/>
  <c r="C43" i="4"/>
  <c r="C44" i="4"/>
  <c r="C36" i="4"/>
  <c r="C45" i="4"/>
  <c r="AD63" i="4"/>
  <c r="AD61" i="4"/>
  <c r="C32" i="4"/>
  <c r="H9" i="13"/>
  <c r="AD14" i="4"/>
  <c r="C56" i="4"/>
  <c r="AD64" i="4"/>
  <c r="AD19" i="4"/>
  <c r="C14" i="4"/>
  <c r="C62" i="4"/>
  <c r="C22" i="4"/>
  <c r="AD29" i="4"/>
  <c r="AD28" i="4"/>
  <c r="C23" i="4"/>
  <c r="AD11" i="4"/>
  <c r="AD45" i="4"/>
  <c r="AD46" i="4"/>
  <c r="AD23" i="4"/>
  <c r="C28" i="4"/>
  <c r="B10" i="8"/>
  <c r="B49" i="8"/>
  <c r="B33" i="8"/>
  <c r="B58" i="8"/>
  <c r="B57" i="8"/>
  <c r="AD32" i="4"/>
  <c r="AD35" i="4"/>
  <c r="AD36" i="4"/>
  <c r="C37" i="4"/>
  <c r="C38" i="4"/>
  <c r="C39" i="4"/>
  <c r="AD40" i="4"/>
  <c r="C41" i="4"/>
  <c r="C42" i="4"/>
  <c r="AD54" i="4"/>
  <c r="C55" i="4"/>
  <c r="AD56" i="4"/>
  <c r="C57" i="4"/>
  <c r="C58" i="4"/>
  <c r="AD59" i="4"/>
  <c r="AD60" i="4"/>
  <c r="AD31" i="4"/>
  <c r="AD47" i="4"/>
  <c r="C53" i="4"/>
  <c r="AD30" i="4"/>
  <c r="C34" i="4"/>
  <c r="AD51" i="4"/>
  <c r="AD10" i="4"/>
  <c r="C10" i="4"/>
  <c r="C12" i="4"/>
  <c r="AD49" i="4"/>
  <c r="C50" i="4"/>
  <c r="AD27" i="4"/>
  <c r="C19" i="4"/>
  <c r="C21" i="4"/>
  <c r="AD20" i="4"/>
  <c r="C18" i="4"/>
  <c r="C47" i="4"/>
  <c r="C48" i="4"/>
  <c r="C33" i="4"/>
  <c r="AD52" i="4"/>
  <c r="AD13" i="4"/>
  <c r="C15" i="4"/>
  <c r="C16" i="4"/>
  <c r="C17" i="4"/>
  <c r="AD22" i="4"/>
  <c r="AD25" i="4"/>
  <c r="C26" i="4"/>
  <c r="C46" i="4"/>
  <c r="C29" i="4"/>
  <c r="AD24" i="4"/>
  <c r="AD39" i="4"/>
  <c r="AD33" i="4"/>
  <c r="AD38" i="4"/>
  <c r="AD57" i="4"/>
  <c r="C11" i="4"/>
  <c r="C59" i="4"/>
  <c r="AD21" i="4"/>
  <c r="AD26" i="4"/>
  <c r="AD12" i="4"/>
  <c r="C13" i="4"/>
  <c r="AD16" i="4"/>
  <c r="C30" i="4"/>
  <c r="C24" i="4"/>
  <c r="AD37" i="4"/>
  <c r="C35" i="4"/>
  <c r="C52" i="4"/>
  <c r="C31" i="4"/>
  <c r="AD15" i="4"/>
  <c r="C20" i="4"/>
  <c r="C9" i="4"/>
  <c r="C60" i="4"/>
  <c r="C49" i="4"/>
  <c r="AD58" i="4"/>
  <c r="C51" i="4"/>
  <c r="AD17" i="4"/>
  <c r="AD43" i="4"/>
  <c r="C63" i="4"/>
  <c r="AD41" i="4"/>
  <c r="AD55" i="4"/>
  <c r="AD48" i="4"/>
  <c r="C54" i="4"/>
  <c r="C61" i="4"/>
  <c r="AD44" i="4"/>
  <c r="AD62" i="4"/>
  <c r="C64" i="4"/>
  <c r="C25" i="4"/>
  <c r="AD42" i="4"/>
  <c r="C40" i="4"/>
  <c r="C8" i="4"/>
  <c r="AD34" i="4"/>
  <c r="AD53" i="4"/>
  <c r="AD50" i="4"/>
  <c r="B28" i="8"/>
  <c r="B25" i="8"/>
  <c r="B17" i="8"/>
  <c r="B53" i="8"/>
  <c r="B62" i="8"/>
  <c r="B48" i="8"/>
  <c r="B15" i="8"/>
  <c r="B41" i="8"/>
  <c r="B47" i="8"/>
  <c r="B18" i="8"/>
  <c r="B26" i="8"/>
  <c r="B34" i="8"/>
  <c r="B42" i="8"/>
  <c r="B50" i="8"/>
  <c r="B59" i="8"/>
  <c r="B11" i="8"/>
  <c r="B19" i="8"/>
  <c r="B27" i="8"/>
  <c r="B35" i="8"/>
  <c r="B43" i="8"/>
  <c r="B51" i="8"/>
  <c r="B60" i="8"/>
  <c r="B12" i="8"/>
  <c r="B20" i="8"/>
  <c r="B36" i="8"/>
  <c r="B44" i="8"/>
  <c r="B52" i="8"/>
  <c r="B61" i="8"/>
  <c r="B13" i="8"/>
  <c r="B21" i="8"/>
  <c r="B29" i="8"/>
  <c r="B37" i="8"/>
  <c r="B45" i="8"/>
  <c r="B54" i="8"/>
  <c r="B7" i="8"/>
  <c r="B14" i="8"/>
  <c r="B22" i="8"/>
  <c r="B30" i="8"/>
  <c r="B38" i="8"/>
  <c r="B46" i="8"/>
  <c r="B55" i="8"/>
  <c r="B63" i="8"/>
  <c r="B8" i="8"/>
  <c r="B23" i="8"/>
  <c r="B31" i="8"/>
  <c r="B39" i="8"/>
  <c r="B56" i="8"/>
  <c r="B9" i="8"/>
  <c r="B16" i="8"/>
  <c r="B24" i="8"/>
  <c r="B32" i="8"/>
  <c r="B40" i="8"/>
  <c r="B8" i="4" l="1"/>
  <c r="AC8" i="4"/>
  <c r="AC54" i="4"/>
  <c r="AC55" i="4"/>
  <c r="AC50" i="4"/>
  <c r="AC56" i="4"/>
  <c r="B56" i="4"/>
  <c r="B49" i="4"/>
  <c r="B64" i="4"/>
  <c r="B15" i="4"/>
  <c r="AC41" i="4"/>
  <c r="B24" i="4"/>
  <c r="AC26" i="4"/>
  <c r="AC40" i="4"/>
  <c r="B43" i="4"/>
  <c r="AC45" i="4"/>
  <c r="AC13" i="4"/>
  <c r="B36" i="4"/>
  <c r="B34" i="4"/>
  <c r="B45" i="4"/>
  <c r="AC62" i="4"/>
  <c r="B9" i="4"/>
  <c r="B30" i="4"/>
  <c r="AC21" i="4"/>
  <c r="AC39" i="4"/>
  <c r="B39" i="4"/>
  <c r="B27" i="4"/>
  <c r="B48" i="4"/>
  <c r="B18" i="4"/>
  <c r="AC60" i="4"/>
  <c r="AC18" i="4"/>
  <c r="B33" i="4"/>
  <c r="AC37" i="4"/>
  <c r="B60" i="4"/>
  <c r="B20" i="4"/>
  <c r="B59" i="4"/>
  <c r="AC24" i="4"/>
  <c r="B38" i="4"/>
  <c r="B44" i="4"/>
  <c r="B47" i="4"/>
  <c r="B26" i="4"/>
  <c r="B53" i="4"/>
  <c r="AC59" i="4"/>
  <c r="AC31" i="4"/>
  <c r="AC47" i="4"/>
  <c r="AC44" i="4"/>
  <c r="B10" i="4"/>
  <c r="B23" i="4"/>
  <c r="B28" i="4"/>
  <c r="B61" i="4"/>
  <c r="AC43" i="4"/>
  <c r="AC15" i="4"/>
  <c r="AC16" i="4"/>
  <c r="B11" i="4"/>
  <c r="B29" i="4"/>
  <c r="B37" i="4"/>
  <c r="AC11" i="4"/>
  <c r="B19" i="4"/>
  <c r="AC25" i="4"/>
  <c r="AC52" i="4"/>
  <c r="B58" i="4"/>
  <c r="AC64" i="4"/>
  <c r="AC30" i="4"/>
  <c r="B41" i="4"/>
  <c r="B63" i="4"/>
  <c r="B40" i="4"/>
  <c r="B54" i="4"/>
  <c r="AC17" i="4"/>
  <c r="B31" i="4"/>
  <c r="B13" i="4"/>
  <c r="AC57" i="4"/>
  <c r="AC36" i="4"/>
  <c r="AC32" i="4"/>
  <c r="AC9" i="4"/>
  <c r="AC22" i="4"/>
  <c r="AC51" i="4"/>
  <c r="B57" i="4"/>
  <c r="AC63" i="4"/>
  <c r="AC29" i="4"/>
  <c r="AC19" i="4"/>
  <c r="AC53" i="4"/>
  <c r="B51" i="4"/>
  <c r="B52" i="4"/>
  <c r="AC12" i="4"/>
  <c r="AC35" i="4"/>
  <c r="B46" i="4"/>
  <c r="B50" i="4"/>
  <c r="B17" i="4"/>
  <c r="B21" i="4"/>
  <c r="B62" i="4"/>
  <c r="B12" i="4"/>
  <c r="AC33" i="4"/>
  <c r="AC20" i="4"/>
  <c r="AC34" i="4"/>
  <c r="AC46" i="4"/>
  <c r="AC14" i="4"/>
  <c r="AC10" i="4"/>
  <c r="AC28" i="4"/>
  <c r="AC27" i="4"/>
  <c r="AC23" i="4"/>
  <c r="AC42" i="4"/>
  <c r="B25" i="4"/>
  <c r="AC48" i="4"/>
  <c r="AC58" i="4"/>
  <c r="B35" i="4"/>
  <c r="AC38" i="4"/>
  <c r="B42" i="4"/>
  <c r="B22" i="4"/>
  <c r="B14" i="4"/>
  <c r="AC49" i="4"/>
  <c r="B16" i="4"/>
  <c r="B55" i="4"/>
  <c r="AC61" i="4"/>
  <c r="B32" i="4"/>
</calcChain>
</file>

<file path=xl/sharedStrings.xml><?xml version="1.0" encoding="utf-8"?>
<sst xmlns="http://schemas.openxmlformats.org/spreadsheetml/2006/main" count="1567" uniqueCount="483">
  <si>
    <t>Comm</t>
  </si>
  <si>
    <t xml:space="preserve">Factor </t>
  </si>
  <si>
    <t>Score</t>
  </si>
  <si>
    <t>Rank</t>
  </si>
  <si>
    <t>Species</t>
  </si>
  <si>
    <t>Black rockfish</t>
  </si>
  <si>
    <t>Dover sole</t>
  </si>
  <si>
    <t>Petrale sole</t>
  </si>
  <si>
    <t>Longnose Skate</t>
  </si>
  <si>
    <t>Cabezon</t>
  </si>
  <si>
    <t>Arrowtooth flounder</t>
  </si>
  <si>
    <t>Pacific Sanddab</t>
  </si>
  <si>
    <t>Kelp Greenling</t>
  </si>
  <si>
    <t>Rex Sole</t>
  </si>
  <si>
    <t>Widow Rockfish</t>
  </si>
  <si>
    <t>Leopard Shark</t>
  </si>
  <si>
    <t>Darkblotched rockfish</t>
  </si>
  <si>
    <t>Tiger Rockfish</t>
  </si>
  <si>
    <t>Canary rockfish</t>
  </si>
  <si>
    <t>Sand Sole</t>
  </si>
  <si>
    <t>English sole</t>
  </si>
  <si>
    <t>Pacific ocean perch</t>
  </si>
  <si>
    <t>Rosy Rockfish</t>
  </si>
  <si>
    <t>Starry flounder</t>
  </si>
  <si>
    <t>Splitnose Rockfish</t>
  </si>
  <si>
    <t>Rock Sole</t>
  </si>
  <si>
    <t>Greenblotched Rockfish</t>
  </si>
  <si>
    <t>Big Skate</t>
  </si>
  <si>
    <t>Calico Rockfish</t>
  </si>
  <si>
    <t>Yellowmouth Rockfish</t>
  </si>
  <si>
    <t>Butter Sole</t>
  </si>
  <si>
    <t>Curlfin sole</t>
  </si>
  <si>
    <t>Rosethorn Rockfish</t>
  </si>
  <si>
    <t>Flathead Sole</t>
  </si>
  <si>
    <t>Redstripe Rockfish</t>
  </si>
  <si>
    <t>Silvergray Rockfish</t>
  </si>
  <si>
    <t>Stripetail Rockfish</t>
  </si>
  <si>
    <t>Shortbelly Rockfish</t>
  </si>
  <si>
    <t>Total</t>
  </si>
  <si>
    <t>CA</t>
  </si>
  <si>
    <t>OR</t>
  </si>
  <si>
    <t>WA</t>
  </si>
  <si>
    <t>Halfbanded Rockfish</t>
  </si>
  <si>
    <t>Category</t>
  </si>
  <si>
    <t>FISHERY Importance</t>
  </si>
  <si>
    <t>0-10</t>
  </si>
  <si>
    <t xml:space="preserve"> </t>
  </si>
  <si>
    <t>Importance to Subsistence</t>
  </si>
  <si>
    <t>Rebuilding Status</t>
  </si>
  <si>
    <t>STOCK Status</t>
  </si>
  <si>
    <t>Relative Stock Abundance</t>
  </si>
  <si>
    <t>1-10</t>
  </si>
  <si>
    <t>Relative Fishing Mortality</t>
  </si>
  <si>
    <t>Relevant New Type of Information Available</t>
  </si>
  <si>
    <t>TARGET Freq</t>
  </si>
  <si>
    <t>Extraction from assessment data</t>
  </si>
  <si>
    <t>Value</t>
  </si>
  <si>
    <t>Stock Variability</t>
  </si>
  <si>
    <t>-1 to +1</t>
  </si>
  <si>
    <t>Fishery Importance</t>
  </si>
  <si>
    <t>Ecosystem Importance</t>
  </si>
  <si>
    <t>Weighted Factor Scores</t>
  </si>
  <si>
    <t>Tribal</t>
  </si>
  <si>
    <t>Rebuild</t>
  </si>
  <si>
    <t>Depl</t>
  </si>
  <si>
    <t xml:space="preserve">Harvest </t>
  </si>
  <si>
    <t>New</t>
  </si>
  <si>
    <t>Weighted</t>
  </si>
  <si>
    <t>Last</t>
  </si>
  <si>
    <t>Factor</t>
  </si>
  <si>
    <t>Status</t>
  </si>
  <si>
    <t>Info</t>
  </si>
  <si>
    <t>Assessment</t>
  </si>
  <si>
    <t>score</t>
  </si>
  <si>
    <t>Pink shading indicates no prior benchmark</t>
  </si>
  <si>
    <t>Max value</t>
  </si>
  <si>
    <t>* not including revenue from tribal landings</t>
  </si>
  <si>
    <t>California</t>
  </si>
  <si>
    <t>Oregon</t>
  </si>
  <si>
    <t>Washington</t>
  </si>
  <si>
    <t>All HKL+POT</t>
  </si>
  <si>
    <t>Relative weights</t>
  </si>
  <si>
    <t>Pseudo values</t>
  </si>
  <si>
    <t>(landed mts * rel. weights)</t>
  </si>
  <si>
    <t>to anglers)</t>
  </si>
  <si>
    <t>Coastwide</t>
  </si>
  <si>
    <t>Subsistence</t>
  </si>
  <si>
    <t>Tribal "Commercial"</t>
  </si>
  <si>
    <t>Initial</t>
  </si>
  <si>
    <t>Dollars</t>
  </si>
  <si>
    <t>Greater</t>
  </si>
  <si>
    <t>Choke</t>
  </si>
  <si>
    <t>stock</t>
  </si>
  <si>
    <t>*</t>
  </si>
  <si>
    <t>**</t>
  </si>
  <si>
    <t>#</t>
  </si>
  <si>
    <t>*#</t>
  </si>
  <si>
    <t>Rebuilding</t>
  </si>
  <si>
    <t>Not in rebuilding</t>
  </si>
  <si>
    <t>Projected to rebuild in over 20 years</t>
  </si>
  <si>
    <t>Projected to rebuild within 20 years</t>
  </si>
  <si>
    <t>In rebuilding and projected to be rebuilt by next assessment</t>
  </si>
  <si>
    <t>Stock</t>
  </si>
  <si>
    <t>PSA</t>
  </si>
  <si>
    <t>no OFLc</t>
  </si>
  <si>
    <t>Yellowtail Rockfish</t>
  </si>
  <si>
    <t>Bronzespotted Rockfish</t>
  </si>
  <si>
    <t>Freckled Rockfish</t>
  </si>
  <si>
    <t>Harlequin Rockfish</t>
  </si>
  <si>
    <t>Mexican Rockfish</t>
  </si>
  <si>
    <t>Pink Rockfish</t>
  </si>
  <si>
    <t>Pinkrose Rockfish</t>
  </si>
  <si>
    <t>Pygmy Rockfish</t>
  </si>
  <si>
    <t>Swordspine Rockfish</t>
  </si>
  <si>
    <t xml:space="preserve">New </t>
  </si>
  <si>
    <t>Prior</t>
  </si>
  <si>
    <t>addressed</t>
  </si>
  <si>
    <t xml:space="preserve">Additive adjustments for </t>
  </si>
  <si>
    <t>Recruit Var.</t>
  </si>
  <si>
    <t xml:space="preserve">Mean age in Catch </t>
  </si>
  <si>
    <t>fishery import.</t>
  </si>
  <si>
    <t>Rounded to 2 years</t>
  </si>
  <si>
    <t>Year of last asmt</t>
  </si>
  <si>
    <t>Years since last asmt</t>
  </si>
  <si>
    <t>Sablefish</t>
  </si>
  <si>
    <t>Longspine thornyhead</t>
  </si>
  <si>
    <t xml:space="preserve">Shortspine thornyhead </t>
  </si>
  <si>
    <t>Lingcod</t>
  </si>
  <si>
    <t xml:space="preserve">Lingcod </t>
  </si>
  <si>
    <t>California scorpionfish</t>
  </si>
  <si>
    <t xml:space="preserve">Sablefish </t>
  </si>
  <si>
    <t>Demand</t>
  </si>
  <si>
    <t xml:space="preserve">Cowcod </t>
  </si>
  <si>
    <t>Pacific cod</t>
  </si>
  <si>
    <t>Bocaccio</t>
  </si>
  <si>
    <t xml:space="preserve">"*" =  </t>
  </si>
  <si>
    <t xml:space="preserve">"#" =  </t>
  </si>
  <si>
    <t>Greater sub-area/fleet importance: commercial</t>
  </si>
  <si>
    <t>Greater sub-area/fleet importance: recreational</t>
  </si>
  <si>
    <t xml:space="preserve">Notes on Scoring </t>
  </si>
  <si>
    <t xml:space="preserve">Chilipepper rockfish </t>
  </si>
  <si>
    <t>Longnose skate</t>
  </si>
  <si>
    <t>Widow rockfish</t>
  </si>
  <si>
    <t>China rockfish</t>
  </si>
  <si>
    <t>Greenspotted rockfish</t>
  </si>
  <si>
    <t>Greenstriped rockfish</t>
  </si>
  <si>
    <t>Bank rockfish</t>
  </si>
  <si>
    <t>Big skate</t>
  </si>
  <si>
    <t>Brown rockfish</t>
  </si>
  <si>
    <t>Copper rockfish</t>
  </si>
  <si>
    <t>Flag rockfish</t>
  </si>
  <si>
    <t>Grass rockfish</t>
  </si>
  <si>
    <t>Honeycomb rockfish</t>
  </si>
  <si>
    <t>Olive rockfish</t>
  </si>
  <si>
    <t>Pacific sanddab</t>
  </si>
  <si>
    <t>Quillback rockfish</t>
  </si>
  <si>
    <t>Redbanded rockfish</t>
  </si>
  <si>
    <t>Shortraker rockfish</t>
  </si>
  <si>
    <t>Speckled rockfish</t>
  </si>
  <si>
    <t>Squarespot rockfish</t>
  </si>
  <si>
    <t>Starry rockfish</t>
  </si>
  <si>
    <t>Steepness</t>
  </si>
  <si>
    <t>trans-formed Mean catch age</t>
  </si>
  <si>
    <t>Rec</t>
  </si>
  <si>
    <t>Source/Basis</t>
  </si>
  <si>
    <t>Range</t>
  </si>
  <si>
    <t>Recreational Fishery Importance</t>
  </si>
  <si>
    <t>Key Role in Ecosystem</t>
  </si>
  <si>
    <t>Const.</t>
  </si>
  <si>
    <t xml:space="preserve">"@" =  </t>
  </si>
  <si>
    <t>Industry concern expressed</t>
  </si>
  <si>
    <t>Importance related to rebuilding status of a stock</t>
  </si>
  <si>
    <t>Importance of relative stock abundance</t>
  </si>
  <si>
    <t>Based on the % of OFL attainment, calculated at a coastwide level, except where benchmark-dervied OFLs do not cover the entire coast (e.g. bocaccio, yellowtail).</t>
  </si>
  <si>
    <t>assessment</t>
  </si>
  <si>
    <t>Issues can be</t>
  </si>
  <si>
    <t xml:space="preserve">sources </t>
  </si>
  <si>
    <t>of trend</t>
  </si>
  <si>
    <t>information</t>
  </si>
  <si>
    <t>on stock</t>
  </si>
  <si>
    <t>structure/</t>
  </si>
  <si>
    <t>dynamics</t>
  </si>
  <si>
    <t>Importance of new and relevant sources or types of information or methods</t>
  </si>
  <si>
    <t>Meaning</t>
  </si>
  <si>
    <t>Fishery Factors</t>
  </si>
  <si>
    <t>Assessment Information</t>
  </si>
  <si>
    <t xml:space="preserve">Commercial Fishery Importance </t>
  </si>
  <si>
    <t>Constituent Demand/ 
Choke Stock</t>
  </si>
  <si>
    <t>Unexpected Stock Trends</t>
  </si>
  <si>
    <t>Assessed Status + Rebuilding Proj.</t>
  </si>
  <si>
    <t>Groundfish Mortality Reports</t>
  </si>
  <si>
    <t>Updated Steepness Prior; New availability of trend or comp data; Ability to fix prior assmt. issues</t>
  </si>
  <si>
    <t>Latest assessed depletion or PSA</t>
  </si>
  <si>
    <t>Mean Age in Catch 
(with regional modification)</t>
  </si>
  <si>
    <t>Recruitment variability (Sigma-r) from last assessment</t>
  </si>
  <si>
    <t>Sum of weighted scores for Fishery Factors (listed above)</t>
  </si>
  <si>
    <t>ASSMT Info</t>
  </si>
  <si>
    <t>Landed Ex-vessel Revenue, from PacFIN (transformed)</t>
  </si>
  <si>
    <t>Tribal Comm Revenue + Subsistence input from Habitat Assmt. &amp; Tribes</t>
  </si>
  <si>
    <t>(http://www.st.nmfs.noaa.gov/Assets/stock/documents/PrioritizingFishStockAssessments_FinalWeb.pdf)</t>
  </si>
  <si>
    <t>Component</t>
  </si>
  <si>
    <t>Scores</t>
  </si>
  <si>
    <t>In rebuilding, with declining spawning biomass</t>
  </si>
  <si>
    <t xml:space="preserve"> Fishing mortality (mt)</t>
  </si>
  <si>
    <t>Factor summarization, weighting, and ranking of total scores</t>
  </si>
  <si>
    <t>Choke Sp</t>
  </si>
  <si>
    <t>Const. Dem/</t>
  </si>
  <si>
    <t>Overview of Factors included in this analysis of stock assessment priorities</t>
  </si>
  <si>
    <t>Pacific Spiny Dogfish</t>
  </si>
  <si>
    <t>Aurora rockfish</t>
  </si>
  <si>
    <t>Blackgill rockfish</t>
  </si>
  <si>
    <t>Sharpchin rockfish</t>
  </si>
  <si>
    <t>Shortspine thornyhead</t>
  </si>
  <si>
    <t>Splitnose rockfish</t>
  </si>
  <si>
    <t>Yelloweye rockfish</t>
  </si>
  <si>
    <t>Yellowtail rockfish</t>
  </si>
  <si>
    <t>Canary Rockfish</t>
  </si>
  <si>
    <t>Area outside of Benchmark Asessment</t>
  </si>
  <si>
    <t>Cabezon (WA)</t>
  </si>
  <si>
    <t>No target Fishing</t>
  </si>
  <si>
    <r>
      <rPr>
        <b/>
        <sz val="14"/>
        <rFont val="Calibri"/>
        <family val="2"/>
        <scheme val="minor"/>
      </rPr>
      <t>OFL</t>
    </r>
    <r>
      <rPr>
        <sz val="14"/>
        <rFont val="Calibri"/>
        <family val="2"/>
        <scheme val="minor"/>
      </rPr>
      <t xml:space="preserve"> (or </t>
    </r>
    <r>
      <rPr>
        <i/>
        <sz val="14"/>
        <rFont val="Times New Roman"/>
        <family val="1"/>
      </rPr>
      <t>OFL contribution</t>
    </r>
    <r>
      <rPr>
        <sz val="14"/>
        <rFont val="Calibri"/>
        <family val="2"/>
        <scheme val="minor"/>
      </rPr>
      <t>) (mt)</t>
    </r>
  </si>
  <si>
    <t>Retained catch mts</t>
  </si>
  <si>
    <t>Factor Score</t>
  </si>
  <si>
    <t>All TWL</t>
  </si>
  <si>
    <t>TWL</t>
  </si>
  <si>
    <t>NTWL</t>
  </si>
  <si>
    <t>Rank difference, max of 0</t>
  </si>
  <si>
    <t>Score difference, min of 0</t>
  </si>
  <si>
    <t>[Fleet value - Coastwide value]</t>
  </si>
  <si>
    <t>State-level scores and ranks</t>
  </si>
  <si>
    <t>Eco-</t>
  </si>
  <si>
    <t>system</t>
  </si>
  <si>
    <t>Rank difference</t>
  </si>
  <si>
    <t>Score difference</t>
  </si>
  <si>
    <t>(max of 0)</t>
  </si>
  <si>
    <t>(min of 0)</t>
  </si>
  <si>
    <t>Commercial fleet scores and rankings used to evaluate Consituent Demand</t>
  </si>
  <si>
    <t>Recreational state scores and rankings used to evaluate Consituent Demand</t>
  </si>
  <si>
    <t>Gear Group scores/ranks</t>
  </si>
  <si>
    <t>[State/Fleet value - Coastwide value]</t>
  </si>
  <si>
    <t>**#</t>
  </si>
  <si>
    <t>Top-down Score</t>
  </si>
  <si>
    <t>QB*B</t>
  </si>
  <si>
    <t>diet*QB*B</t>
  </si>
  <si>
    <t>slope rockfish</t>
  </si>
  <si>
    <t>NA</t>
  </si>
  <si>
    <t>skates</t>
  </si>
  <si>
    <t>nearshore rockfish</t>
  </si>
  <si>
    <t>shelf rockfish</t>
  </si>
  <si>
    <t>flatfish</t>
  </si>
  <si>
    <t>Pacific Ocean Perch</t>
  </si>
  <si>
    <t>dogfish</t>
  </si>
  <si>
    <t>Scaled</t>
  </si>
  <si>
    <t>Raw</t>
  </si>
  <si>
    <t>Emphasis on rebuilding species (and degree of constraint), with lesser additions for state/fleet rankings that are much higher than overall</t>
  </si>
  <si>
    <t>Top-down and bottom-up diet impacts on managed/protected sp.</t>
  </si>
  <si>
    <t>Factor score from above</t>
  </si>
  <si>
    <r>
      <t>Score = [(Revenue)</t>
    </r>
    <r>
      <rPr>
        <vertAlign val="superscript"/>
        <sz val="13"/>
        <color theme="1"/>
        <rFont val="Calibri"/>
        <family val="2"/>
        <scheme val="minor"/>
      </rPr>
      <t xml:space="preserve"> </t>
    </r>
    <r>
      <rPr>
        <vertAlign val="superscript"/>
        <sz val="14"/>
        <color theme="1"/>
        <rFont val="Calibri"/>
        <family val="2"/>
        <scheme val="minor"/>
      </rPr>
      <t>(0.18)</t>
    </r>
    <r>
      <rPr>
        <sz val="13"/>
        <color theme="1"/>
        <rFont val="Calibri"/>
        <family val="2"/>
        <scheme val="minor"/>
      </rPr>
      <t>] * 10/(Largest [initial value])</t>
    </r>
  </si>
  <si>
    <r>
      <t>Score = [(Pseudo-Revenue)</t>
    </r>
    <r>
      <rPr>
        <vertAlign val="superscript"/>
        <sz val="13"/>
        <color theme="1"/>
        <rFont val="Calibri"/>
        <family val="2"/>
        <scheme val="minor"/>
      </rPr>
      <t xml:space="preserve"> </t>
    </r>
    <r>
      <rPr>
        <vertAlign val="superscript"/>
        <sz val="14"/>
        <color theme="1"/>
        <rFont val="Calibri"/>
        <family val="2"/>
        <scheme val="minor"/>
      </rPr>
      <t>(0.18)</t>
    </r>
    <r>
      <rPr>
        <sz val="13"/>
        <color theme="1"/>
        <rFont val="Calibri"/>
        <family val="2"/>
        <scheme val="minor"/>
      </rPr>
      <t>] * 10/((Largest [initial value])</t>
    </r>
  </si>
  <si>
    <t xml:space="preserve">Based on the process described in: Prioritizing Fish Stock Assessments. U.S. Dep. Commer., NOAA Tech. Memo. NMFS-F/SPO-
152, 31 p  </t>
  </si>
  <si>
    <r>
      <t>Score = [(Revenue)</t>
    </r>
    <r>
      <rPr>
        <vertAlign val="superscript"/>
        <sz val="13"/>
        <color theme="1"/>
        <rFont val="Calibri"/>
        <family val="2"/>
        <scheme val="minor"/>
      </rPr>
      <t xml:space="preserve"> </t>
    </r>
    <r>
      <rPr>
        <vertAlign val="superscript"/>
        <sz val="14"/>
        <color theme="1"/>
        <rFont val="Calibri"/>
        <family val="2"/>
        <scheme val="minor"/>
      </rPr>
      <t>(0.18)</t>
    </r>
    <r>
      <rPr>
        <sz val="13"/>
        <color theme="1"/>
        <rFont val="Calibri"/>
        <family val="2"/>
        <scheme val="minor"/>
      </rPr>
      <t>] * 7/(Largest [initial value]) + subsistence values scored [0-3] with Tribal input</t>
    </r>
  </si>
  <si>
    <t>Exponent</t>
  </si>
  <si>
    <t xml:space="preserve"> (value of species</t>
  </si>
  <si>
    <t>value to a</t>
  </si>
  <si>
    <t>Bottom-up Score</t>
  </si>
  <si>
    <t>Ecosystem Importance Score</t>
  </si>
  <si>
    <t>Ecopath functional group</t>
  </si>
  <si>
    <t>quantile</t>
  </si>
  <si>
    <t>Change to assessment frequency</t>
  </si>
  <si>
    <t>lingcod</t>
  </si>
  <si>
    <t>Factor weights times Factor Scores</t>
  </si>
  <si>
    <t>wts</t>
  </si>
  <si>
    <t xml:space="preserve">Sum </t>
  </si>
  <si>
    <t xml:space="preserve"> Weights -&gt;</t>
  </si>
  <si>
    <t>Bocaccio Rockfish N. of 40°10'</t>
  </si>
  <si>
    <t>Chilipepper Rockfish N. of 40°10'</t>
  </si>
  <si>
    <t>Cowcod Rockfish N. of 40°10'</t>
  </si>
  <si>
    <t>Yellowtail Rockfish S. of 40°10'</t>
  </si>
  <si>
    <t>Ecosystem  Factor Score</t>
  </si>
  <si>
    <t>Top-down + bottom-up scores</t>
  </si>
  <si>
    <t>Proportion of 
Total Consumption 
in Ecosystem</t>
  </si>
  <si>
    <t>Target Frequency:</t>
  </si>
  <si>
    <t>Assess.</t>
  </si>
  <si>
    <t>Freq.</t>
  </si>
  <si>
    <t>Removed from detailed analysis</t>
  </si>
  <si>
    <t xml:space="preserve">of </t>
  </si>
  <si>
    <t>managed or protected species</t>
  </si>
  <si>
    <t>Importance of fishing mortality relative to catch limit or related benchmark</t>
  </si>
  <si>
    <t xml:space="preserve"> Adult group</t>
  </si>
  <si>
    <t xml:space="preserve"> Juvenile group</t>
  </si>
  <si>
    <t>Percent of OFL 
in Ecopath:</t>
  </si>
  <si>
    <t>Proportion of diet from</t>
  </si>
  <si>
    <t>Eco-system import.</t>
  </si>
  <si>
    <t>Factor Ranks</t>
  </si>
  <si>
    <t>Min = 4</t>
  </si>
  <si>
    <t>Year</t>
  </si>
  <si>
    <t>Assmnt.</t>
  </si>
  <si>
    <t xml:space="preserve">Transformed </t>
  </si>
  <si>
    <t>Assessment Target Frequency, relationship to last assessment, and auxilliary elements</t>
  </si>
  <si>
    <t xml:space="preserve">=(E5*F3)^F$4
</t>
  </si>
  <si>
    <t>Referred to in the text as Proportion of consumer biomass</t>
  </si>
  <si>
    <t>Proportion of 
species available 
for consumption</t>
  </si>
  <si>
    <t>"$" =</t>
  </si>
  <si>
    <t>5-year landings history was greatly reduced by prior rebuilding restricitions</t>
  </si>
  <si>
    <t>Update</t>
  </si>
  <si>
    <t>F</t>
  </si>
  <si>
    <t>U</t>
  </si>
  <si>
    <t>$$*</t>
  </si>
  <si>
    <t>Total adjust-ments</t>
  </si>
  <si>
    <t>Commercial importance of species, based on coastwide ex-vessel revenue</t>
  </si>
  <si>
    <r>
      <t>From</t>
    </r>
    <r>
      <rPr>
        <b/>
        <sz val="14"/>
        <color theme="1"/>
        <rFont val="Calibri"/>
        <family val="2"/>
        <scheme val="minor"/>
      </rPr>
      <t xml:space="preserve"> Fishing Mortality</t>
    </r>
    <r>
      <rPr>
        <sz val="14"/>
        <color theme="1"/>
        <rFont val="Calibri"/>
        <family val="2"/>
        <scheme val="minor"/>
      </rPr>
      <t xml:space="preserve"> Tab</t>
    </r>
  </si>
  <si>
    <t>SSC recommendation of 'Update' for next assessment</t>
  </si>
  <si>
    <t>(-3)-10</t>
  </si>
  <si>
    <t>All</t>
  </si>
  <si>
    <t>X</t>
  </si>
  <si>
    <t>Type</t>
  </si>
  <si>
    <t>D-M</t>
  </si>
  <si>
    <t>d-p</t>
  </si>
  <si>
    <t>N'shore; 1-area</t>
  </si>
  <si>
    <t>N'shore; 3-area</t>
  </si>
  <si>
    <t>1-area</t>
  </si>
  <si>
    <t>1-area; Trawl survey</t>
  </si>
  <si>
    <t>2-3 areas; Trawl survey</t>
  </si>
  <si>
    <t>2-3 areas; w/ Sunset</t>
  </si>
  <si>
    <t>Unsorted fishery catch</t>
  </si>
  <si>
    <t>Notes</t>
  </si>
  <si>
    <t xml:space="preserve"> Score</t>
  </si>
  <si>
    <t>Rec. Factor</t>
  </si>
  <si>
    <t>Weighted Landed catch, from RecFIN (transformed)</t>
  </si>
  <si>
    <t xml:space="preserve">No scoring system yet. Only sabl. &amp; petrale updated since 2016.  </t>
  </si>
  <si>
    <r>
      <rPr>
        <b/>
        <sz val="16"/>
        <color theme="1"/>
        <rFont val="Calibri"/>
        <family val="2"/>
        <scheme val="minor"/>
      </rPr>
      <t>Factor Score for Choke Species and Constituent Demand</t>
    </r>
  </si>
  <si>
    <t>Higher Value to fleet or area 
&amp; Constraining Species</t>
  </si>
  <si>
    <r>
      <t xml:space="preserve">Years Since Assessment relative to </t>
    </r>
    <r>
      <rPr>
        <b/>
        <sz val="16"/>
        <color theme="1"/>
        <rFont val="Calibri"/>
        <family val="2"/>
        <scheme val="minor"/>
      </rPr>
      <t>Target Frequency</t>
    </r>
    <r>
      <rPr>
        <sz val="16"/>
        <color theme="1"/>
        <rFont val="Calibri"/>
        <family val="2"/>
        <scheme val="minor"/>
      </rPr>
      <t>, adjusted</t>
    </r>
  </si>
  <si>
    <t>ECOSYSTEM Importance</t>
  </si>
  <si>
    <t>= initial value for species which  have not been assessed as benchmark, or are lacking the data used in the formula</t>
  </si>
  <si>
    <t>N'shore; 3-area + d-p</t>
  </si>
  <si>
    <t>Gopher/B&amp;Y rockfish</t>
  </si>
  <si>
    <t>Kelp rockfish</t>
  </si>
  <si>
    <t>Treefish rockfish</t>
  </si>
  <si>
    <t>Blue/Deacon rockfish</t>
  </si>
  <si>
    <t>Tribal fishery importance, based on commercial ex-vessel revenue and subsistence importance</t>
  </si>
  <si>
    <t>Pacific spiny dogfish</t>
  </si>
  <si>
    <r>
      <rPr>
        <b/>
        <sz val="14"/>
        <color theme="1"/>
        <rFont val="Calibri"/>
        <family val="2"/>
        <scheme val="minor"/>
      </rPr>
      <t>Factor Score for Ecosystem Importance (unchanged from 2018 analysis)</t>
    </r>
  </si>
  <si>
    <t>25-50%</t>
  </si>
  <si>
    <t>50-75%</t>
  </si>
  <si>
    <t>75-100%</t>
  </si>
  <si>
    <t>&gt;100%</t>
  </si>
  <si>
    <t>Avg mts, 2016-18</t>
  </si>
  <si>
    <t xml:space="preserve">/ ABC (2022) </t>
  </si>
  <si>
    <t>10-25%</t>
  </si>
  <si>
    <t>&lt;10%</t>
  </si>
  <si>
    <t>Percent of OFL attained</t>
  </si>
  <si>
    <r>
      <t xml:space="preserve">OFL </t>
    </r>
    <r>
      <rPr>
        <b/>
        <sz val="16"/>
        <rFont val="Calibri"/>
        <family val="2"/>
        <scheme val="minor"/>
      </rPr>
      <t>-</t>
    </r>
    <r>
      <rPr>
        <sz val="14"/>
        <rFont val="Calibri"/>
        <family val="2"/>
        <scheme val="minor"/>
      </rPr>
      <t xml:space="preserve"> Catch (mt)</t>
    </r>
  </si>
  <si>
    <r>
      <rPr>
        <b/>
        <sz val="14"/>
        <rFont val="Calibri"/>
        <family val="2"/>
        <scheme val="minor"/>
      </rPr>
      <t>ABC</t>
    </r>
    <r>
      <rPr>
        <sz val="14"/>
        <rFont val="Calibri"/>
        <family val="2"/>
        <scheme val="minor"/>
      </rPr>
      <t xml:space="preserve"> (or </t>
    </r>
    <r>
      <rPr>
        <i/>
        <sz val="14"/>
        <rFont val="Times New Roman"/>
        <family val="1"/>
      </rPr>
      <t>ABC contribution</t>
    </r>
    <r>
      <rPr>
        <sz val="14"/>
        <rFont val="Calibri"/>
        <family val="2"/>
        <scheme val="minor"/>
      </rPr>
      <t>) (mt)</t>
    </r>
  </si>
  <si>
    <t>Percent of ABC attained</t>
  </si>
  <si>
    <t>Rougheye/Blksptd rockfish</t>
  </si>
  <si>
    <t>Kelp greenling</t>
  </si>
  <si>
    <t>Pacific Ocean perch</t>
  </si>
  <si>
    <t>adjusted,</t>
  </si>
  <si>
    <t>$$$</t>
  </si>
  <si>
    <r>
      <rPr>
        <b/>
        <sz val="16"/>
        <color theme="1"/>
        <rFont val="Calibri"/>
        <family val="2"/>
      </rPr>
      <t>Σ</t>
    </r>
    <r>
      <rPr>
        <sz val="14"/>
        <color theme="1"/>
        <rFont val="Calibri"/>
        <family val="2"/>
        <scheme val="minor"/>
      </rPr>
      <t xml:space="preserve"> of *,#,@,$</t>
    </r>
  </si>
  <si>
    <t>Year of</t>
  </si>
  <si>
    <t xml:space="preserve"> last asmt</t>
  </si>
  <si>
    <t xml:space="preserve"> F or G</t>
  </si>
  <si>
    <t>B or C</t>
  </si>
  <si>
    <t>modi-fier</t>
  </si>
  <si>
    <t>Final</t>
  </si>
  <si>
    <t>prelim-inary</t>
  </si>
  <si>
    <t>If asmt age 
&gt;= 10,
 +1</t>
  </si>
  <si>
    <t>If sp.</t>
  </si>
  <si>
    <t>at or beyond traget freq.</t>
  </si>
  <si>
    <r>
      <t>-</t>
    </r>
    <r>
      <rPr>
        <b/>
        <sz val="14"/>
        <color theme="1"/>
        <rFont val="Calibri"/>
        <family val="2"/>
        <scheme val="minor"/>
      </rPr>
      <t>1</t>
    </r>
    <r>
      <rPr>
        <sz val="14"/>
        <color theme="1"/>
        <rFont val="Calibri"/>
        <family val="2"/>
        <scheme val="minor"/>
      </rPr>
      <t xml:space="preserve"> if less than 6 years since last assessment and 'Update' recommended for next assessment</t>
    </r>
  </si>
  <si>
    <t>Max of columns</t>
  </si>
  <si>
    <t>Assessment output, Fishery and Ecosystem Factor scores, recent mortality vs draft 2022 ABCs</t>
  </si>
  <si>
    <t>Sum of Initial Score and the next 4 additive adjustments</t>
  </si>
  <si>
    <t>= Initial value if 'assessed last cycle'</t>
  </si>
  <si>
    <t>Is sp. Beyond target freq?</t>
  </si>
  <si>
    <r>
      <rPr>
        <b/>
        <sz val="14"/>
        <color theme="1"/>
        <rFont val="Calibri"/>
        <family val="2"/>
        <scheme val="minor"/>
      </rPr>
      <t>+2 to -1</t>
    </r>
    <r>
      <rPr>
        <sz val="14"/>
        <color theme="1"/>
        <rFont val="Calibri"/>
        <family val="2"/>
        <scheme val="minor"/>
      </rPr>
      <t xml:space="preserve"> modifier reflecting the degree to which recent catches will be constrained in 2022, if not assessed in 2019</t>
    </r>
  </si>
  <si>
    <t>$1,000s</t>
  </si>
  <si>
    <t xml:space="preserve"> Revenue</t>
  </si>
  <si>
    <t>Commercial*</t>
  </si>
  <si>
    <r>
      <rPr>
        <b/>
        <sz val="14"/>
        <color theme="1"/>
        <rFont val="Calibri"/>
        <family val="2"/>
        <scheme val="minor"/>
      </rPr>
      <t xml:space="preserve">by rebuilding </t>
    </r>
    <r>
      <rPr>
        <sz val="14"/>
        <color theme="1"/>
        <rFont val="Calibri"/>
        <family val="2"/>
        <scheme val="minor"/>
      </rPr>
      <t xml:space="preserve">
(see legend, below)</t>
    </r>
  </si>
  <si>
    <t>state/fleet; 5-yr catch suppresed</t>
  </si>
  <si>
    <t>ABCs not used in scoring</t>
  </si>
  <si>
    <t>Vermilion/Sunset rockfish</t>
  </si>
  <si>
    <t>(Benchmark)</t>
  </si>
  <si>
    <t>Last Full</t>
  </si>
  <si>
    <t>Updated</t>
  </si>
  <si>
    <t>Rockfish</t>
  </si>
  <si>
    <t>Over 200K lengths and 80K ages not used in 2013 D-M assessment</t>
  </si>
  <si>
    <t>Over 90K lengths collected since last assessment</t>
  </si>
  <si>
    <t>Over 85K lengths collected since last assessment</t>
  </si>
  <si>
    <t>Over 25K lengths collected since last assessment</t>
  </si>
  <si>
    <t>New ecosystem driver of recruitment available</t>
  </si>
  <si>
    <t>~100K lengths (none used in 2013 D-M assessment)</t>
  </si>
  <si>
    <t>~12K lengths (none used in 2013 D-M assessment)</t>
  </si>
  <si>
    <t>~25K lengths (none used in 2013 D-M assessment)</t>
  </si>
  <si>
    <r>
      <t xml:space="preserve">Individual Factor Scores for each species, with </t>
    </r>
    <r>
      <rPr>
        <b/>
        <sz val="12"/>
        <color rgb="FF0000CC"/>
        <rFont val="Calibri"/>
        <family val="2"/>
        <scheme val="minor"/>
      </rPr>
      <t>factor weights shown in row 7</t>
    </r>
  </si>
  <si>
    <t>Over 35K lengths have been collected</t>
  </si>
  <si>
    <t>Over 50K lengths have been collected</t>
  </si>
  <si>
    <t>Over 30K lengths collected since last assessment</t>
  </si>
  <si>
    <t>adjusts</t>
  </si>
  <si>
    <t xml:space="preserve">for </t>
  </si>
  <si>
    <t>ecosys/</t>
  </si>
  <si>
    <r>
      <t xml:space="preserve">fishery impor-tance 
</t>
    </r>
    <r>
      <rPr>
        <sz val="13"/>
        <color theme="1"/>
        <rFont val="Calibri"/>
        <family val="2"/>
        <scheme val="minor"/>
      </rPr>
      <t>(-</t>
    </r>
    <r>
      <rPr>
        <b/>
        <sz val="13"/>
        <color theme="1"/>
        <rFont val="Calibri"/>
        <family val="2"/>
        <scheme val="minor"/>
      </rPr>
      <t>J</t>
    </r>
    <r>
      <rPr>
        <sz val="13"/>
        <color theme="1"/>
        <rFont val="Calibri"/>
        <family val="2"/>
        <scheme val="minor"/>
      </rPr>
      <t xml:space="preserve"> value)</t>
    </r>
  </si>
  <si>
    <t xml:space="preserve">/ OFL (2022) </t>
  </si>
  <si>
    <t>Not used in scoring</t>
  </si>
  <si>
    <t xml:space="preserve">Based on the most recently assessed % of Unfished Spawning Biomass/Output, calculated at a coastwide level, except where benchmark-derived OFLs do not </t>
  </si>
  <si>
    <t>cover the entire coast (e.g. bocaccio, yellowtail); or, on the stock's PSA (Vulnerability) score, where relative abundance has not been estimated</t>
  </si>
  <si>
    <t>Est.</t>
  </si>
  <si>
    <t>Target</t>
  </si>
  <si>
    <t xml:space="preserve">Mean Catch-Age </t>
  </si>
  <si>
    <t>Wt.'d</t>
  </si>
  <si>
    <t>Asmnt</t>
  </si>
  <si>
    <t>Options</t>
  </si>
  <si>
    <t>Full/Upd</t>
  </si>
  <si>
    <t>F/D-M</t>
  </si>
  <si>
    <t xml:space="preserve">This modifier is included in the final score for </t>
  </si>
  <si>
    <t>the Assessment Freqency Factor (Column T)</t>
  </si>
  <si>
    <r>
      <rPr>
        <b/>
        <sz val="14"/>
        <color theme="1"/>
        <rFont val="Calibri"/>
        <family val="2"/>
        <scheme val="minor"/>
      </rPr>
      <t>OFL</t>
    </r>
    <r>
      <rPr>
        <sz val="14"/>
        <color theme="1"/>
        <rFont val="Calibri"/>
        <family val="2"/>
        <scheme val="minor"/>
      </rPr>
      <t xml:space="preserve">, or </t>
    </r>
    <r>
      <rPr>
        <i/>
        <sz val="14"/>
        <color theme="1"/>
        <rFont val="Cambria"/>
        <family val="1"/>
        <scheme val="major"/>
      </rPr>
      <t>contrib.</t>
    </r>
  </si>
  <si>
    <r>
      <rPr>
        <b/>
        <sz val="14"/>
        <color theme="1"/>
        <rFont val="Calibri"/>
        <family val="2"/>
        <scheme val="minor"/>
      </rPr>
      <t>ABC</t>
    </r>
    <r>
      <rPr>
        <sz val="14"/>
        <color theme="1"/>
        <rFont val="Calibri"/>
        <family val="2"/>
        <scheme val="minor"/>
      </rPr>
      <t xml:space="preserve">, or </t>
    </r>
    <r>
      <rPr>
        <i/>
        <sz val="14"/>
        <color theme="1"/>
        <rFont val="Cambria"/>
        <family val="1"/>
        <scheme val="major"/>
      </rPr>
      <t>contrib.</t>
    </r>
  </si>
  <si>
    <t>Value used for 2023, if NOT assessed in 2021</t>
  </si>
  <si>
    <t>Worksheet for projecting scores and ratings for species in 2021, given selection of species for assessment in 2019.</t>
  </si>
  <si>
    <t>√</t>
  </si>
  <si>
    <t>When a suite of species is selected for assessments in 2019, by placing Xs in their rows in column F, a new score is calculated in column Q, through adjusting scores of the "Target Frequency" and "New Information" Factors</t>
  </si>
  <si>
    <t>2021 Base</t>
  </si>
  <si>
    <t>Scoring of "Target Frequency" Factor</t>
  </si>
  <si>
    <t>Scoring of "New Info" Factor</t>
  </si>
  <si>
    <t>Resulting 2023 Scores and Ranks</t>
  </si>
  <si>
    <t>Weight</t>
  </si>
  <si>
    <t>2023 Factor Score</t>
  </si>
  <si>
    <t>Overall Score</t>
  </si>
  <si>
    <t>2021 Factor Score</t>
  </si>
  <si>
    <t>Indicator for 'stock selected for 2021'</t>
  </si>
  <si>
    <t>IF assessed in 2021</t>
  </si>
  <si>
    <r>
      <t xml:space="preserve">IF </t>
    </r>
    <r>
      <rPr>
        <b/>
        <u/>
        <sz val="12"/>
        <color rgb="FFD20000"/>
        <rFont val="Calibri"/>
        <family val="2"/>
        <scheme val="minor"/>
      </rPr>
      <t>NOT</t>
    </r>
    <r>
      <rPr>
        <b/>
        <sz val="12"/>
        <color theme="1"/>
        <rFont val="Calibri"/>
        <family val="2"/>
        <scheme val="minor"/>
      </rPr>
      <t xml:space="preserve"> assessed in 2021</t>
    </r>
  </si>
  <si>
    <t>2023 score, if X'd species are assessed in 2021</t>
  </si>
  <si>
    <t>New  score minus 2021 base</t>
  </si>
  <si>
    <t>Weighted Diff-erence</t>
  </si>
  <si>
    <t>New Base Score</t>
  </si>
  <si>
    <t>New Base minus 2021 Base</t>
  </si>
  <si>
    <t>New Base Rank</t>
  </si>
  <si>
    <t>2021 minus 2023 Rank</t>
  </si>
  <si>
    <t>Chosen for 2021</t>
  </si>
  <si>
    <t>2-3 areas</t>
  </si>
  <si>
    <t>2-area; CalCOFI genetic ID</t>
  </si>
  <si>
    <t>Vermilion rockfish</t>
  </si>
  <si>
    <t>Pink cells denote species w/o prior benchmark assessments</t>
  </si>
  <si>
    <t>Currently</t>
  </si>
  <si>
    <t>checked as</t>
  </si>
  <si>
    <t>examples</t>
  </si>
  <si>
    <t>Attachment 2 (Electronic Only)</t>
  </si>
  <si>
    <t>Agenda Item F.2</t>
  </si>
  <si>
    <t>March 2022</t>
  </si>
  <si>
    <t>Full</t>
  </si>
  <si>
    <t>2016-20 Coastwide</t>
  </si>
  <si>
    <t>Sum from 2016-20</t>
  </si>
  <si>
    <t>Revenue (sum 2016-20)</t>
  </si>
  <si>
    <t>Avg mts, (2018-20)</t>
  </si>
  <si>
    <t xml:space="preserve">/ ABC (2024) </t>
  </si>
  <si>
    <t>Average over 2018-20</t>
  </si>
  <si>
    <r>
      <t>2018-20 avg. OFL (</t>
    </r>
    <r>
      <rPr>
        <i/>
        <sz val="14"/>
        <color theme="1"/>
        <rFont val="Times New Roman"/>
        <family val="1"/>
      </rPr>
      <t>or OFL contribution</t>
    </r>
    <r>
      <rPr>
        <sz val="14"/>
        <color theme="1"/>
        <rFont val="Calibri"/>
        <family val="2"/>
        <scheme val="minor"/>
      </rPr>
      <t>)</t>
    </r>
  </si>
  <si>
    <t>Average 2018-20</t>
  </si>
  <si>
    <t>2023 draft 
spex values</t>
  </si>
  <si>
    <t>2020 mts</t>
  </si>
  <si>
    <t>Avg mts, 2018-20</t>
  </si>
  <si>
    <t xml:space="preserve">/ OFL (2023) </t>
  </si>
  <si>
    <t>New forward look at degree to which recent catches would be constrained by 2023 draft SPEX.</t>
  </si>
  <si>
    <t>to Initial</t>
  </si>
  <si>
    <t>Score Sdded</t>
  </si>
  <si>
    <t>Max Value</t>
  </si>
  <si>
    <t>Very low average fishing mortality during 2018-20</t>
  </si>
  <si>
    <t>Rougheye/Blackspotted rockfish</t>
  </si>
  <si>
    <t xml:space="preserve">Unfished </t>
  </si>
  <si>
    <t>% Fraction</t>
  </si>
  <si>
    <t>Manage.</t>
  </si>
  <si>
    <t>Gopher/Black and yellow rockfish</t>
  </si>
  <si>
    <t>Rougheye/Blackspottedd rockfish</t>
  </si>
  <si>
    <t>Recreatiol importance of species, based on coastwide landed tonge and weighting reflecting relative species desirability</t>
  </si>
  <si>
    <t>Cary rockfish</t>
  </si>
  <si>
    <t>Chi rockfish</t>
  </si>
  <si>
    <t>Fishing</t>
  </si>
  <si>
    <t>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</si>
</sst>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1" formatCode="_(* #,##0_);_(* \(#,##0\);_(* &quot;-&quot;_);_(@_)"/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_);_(* \(#,##0.0\);_(* &quot;-&quot;??_);_(@_)"/>
    <numFmt numFmtId="167" formatCode="#,##0.0"/>
    <numFmt numFmtId="168" formatCode="_(* #,##0.000_);_(* \(#,##0.000\);_(* &quot;-&quot;??_);_(@_)"/>
    <numFmt numFmtId="169" formatCode="0.0%"/>
    <numFmt numFmtId="170" formatCode="#,##0.000"/>
    <numFmt numFmtId="171" formatCode="\+0"/>
    <numFmt numFmtId="172" formatCode="#,##0\ "/>
    <numFmt numFmtId="173" formatCode="0.000"/>
    <numFmt numFmtId="174" formatCode="\+\ 0;\-\ 0"/>
  </numFmts>
  <fonts count="8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MS Sans Serif"/>
      <family val="2"/>
    </font>
    <font>
      <sz val="10"/>
      <color indexed="8"/>
      <name val="Arial"/>
      <family val="2"/>
    </font>
    <font>
      <b/>
      <sz val="16"/>
      <color theme="1"/>
      <name val="Calibri"/>
      <family val="2"/>
      <scheme val="minor"/>
    </font>
    <font>
      <sz val="14"/>
      <color theme="8" tint="-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0033CC"/>
      <name val="Calibri"/>
      <family val="2"/>
      <scheme val="minor"/>
    </font>
    <font>
      <b/>
      <sz val="16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11"/>
      <color rgb="FF0000CC"/>
      <name val="Calibri"/>
      <family val="2"/>
      <scheme val="minor"/>
    </font>
    <font>
      <i/>
      <sz val="14"/>
      <name val="Times New Roman"/>
      <family val="1"/>
    </font>
    <font>
      <i/>
      <sz val="14"/>
      <color theme="1"/>
      <name val="Times New Roman"/>
      <family val="1"/>
    </font>
    <font>
      <sz val="14"/>
      <color theme="1"/>
      <name val="Times New Roman"/>
      <family val="1"/>
    </font>
    <font>
      <b/>
      <i/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vertAlign val="superscript"/>
      <sz val="13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i/>
      <sz val="14"/>
      <color rgb="FFCC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0000CC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4"/>
      <color rgb="FF303C18"/>
      <name val="Calibri"/>
      <family val="2"/>
      <scheme val="minor"/>
    </font>
    <font>
      <b/>
      <u/>
      <sz val="14"/>
      <name val="Calibri"/>
      <family val="2"/>
      <scheme val="minor"/>
    </font>
    <font>
      <sz val="10"/>
      <color theme="1"/>
      <name val="Times New Roman"/>
      <family val="1"/>
    </font>
    <font>
      <b/>
      <sz val="13"/>
      <color theme="1"/>
      <name val="Calibri"/>
      <family val="2"/>
      <scheme val="minor"/>
    </font>
    <font>
      <sz val="11"/>
      <color rgb="FF005800"/>
      <name val="Calibri"/>
      <family val="2"/>
      <scheme val="minor"/>
    </font>
    <font>
      <sz val="11"/>
      <color rgb="FF6C1608"/>
      <name val="Calibri"/>
      <family val="2"/>
      <scheme val="minor"/>
    </font>
    <font>
      <strike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"/>
      <name val="Arial Narrow"/>
      <family val="2"/>
    </font>
    <font>
      <b/>
      <sz val="15"/>
      <color rgb="FFC00000"/>
      <name val="Calibri"/>
      <family val="2"/>
      <scheme val="minor"/>
    </font>
    <font>
      <sz val="14"/>
      <name val="Times New Roman"/>
      <family val="1"/>
    </font>
    <font>
      <b/>
      <sz val="14"/>
      <color rgb="FFC00000"/>
      <name val="Times New Roman"/>
      <family val="1"/>
    </font>
    <font>
      <b/>
      <sz val="13"/>
      <name val="Calibri"/>
      <family val="2"/>
      <scheme val="minor"/>
    </font>
    <font>
      <b/>
      <sz val="16"/>
      <color theme="1"/>
      <name val="Calibri"/>
      <family val="2"/>
    </font>
    <font>
      <i/>
      <sz val="14"/>
      <name val="Calibri"/>
      <family val="2"/>
      <scheme val="minor"/>
    </font>
    <font>
      <i/>
      <sz val="14"/>
      <color rgb="FFCC0000"/>
      <name val="Times New Roman"/>
      <family val="1"/>
    </font>
    <font>
      <i/>
      <sz val="14"/>
      <color theme="1"/>
      <name val="Cambria"/>
      <family val="1"/>
      <scheme val="major"/>
    </font>
    <font>
      <i/>
      <sz val="14"/>
      <color rgb="FFB2292E"/>
      <name val="Cambria"/>
      <family val="1"/>
      <scheme val="major"/>
    </font>
    <font>
      <b/>
      <sz val="14"/>
      <color rgb="FFB2292E"/>
      <name val="Times New Roman"/>
      <family val="1"/>
    </font>
    <font>
      <sz val="14"/>
      <color rgb="FF00467F"/>
      <name val="Calibri"/>
      <family val="2"/>
      <scheme val="minor"/>
    </font>
    <font>
      <b/>
      <sz val="14"/>
      <color rgb="FF0055A4"/>
      <name val="Calibri"/>
      <family val="2"/>
      <scheme val="minor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sz val="12"/>
      <color theme="1"/>
      <name val="Calibri"/>
      <family val="2"/>
    </font>
    <font>
      <sz val="14"/>
      <color theme="1"/>
      <name val="Courier New"/>
      <family val="3"/>
    </font>
    <font>
      <b/>
      <sz val="12"/>
      <color theme="1"/>
      <name val="Calibri"/>
      <family val="2"/>
    </font>
    <font>
      <b/>
      <sz val="12"/>
      <color rgb="FF006600"/>
      <name val="Calibri"/>
      <family val="2"/>
      <scheme val="minor"/>
    </font>
    <font>
      <b/>
      <u/>
      <sz val="12"/>
      <color rgb="FFD20000"/>
      <name val="Calibri"/>
      <family val="2"/>
      <scheme val="minor"/>
    </font>
    <font>
      <b/>
      <sz val="12"/>
      <color rgb="FF820000"/>
      <name val="Calibri"/>
      <family val="2"/>
    </font>
    <font>
      <b/>
      <sz val="13"/>
      <color theme="1"/>
      <name val="Calibri"/>
      <family val="2"/>
    </font>
    <font>
      <sz val="12"/>
      <color theme="1" tint="0.34998626667073579"/>
      <name val="Calibri"/>
      <family val="2"/>
    </font>
    <font>
      <b/>
      <sz val="12"/>
      <color rgb="FFD20000"/>
      <name val="Calibri"/>
      <family val="2"/>
      <scheme val="minor"/>
    </font>
    <font>
      <b/>
      <sz val="12"/>
      <color theme="0" tint="-0.499984740745262"/>
      <name val="Calibri"/>
      <family val="2"/>
    </font>
    <font>
      <sz val="12"/>
      <color theme="1"/>
      <name val="Times New Roman"/>
      <family val="1"/>
    </font>
    <font>
      <i/>
      <sz val="12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3"/>
      <name val="Calibri"/>
      <family val="2"/>
      <scheme val="minor"/>
    </font>
  </fonts>
  <fills count="7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1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99E7F6"/>
        <bgColor indexed="64"/>
      </patternFill>
    </fill>
    <fill>
      <patternFill patternType="solid">
        <fgColor rgb="FFA5D4E5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CC00"/>
        <bgColor rgb="FF99CC00"/>
      </patternFill>
    </fill>
    <fill>
      <patternFill patternType="solid">
        <fgColor rgb="FFFF7979"/>
        <bgColor indexed="64"/>
      </patternFill>
    </fill>
    <fill>
      <patternFill patternType="solid">
        <fgColor rgb="FFF7AC47"/>
        <bgColor rgb="FFF7AC47"/>
      </patternFill>
    </fill>
    <fill>
      <patternFill patternType="darkUp">
        <fgColor rgb="FF99CC00"/>
        <bgColor rgb="FF99CC00"/>
      </patternFill>
    </fill>
    <fill>
      <patternFill patternType="darkTrellis">
        <fgColor rgb="FF99CC00"/>
        <bgColor rgb="FF99CC00"/>
      </patternFill>
    </fill>
    <fill>
      <patternFill patternType="darkUp">
        <fgColor rgb="FFF7AC47"/>
        <bgColor rgb="FFF7AC47"/>
      </patternFill>
    </fill>
    <fill>
      <patternFill patternType="darkTrellis">
        <fgColor rgb="FFF7AC47"/>
        <bgColor rgb="FFF7AC47"/>
      </patternFill>
    </fill>
    <fill>
      <patternFill patternType="solid">
        <fgColor rgb="FF47FFC2"/>
        <bgColor indexed="64"/>
      </patternFill>
    </fill>
    <fill>
      <patternFill patternType="solid">
        <fgColor rgb="FFFFD1FF"/>
        <bgColor indexed="64"/>
      </patternFill>
    </fill>
    <fill>
      <patternFill patternType="solid">
        <fgColor rgb="FFFFFFC9"/>
        <bgColor indexed="64"/>
      </patternFill>
    </fill>
    <fill>
      <patternFill patternType="solid">
        <fgColor rgb="FFFFFF8F"/>
        <bgColor indexed="64"/>
      </patternFill>
    </fill>
    <fill>
      <patternFill patternType="solid">
        <fgColor rgb="FFA6BFDE"/>
        <bgColor indexed="64"/>
      </patternFill>
    </fill>
    <fill>
      <patternFill patternType="solid">
        <fgColor rgb="FFCCDAEC"/>
        <bgColor indexed="64"/>
      </patternFill>
    </fill>
    <fill>
      <patternFill patternType="solid">
        <fgColor rgb="FFB8EEE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7FF8B"/>
        <bgColor indexed="64"/>
      </patternFill>
    </fill>
    <fill>
      <patternFill patternType="solid">
        <fgColor rgb="FFF97B7E"/>
        <bgColor indexed="64"/>
      </patternFill>
    </fill>
    <fill>
      <patternFill patternType="solid">
        <fgColor rgb="FFC3D69A"/>
        <bgColor indexed="64"/>
      </patternFill>
    </fill>
    <fill>
      <patternFill patternType="solid">
        <fgColor rgb="FFD5E3B7"/>
        <bgColor indexed="64"/>
      </patternFill>
    </fill>
    <fill>
      <patternFill patternType="solid">
        <fgColor rgb="FFEAC38A"/>
        <bgColor indexed="64"/>
      </patternFill>
    </fill>
    <fill>
      <patternFill patternType="solid">
        <fgColor rgb="FFFADB8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E2FDBF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CBD9EB"/>
        <bgColor indexed="64"/>
      </patternFill>
    </fill>
    <fill>
      <patternFill patternType="solid">
        <fgColor rgb="FFF0D5AE"/>
        <bgColor indexed="64"/>
      </patternFill>
    </fill>
    <fill>
      <patternFill patternType="solid">
        <fgColor rgb="FFE9F0D8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rgb="FFFFFFA7"/>
        <bgColor indexed="64"/>
      </patternFill>
    </fill>
    <fill>
      <patternFill patternType="solid">
        <fgColor rgb="FFD8CFE3"/>
        <bgColor indexed="64"/>
      </patternFill>
    </fill>
    <fill>
      <patternFill patternType="solid">
        <fgColor rgb="FFD6FFC1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rgb="FFFEFB8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3745B"/>
        <bgColor indexed="64"/>
      </patternFill>
    </fill>
    <fill>
      <patternFill patternType="solid">
        <fgColor rgb="FFFFEBE1"/>
        <bgColor indexed="64"/>
      </patternFill>
    </fill>
    <fill>
      <patternFill patternType="solid">
        <fgColor rgb="FFE1FFE6"/>
        <bgColor indexed="64"/>
      </patternFill>
    </fill>
    <fill>
      <patternFill patternType="solid">
        <fgColor rgb="FF7AC88E"/>
        <bgColor indexed="64"/>
      </patternFill>
    </fill>
    <fill>
      <patternFill patternType="solid">
        <fgColor rgb="FFFFE1FF"/>
        <bgColor indexed="64"/>
      </patternFill>
    </fill>
    <fill>
      <patternFill patternType="solid">
        <fgColor rgb="FFFFFFA3"/>
        <bgColor indexed="64"/>
      </patternFill>
    </fill>
    <fill>
      <patternFill patternType="solid">
        <fgColor rgb="FFC9FFFF"/>
        <bgColor indexed="64"/>
      </patternFill>
    </fill>
    <fill>
      <patternFill patternType="solid">
        <fgColor rgb="FFFFFFC5"/>
        <bgColor indexed="64"/>
      </patternFill>
    </fill>
    <fill>
      <patternFill patternType="solid">
        <fgColor rgb="FFE1FFFF"/>
        <bgColor indexed="64"/>
      </patternFill>
    </fill>
    <fill>
      <patternFill patternType="solid">
        <fgColor rgb="FFE8FFDD"/>
        <bgColor indexed="64"/>
      </patternFill>
    </fill>
    <fill>
      <patternFill patternType="solid">
        <fgColor rgb="FF9C0218"/>
        <bgColor indexed="64"/>
      </patternFill>
    </fill>
  </fills>
  <borders count="1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auto="1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auto="1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auto="1"/>
      </right>
      <top/>
      <bottom style="medium">
        <color indexed="64"/>
      </bottom>
      <diagonal/>
    </border>
    <border>
      <left/>
      <right style="thick">
        <color auto="1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ck">
        <color auto="1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/>
      <diagonal/>
    </border>
    <border>
      <left/>
      <right style="double">
        <color indexed="64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 style="medium">
        <color indexed="64"/>
      </top>
      <bottom/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thin">
        <color indexed="64"/>
      </top>
      <bottom/>
      <diagonal/>
    </border>
    <border>
      <left style="thick">
        <color auto="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auto="1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ck">
        <color auto="1"/>
      </left>
      <right style="medium">
        <color auto="1"/>
      </right>
      <top/>
      <bottom style="medium">
        <color indexed="64"/>
      </bottom>
      <diagonal/>
    </border>
    <border>
      <left style="thick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 diagonalDown="1">
      <left style="medium">
        <color auto="1"/>
      </left>
      <right/>
      <top/>
      <bottom/>
      <diagonal style="thin">
        <color auto="1"/>
      </diagonal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307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9" fillId="0" borderId="0"/>
    <xf numFmtId="0" fontId="25" fillId="0" borderId="0"/>
    <xf numFmtId="0" fontId="25" fillId="0" borderId="0"/>
    <xf numFmtId="0" fontId="9" fillId="0" borderId="0"/>
    <xf numFmtId="0" fontId="9" fillId="0" borderId="0"/>
    <xf numFmtId="0" fontId="25" fillId="0" borderId="0"/>
    <xf numFmtId="0" fontId="26" fillId="0" borderId="0"/>
    <xf numFmtId="0" fontId="9" fillId="0" borderId="0"/>
    <xf numFmtId="0" fontId="2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15" fillId="0" borderId="0"/>
    <xf numFmtId="9" fontId="15" fillId="0" borderId="0" applyFont="0" applyFill="0" applyBorder="0" applyAlignment="0" applyProtection="0"/>
    <xf numFmtId="0" fontId="2" fillId="0" borderId="0"/>
    <xf numFmtId="0" fontId="1" fillId="0" borderId="0"/>
    <xf numFmtId="49" fontId="55" fillId="66" borderId="0" applyBorder="0" applyProtection="0">
      <alignment horizontal="left" vertical="top" wrapText="1"/>
    </xf>
    <xf numFmtId="0" fontId="1" fillId="0" borderId="0"/>
  </cellStyleXfs>
  <cellXfs count="1351">
    <xf numFmtId="0" fontId="0" fillId="0" borderId="0" xfId="0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5" fontId="7" fillId="0" borderId="0" xfId="1" applyNumberFormat="1" applyFont="1"/>
    <xf numFmtId="3" fontId="7" fillId="0" borderId="0" xfId="0" applyNumberFormat="1" applyFont="1"/>
    <xf numFmtId="0" fontId="7" fillId="0" borderId="0" xfId="0" applyFont="1" applyBorder="1"/>
    <xf numFmtId="165" fontId="7" fillId="0" borderId="14" xfId="1" applyNumberFormat="1" applyFont="1" applyBorder="1"/>
    <xf numFmtId="165" fontId="7" fillId="0" borderId="19" xfId="1" applyNumberFormat="1" applyFont="1" applyBorder="1"/>
    <xf numFmtId="165" fontId="7" fillId="0" borderId="21" xfId="1" applyNumberFormat="1" applyFont="1" applyBorder="1"/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7" fillId="22" borderId="0" xfId="0" applyFont="1" applyFill="1" applyAlignment="1">
      <alignment vertical="center" wrapText="1"/>
    </xf>
    <xf numFmtId="0" fontId="7" fillId="22" borderId="0" xfId="0" applyFont="1" applyFill="1" applyAlignment="1">
      <alignment horizontal="center" vertical="center"/>
    </xf>
    <xf numFmtId="0" fontId="7" fillId="23" borderId="0" xfId="0" applyFont="1" applyFill="1" applyAlignment="1">
      <alignment horizontal="left" vertical="center"/>
    </xf>
    <xf numFmtId="0" fontId="7" fillId="23" borderId="0" xfId="0" applyFont="1" applyFill="1" applyAlignment="1">
      <alignment vertical="center" wrapText="1"/>
    </xf>
    <xf numFmtId="0" fontId="7" fillId="23" borderId="0" xfId="0" applyFont="1" applyFill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0" quotePrefix="1" applyFont="1"/>
    <xf numFmtId="0" fontId="7" fillId="0" borderId="0" xfId="0" applyFont="1" applyAlignment="1">
      <alignment horizontal="left" vertical="center"/>
    </xf>
    <xf numFmtId="0" fontId="6" fillId="0" borderId="0" xfId="0" applyFont="1"/>
    <xf numFmtId="0" fontId="13" fillId="0" borderId="0" xfId="0" applyFont="1" applyBorder="1" applyAlignment="1">
      <alignment horizontal="center"/>
    </xf>
    <xf numFmtId="3" fontId="14" fillId="0" borderId="0" xfId="0" applyNumberFormat="1" applyFont="1"/>
    <xf numFmtId="3" fontId="6" fillId="0" borderId="0" xfId="0" applyNumberFormat="1" applyFont="1"/>
    <xf numFmtId="4" fontId="6" fillId="0" borderId="0" xfId="0" applyNumberFormat="1" applyFont="1" applyAlignment="1">
      <alignment horizontal="center"/>
    </xf>
    <xf numFmtId="164" fontId="6" fillId="0" borderId="3" xfId="0" applyNumberFormat="1" applyFont="1" applyFill="1" applyBorder="1" applyAlignment="1">
      <alignment horizontal="center"/>
    </xf>
    <xf numFmtId="164" fontId="6" fillId="0" borderId="9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4" fontId="7" fillId="17" borderId="0" xfId="0" applyNumberFormat="1" applyFont="1" applyFill="1" applyAlignment="1">
      <alignment horizontal="center"/>
    </xf>
    <xf numFmtId="0" fontId="7" fillId="17" borderId="0" xfId="0" applyFont="1" applyFill="1" applyAlignment="1">
      <alignment horizontal="center"/>
    </xf>
    <xf numFmtId="0" fontId="7" fillId="17" borderId="0" xfId="0" applyFont="1" applyFill="1"/>
    <xf numFmtId="0" fontId="8" fillId="17" borderId="30" xfId="0" applyFont="1" applyFill="1" applyBorder="1"/>
    <xf numFmtId="0" fontId="8" fillId="17" borderId="32" xfId="0" applyFont="1" applyFill="1" applyBorder="1" applyAlignment="1">
      <alignment horizontal="center"/>
    </xf>
    <xf numFmtId="0" fontId="8" fillId="17" borderId="0" xfId="0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8" fillId="17" borderId="15" xfId="0" applyFont="1" applyFill="1" applyBorder="1" applyAlignment="1">
      <alignment horizontal="center"/>
    </xf>
    <xf numFmtId="0" fontId="8" fillId="17" borderId="5" xfId="0" applyFont="1" applyFill="1" applyBorder="1" applyAlignment="1">
      <alignment horizontal="center"/>
    </xf>
    <xf numFmtId="0" fontId="8" fillId="17" borderId="4" xfId="0" applyFont="1" applyFill="1" applyBorder="1" applyAlignment="1">
      <alignment horizontal="center"/>
    </xf>
    <xf numFmtId="4" fontId="7" fillId="17" borderId="37" xfId="2" applyNumberFormat="1" applyFont="1" applyFill="1" applyBorder="1" applyAlignment="1">
      <alignment horizontal="center"/>
    </xf>
    <xf numFmtId="3" fontId="8" fillId="0" borderId="20" xfId="0" applyNumberFormat="1" applyFont="1" applyBorder="1" applyAlignment="1">
      <alignment horizontal="center"/>
    </xf>
    <xf numFmtId="3" fontId="7" fillId="0" borderId="20" xfId="0" applyNumberFormat="1" applyFont="1" applyBorder="1" applyAlignment="1">
      <alignment horizontal="center"/>
    </xf>
    <xf numFmtId="3" fontId="8" fillId="0" borderId="22" xfId="0" applyNumberFormat="1" applyFont="1" applyBorder="1" applyAlignment="1">
      <alignment horizontal="center"/>
    </xf>
    <xf numFmtId="4" fontId="8" fillId="0" borderId="39" xfId="0" applyNumberFormat="1" applyFont="1" applyFill="1" applyBorder="1" applyAlignment="1">
      <alignment horizontal="center"/>
    </xf>
    <xf numFmtId="0" fontId="7" fillId="27" borderId="41" xfId="0" applyFont="1" applyFill="1" applyBorder="1"/>
    <xf numFmtId="4" fontId="7" fillId="0" borderId="40" xfId="0" applyNumberFormat="1" applyFont="1" applyBorder="1" applyAlignment="1">
      <alignment horizontal="center"/>
    </xf>
    <xf numFmtId="4" fontId="7" fillId="0" borderId="50" xfId="0" applyNumberFormat="1" applyFont="1" applyBorder="1" applyAlignment="1">
      <alignment horizontal="center"/>
    </xf>
    <xf numFmtId="0" fontId="7" fillId="27" borderId="8" xfId="0" applyFont="1" applyFill="1" applyBorder="1"/>
    <xf numFmtId="0" fontId="7" fillId="0" borderId="27" xfId="0" applyFont="1" applyFill="1" applyBorder="1"/>
    <xf numFmtId="4" fontId="7" fillId="0" borderId="9" xfId="0" applyNumberFormat="1" applyFont="1" applyFill="1" applyBorder="1"/>
    <xf numFmtId="4" fontId="7" fillId="0" borderId="51" xfId="0" applyNumberFormat="1" applyFont="1" applyFill="1" applyBorder="1" applyAlignment="1">
      <alignment horizontal="center"/>
    </xf>
    <xf numFmtId="4" fontId="7" fillId="0" borderId="9" xfId="0" applyNumberFormat="1" applyFont="1" applyBorder="1" applyAlignment="1">
      <alignment horizontal="center"/>
    </xf>
    <xf numFmtId="4" fontId="7" fillId="0" borderId="51" xfId="0" applyNumberFormat="1" applyFont="1" applyBorder="1" applyAlignment="1">
      <alignment horizontal="center"/>
    </xf>
    <xf numFmtId="4" fontId="7" fillId="0" borderId="9" xfId="0" applyNumberFormat="1" applyFont="1" applyFill="1" applyBorder="1" applyAlignment="1">
      <alignment horizont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8" fillId="17" borderId="33" xfId="0" applyFont="1" applyFill="1" applyBorder="1"/>
    <xf numFmtId="2" fontId="7" fillId="0" borderId="14" xfId="0" applyNumberFormat="1" applyFont="1" applyBorder="1" applyAlignment="1">
      <alignment horizontal="center"/>
    </xf>
    <xf numFmtId="167" fontId="7" fillId="0" borderId="3" xfId="0" applyNumberFormat="1" applyFont="1" applyBorder="1" applyAlignment="1">
      <alignment horizontal="center"/>
    </xf>
    <xf numFmtId="0" fontId="7" fillId="0" borderId="46" xfId="0" applyFont="1" applyBorder="1" applyAlignment="1">
      <alignment horizontal="center"/>
    </xf>
    <xf numFmtId="167" fontId="8" fillId="0" borderId="53" xfId="0" applyNumberFormat="1" applyFont="1" applyBorder="1" applyAlignment="1">
      <alignment horizontal="center"/>
    </xf>
    <xf numFmtId="0" fontId="7" fillId="0" borderId="51" xfId="0" applyFont="1" applyBorder="1" applyAlignment="1">
      <alignment horizontal="center"/>
    </xf>
    <xf numFmtId="167" fontId="8" fillId="0" borderId="54" xfId="0" applyNumberFormat="1" applyFont="1" applyBorder="1" applyAlignment="1">
      <alignment horizontal="center"/>
    </xf>
    <xf numFmtId="0" fontId="7" fillId="0" borderId="52" xfId="0" applyFont="1" applyBorder="1" applyAlignment="1">
      <alignment horizontal="center"/>
    </xf>
    <xf numFmtId="167" fontId="8" fillId="0" borderId="44" xfId="0" applyNumberFormat="1" applyFont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167" fontId="7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67" fontId="7" fillId="0" borderId="0" xfId="0" applyNumberFormat="1" applyFont="1" applyAlignment="1">
      <alignment horizontal="center"/>
    </xf>
    <xf numFmtId="0" fontId="7" fillId="17" borderId="0" xfId="0" quotePrefix="1" applyFont="1" applyFill="1" applyBorder="1"/>
    <xf numFmtId="0" fontId="8" fillId="17" borderId="0" xfId="0" quotePrefix="1" applyFont="1" applyFill="1" applyBorder="1" applyAlignment="1">
      <alignment horizontal="center"/>
    </xf>
    <xf numFmtId="0" fontId="8" fillId="17" borderId="0" xfId="0" quotePrefix="1" applyFont="1" applyFill="1" applyAlignment="1">
      <alignment horizontal="center"/>
    </xf>
    <xf numFmtId="0" fontId="7" fillId="17" borderId="0" xfId="0" applyFont="1" applyFill="1" applyBorder="1"/>
    <xf numFmtId="0" fontId="8" fillId="17" borderId="0" xfId="0" applyFont="1" applyFill="1" applyBorder="1" applyAlignment="1">
      <alignment horizontal="center"/>
    </xf>
    <xf numFmtId="0" fontId="8" fillId="17" borderId="11" xfId="0" applyFont="1" applyFill="1" applyBorder="1" applyAlignment="1">
      <alignment horizontal="center"/>
    </xf>
    <xf numFmtId="0" fontId="8" fillId="17" borderId="48" xfId="0" applyFont="1" applyFill="1" applyBorder="1" applyAlignment="1">
      <alignment horizontal="center"/>
    </xf>
    <xf numFmtId="0" fontId="8" fillId="17" borderId="8" xfId="0" applyFont="1" applyFill="1" applyBorder="1" applyAlignment="1">
      <alignment horizontal="center"/>
    </xf>
    <xf numFmtId="3" fontId="7" fillId="0" borderId="18" xfId="0" applyNumberFormat="1" applyFont="1" applyBorder="1" applyAlignment="1">
      <alignment horizontal="center"/>
    </xf>
    <xf numFmtId="0" fontId="8" fillId="17" borderId="27" xfId="0" applyFont="1" applyFill="1" applyBorder="1" applyAlignment="1">
      <alignment horizontal="center"/>
    </xf>
    <xf numFmtId="0" fontId="8" fillId="17" borderId="28" xfId="0" applyFont="1" applyFill="1" applyBorder="1" applyAlignment="1">
      <alignment horizontal="center"/>
    </xf>
    <xf numFmtId="3" fontId="7" fillId="0" borderId="22" xfId="0" applyNumberFormat="1" applyFont="1" applyBorder="1" applyAlignment="1">
      <alignment horizontal="center"/>
    </xf>
    <xf numFmtId="0" fontId="10" fillId="0" borderId="0" xfId="3" applyFont="1"/>
    <xf numFmtId="9" fontId="15" fillId="0" borderId="0" xfId="2" applyFont="1" applyAlignment="1">
      <alignment horizontal="center"/>
    </xf>
    <xf numFmtId="0" fontId="15" fillId="0" borderId="0" xfId="0" applyFont="1"/>
    <xf numFmtId="0" fontId="7" fillId="0" borderId="0" xfId="0" applyFont="1" applyAlignment="1">
      <alignment vertical="center"/>
    </xf>
    <xf numFmtId="0" fontId="11" fillId="0" borderId="0" xfId="3" applyFont="1"/>
    <xf numFmtId="9" fontId="7" fillId="0" borderId="19" xfId="2" applyFont="1" applyBorder="1" applyAlignment="1">
      <alignment horizontal="center" vertical="center"/>
    </xf>
    <xf numFmtId="0" fontId="17" fillId="0" borderId="0" xfId="3" applyFont="1"/>
    <xf numFmtId="0" fontId="11" fillId="0" borderId="0" xfId="3" applyFont="1" applyAlignment="1">
      <alignment horizontal="center"/>
    </xf>
    <xf numFmtId="3" fontId="11" fillId="0" borderId="0" xfId="3" applyNumberFormat="1" applyFont="1" applyAlignment="1">
      <alignment horizontal="center"/>
    </xf>
    <xf numFmtId="0" fontId="22" fillId="0" borderId="0" xfId="3" applyFont="1"/>
    <xf numFmtId="167" fontId="7" fillId="0" borderId="0" xfId="0" applyNumberFormat="1" applyFont="1" applyAlignment="1">
      <alignment horizontal="center" vertical="center"/>
    </xf>
    <xf numFmtId="0" fontId="10" fillId="17" borderId="26" xfId="4" applyFont="1" applyFill="1" applyBorder="1"/>
    <xf numFmtId="0" fontId="10" fillId="17" borderId="26" xfId="4" applyFont="1" applyFill="1" applyBorder="1" applyAlignment="1"/>
    <xf numFmtId="0" fontId="8" fillId="17" borderId="0" xfId="0" applyFont="1" applyFill="1" applyBorder="1"/>
    <xf numFmtId="0" fontId="8" fillId="17" borderId="31" xfId="0" applyFont="1" applyFill="1" applyBorder="1" applyAlignment="1">
      <alignment horizontal="center"/>
    </xf>
    <xf numFmtId="0" fontId="10" fillId="0" borderId="26" xfId="3" applyFont="1" applyBorder="1"/>
    <xf numFmtId="0" fontId="8" fillId="17" borderId="0" xfId="0" applyFont="1" applyFill="1" applyAlignment="1">
      <alignment horizontal="centerContinuous"/>
    </xf>
    <xf numFmtId="0" fontId="8" fillId="17" borderId="30" xfId="0" applyFont="1" applyFill="1" applyBorder="1" applyAlignment="1">
      <alignment horizontal="centerContinuous"/>
    </xf>
    <xf numFmtId="0" fontId="8" fillId="17" borderId="38" xfId="0" applyFont="1" applyFill="1" applyBorder="1" applyAlignment="1">
      <alignment horizontal="centerContinuous"/>
    </xf>
    <xf numFmtId="9" fontId="7" fillId="0" borderId="21" xfId="2" applyFont="1" applyBorder="1" applyAlignment="1">
      <alignment horizontal="center" vertical="center"/>
    </xf>
    <xf numFmtId="0" fontId="10" fillId="17" borderId="33" xfId="3" applyFont="1" applyFill="1" applyBorder="1"/>
    <xf numFmtId="0" fontId="7" fillId="17" borderId="0" xfId="0" applyFont="1" applyFill="1" applyAlignment="1">
      <alignment horizontal="left"/>
    </xf>
    <xf numFmtId="0" fontId="7" fillId="0" borderId="0" xfId="0" applyFont="1" applyFill="1" applyBorder="1" applyAlignment="1">
      <alignment vertical="center"/>
    </xf>
    <xf numFmtId="4" fontId="14" fillId="16" borderId="32" xfId="0" applyNumberFormat="1" applyFont="1" applyFill="1" applyBorder="1" applyAlignment="1">
      <alignment horizontal="center"/>
    </xf>
    <xf numFmtId="0" fontId="0" fillId="0" borderId="55" xfId="0" applyBorder="1" applyAlignment="1">
      <alignment horizontal="center"/>
    </xf>
    <xf numFmtId="4" fontId="6" fillId="16" borderId="47" xfId="0" applyNumberFormat="1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60" xfId="0" applyBorder="1" applyAlignment="1">
      <alignment horizontal="center"/>
    </xf>
    <xf numFmtId="0" fontId="8" fillId="17" borderId="0" xfId="0" applyFont="1" applyFill="1" applyBorder="1" applyAlignment="1">
      <alignment horizontal="centerContinuous"/>
    </xf>
    <xf numFmtId="0" fontId="27" fillId="17" borderId="0" xfId="0" applyFont="1" applyFill="1" applyAlignment="1">
      <alignment vertical="center"/>
    </xf>
    <xf numFmtId="0" fontId="27" fillId="17" borderId="0" xfId="0" applyFont="1" applyFill="1"/>
    <xf numFmtId="165" fontId="7" fillId="17" borderId="0" xfId="1" applyNumberFormat="1" applyFont="1" applyFill="1"/>
    <xf numFmtId="0" fontId="7" fillId="17" borderId="0" xfId="0" applyFont="1" applyFill="1" applyBorder="1" applyAlignment="1">
      <alignment horizontal="center"/>
    </xf>
    <xf numFmtId="0" fontId="7" fillId="17" borderId="30" xfId="0" applyFont="1" applyFill="1" applyBorder="1"/>
    <xf numFmtId="0" fontId="7" fillId="17" borderId="0" xfId="0" applyFont="1" applyFill="1" applyAlignment="1">
      <alignment horizontal="centerContinuous"/>
    </xf>
    <xf numFmtId="0" fontId="7" fillId="17" borderId="7" xfId="0" applyFont="1" applyFill="1" applyBorder="1" applyAlignment="1">
      <alignment horizontal="centerContinuous"/>
    </xf>
    <xf numFmtId="165" fontId="7" fillId="17" borderId="3" xfId="1" applyNumberFormat="1" applyFont="1" applyFill="1" applyBorder="1" applyAlignment="1">
      <alignment horizontal="centerContinuous"/>
    </xf>
    <xf numFmtId="165" fontId="7" fillId="17" borderId="46" xfId="1" applyNumberFormat="1" applyFont="1" applyFill="1" applyBorder="1" applyAlignment="1">
      <alignment horizontal="centerContinuous"/>
    </xf>
    <xf numFmtId="0" fontId="7" fillId="17" borderId="3" xfId="0" applyFont="1" applyFill="1" applyBorder="1" applyAlignment="1">
      <alignment horizontal="centerContinuous"/>
    </xf>
    <xf numFmtId="0" fontId="7" fillId="17" borderId="18" xfId="0" applyFont="1" applyFill="1" applyBorder="1" applyAlignment="1">
      <alignment horizontal="centerContinuous"/>
    </xf>
    <xf numFmtId="0" fontId="8" fillId="17" borderId="47" xfId="0" applyFont="1" applyFill="1" applyBorder="1" applyAlignment="1">
      <alignment horizontal="centerContinuous"/>
    </xf>
    <xf numFmtId="0" fontId="7" fillId="17" borderId="48" xfId="0" applyFont="1" applyFill="1" applyBorder="1" applyAlignment="1">
      <alignment horizontal="center"/>
    </xf>
    <xf numFmtId="0" fontId="7" fillId="17" borderId="5" xfId="0" applyFont="1" applyFill="1" applyBorder="1" applyAlignment="1">
      <alignment horizontal="center"/>
    </xf>
    <xf numFmtId="0" fontId="7" fillId="17" borderId="17" xfId="0" applyFont="1" applyFill="1" applyBorder="1" applyAlignment="1">
      <alignment horizontal="center"/>
    </xf>
    <xf numFmtId="0" fontId="7" fillId="17" borderId="0" xfId="0" applyFont="1" applyFill="1" applyBorder="1" applyAlignment="1">
      <alignment horizontal="centerContinuous"/>
    </xf>
    <xf numFmtId="0" fontId="7" fillId="27" borderId="7" xfId="0" applyFont="1" applyFill="1" applyBorder="1"/>
    <xf numFmtId="165" fontId="7" fillId="17" borderId="0" xfId="1" applyNumberFormat="1" applyFont="1" applyFill="1" applyBorder="1"/>
    <xf numFmtId="0" fontId="7" fillId="27" borderId="0" xfId="0" applyFont="1" applyFill="1" applyBorder="1"/>
    <xf numFmtId="0" fontId="8" fillId="17" borderId="0" xfId="0" applyFont="1" applyFill="1" applyAlignment="1">
      <alignment horizontal="center" vertical="center"/>
    </xf>
    <xf numFmtId="0" fontId="7" fillId="17" borderId="0" xfId="0" applyFont="1" applyFill="1" applyBorder="1" applyAlignment="1">
      <alignment vertical="center"/>
    </xf>
    <xf numFmtId="0" fontId="7" fillId="17" borderId="0" xfId="0" applyFont="1" applyFill="1" applyAlignment="1">
      <alignment vertical="center"/>
    </xf>
    <xf numFmtId="165" fontId="7" fillId="17" borderId="0" xfId="1" applyNumberFormat="1" applyFont="1" applyFill="1" applyAlignment="1">
      <alignment vertical="center"/>
    </xf>
    <xf numFmtId="0" fontId="7" fillId="17" borderId="0" xfId="0" applyFont="1" applyFill="1" applyBorder="1" applyAlignment="1">
      <alignment horizontal="center" vertical="center"/>
    </xf>
    <xf numFmtId="4" fontId="8" fillId="17" borderId="12" xfId="0" applyNumberFormat="1" applyFont="1" applyFill="1" applyBorder="1" applyAlignment="1">
      <alignment horizontal="center"/>
    </xf>
    <xf numFmtId="4" fontId="7" fillId="17" borderId="0" xfId="0" applyNumberFormat="1" applyFont="1" applyFill="1" applyAlignment="1">
      <alignment vertical="center"/>
    </xf>
    <xf numFmtId="4" fontId="7" fillId="0" borderId="0" xfId="0" applyNumberFormat="1" applyFont="1"/>
    <xf numFmtId="0" fontId="7" fillId="0" borderId="26" xfId="0" applyFont="1" applyBorder="1" applyAlignment="1">
      <alignment horizontal="center"/>
    </xf>
    <xf numFmtId="0" fontId="7" fillId="0" borderId="1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1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0" borderId="19" xfId="0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22" borderId="0" xfId="0" applyFont="1" applyFill="1" applyAlignment="1">
      <alignment horizontal="left" vertical="center" wrapText="1"/>
    </xf>
    <xf numFmtId="0" fontId="0" fillId="0" borderId="0" xfId="0" applyFill="1"/>
    <xf numFmtId="0" fontId="7" fillId="0" borderId="13" xfId="0" applyFont="1" applyFill="1" applyBorder="1"/>
    <xf numFmtId="0" fontId="7" fillId="44" borderId="0" xfId="0" applyFont="1" applyFill="1"/>
    <xf numFmtId="0" fontId="27" fillId="44" borderId="0" xfId="0" applyFont="1" applyFill="1" applyAlignment="1">
      <alignment horizontal="centerContinuous"/>
    </xf>
    <xf numFmtId="0" fontId="7" fillId="44" borderId="0" xfId="0" applyFont="1" applyFill="1" applyAlignment="1">
      <alignment horizontal="centerContinuous"/>
    </xf>
    <xf numFmtId="0" fontId="8" fillId="17" borderId="0" xfId="0" quotePrefix="1" applyFont="1" applyFill="1" applyBorder="1" applyAlignment="1">
      <alignment horizontal="centerContinuous"/>
    </xf>
    <xf numFmtId="0" fontId="0" fillId="17" borderId="0" xfId="0" applyFill="1" applyAlignment="1">
      <alignment horizontal="center"/>
    </xf>
    <xf numFmtId="0" fontId="6" fillId="17" borderId="0" xfId="0" applyFont="1" applyFill="1" applyAlignment="1">
      <alignment horizontal="center"/>
    </xf>
    <xf numFmtId="0" fontId="0" fillId="17" borderId="30" xfId="0" applyFill="1" applyBorder="1"/>
    <xf numFmtId="0" fontId="0" fillId="17" borderId="33" xfId="0" applyFill="1" applyBorder="1"/>
    <xf numFmtId="0" fontId="0" fillId="0" borderId="4" xfId="0" applyBorder="1" applyAlignment="1">
      <alignment horizontal="centerContinuous"/>
    </xf>
    <xf numFmtId="0" fontId="0" fillId="0" borderId="33" xfId="0" applyBorder="1" applyAlignment="1">
      <alignment horizontal="centerContinuous"/>
    </xf>
    <xf numFmtId="0" fontId="0" fillId="17" borderId="0" xfId="0" applyFill="1" applyBorder="1"/>
    <xf numFmtId="0" fontId="0" fillId="17" borderId="0" xfId="0" applyFill="1" applyBorder="1" applyAlignment="1">
      <alignment horizontal="center"/>
    </xf>
    <xf numFmtId="167" fontId="0" fillId="0" borderId="7" xfId="0" applyNumberFormat="1" applyBorder="1"/>
    <xf numFmtId="0" fontId="10" fillId="17" borderId="36" xfId="4" applyFont="1" applyFill="1" applyBorder="1"/>
    <xf numFmtId="0" fontId="10" fillId="17" borderId="43" xfId="4" applyFont="1" applyFill="1" applyBorder="1"/>
    <xf numFmtId="4" fontId="7" fillId="17" borderId="32" xfId="0" applyNumberFormat="1" applyFont="1" applyFill="1" applyBorder="1" applyAlignment="1">
      <alignment horizontal="centerContinuous"/>
    </xf>
    <xf numFmtId="4" fontId="7" fillId="17" borderId="43" xfId="0" applyNumberFormat="1" applyFont="1" applyFill="1" applyBorder="1"/>
    <xf numFmtId="4" fontId="7" fillId="17" borderId="0" xfId="0" applyNumberFormat="1" applyFont="1" applyFill="1" applyBorder="1" applyAlignment="1">
      <alignment horizontal="centerContinuous" wrapText="1"/>
    </xf>
    <xf numFmtId="0" fontId="7" fillId="17" borderId="0" xfId="0" applyFont="1" applyFill="1" applyAlignment="1">
      <alignment horizontal="centerContinuous" wrapText="1"/>
    </xf>
    <xf numFmtId="3" fontId="7" fillId="0" borderId="3" xfId="0" applyNumberFormat="1" applyFont="1" applyBorder="1" applyAlignment="1">
      <alignment horizontal="center"/>
    </xf>
    <xf numFmtId="3" fontId="7" fillId="0" borderId="47" xfId="0" applyNumberFormat="1" applyFont="1" applyBorder="1" applyAlignment="1">
      <alignment horizontal="center"/>
    </xf>
    <xf numFmtId="167" fontId="7" fillId="0" borderId="18" xfId="0" applyNumberFormat="1" applyFont="1" applyBorder="1" applyAlignment="1">
      <alignment horizontal="center"/>
    </xf>
    <xf numFmtId="167" fontId="7" fillId="0" borderId="47" xfId="0" applyNumberFormat="1" applyFont="1" applyBorder="1" applyAlignment="1">
      <alignment horizontal="center"/>
    </xf>
    <xf numFmtId="3" fontId="7" fillId="0" borderId="46" xfId="0" applyNumberFormat="1" applyFont="1" applyBorder="1" applyAlignment="1">
      <alignment horizontal="center"/>
    </xf>
    <xf numFmtId="3" fontId="7" fillId="0" borderId="9" xfId="0" applyNumberFormat="1" applyFont="1" applyBorder="1" applyAlignment="1">
      <alignment horizontal="center"/>
    </xf>
    <xf numFmtId="3" fontId="7" fillId="0" borderId="27" xfId="0" applyNumberFormat="1" applyFont="1" applyBorder="1" applyAlignment="1">
      <alignment horizontal="center"/>
    </xf>
    <xf numFmtId="167" fontId="7" fillId="0" borderId="9" xfId="0" applyNumberFormat="1" applyFont="1" applyBorder="1" applyAlignment="1">
      <alignment horizontal="center"/>
    </xf>
    <xf numFmtId="167" fontId="7" fillId="0" borderId="20" xfId="0" applyNumberFormat="1" applyFont="1" applyBorder="1" applyAlignment="1">
      <alignment horizontal="center"/>
    </xf>
    <xf numFmtId="167" fontId="7" fillId="0" borderId="27" xfId="0" applyNumberFormat="1" applyFont="1" applyBorder="1" applyAlignment="1">
      <alignment horizontal="center"/>
    </xf>
    <xf numFmtId="3" fontId="7" fillId="0" borderId="51" xfId="0" applyNumberFormat="1" applyFont="1" applyBorder="1" applyAlignment="1">
      <alignment horizontal="center"/>
    </xf>
    <xf numFmtId="3" fontId="7" fillId="0" borderId="24" xfId="0" applyNumberFormat="1" applyFont="1" applyBorder="1" applyAlignment="1">
      <alignment horizontal="center"/>
    </xf>
    <xf numFmtId="3" fontId="7" fillId="0" borderId="68" xfId="0" applyNumberFormat="1" applyFont="1" applyBorder="1" applyAlignment="1">
      <alignment horizontal="center"/>
    </xf>
    <xf numFmtId="3" fontId="7" fillId="0" borderId="64" xfId="0" applyNumberFormat="1" applyFont="1" applyBorder="1" applyAlignment="1">
      <alignment horizontal="center"/>
    </xf>
    <xf numFmtId="167" fontId="7" fillId="0" borderId="24" xfId="0" applyNumberFormat="1" applyFont="1" applyBorder="1" applyAlignment="1">
      <alignment horizontal="center"/>
    </xf>
    <xf numFmtId="167" fontId="7" fillId="0" borderId="68" xfId="0" applyNumberFormat="1" applyFont="1" applyBorder="1" applyAlignment="1">
      <alignment horizontal="center"/>
    </xf>
    <xf numFmtId="167" fontId="7" fillId="0" borderId="64" xfId="0" applyNumberFormat="1" applyFont="1" applyBorder="1" applyAlignment="1">
      <alignment horizontal="center"/>
    </xf>
    <xf numFmtId="3" fontId="7" fillId="0" borderId="62" xfId="0" applyNumberFormat="1" applyFont="1" applyBorder="1" applyAlignment="1">
      <alignment horizontal="center"/>
    </xf>
    <xf numFmtId="167" fontId="7" fillId="0" borderId="46" xfId="0" applyNumberFormat="1" applyFont="1" applyBorder="1" applyAlignment="1">
      <alignment horizontal="center"/>
    </xf>
    <xf numFmtId="167" fontId="7" fillId="0" borderId="51" xfId="0" applyNumberFormat="1" applyFont="1" applyBorder="1" applyAlignment="1">
      <alignment horizontal="center"/>
    </xf>
    <xf numFmtId="167" fontId="7" fillId="0" borderId="62" xfId="0" applyNumberFormat="1" applyFont="1" applyBorder="1" applyAlignment="1">
      <alignment horizontal="center"/>
    </xf>
    <xf numFmtId="0" fontId="7" fillId="0" borderId="0" xfId="1819" applyFont="1"/>
    <xf numFmtId="0" fontId="7" fillId="45" borderId="0" xfId="1819" applyFont="1" applyFill="1"/>
    <xf numFmtId="0" fontId="7" fillId="15" borderId="0" xfId="1819" applyFont="1" applyFill="1"/>
    <xf numFmtId="0" fontId="27" fillId="17" borderId="0" xfId="0" applyFont="1" applyFill="1" applyAlignment="1">
      <alignment horizontal="left" vertical="center"/>
    </xf>
    <xf numFmtId="0" fontId="0" fillId="17" borderId="0" xfId="0" applyFill="1"/>
    <xf numFmtId="0" fontId="7" fillId="17" borderId="0" xfId="0" applyFont="1" applyFill="1" applyAlignment="1">
      <alignment horizontal="left" vertical="center"/>
    </xf>
    <xf numFmtId="0" fontId="32" fillId="17" borderId="0" xfId="2297" applyFont="1" applyFill="1"/>
    <xf numFmtId="0" fontId="7" fillId="17" borderId="13" xfId="0" applyFont="1" applyFill="1" applyBorder="1"/>
    <xf numFmtId="0" fontId="7" fillId="17" borderId="46" xfId="0" applyFont="1" applyFill="1" applyBorder="1"/>
    <xf numFmtId="0" fontId="7" fillId="17" borderId="7" xfId="0" applyFont="1" applyFill="1" applyBorder="1"/>
    <xf numFmtId="0" fontId="12" fillId="17" borderId="7" xfId="0" quotePrefix="1" applyFont="1" applyFill="1" applyBorder="1" applyAlignment="1">
      <alignment horizontal="centerContinuous" vertical="center"/>
    </xf>
    <xf numFmtId="0" fontId="12" fillId="17" borderId="7" xfId="0" quotePrefix="1" applyFont="1" applyFill="1" applyBorder="1" applyAlignment="1">
      <alignment horizontal="centerContinuous" vertical="center" wrapText="1"/>
    </xf>
    <xf numFmtId="0" fontId="7" fillId="17" borderId="7" xfId="0" applyFont="1" applyFill="1" applyBorder="1" applyAlignment="1">
      <alignment horizontal="centerContinuous" vertical="center" wrapText="1"/>
    </xf>
    <xf numFmtId="0" fontId="7" fillId="17" borderId="7" xfId="0" applyFont="1" applyFill="1" applyBorder="1" applyAlignment="1">
      <alignment horizontal="centerContinuous" wrapText="1"/>
    </xf>
    <xf numFmtId="0" fontId="7" fillId="17" borderId="7" xfId="0" applyFont="1" applyFill="1" applyBorder="1" applyAlignment="1">
      <alignment horizontal="left"/>
    </xf>
    <xf numFmtId="0" fontId="7" fillId="39" borderId="0" xfId="0" applyFont="1" applyFill="1" applyAlignment="1">
      <alignment vertical="center"/>
    </xf>
    <xf numFmtId="0" fontId="7" fillId="39" borderId="0" xfId="0" applyFont="1" applyFill="1" applyAlignment="1">
      <alignment wrapText="1"/>
    </xf>
    <xf numFmtId="0" fontId="7" fillId="39" borderId="0" xfId="0" applyFont="1" applyFill="1" applyAlignment="1">
      <alignment horizontal="center" vertical="center"/>
    </xf>
    <xf numFmtId="0" fontId="7" fillId="51" borderId="0" xfId="0" applyFont="1" applyFill="1" applyAlignment="1">
      <alignment vertical="center"/>
    </xf>
    <xf numFmtId="0" fontId="7" fillId="51" borderId="0" xfId="0" applyFont="1" applyFill="1" applyAlignment="1">
      <alignment vertical="center" wrapText="1"/>
    </xf>
    <xf numFmtId="0" fontId="7" fillId="51" borderId="0" xfId="0" applyFont="1" applyFill="1" applyAlignment="1">
      <alignment horizontal="center" vertical="center"/>
    </xf>
    <xf numFmtId="0" fontId="7" fillId="17" borderId="0" xfId="0" applyFont="1" applyFill="1" applyBorder="1" applyAlignment="1">
      <alignment horizontal="left"/>
    </xf>
    <xf numFmtId="0" fontId="12" fillId="17" borderId="7" xfId="0" applyFont="1" applyFill="1" applyBorder="1" applyAlignment="1">
      <alignment horizontal="centerContinuous" vertical="center" wrapText="1"/>
    </xf>
    <xf numFmtId="0" fontId="10" fillId="17" borderId="26" xfId="3" applyFont="1" applyFill="1" applyBorder="1"/>
    <xf numFmtId="0" fontId="30" fillId="17" borderId="30" xfId="0" quotePrefix="1" applyFont="1" applyFill="1" applyBorder="1" applyAlignment="1">
      <alignment horizontal="center" wrapText="1"/>
    </xf>
    <xf numFmtId="0" fontId="8" fillId="17" borderId="30" xfId="0" applyFont="1" applyFill="1" applyBorder="1" applyAlignment="1">
      <alignment horizontal="center"/>
    </xf>
    <xf numFmtId="0" fontId="8" fillId="17" borderId="33" xfId="0" applyFont="1" applyFill="1" applyBorder="1" applyAlignment="1">
      <alignment horizontal="center"/>
    </xf>
    <xf numFmtId="167" fontId="8" fillId="0" borderId="20" xfId="0" applyNumberFormat="1" applyFont="1" applyBorder="1" applyAlignment="1">
      <alignment horizontal="center"/>
    </xf>
    <xf numFmtId="0" fontId="39" fillId="17" borderId="0" xfId="0" quotePrefix="1" applyFont="1" applyFill="1" applyBorder="1" applyAlignment="1">
      <alignment horizontal="centerContinuous"/>
    </xf>
    <xf numFmtId="0" fontId="8" fillId="17" borderId="2" xfId="0" applyFont="1" applyFill="1" applyBorder="1" applyAlignment="1">
      <alignment horizontal="center"/>
    </xf>
    <xf numFmtId="9" fontId="7" fillId="0" borderId="0" xfId="2302" applyFont="1"/>
    <xf numFmtId="0" fontId="7" fillId="0" borderId="0" xfId="1819" applyFont="1" applyFill="1"/>
    <xf numFmtId="0" fontId="7" fillId="44" borderId="0" xfId="1819" applyFont="1" applyFill="1"/>
    <xf numFmtId="0" fontId="19" fillId="17" borderId="0" xfId="0" applyFont="1" applyFill="1" applyAlignment="1">
      <alignment horizontal="center"/>
    </xf>
    <xf numFmtId="0" fontId="6" fillId="53" borderId="7" xfId="0" applyFont="1" applyFill="1" applyBorder="1" applyAlignment="1">
      <alignment horizontal="centerContinuous"/>
    </xf>
    <xf numFmtId="0" fontId="6" fillId="0" borderId="4" xfId="0" applyFont="1" applyFill="1" applyBorder="1" applyAlignment="1">
      <alignment horizontal="centerContinuous"/>
    </xf>
    <xf numFmtId="0" fontId="16" fillId="0" borderId="4" xfId="0" applyFont="1" applyBorder="1" applyAlignment="1">
      <alignment horizontal="centerContinuous"/>
    </xf>
    <xf numFmtId="0" fontId="0" fillId="0" borderId="4" xfId="0" quotePrefix="1" applyFont="1" applyBorder="1" applyAlignment="1">
      <alignment horizontal="centerContinuous"/>
    </xf>
    <xf numFmtId="3" fontId="8" fillId="0" borderId="18" xfId="0" applyNumberFormat="1" applyFont="1" applyBorder="1" applyAlignment="1">
      <alignment horizontal="center"/>
    </xf>
    <xf numFmtId="3" fontId="8" fillId="0" borderId="3" xfId="0" applyNumberFormat="1" applyFont="1" applyFill="1" applyBorder="1"/>
    <xf numFmtId="3" fontId="37" fillId="0" borderId="9" xfId="0" applyNumberFormat="1" applyFont="1" applyFill="1" applyBorder="1"/>
    <xf numFmtId="3" fontId="8" fillId="0" borderId="9" xfId="0" applyNumberFormat="1" applyFont="1" applyFill="1" applyBorder="1"/>
    <xf numFmtId="3" fontId="39" fillId="0" borderId="9" xfId="0" applyNumberFormat="1" applyFont="1" applyFill="1" applyBorder="1"/>
    <xf numFmtId="3" fontId="37" fillId="0" borderId="9" xfId="0" applyNumberFormat="1" applyFont="1" applyBorder="1"/>
    <xf numFmtId="3" fontId="38" fillId="0" borderId="9" xfId="0" applyNumberFormat="1" applyFont="1" applyFill="1" applyBorder="1"/>
    <xf numFmtId="3" fontId="23" fillId="0" borderId="9" xfId="0" applyNumberFormat="1" applyFont="1" applyFill="1" applyBorder="1"/>
    <xf numFmtId="0" fontId="7" fillId="44" borderId="0" xfId="1819" applyFont="1" applyFill="1" applyAlignment="1">
      <alignment horizontal="center"/>
    </xf>
    <xf numFmtId="0" fontId="7" fillId="0" borderId="0" xfId="1819" applyFont="1" applyFill="1" applyAlignment="1">
      <alignment horizontal="center"/>
    </xf>
    <xf numFmtId="9" fontId="7" fillId="0" borderId="0" xfId="2302" applyFont="1" applyFill="1"/>
    <xf numFmtId="0" fontId="7" fillId="17" borderId="0" xfId="1819" applyFont="1" applyFill="1"/>
    <xf numFmtId="0" fontId="7" fillId="17" borderId="0" xfId="1819" applyFont="1" applyFill="1" applyBorder="1"/>
    <xf numFmtId="9" fontId="7" fillId="17" borderId="0" xfId="2302" applyFont="1" applyFill="1"/>
    <xf numFmtId="0" fontId="8" fillId="44" borderId="32" xfId="1819" applyFont="1" applyFill="1" applyBorder="1" applyAlignment="1">
      <alignment horizontal="centerContinuous" vertical="center"/>
    </xf>
    <xf numFmtId="0" fontId="8" fillId="44" borderId="47" xfId="1819" applyFont="1" applyFill="1" applyBorder="1" applyAlignment="1">
      <alignment horizontal="centerContinuous" vertical="center"/>
    </xf>
    <xf numFmtId="0" fontId="8" fillId="44" borderId="3" xfId="1819" applyFont="1" applyFill="1" applyBorder="1" applyAlignment="1">
      <alignment horizontal="centerContinuous" vertical="center"/>
    </xf>
    <xf numFmtId="2" fontId="7" fillId="44" borderId="9" xfId="1819" applyNumberFormat="1" applyFont="1" applyFill="1" applyBorder="1" applyAlignment="1">
      <alignment horizontal="center"/>
    </xf>
    <xf numFmtId="0" fontId="7" fillId="0" borderId="9" xfId="1819" applyFont="1" applyBorder="1"/>
    <xf numFmtId="9" fontId="7" fillId="0" borderId="9" xfId="2302" applyFont="1" applyBorder="1"/>
    <xf numFmtId="170" fontId="7" fillId="45" borderId="9" xfId="1819" applyNumberFormat="1" applyFont="1" applyFill="1" applyBorder="1"/>
    <xf numFmtId="11" fontId="7" fillId="45" borderId="9" xfId="1819" applyNumberFormat="1" applyFont="1" applyFill="1" applyBorder="1"/>
    <xf numFmtId="168" fontId="8" fillId="45" borderId="9" xfId="1" applyNumberFormat="1" applyFont="1" applyFill="1" applyBorder="1"/>
    <xf numFmtId="0" fontId="7" fillId="0" borderId="9" xfId="1819" applyFont="1" applyFill="1" applyBorder="1"/>
    <xf numFmtId="3" fontId="7" fillId="45" borderId="9" xfId="1819" applyNumberFormat="1" applyFont="1" applyFill="1" applyBorder="1" applyAlignment="1">
      <alignment horizontal="center"/>
    </xf>
    <xf numFmtId="3" fontId="8" fillId="45" borderId="9" xfId="1819" applyNumberFormat="1" applyFont="1" applyFill="1" applyBorder="1" applyAlignment="1">
      <alignment horizontal="center"/>
    </xf>
    <xf numFmtId="168" fontId="8" fillId="44" borderId="27" xfId="1" applyNumberFormat="1" applyFont="1" applyFill="1" applyBorder="1"/>
    <xf numFmtId="3" fontId="8" fillId="0" borderId="26" xfId="0" applyNumberFormat="1" applyFont="1" applyBorder="1" applyAlignment="1">
      <alignment horizontal="center"/>
    </xf>
    <xf numFmtId="0" fontId="8" fillId="44" borderId="21" xfId="0" applyFont="1" applyFill="1" applyBorder="1" applyAlignment="1">
      <alignment horizontal="center"/>
    </xf>
    <xf numFmtId="3" fontId="8" fillId="0" borderId="25" xfId="0" applyNumberFormat="1" applyFont="1" applyBorder="1" applyAlignment="1">
      <alignment horizontal="center"/>
    </xf>
    <xf numFmtId="0" fontId="7" fillId="17" borderId="32" xfId="1819" applyFont="1" applyFill="1" applyBorder="1"/>
    <xf numFmtId="0" fontId="7" fillId="17" borderId="30" xfId="1819" applyFont="1" applyFill="1" applyBorder="1"/>
    <xf numFmtId="0" fontId="8" fillId="44" borderId="46" xfId="1819" applyFont="1" applyFill="1" applyBorder="1" applyAlignment="1">
      <alignment horizontal="centerContinuous" vertical="center"/>
    </xf>
    <xf numFmtId="2" fontId="7" fillId="44" borderId="51" xfId="1819" applyNumberFormat="1" applyFont="1" applyFill="1" applyBorder="1" applyAlignment="1">
      <alignment horizontal="center"/>
    </xf>
    <xf numFmtId="0" fontId="7" fillId="0" borderId="27" xfId="1819" applyFont="1" applyBorder="1"/>
    <xf numFmtId="0" fontId="23" fillId="0" borderId="27" xfId="1819" applyFont="1" applyBorder="1"/>
    <xf numFmtId="0" fontId="8" fillId="44" borderId="18" xfId="1819" applyFont="1" applyFill="1" applyBorder="1" applyAlignment="1">
      <alignment horizontal="centerContinuous" vertical="center"/>
    </xf>
    <xf numFmtId="0" fontId="7" fillId="44" borderId="20" xfId="1819" applyFont="1" applyFill="1" applyBorder="1" applyAlignment="1">
      <alignment horizontal="center"/>
    </xf>
    <xf numFmtId="168" fontId="8" fillId="44" borderId="47" xfId="1" applyNumberFormat="1" applyFont="1" applyFill="1" applyBorder="1"/>
    <xf numFmtId="2" fontId="7" fillId="44" borderId="3" xfId="1819" applyNumberFormat="1" applyFont="1" applyFill="1" applyBorder="1" applyAlignment="1">
      <alignment horizontal="center"/>
    </xf>
    <xf numFmtId="2" fontId="7" fillId="44" borderId="46" xfId="1819" applyNumberFormat="1" applyFont="1" applyFill="1" applyBorder="1" applyAlignment="1">
      <alignment horizontal="center"/>
    </xf>
    <xf numFmtId="0" fontId="7" fillId="44" borderId="18" xfId="1819" applyFont="1" applyFill="1" applyBorder="1" applyAlignment="1">
      <alignment horizontal="center"/>
    </xf>
    <xf numFmtId="0" fontId="7" fillId="0" borderId="47" xfId="1819" applyFont="1" applyBorder="1"/>
    <xf numFmtId="9" fontId="7" fillId="0" borderId="3" xfId="2302" applyFont="1" applyBorder="1"/>
    <xf numFmtId="170" fontId="7" fillId="45" borderId="3" xfId="1819" applyNumberFormat="1" applyFont="1" applyFill="1" applyBorder="1"/>
    <xf numFmtId="11" fontId="7" fillId="45" borderId="3" xfId="1819" applyNumberFormat="1" applyFont="1" applyFill="1" applyBorder="1"/>
    <xf numFmtId="168" fontId="8" fillId="45" borderId="3" xfId="1" applyNumberFormat="1" applyFont="1" applyFill="1" applyBorder="1"/>
    <xf numFmtId="0" fontId="8" fillId="44" borderId="6" xfId="1819" applyFont="1" applyFill="1" applyBorder="1" applyAlignment="1">
      <alignment horizontal="center" wrapText="1"/>
    </xf>
    <xf numFmtId="0" fontId="7" fillId="44" borderId="6" xfId="1819" applyFont="1" applyFill="1" applyBorder="1" applyAlignment="1">
      <alignment horizontal="center" wrapText="1"/>
    </xf>
    <xf numFmtId="0" fontId="7" fillId="44" borderId="52" xfId="1819" applyFont="1" applyFill="1" applyBorder="1" applyAlignment="1">
      <alignment horizontal="center"/>
    </xf>
    <xf numFmtId="0" fontId="8" fillId="44" borderId="22" xfId="1819" applyFont="1" applyFill="1" applyBorder="1" applyAlignment="1">
      <alignment horizontal="center" wrapText="1"/>
    </xf>
    <xf numFmtId="0" fontId="8" fillId="17" borderId="48" xfId="1819" applyFont="1" applyFill="1" applyBorder="1" applyAlignment="1">
      <alignment horizontal="center" wrapText="1"/>
    </xf>
    <xf numFmtId="0" fontId="7" fillId="17" borderId="6" xfId="1819" applyFont="1" applyFill="1" applyBorder="1" applyAlignment="1">
      <alignment horizontal="center" wrapText="1"/>
    </xf>
    <xf numFmtId="9" fontId="7" fillId="17" borderId="5" xfId="2302" applyFont="1" applyFill="1" applyBorder="1" applyAlignment="1">
      <alignment horizontal="center" wrapText="1"/>
    </xf>
    <xf numFmtId="0" fontId="7" fillId="45" borderId="5" xfId="1819" applyFont="1" applyFill="1" applyBorder="1" applyAlignment="1">
      <alignment horizontal="center" wrapText="1"/>
    </xf>
    <xf numFmtId="0" fontId="7" fillId="45" borderId="6" xfId="1819" applyFont="1" applyFill="1" applyBorder="1" applyAlignment="1">
      <alignment horizontal="center" wrapText="1"/>
    </xf>
    <xf numFmtId="0" fontId="8" fillId="45" borderId="6" xfId="1819" applyFont="1" applyFill="1" applyBorder="1" applyAlignment="1">
      <alignment horizontal="center" wrapText="1"/>
    </xf>
    <xf numFmtId="0" fontId="8" fillId="45" borderId="22" xfId="1819" applyFont="1" applyFill="1" applyBorder="1" applyAlignment="1">
      <alignment horizontal="center" wrapText="1"/>
    </xf>
    <xf numFmtId="0" fontId="8" fillId="45" borderId="7" xfId="1819" applyFont="1" applyFill="1" applyBorder="1" applyAlignment="1">
      <alignment horizontal="centerContinuous" vertical="center"/>
    </xf>
    <xf numFmtId="0" fontId="7" fillId="15" borderId="27" xfId="1819" applyFont="1" applyFill="1" applyBorder="1" applyAlignment="1">
      <alignment horizontal="center" wrapText="1"/>
    </xf>
    <xf numFmtId="168" fontId="8" fillId="15" borderId="9" xfId="1" applyNumberFormat="1" applyFont="1" applyFill="1" applyBorder="1" applyAlignment="1">
      <alignment horizontal="center" wrapText="1"/>
    </xf>
    <xf numFmtId="11" fontId="7" fillId="15" borderId="27" xfId="1819" applyNumberFormat="1" applyFont="1" applyFill="1" applyBorder="1"/>
    <xf numFmtId="168" fontId="8" fillId="15" borderId="9" xfId="1" applyNumberFormat="1" applyFont="1" applyFill="1" applyBorder="1"/>
    <xf numFmtId="0" fontId="8" fillId="15" borderId="0" xfId="1819" applyFont="1" applyFill="1" applyBorder="1" applyAlignment="1">
      <alignment horizontal="centerContinuous"/>
    </xf>
    <xf numFmtId="0" fontId="8" fillId="15" borderId="20" xfId="1819" applyFont="1" applyFill="1" applyBorder="1" applyAlignment="1">
      <alignment horizontal="center" wrapText="1"/>
    </xf>
    <xf numFmtId="0" fontId="8" fillId="15" borderId="30" xfId="1819" applyFont="1" applyFill="1" applyBorder="1" applyAlignment="1">
      <alignment horizontal="centerContinuous"/>
    </xf>
    <xf numFmtId="3" fontId="7" fillId="17" borderId="30" xfId="0" applyNumberFormat="1" applyFont="1" applyFill="1" applyBorder="1" applyAlignment="1">
      <alignment horizontal="center"/>
    </xf>
    <xf numFmtId="3" fontId="8" fillId="0" borderId="43" xfId="0" applyNumberFormat="1" applyFont="1" applyBorder="1" applyAlignment="1">
      <alignment horizontal="center"/>
    </xf>
    <xf numFmtId="168" fontId="8" fillId="44" borderId="28" xfId="1" applyNumberFormat="1" applyFont="1" applyFill="1" applyBorder="1"/>
    <xf numFmtId="2" fontId="7" fillId="44" borderId="6" xfId="1819" applyNumberFormat="1" applyFont="1" applyFill="1" applyBorder="1" applyAlignment="1">
      <alignment horizontal="center"/>
    </xf>
    <xf numFmtId="2" fontId="7" fillId="44" borderId="52" xfId="1819" applyNumberFormat="1" applyFont="1" applyFill="1" applyBorder="1" applyAlignment="1">
      <alignment horizontal="center"/>
    </xf>
    <xf numFmtId="0" fontId="7" fillId="44" borderId="22" xfId="1819" applyFont="1" applyFill="1" applyBorder="1" applyAlignment="1">
      <alignment horizontal="center"/>
    </xf>
    <xf numFmtId="0" fontId="7" fillId="0" borderId="28" xfId="1819" applyFont="1" applyBorder="1"/>
    <xf numFmtId="9" fontId="7" fillId="0" borderId="6" xfId="2302" applyFont="1" applyBorder="1"/>
    <xf numFmtId="170" fontId="7" fillId="45" borderId="6" xfId="1819" applyNumberFormat="1" applyFont="1" applyFill="1" applyBorder="1"/>
    <xf numFmtId="11" fontId="7" fillId="45" borderId="6" xfId="1819" applyNumberFormat="1" applyFont="1" applyFill="1" applyBorder="1"/>
    <xf numFmtId="168" fontId="8" fillId="45" borderId="6" xfId="1" applyNumberFormat="1" applyFont="1" applyFill="1" applyBorder="1"/>
    <xf numFmtId="3" fontId="7" fillId="17" borderId="33" xfId="0" applyNumberFormat="1" applyFont="1" applyFill="1" applyBorder="1" applyAlignment="1">
      <alignment horizontal="center"/>
    </xf>
    <xf numFmtId="11" fontId="7" fillId="15" borderId="28" xfId="1819" applyNumberFormat="1" applyFont="1" applyFill="1" applyBorder="1"/>
    <xf numFmtId="168" fontId="8" fillId="15" borderId="6" xfId="1" applyNumberFormat="1" applyFont="1" applyFill="1" applyBorder="1"/>
    <xf numFmtId="0" fontId="8" fillId="45" borderId="62" xfId="1819" applyFont="1" applyFill="1" applyBorder="1" applyAlignment="1">
      <alignment horizontal="centerContinuous" vertical="center"/>
    </xf>
    <xf numFmtId="0" fontId="8" fillId="45" borderId="64" xfId="1819" applyFont="1" applyFill="1" applyBorder="1" applyAlignment="1">
      <alignment horizontal="centerContinuous" vertical="center"/>
    </xf>
    <xf numFmtId="0" fontId="14" fillId="0" borderId="63" xfId="0" applyFont="1" applyBorder="1" applyAlignment="1">
      <alignment horizontal="center"/>
    </xf>
    <xf numFmtId="4" fontId="14" fillId="16" borderId="48" xfId="0" applyNumberFormat="1" applyFont="1" applyFill="1" applyBorder="1" applyAlignment="1">
      <alignment horizontal="center"/>
    </xf>
    <xf numFmtId="4" fontId="7" fillId="0" borderId="39" xfId="0" applyNumberFormat="1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17" borderId="28" xfId="0" applyFont="1" applyFill="1" applyBorder="1" applyAlignment="1">
      <alignment horizontal="center"/>
    </xf>
    <xf numFmtId="0" fontId="7" fillId="17" borderId="6" xfId="0" applyFont="1" applyFill="1" applyBorder="1" applyAlignment="1">
      <alignment horizontal="center"/>
    </xf>
    <xf numFmtId="0" fontId="7" fillId="17" borderId="22" xfId="0" applyFont="1" applyFill="1" applyBorder="1" applyAlignment="1">
      <alignment horizontal="center"/>
    </xf>
    <xf numFmtId="165" fontId="7" fillId="17" borderId="52" xfId="1" applyNumberFormat="1" applyFont="1" applyFill="1" applyBorder="1" applyAlignment="1">
      <alignment horizontal="center"/>
    </xf>
    <xf numFmtId="165" fontId="7" fillId="17" borderId="6" xfId="1" applyNumberFormat="1" applyFont="1" applyFill="1" applyBorder="1" applyAlignment="1">
      <alignment horizontal="center"/>
    </xf>
    <xf numFmtId="165" fontId="7" fillId="17" borderId="28" xfId="1" applyNumberFormat="1" applyFont="1" applyFill="1" applyBorder="1" applyAlignment="1">
      <alignment horizontal="center"/>
    </xf>
    <xf numFmtId="165" fontId="8" fillId="17" borderId="32" xfId="1" applyNumberFormat="1" applyFont="1" applyFill="1" applyBorder="1" applyAlignment="1">
      <alignment horizontal="centerContinuous"/>
    </xf>
    <xf numFmtId="0" fontId="7" fillId="17" borderId="32" xfId="0" applyFont="1" applyFill="1" applyBorder="1" applyAlignment="1">
      <alignment horizontal="centerContinuous"/>
    </xf>
    <xf numFmtId="0" fontId="8" fillId="17" borderId="43" xfId="0" applyFont="1" applyFill="1" applyBorder="1" applyAlignment="1">
      <alignment horizontal="center"/>
    </xf>
    <xf numFmtId="4" fontId="8" fillId="54" borderId="57" xfId="0" applyNumberFormat="1" applyFont="1" applyFill="1" applyBorder="1" applyAlignment="1">
      <alignment horizontal="center"/>
    </xf>
    <xf numFmtId="4" fontId="8" fillId="28" borderId="57" xfId="0" applyNumberFormat="1" applyFont="1" applyFill="1" applyBorder="1" applyAlignment="1">
      <alignment horizontal="center"/>
    </xf>
    <xf numFmtId="4" fontId="8" fillId="28" borderId="65" xfId="0" applyNumberFormat="1" applyFont="1" applyFill="1" applyBorder="1" applyAlignment="1">
      <alignment horizontal="center"/>
    </xf>
    <xf numFmtId="4" fontId="7" fillId="0" borderId="66" xfId="0" applyNumberFormat="1" applyFont="1" applyFill="1" applyBorder="1" applyAlignment="1">
      <alignment horizontal="center"/>
    </xf>
    <xf numFmtId="4" fontId="10" fillId="54" borderId="57" xfId="0" quotePrefix="1" applyNumberFormat="1" applyFont="1" applyFill="1" applyBorder="1" applyAlignment="1">
      <alignment horizontal="center" wrapText="1"/>
    </xf>
    <xf numFmtId="0" fontId="7" fillId="27" borderId="4" xfId="0" applyFont="1" applyFill="1" applyBorder="1"/>
    <xf numFmtId="3" fontId="14" fillId="50" borderId="32" xfId="0" applyNumberFormat="1" applyFont="1" applyFill="1" applyBorder="1"/>
    <xf numFmtId="0" fontId="6" fillId="57" borderId="2" xfId="0" applyFont="1" applyFill="1" applyBorder="1" applyAlignment="1">
      <alignment horizontal="center"/>
    </xf>
    <xf numFmtId="3" fontId="6" fillId="57" borderId="3" xfId="0" applyNumberFormat="1" applyFont="1" applyFill="1" applyBorder="1" applyAlignment="1">
      <alignment horizontal="center"/>
    </xf>
    <xf numFmtId="3" fontId="6" fillId="58" borderId="2" xfId="0" applyNumberFormat="1" applyFont="1" applyFill="1" applyBorder="1" applyAlignment="1">
      <alignment horizontal="center"/>
    </xf>
    <xf numFmtId="3" fontId="6" fillId="58" borderId="3" xfId="0" applyNumberFormat="1" applyFont="1" applyFill="1" applyBorder="1" applyAlignment="1">
      <alignment horizontal="center"/>
    </xf>
    <xf numFmtId="0" fontId="6" fillId="59" borderId="2" xfId="0" applyFont="1" applyFill="1" applyBorder="1" applyAlignment="1">
      <alignment horizontal="center"/>
    </xf>
    <xf numFmtId="3" fontId="6" fillId="59" borderId="2" xfId="0" applyNumberFormat="1" applyFont="1" applyFill="1" applyBorder="1" applyAlignment="1">
      <alignment horizontal="center"/>
    </xf>
    <xf numFmtId="0" fontId="6" fillId="59" borderId="3" xfId="0" applyFont="1" applyFill="1" applyBorder="1" applyAlignment="1">
      <alignment horizontal="center"/>
    </xf>
    <xf numFmtId="3" fontId="6" fillId="59" borderId="3" xfId="0" applyNumberFormat="1" applyFont="1" applyFill="1" applyBorder="1" applyAlignment="1">
      <alignment horizontal="center"/>
    </xf>
    <xf numFmtId="0" fontId="6" fillId="59" borderId="3" xfId="0" applyFont="1" applyFill="1" applyBorder="1" applyAlignment="1">
      <alignment horizontal="center" wrapText="1"/>
    </xf>
    <xf numFmtId="0" fontId="6" fillId="60" borderId="32" xfId="0" applyFont="1" applyFill="1" applyBorder="1" applyAlignment="1">
      <alignment horizontal="center"/>
    </xf>
    <xf numFmtId="0" fontId="6" fillId="60" borderId="2" xfId="0" applyFont="1" applyFill="1" applyBorder="1" applyAlignment="1">
      <alignment horizontal="center"/>
    </xf>
    <xf numFmtId="0" fontId="6" fillId="60" borderId="2" xfId="0" quotePrefix="1" applyFont="1" applyFill="1" applyBorder="1" applyAlignment="1">
      <alignment horizontal="center"/>
    </xf>
    <xf numFmtId="0" fontId="6" fillId="60" borderId="47" xfId="0" applyFont="1" applyFill="1" applyBorder="1" applyAlignment="1">
      <alignment horizontal="center"/>
    </xf>
    <xf numFmtId="0" fontId="6" fillId="60" borderId="3" xfId="0" applyFont="1" applyFill="1" applyBorder="1" applyAlignment="1">
      <alignment horizontal="center"/>
    </xf>
    <xf numFmtId="164" fontId="6" fillId="0" borderId="18" xfId="0" applyNumberFormat="1" applyFont="1" applyFill="1" applyBorder="1" applyAlignment="1">
      <alignment horizontal="center"/>
    </xf>
    <xf numFmtId="164" fontId="6" fillId="0" borderId="20" xfId="0" applyNumberFormat="1" applyFont="1" applyFill="1" applyBorder="1" applyAlignment="1">
      <alignment horizontal="center"/>
    </xf>
    <xf numFmtId="0" fontId="6" fillId="57" borderId="13" xfId="0" applyFont="1" applyFill="1" applyBorder="1" applyAlignment="1">
      <alignment horizontal="center"/>
    </xf>
    <xf numFmtId="3" fontId="6" fillId="57" borderId="46" xfId="0" applyNumberFormat="1" applyFont="1" applyFill="1" applyBorder="1" applyAlignment="1">
      <alignment horizontal="center"/>
    </xf>
    <xf numFmtId="0" fontId="6" fillId="53" borderId="30" xfId="0" applyFont="1" applyFill="1" applyBorder="1" applyAlignment="1">
      <alignment horizontal="centerContinuous"/>
    </xf>
    <xf numFmtId="0" fontId="6" fillId="57" borderId="68" xfId="0" applyFont="1" applyFill="1" applyBorder="1" applyAlignment="1">
      <alignment horizontal="center"/>
    </xf>
    <xf numFmtId="0" fontId="6" fillId="57" borderId="11" xfId="0" applyFont="1" applyFill="1" applyBorder="1" applyAlignment="1">
      <alignment horizontal="center"/>
    </xf>
    <xf numFmtId="3" fontId="6" fillId="57" borderId="18" xfId="0" applyNumberFormat="1" applyFont="1" applyFill="1" applyBorder="1" applyAlignment="1">
      <alignment horizontal="center"/>
    </xf>
    <xf numFmtId="0" fontId="6" fillId="17" borderId="30" xfId="0" applyFont="1" applyFill="1" applyBorder="1" applyAlignment="1">
      <alignment horizontal="center"/>
    </xf>
    <xf numFmtId="0" fontId="11" fillId="0" borderId="27" xfId="3" applyFont="1" applyBorder="1"/>
    <xf numFmtId="0" fontId="7" fillId="0" borderId="47" xfId="0" applyFont="1" applyFill="1" applyBorder="1"/>
    <xf numFmtId="0" fontId="11" fillId="0" borderId="47" xfId="3" applyFont="1" applyBorder="1"/>
    <xf numFmtId="0" fontId="11" fillId="0" borderId="27" xfId="3" applyFont="1" applyFill="1" applyBorder="1"/>
    <xf numFmtId="0" fontId="8" fillId="17" borderId="41" xfId="0" applyFont="1" applyFill="1" applyBorder="1" applyAlignment="1">
      <alignment horizontal="center"/>
    </xf>
    <xf numFmtId="0" fontId="8" fillId="17" borderId="10" xfId="0" applyFont="1" applyFill="1" applyBorder="1" applyAlignment="1">
      <alignment horizontal="center"/>
    </xf>
    <xf numFmtId="3" fontId="7" fillId="0" borderId="21" xfId="0" applyNumberFormat="1" applyFont="1" applyBorder="1" applyAlignment="1">
      <alignment horizontal="center"/>
    </xf>
    <xf numFmtId="0" fontId="39" fillId="17" borderId="0" xfId="0" applyFont="1" applyFill="1" applyAlignment="1">
      <alignment horizontal="left"/>
    </xf>
    <xf numFmtId="0" fontId="8" fillId="17" borderId="7" xfId="0" applyFont="1" applyFill="1" applyBorder="1" applyAlignment="1">
      <alignment horizontal="centerContinuous"/>
    </xf>
    <xf numFmtId="167" fontId="8" fillId="28" borderId="0" xfId="0" applyNumberFormat="1" applyFont="1" applyFill="1" applyBorder="1" applyAlignment="1">
      <alignment horizontal="centerContinuous"/>
    </xf>
    <xf numFmtId="0" fontId="8" fillId="28" borderId="0" xfId="0" applyFont="1" applyFill="1" applyAlignment="1">
      <alignment horizontal="centerContinuous"/>
    </xf>
    <xf numFmtId="0" fontId="7" fillId="28" borderId="0" xfId="0" applyFont="1" applyFill="1" applyBorder="1" applyAlignment="1">
      <alignment horizontal="centerContinuous"/>
    </xf>
    <xf numFmtId="0" fontId="8" fillId="28" borderId="0" xfId="0" applyFont="1" applyFill="1" applyBorder="1" applyAlignment="1">
      <alignment horizontal="centerContinuous"/>
    </xf>
    <xf numFmtId="9" fontId="7" fillId="0" borderId="27" xfId="2" applyFont="1" applyBorder="1" applyAlignment="1">
      <alignment horizontal="center" vertical="center"/>
    </xf>
    <xf numFmtId="9" fontId="11" fillId="0" borderId="27" xfId="2" applyFont="1" applyFill="1" applyBorder="1" applyAlignment="1" applyProtection="1">
      <alignment horizontal="center" vertical="center"/>
    </xf>
    <xf numFmtId="9" fontId="7" fillId="0" borderId="27" xfId="2" applyFont="1" applyFill="1" applyBorder="1" applyAlignment="1">
      <alignment horizontal="center" vertical="center"/>
    </xf>
    <xf numFmtId="9" fontId="37" fillId="0" borderId="9" xfId="2" applyFont="1" applyFill="1" applyBorder="1" applyAlignment="1">
      <alignment horizontal="right" indent="1"/>
    </xf>
    <xf numFmtId="9" fontId="8" fillId="0" borderId="9" xfId="2" applyFont="1" applyFill="1" applyBorder="1" applyAlignment="1">
      <alignment horizontal="right" indent="1"/>
    </xf>
    <xf numFmtId="9" fontId="39" fillId="0" borderId="9" xfId="2" applyFont="1" applyFill="1" applyBorder="1" applyAlignment="1">
      <alignment horizontal="right" indent="1"/>
    </xf>
    <xf numFmtId="9" fontId="8" fillId="0" borderId="9" xfId="2" applyFont="1" applyBorder="1" applyAlignment="1">
      <alignment horizontal="right" indent="1"/>
    </xf>
    <xf numFmtId="9" fontId="23" fillId="0" borderId="9" xfId="2" applyFont="1" applyFill="1" applyBorder="1" applyAlignment="1">
      <alignment horizontal="right" indent="1"/>
    </xf>
    <xf numFmtId="3" fontId="8" fillId="0" borderId="9" xfId="0" applyNumberFormat="1" applyFont="1" applyFill="1" applyBorder="1" applyAlignment="1">
      <alignment horizontal="right" indent="1"/>
    </xf>
    <xf numFmtId="3" fontId="39" fillId="0" borderId="9" xfId="0" applyNumberFormat="1" applyFont="1" applyFill="1" applyBorder="1" applyAlignment="1">
      <alignment horizontal="right" indent="1"/>
    </xf>
    <xf numFmtId="3" fontId="8" fillId="0" borderId="9" xfId="0" applyNumberFormat="1" applyFont="1" applyBorder="1" applyAlignment="1">
      <alignment horizontal="right" indent="1"/>
    </xf>
    <xf numFmtId="3" fontId="23" fillId="0" borderId="9" xfId="0" applyNumberFormat="1" applyFont="1" applyFill="1" applyBorder="1" applyAlignment="1">
      <alignment horizontal="right" indent="1"/>
    </xf>
    <xf numFmtId="3" fontId="11" fillId="0" borderId="9" xfId="3" applyNumberFormat="1" applyFont="1" applyFill="1" applyBorder="1" applyAlignment="1">
      <alignment horizontal="right" indent="1"/>
    </xf>
    <xf numFmtId="3" fontId="11" fillId="0" borderId="9" xfId="3" applyNumberFormat="1" applyFont="1" applyBorder="1" applyAlignment="1">
      <alignment horizontal="right" indent="1"/>
    </xf>
    <xf numFmtId="167" fontId="11" fillId="0" borderId="9" xfId="3" applyNumberFormat="1" applyFont="1" applyBorder="1" applyAlignment="1">
      <alignment horizontal="right" indent="1"/>
    </xf>
    <xf numFmtId="3" fontId="11" fillId="0" borderId="6" xfId="3" applyNumberFormat="1" applyFont="1" applyBorder="1" applyAlignment="1">
      <alignment horizontal="right" indent="1"/>
    </xf>
    <xf numFmtId="0" fontId="8" fillId="52" borderId="26" xfId="0" applyFont="1" applyFill="1" applyBorder="1"/>
    <xf numFmtId="0" fontId="8" fillId="17" borderId="26" xfId="0" applyFont="1" applyFill="1" applyBorder="1"/>
    <xf numFmtId="0" fontId="8" fillId="17" borderId="43" xfId="0" applyFont="1" applyFill="1" applyBorder="1"/>
    <xf numFmtId="9" fontId="7" fillId="0" borderId="9" xfId="2302" applyFont="1" applyBorder="1" applyAlignment="1">
      <alignment horizontal="right" indent="1"/>
    </xf>
    <xf numFmtId="9" fontId="7" fillId="17" borderId="46" xfId="2302" applyFont="1" applyFill="1" applyBorder="1" applyAlignment="1">
      <alignment horizontal="centerContinuous" wrapText="1"/>
    </xf>
    <xf numFmtId="167" fontId="8" fillId="37" borderId="30" xfId="0" applyNumberFormat="1" applyFont="1" applyFill="1" applyBorder="1" applyAlignment="1">
      <alignment horizontal="center"/>
    </xf>
    <xf numFmtId="4" fontId="8" fillId="37" borderId="33" xfId="0" applyNumberFormat="1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58" xfId="0" applyFont="1" applyBorder="1" applyAlignment="1">
      <alignment horizontal="center"/>
    </xf>
    <xf numFmtId="167" fontId="7" fillId="0" borderId="26" xfId="0" applyNumberFormat="1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59" xfId="0" applyFont="1" applyBorder="1" applyAlignment="1">
      <alignment horizontal="center"/>
    </xf>
    <xf numFmtId="167" fontId="7" fillId="0" borderId="26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167" fontId="7" fillId="0" borderId="26" xfId="0" applyNumberFormat="1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72" xfId="0" applyFont="1" applyBorder="1" applyAlignment="1">
      <alignment horizontal="center"/>
    </xf>
    <xf numFmtId="0" fontId="23" fillId="0" borderId="27" xfId="0" applyFont="1" applyBorder="1" applyAlignment="1">
      <alignment horizontal="center" vertical="center"/>
    </xf>
    <xf numFmtId="0" fontId="7" fillId="17" borderId="47" xfId="0" applyFont="1" applyFill="1" applyBorder="1" applyAlignment="1">
      <alignment horizontal="centerContinuous"/>
    </xf>
    <xf numFmtId="0" fontId="7" fillId="17" borderId="76" xfId="0" applyFont="1" applyFill="1" applyBorder="1" applyAlignment="1">
      <alignment horizontal="center"/>
    </xf>
    <xf numFmtId="0" fontId="7" fillId="17" borderId="9" xfId="0" applyFont="1" applyFill="1" applyBorder="1" applyAlignment="1">
      <alignment horizontal="center"/>
    </xf>
    <xf numFmtId="167" fontId="8" fillId="37" borderId="48" xfId="0" applyNumberFormat="1" applyFont="1" applyFill="1" applyBorder="1" applyAlignment="1">
      <alignment horizontal="center" vertical="center" wrapText="1"/>
    </xf>
    <xf numFmtId="0" fontId="0" fillId="0" borderId="30" xfId="0" applyBorder="1"/>
    <xf numFmtId="0" fontId="7" fillId="17" borderId="0" xfId="0" quotePrefix="1" applyFont="1" applyFill="1"/>
    <xf numFmtId="167" fontId="7" fillId="17" borderId="0" xfId="0" applyNumberFormat="1" applyFont="1" applyFill="1" applyAlignment="1">
      <alignment horizontal="center"/>
    </xf>
    <xf numFmtId="0" fontId="7" fillId="17" borderId="73" xfId="0" applyFont="1" applyFill="1" applyBorder="1" applyAlignment="1">
      <alignment horizontal="center" wrapText="1"/>
    </xf>
    <xf numFmtId="0" fontId="7" fillId="17" borderId="5" xfId="0" applyFont="1" applyFill="1" applyBorder="1" applyAlignment="1">
      <alignment horizontal="center" vertical="center" wrapText="1"/>
    </xf>
    <xf numFmtId="0" fontId="8" fillId="17" borderId="0" xfId="0" applyFont="1" applyFill="1"/>
    <xf numFmtId="0" fontId="8" fillId="17" borderId="57" xfId="0" applyFont="1" applyFill="1" applyBorder="1" applyAlignment="1">
      <alignment horizontal="centerContinuous"/>
    </xf>
    <xf numFmtId="167" fontId="7" fillId="17" borderId="0" xfId="0" applyNumberFormat="1" applyFont="1" applyFill="1" applyAlignment="1">
      <alignment horizontal="center" vertical="center"/>
    </xf>
    <xf numFmtId="0" fontId="23" fillId="17" borderId="48" xfId="0" applyFont="1" applyFill="1" applyBorder="1" applyAlignment="1">
      <alignment horizontal="center" vertical="center" wrapText="1"/>
    </xf>
    <xf numFmtId="0" fontId="8" fillId="37" borderId="0" xfId="0" applyFont="1" applyFill="1" applyAlignment="1">
      <alignment horizontal="centerContinuous"/>
    </xf>
    <xf numFmtId="0" fontId="8" fillId="17" borderId="0" xfId="0" applyFont="1" applyFill="1" applyAlignment="1">
      <alignment horizontal="left"/>
    </xf>
    <xf numFmtId="0" fontId="8" fillId="17" borderId="0" xfId="0" applyFont="1" applyFill="1" applyAlignment="1">
      <alignment vertical="top"/>
    </xf>
    <xf numFmtId="167" fontId="7" fillId="37" borderId="0" xfId="0" quotePrefix="1" applyNumberFormat="1" applyFont="1" applyFill="1" applyAlignment="1">
      <alignment horizontal="centerContinuous"/>
    </xf>
    <xf numFmtId="0" fontId="7" fillId="17" borderId="46" xfId="0" applyFont="1" applyFill="1" applyBorder="1" applyAlignment="1">
      <alignment horizontal="centerContinuous"/>
    </xf>
    <xf numFmtId="0" fontId="0" fillId="17" borderId="25" xfId="0" applyFill="1" applyBorder="1" applyAlignment="1">
      <alignment horizontal="centerContinuous"/>
    </xf>
    <xf numFmtId="170" fontId="0" fillId="17" borderId="0" xfId="0" applyNumberFormat="1" applyFill="1"/>
    <xf numFmtId="170" fontId="6" fillId="53" borderId="7" xfId="0" applyNumberFormat="1" applyFont="1" applyFill="1" applyBorder="1" applyAlignment="1">
      <alignment horizontal="centerContinuous"/>
    </xf>
    <xf numFmtId="170" fontId="6" fillId="58" borderId="2" xfId="0" applyNumberFormat="1" applyFont="1" applyFill="1" applyBorder="1" applyAlignment="1">
      <alignment horizontal="center"/>
    </xf>
    <xf numFmtId="170" fontId="6" fillId="58" borderId="3" xfId="0" applyNumberFormat="1" applyFont="1" applyFill="1" applyBorder="1" applyAlignment="1">
      <alignment horizontal="center"/>
    </xf>
    <xf numFmtId="170" fontId="0" fillId="17" borderId="4" xfId="0" applyNumberFormat="1" applyFill="1" applyBorder="1" applyAlignment="1">
      <alignment horizontal="centerContinuous"/>
    </xf>
    <xf numFmtId="170" fontId="6" fillId="0" borderId="3" xfId="0" applyNumberFormat="1" applyFont="1" applyFill="1" applyBorder="1" applyAlignment="1">
      <alignment horizontal="center"/>
    </xf>
    <xf numFmtId="170" fontId="6" fillId="0" borderId="9" xfId="0" applyNumberFormat="1" applyFont="1" applyFill="1" applyBorder="1" applyAlignment="1">
      <alignment horizontal="center"/>
    </xf>
    <xf numFmtId="9" fontId="7" fillId="17" borderId="30" xfId="2302" applyFont="1" applyFill="1" applyBorder="1"/>
    <xf numFmtId="0" fontId="8" fillId="45" borderId="25" xfId="1819" applyFont="1" applyFill="1" applyBorder="1" applyAlignment="1">
      <alignment horizontal="centerContinuous" vertical="center"/>
    </xf>
    <xf numFmtId="0" fontId="7" fillId="45" borderId="32" xfId="1819" applyFont="1" applyFill="1" applyBorder="1" applyAlignment="1">
      <alignment horizontal="center" wrapText="1"/>
    </xf>
    <xf numFmtId="0" fontId="7" fillId="45" borderId="48" xfId="1819" applyFont="1" applyFill="1" applyBorder="1" applyAlignment="1">
      <alignment horizontal="center" wrapText="1"/>
    </xf>
    <xf numFmtId="168" fontId="7" fillId="45" borderId="47" xfId="1" applyNumberFormat="1" applyFont="1" applyFill="1" applyBorder="1"/>
    <xf numFmtId="168" fontId="7" fillId="45" borderId="27" xfId="1" applyNumberFormat="1" applyFont="1" applyFill="1" applyBorder="1"/>
    <xf numFmtId="170" fontId="7" fillId="45" borderId="27" xfId="1819" applyNumberFormat="1" applyFont="1" applyFill="1" applyBorder="1"/>
    <xf numFmtId="3" fontId="7" fillId="45" borderId="27" xfId="1819" applyNumberFormat="1" applyFont="1" applyFill="1" applyBorder="1" applyAlignment="1">
      <alignment horizontal="center"/>
    </xf>
    <xf numFmtId="168" fontId="7" fillId="45" borderId="28" xfId="1" applyNumberFormat="1" applyFont="1" applyFill="1" applyBorder="1"/>
    <xf numFmtId="2" fontId="7" fillId="17" borderId="25" xfId="2302" applyNumberFormat="1" applyFont="1" applyFill="1" applyBorder="1" applyAlignment="1">
      <alignment horizontal="centerContinuous"/>
    </xf>
    <xf numFmtId="9" fontId="7" fillId="17" borderId="16" xfId="2302" applyFont="1" applyFill="1" applyBorder="1" applyAlignment="1">
      <alignment horizontal="center" wrapText="1"/>
    </xf>
    <xf numFmtId="9" fontId="7" fillId="0" borderId="18" xfId="2302" applyFont="1" applyBorder="1"/>
    <xf numFmtId="9" fontId="7" fillId="0" borderId="20" xfId="2302" applyFont="1" applyBorder="1"/>
    <xf numFmtId="9" fontId="7" fillId="0" borderId="22" xfId="2302" applyFont="1" applyBorder="1"/>
    <xf numFmtId="0" fontId="7" fillId="17" borderId="0" xfId="1819" applyFont="1" applyFill="1" applyAlignment="1">
      <alignment horizontal="center"/>
    </xf>
    <xf numFmtId="0" fontId="7" fillId="45" borderId="3" xfId="1819" applyFont="1" applyFill="1" applyBorder="1" applyAlignment="1">
      <alignment horizontal="centerContinuous" vertical="center" wrapText="1"/>
    </xf>
    <xf numFmtId="0" fontId="8" fillId="45" borderId="3" xfId="1819" applyFont="1" applyFill="1" applyBorder="1" applyAlignment="1">
      <alignment horizontal="centerContinuous" vertical="center" wrapText="1"/>
    </xf>
    <xf numFmtId="0" fontId="8" fillId="45" borderId="18" xfId="1819" applyFont="1" applyFill="1" applyBorder="1" applyAlignment="1">
      <alignment horizontal="centerContinuous" vertical="center" wrapText="1"/>
    </xf>
    <xf numFmtId="167" fontId="7" fillId="0" borderId="43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43" xfId="0" applyFont="1" applyBorder="1" applyAlignment="1">
      <alignment horizontal="center"/>
    </xf>
    <xf numFmtId="0" fontId="8" fillId="17" borderId="51" xfId="0" applyFont="1" applyFill="1" applyBorder="1" applyAlignment="1">
      <alignment horizontal="right"/>
    </xf>
    <xf numFmtId="167" fontId="7" fillId="0" borderId="7" xfId="0" applyNumberFormat="1" applyFont="1" applyBorder="1" applyAlignment="1">
      <alignment horizontal="center"/>
    </xf>
    <xf numFmtId="167" fontId="7" fillId="0" borderId="23" xfId="0" applyNumberFormat="1" applyFont="1" applyBorder="1" applyAlignment="1">
      <alignment horizontal="center"/>
    </xf>
    <xf numFmtId="0" fontId="7" fillId="17" borderId="8" xfId="0" applyFont="1" applyFill="1" applyBorder="1" applyAlignment="1">
      <alignment horizontal="left"/>
    </xf>
    <xf numFmtId="167" fontId="7" fillId="0" borderId="8" xfId="0" applyNumberFormat="1" applyFont="1" applyBorder="1" applyAlignment="1">
      <alignment horizontal="center"/>
    </xf>
    <xf numFmtId="0" fontId="8" fillId="17" borderId="13" xfId="0" applyFont="1" applyFill="1" applyBorder="1" applyAlignment="1">
      <alignment horizontal="center"/>
    </xf>
    <xf numFmtId="0" fontId="8" fillId="38" borderId="0" xfId="0" applyFont="1" applyFill="1" applyBorder="1" applyAlignment="1">
      <alignment horizontal="center"/>
    </xf>
    <xf numFmtId="0" fontId="7" fillId="17" borderId="57" xfId="0" applyFont="1" applyFill="1" applyBorder="1"/>
    <xf numFmtId="0" fontId="7" fillId="17" borderId="79" xfId="0" applyFont="1" applyFill="1" applyBorder="1" applyAlignment="1">
      <alignment horizontal="center"/>
    </xf>
    <xf numFmtId="0" fontId="7" fillId="26" borderId="78" xfId="0" applyFont="1" applyFill="1" applyBorder="1" applyAlignment="1">
      <alignment horizontal="center"/>
    </xf>
    <xf numFmtId="0" fontId="7" fillId="17" borderId="63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/>
    </xf>
    <xf numFmtId="0" fontId="7" fillId="0" borderId="60" xfId="0" applyFont="1" applyFill="1" applyBorder="1"/>
    <xf numFmtId="0" fontId="7" fillId="0" borderId="60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/>
    </xf>
    <xf numFmtId="0" fontId="0" fillId="17" borderId="0" xfId="0" applyFill="1" applyAlignment="1">
      <alignment vertical="center"/>
    </xf>
    <xf numFmtId="0" fontId="7" fillId="17" borderId="0" xfId="0" applyFont="1" applyFill="1" applyAlignment="1">
      <alignment horizontal="center" vertical="center"/>
    </xf>
    <xf numFmtId="0" fontId="7" fillId="62" borderId="7" xfId="0" applyFont="1" applyFill="1" applyBorder="1" applyAlignment="1">
      <alignment horizontal="centerContinuous"/>
    </xf>
    <xf numFmtId="0" fontId="7" fillId="62" borderId="25" xfId="0" applyFont="1" applyFill="1" applyBorder="1" applyAlignment="1">
      <alignment horizontal="centerContinuous"/>
    </xf>
    <xf numFmtId="0" fontId="7" fillId="62" borderId="57" xfId="0" applyFont="1" applyFill="1" applyBorder="1" applyAlignment="1">
      <alignment horizontal="left"/>
    </xf>
    <xf numFmtId="0" fontId="23" fillId="62" borderId="15" xfId="0" applyFont="1" applyFill="1" applyBorder="1" applyAlignment="1">
      <alignment horizontal="center" vertical="center" wrapText="1"/>
    </xf>
    <xf numFmtId="0" fontId="7" fillId="62" borderId="5" xfId="0" applyFont="1" applyFill="1" applyBorder="1" applyAlignment="1">
      <alignment horizontal="center" vertical="center" wrapText="1"/>
    </xf>
    <xf numFmtId="0" fontId="7" fillId="62" borderId="16" xfId="0" applyFont="1" applyFill="1" applyBorder="1" applyAlignment="1">
      <alignment horizontal="center" vertical="center" wrapText="1"/>
    </xf>
    <xf numFmtId="0" fontId="7" fillId="62" borderId="65" xfId="0" applyFont="1" applyFill="1" applyBorder="1" applyAlignment="1">
      <alignment horizontal="center" vertical="center" wrapText="1"/>
    </xf>
    <xf numFmtId="0" fontId="8" fillId="62" borderId="38" xfId="0" applyFont="1" applyFill="1" applyBorder="1" applyAlignment="1">
      <alignment horizontal="centerContinuous"/>
    </xf>
    <xf numFmtId="167" fontId="7" fillId="37" borderId="30" xfId="0" applyNumberFormat="1" applyFont="1" applyFill="1" applyBorder="1" applyAlignment="1">
      <alignment horizontal="centerContinuous"/>
    </xf>
    <xf numFmtId="0" fontId="7" fillId="17" borderId="29" xfId="0" applyFont="1" applyFill="1" applyBorder="1" applyAlignment="1">
      <alignment horizontal="center"/>
    </xf>
    <xf numFmtId="0" fontId="7" fillId="17" borderId="29" xfId="0" applyFont="1" applyFill="1" applyBorder="1"/>
    <xf numFmtId="0" fontId="7" fillId="17" borderId="35" xfId="0" applyFont="1" applyFill="1" applyBorder="1" applyAlignment="1">
      <alignment horizontal="center" vertical="center" wrapText="1"/>
    </xf>
    <xf numFmtId="0" fontId="7" fillId="0" borderId="42" xfId="0" applyFont="1" applyBorder="1" applyAlignment="1">
      <alignment horizontal="center"/>
    </xf>
    <xf numFmtId="0" fontId="7" fillId="0" borderId="42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/>
    </xf>
    <xf numFmtId="0" fontId="7" fillId="0" borderId="82" xfId="0" applyFont="1" applyBorder="1"/>
    <xf numFmtId="0" fontId="0" fillId="17" borderId="7" xfId="0" applyFill="1" applyBorder="1"/>
    <xf numFmtId="0" fontId="8" fillId="0" borderId="19" xfId="0" applyFont="1" applyBorder="1" applyAlignment="1">
      <alignment horizontal="center"/>
    </xf>
    <xf numFmtId="3" fontId="8" fillId="0" borderId="54" xfId="0" applyNumberFormat="1" applyFont="1" applyBorder="1" applyAlignment="1">
      <alignment horizontal="center"/>
    </xf>
    <xf numFmtId="3" fontId="8" fillId="0" borderId="51" xfId="0" applyNumberFormat="1" applyFont="1" applyBorder="1" applyAlignment="1">
      <alignment horizontal="center"/>
    </xf>
    <xf numFmtId="3" fontId="8" fillId="0" borderId="68" xfId="0" applyNumberFormat="1" applyFont="1" applyBorder="1" applyAlignment="1">
      <alignment horizontal="center"/>
    </xf>
    <xf numFmtId="0" fontId="49" fillId="0" borderId="54" xfId="0" applyFont="1" applyBorder="1" applyAlignment="1">
      <alignment horizontal="center" vertical="center" wrapText="1"/>
    </xf>
    <xf numFmtId="0" fontId="7" fillId="0" borderId="83" xfId="0" applyFont="1" applyBorder="1"/>
    <xf numFmtId="4" fontId="6" fillId="17" borderId="0" xfId="0" applyNumberFormat="1" applyFont="1" applyFill="1" applyAlignment="1">
      <alignment horizontal="center"/>
    </xf>
    <xf numFmtId="0" fontId="6" fillId="17" borderId="0" xfId="0" applyFont="1" applyFill="1"/>
    <xf numFmtId="0" fontId="15" fillId="17" borderId="55" xfId="0" applyFont="1" applyFill="1" applyBorder="1" applyAlignment="1">
      <alignment horizontal="center"/>
    </xf>
    <xf numFmtId="0" fontId="13" fillId="17" borderId="0" xfId="0" applyFont="1" applyFill="1" applyBorder="1" applyAlignment="1">
      <alignment horizontal="center"/>
    </xf>
    <xf numFmtId="3" fontId="6" fillId="17" borderId="0" xfId="0" applyNumberFormat="1" applyFont="1" applyFill="1"/>
    <xf numFmtId="3" fontId="14" fillId="17" borderId="0" xfId="0" applyNumberFormat="1" applyFont="1" applyFill="1"/>
    <xf numFmtId="0" fontId="0" fillId="17" borderId="32" xfId="0" applyFill="1" applyBorder="1"/>
    <xf numFmtId="2" fontId="8" fillId="17" borderId="0" xfId="0" applyNumberFormat="1" applyFont="1" applyFill="1" applyAlignment="1">
      <alignment horizontal="center"/>
    </xf>
    <xf numFmtId="164" fontId="0" fillId="17" borderId="0" xfId="0" applyNumberFormat="1" applyFill="1" applyAlignment="1">
      <alignment horizontal="center"/>
    </xf>
    <xf numFmtId="2" fontId="14" fillId="17" borderId="0" xfId="0" applyNumberFormat="1" applyFont="1" applyFill="1" applyAlignment="1">
      <alignment horizontal="center"/>
    </xf>
    <xf numFmtId="167" fontId="7" fillId="17" borderId="0" xfId="0" applyNumberFormat="1" applyFont="1" applyFill="1" applyAlignment="1">
      <alignment horizontal="centerContinuous"/>
    </xf>
    <xf numFmtId="0" fontId="8" fillId="17" borderId="12" xfId="0" applyFont="1" applyFill="1" applyBorder="1" applyAlignment="1">
      <alignment horizontal="center"/>
    </xf>
    <xf numFmtId="2" fontId="7" fillId="17" borderId="15" xfId="0" applyNumberFormat="1" applyFont="1" applyFill="1" applyBorder="1" applyAlignment="1">
      <alignment horizontal="centerContinuous"/>
    </xf>
    <xf numFmtId="167" fontId="8" fillId="17" borderId="0" xfId="0" applyNumberFormat="1" applyFont="1" applyFill="1" applyAlignment="1">
      <alignment horizontal="center"/>
    </xf>
    <xf numFmtId="0" fontId="7" fillId="17" borderId="32" xfId="0" applyFont="1" applyFill="1" applyBorder="1"/>
    <xf numFmtId="167" fontId="7" fillId="17" borderId="8" xfId="0" applyNumberFormat="1" applyFont="1" applyFill="1" applyBorder="1" applyAlignment="1">
      <alignment horizontal="center"/>
    </xf>
    <xf numFmtId="0" fontId="7" fillId="17" borderId="8" xfId="0" applyFont="1" applyFill="1" applyBorder="1" applyAlignment="1">
      <alignment horizontal="center"/>
    </xf>
    <xf numFmtId="0" fontId="7" fillId="17" borderId="8" xfId="0" applyFont="1" applyFill="1" applyBorder="1"/>
    <xf numFmtId="0" fontId="7" fillId="17" borderId="27" xfId="0" applyFont="1" applyFill="1" applyBorder="1"/>
    <xf numFmtId="0" fontId="8" fillId="17" borderId="51" xfId="0" applyFont="1" applyFill="1" applyBorder="1" applyAlignment="1">
      <alignment horizontal="right" indent="1"/>
    </xf>
    <xf numFmtId="167" fontId="7" fillId="17" borderId="8" xfId="0" applyNumberFormat="1" applyFont="1" applyFill="1" applyBorder="1" applyAlignment="1">
      <alignment horizontal="left"/>
    </xf>
    <xf numFmtId="167" fontId="7" fillId="17" borderId="0" xfId="0" applyNumberFormat="1" applyFont="1" applyFill="1" applyBorder="1" applyAlignment="1">
      <alignment horizontal="center"/>
    </xf>
    <xf numFmtId="167" fontId="7" fillId="17" borderId="7" xfId="0" applyNumberFormat="1" applyFont="1" applyFill="1" applyBorder="1" applyAlignment="1">
      <alignment horizontal="centerContinuous"/>
    </xf>
    <xf numFmtId="167" fontId="8" fillId="17" borderId="7" xfId="0" applyNumberFormat="1" applyFont="1" applyFill="1" applyBorder="1" applyAlignment="1">
      <alignment horizontal="centerContinuous"/>
    </xf>
    <xf numFmtId="0" fontId="7" fillId="17" borderId="53" xfId="0" applyFont="1" applyFill="1" applyBorder="1" applyAlignment="1">
      <alignment horizontal="left"/>
    </xf>
    <xf numFmtId="0" fontId="8" fillId="17" borderId="25" xfId="0" applyFont="1" applyFill="1" applyBorder="1" applyAlignment="1">
      <alignment horizontal="centerContinuous"/>
    </xf>
    <xf numFmtId="0" fontId="8" fillId="17" borderId="7" xfId="0" applyFont="1" applyFill="1" applyBorder="1" applyAlignment="1">
      <alignment horizontal="center"/>
    </xf>
    <xf numFmtId="0" fontId="7" fillId="17" borderId="7" xfId="0" applyFont="1" applyFill="1" applyBorder="1" applyAlignment="1">
      <alignment horizontal="center"/>
    </xf>
    <xf numFmtId="0" fontId="7" fillId="17" borderId="25" xfId="0" applyFont="1" applyFill="1" applyBorder="1" applyAlignment="1">
      <alignment horizontal="centerContinuous"/>
    </xf>
    <xf numFmtId="167" fontId="7" fillId="17" borderId="20" xfId="0" applyNumberFormat="1" applyFont="1" applyFill="1" applyBorder="1" applyAlignment="1">
      <alignment horizontal="centerContinuous"/>
    </xf>
    <xf numFmtId="167" fontId="8" fillId="17" borderId="20" xfId="0" applyNumberFormat="1" applyFont="1" applyFill="1" applyBorder="1" applyAlignment="1">
      <alignment horizontal="centerContinuous"/>
    </xf>
    <xf numFmtId="167" fontId="7" fillId="17" borderId="30" xfId="0" applyNumberFormat="1" applyFont="1" applyFill="1" applyBorder="1" applyAlignment="1">
      <alignment horizontal="left"/>
    </xf>
    <xf numFmtId="167" fontId="8" fillId="17" borderId="8" xfId="0" applyNumberFormat="1" applyFont="1" applyFill="1" applyBorder="1" applyAlignment="1">
      <alignment horizontal="centerContinuous"/>
    </xf>
    <xf numFmtId="167" fontId="8" fillId="17" borderId="26" xfId="0" applyNumberFormat="1" applyFont="1" applyFill="1" applyBorder="1" applyAlignment="1">
      <alignment horizontal="centerContinuous"/>
    </xf>
    <xf numFmtId="0" fontId="8" fillId="17" borderId="8" xfId="0" applyFont="1" applyFill="1" applyBorder="1" applyAlignment="1">
      <alignment horizontal="centerContinuous"/>
    </xf>
    <xf numFmtId="0" fontId="8" fillId="17" borderId="14" xfId="0" applyFont="1" applyFill="1" applyBorder="1" applyAlignment="1">
      <alignment horizontal="centerContinuous"/>
    </xf>
    <xf numFmtId="167" fontId="7" fillId="17" borderId="25" xfId="0" applyNumberFormat="1" applyFont="1" applyFill="1" applyBorder="1" applyAlignment="1">
      <alignment horizontal="centerContinuous"/>
    </xf>
    <xf numFmtId="167" fontId="8" fillId="17" borderId="25" xfId="0" applyNumberFormat="1" applyFont="1" applyFill="1" applyBorder="1" applyAlignment="1">
      <alignment horizontal="centerContinuous"/>
    </xf>
    <xf numFmtId="167" fontId="8" fillId="17" borderId="4" xfId="0" applyNumberFormat="1" applyFont="1" applyFill="1" applyBorder="1" applyAlignment="1">
      <alignment horizontal="center"/>
    </xf>
    <xf numFmtId="0" fontId="8" fillId="17" borderId="16" xfId="0" applyFont="1" applyFill="1" applyBorder="1" applyAlignment="1">
      <alignment horizontal="center"/>
    </xf>
    <xf numFmtId="167" fontId="8" fillId="17" borderId="28" xfId="0" applyNumberFormat="1" applyFont="1" applyFill="1" applyBorder="1" applyAlignment="1">
      <alignment horizontal="center"/>
    </xf>
    <xf numFmtId="167" fontId="8" fillId="17" borderId="21" xfId="0" applyNumberFormat="1" applyFont="1" applyFill="1" applyBorder="1" applyAlignment="1">
      <alignment horizontal="center"/>
    </xf>
    <xf numFmtId="167" fontId="8" fillId="17" borderId="10" xfId="0" applyNumberFormat="1" applyFont="1" applyFill="1" applyBorder="1" applyAlignment="1">
      <alignment horizontal="center"/>
    </xf>
    <xf numFmtId="3" fontId="7" fillId="17" borderId="0" xfId="0" applyNumberFormat="1" applyFont="1" applyFill="1" applyBorder="1" applyAlignment="1">
      <alignment horizontal="center"/>
    </xf>
    <xf numFmtId="0" fontId="44" fillId="17" borderId="0" xfId="0" applyFont="1" applyFill="1"/>
    <xf numFmtId="0" fontId="10" fillId="17" borderId="4" xfId="3" applyFont="1" applyFill="1" applyBorder="1"/>
    <xf numFmtId="167" fontId="7" fillId="17" borderId="0" xfId="0" applyNumberFormat="1" applyFont="1" applyFill="1" applyBorder="1" applyAlignment="1">
      <alignment horizontal="center" vertical="center"/>
    </xf>
    <xf numFmtId="0" fontId="14" fillId="17" borderId="47" xfId="0" applyFont="1" applyFill="1" applyBorder="1" applyAlignment="1">
      <alignment horizontal="centerContinuous"/>
    </xf>
    <xf numFmtId="0" fontId="6" fillId="17" borderId="48" xfId="0" applyFont="1" applyFill="1" applyBorder="1" applyAlignment="1">
      <alignment horizontal="center"/>
    </xf>
    <xf numFmtId="0" fontId="14" fillId="17" borderId="0" xfId="0" applyFont="1" applyFill="1" applyBorder="1" applyAlignment="1">
      <alignment horizontal="centerContinuous"/>
    </xf>
    <xf numFmtId="0" fontId="0" fillId="0" borderId="27" xfId="0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17" borderId="30" xfId="0" applyFill="1" applyBorder="1" applyAlignment="1">
      <alignment horizontal="center"/>
    </xf>
    <xf numFmtId="0" fontId="35" fillId="17" borderId="30" xfId="0" applyFont="1" applyFill="1" applyBorder="1" applyAlignment="1">
      <alignment horizontal="left" indent="1"/>
    </xf>
    <xf numFmtId="0" fontId="35" fillId="17" borderId="33" xfId="0" applyFont="1" applyFill="1" applyBorder="1" applyAlignment="1">
      <alignment horizontal="center"/>
    </xf>
    <xf numFmtId="0" fontId="0" fillId="17" borderId="25" xfId="0" applyFill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14" fillId="17" borderId="30" xfId="0" applyFont="1" applyFill="1" applyBorder="1" applyAlignment="1">
      <alignment horizontal="centerContinuous"/>
    </xf>
    <xf numFmtId="0" fontId="14" fillId="17" borderId="25" xfId="0" applyFont="1" applyFill="1" applyBorder="1" applyAlignment="1">
      <alignment horizontal="centerContinuous"/>
    </xf>
    <xf numFmtId="0" fontId="6" fillId="17" borderId="33" xfId="0" applyFont="1" applyFill="1" applyBorder="1" applyAlignment="1">
      <alignment horizontal="center"/>
    </xf>
    <xf numFmtId="0" fontId="6" fillId="17" borderId="26" xfId="0" applyFont="1" applyFill="1" applyBorder="1" applyAlignment="1">
      <alignment horizontal="center"/>
    </xf>
    <xf numFmtId="0" fontId="52" fillId="17" borderId="26" xfId="0" applyFont="1" applyFill="1" applyBorder="1" applyAlignment="1">
      <alignment horizontal="center"/>
    </xf>
    <xf numFmtId="0" fontId="18" fillId="17" borderId="26" xfId="0" applyFont="1" applyFill="1" applyBorder="1" applyAlignment="1">
      <alignment horizontal="center"/>
    </xf>
    <xf numFmtId="0" fontId="51" fillId="17" borderId="26" xfId="0" applyFont="1" applyFill="1" applyBorder="1" applyAlignment="1">
      <alignment horizontal="center"/>
    </xf>
    <xf numFmtId="172" fontId="7" fillId="0" borderId="26" xfId="1" applyNumberFormat="1" applyFont="1" applyFill="1" applyBorder="1"/>
    <xf numFmtId="172" fontId="7" fillId="0" borderId="27" xfId="1" applyNumberFormat="1" applyFont="1" applyFill="1" applyBorder="1"/>
    <xf numFmtId="172" fontId="7" fillId="0" borderId="26" xfId="1" applyNumberFormat="1" applyFont="1" applyBorder="1"/>
    <xf numFmtId="172" fontId="7" fillId="0" borderId="27" xfId="1" applyNumberFormat="1" applyFont="1" applyBorder="1"/>
    <xf numFmtId="172" fontId="7" fillId="0" borderId="9" xfId="1" applyNumberFormat="1" applyFont="1" applyBorder="1"/>
    <xf numFmtId="172" fontId="7" fillId="0" borderId="30" xfId="1" applyNumberFormat="1" applyFont="1" applyBorder="1"/>
    <xf numFmtId="172" fontId="7" fillId="0" borderId="32" xfId="1" applyNumberFormat="1" applyFont="1" applyBorder="1"/>
    <xf numFmtId="172" fontId="7" fillId="0" borderId="2" xfId="1" applyNumberFormat="1" applyFont="1" applyBorder="1"/>
    <xf numFmtId="172" fontId="7" fillId="0" borderId="30" xfId="1" applyNumberFormat="1" applyFont="1" applyFill="1" applyBorder="1"/>
    <xf numFmtId="172" fontId="7" fillId="0" borderId="32" xfId="1" applyNumberFormat="1" applyFont="1" applyFill="1" applyBorder="1"/>
    <xf numFmtId="172" fontId="7" fillId="0" borderId="48" xfId="1" applyNumberFormat="1" applyFont="1" applyBorder="1"/>
    <xf numFmtId="172" fontId="7" fillId="0" borderId="5" xfId="1" applyNumberFormat="1" applyFont="1" applyBorder="1"/>
    <xf numFmtId="172" fontId="7" fillId="0" borderId="49" xfId="1" applyNumberFormat="1" applyFont="1" applyBorder="1"/>
    <xf numFmtId="172" fontId="7" fillId="0" borderId="40" xfId="1" applyNumberFormat="1" applyFont="1" applyBorder="1"/>
    <xf numFmtId="172" fontId="7" fillId="0" borderId="50" xfId="1" applyNumberFormat="1" applyFont="1" applyBorder="1"/>
    <xf numFmtId="172" fontId="7" fillId="0" borderId="51" xfId="1" applyNumberFormat="1" applyFont="1" applyBorder="1"/>
    <xf numFmtId="172" fontId="7" fillId="0" borderId="13" xfId="1" applyNumberFormat="1" applyFont="1" applyBorder="1"/>
    <xf numFmtId="172" fontId="7" fillId="0" borderId="17" xfId="1" applyNumberFormat="1" applyFont="1" applyBorder="1"/>
    <xf numFmtId="3" fontId="7" fillId="17" borderId="0" xfId="0" applyNumberFormat="1" applyFont="1" applyFill="1"/>
    <xf numFmtId="4" fontId="7" fillId="17" borderId="0" xfId="0" applyNumberFormat="1" applyFont="1" applyFill="1"/>
    <xf numFmtId="0" fontId="7" fillId="17" borderId="26" xfId="0" applyFont="1" applyFill="1" applyBorder="1"/>
    <xf numFmtId="4" fontId="7" fillId="0" borderId="2" xfId="0" applyNumberFormat="1" applyFont="1" applyBorder="1" applyAlignment="1">
      <alignment horizontal="center"/>
    </xf>
    <xf numFmtId="4" fontId="7" fillId="0" borderId="13" xfId="0" applyNumberFormat="1" applyFont="1" applyBorder="1" applyAlignment="1">
      <alignment horizontal="center"/>
    </xf>
    <xf numFmtId="4" fontId="7" fillId="0" borderId="2" xfId="0" applyNumberFormat="1" applyFont="1" applyFill="1" applyBorder="1"/>
    <xf numFmtId="4" fontId="7" fillId="0" borderId="13" xfId="0" applyNumberFormat="1" applyFont="1" applyFill="1" applyBorder="1" applyAlignment="1">
      <alignment horizontal="center"/>
    </xf>
    <xf numFmtId="4" fontId="8" fillId="0" borderId="19" xfId="0" applyNumberFormat="1" applyFont="1" applyFill="1" applyBorder="1" applyAlignment="1">
      <alignment horizontal="center"/>
    </xf>
    <xf numFmtId="4" fontId="7" fillId="0" borderId="59" xfId="0" applyNumberFormat="1" applyFont="1" applyFill="1" applyBorder="1" applyAlignment="1">
      <alignment horizontal="center"/>
    </xf>
    <xf numFmtId="4" fontId="7" fillId="0" borderId="72" xfId="0" applyNumberFormat="1" applyFont="1" applyFill="1" applyBorder="1" applyAlignment="1">
      <alignment horizontal="center"/>
    </xf>
    <xf numFmtId="3" fontId="8" fillId="17" borderId="0" xfId="0" applyNumberFormat="1" applyFont="1" applyFill="1" applyBorder="1" applyAlignment="1">
      <alignment horizontal="center"/>
    </xf>
    <xf numFmtId="0" fontId="39" fillId="17" borderId="30" xfId="0" quotePrefix="1" applyFont="1" applyFill="1" applyBorder="1" applyAlignment="1">
      <alignment horizontal="centerContinuous"/>
    </xf>
    <xf numFmtId="0" fontId="8" fillId="17" borderId="30" xfId="0" quotePrefix="1" applyFont="1" applyFill="1" applyBorder="1" applyAlignment="1">
      <alignment horizontal="center"/>
    </xf>
    <xf numFmtId="167" fontId="7" fillId="0" borderId="22" xfId="0" applyNumberFormat="1" applyFont="1" applyBorder="1" applyAlignment="1">
      <alignment horizontal="center"/>
    </xf>
    <xf numFmtId="0" fontId="8" fillId="17" borderId="4" xfId="0" applyFont="1" applyFill="1" applyBorder="1"/>
    <xf numFmtId="0" fontId="8" fillId="17" borderId="26" xfId="0" applyFont="1" applyFill="1" applyBorder="1" applyAlignment="1">
      <alignment horizontal="center"/>
    </xf>
    <xf numFmtId="0" fontId="7" fillId="17" borderId="26" xfId="0" applyFont="1" applyFill="1" applyBorder="1" applyAlignment="1">
      <alignment horizontal="center"/>
    </xf>
    <xf numFmtId="0" fontId="31" fillId="17" borderId="0" xfId="3" applyFont="1" applyFill="1"/>
    <xf numFmtId="9" fontId="15" fillId="17" borderId="0" xfId="2" applyFont="1" applyFill="1" applyAlignment="1">
      <alignment horizontal="center"/>
    </xf>
    <xf numFmtId="0" fontId="15" fillId="17" borderId="0" xfId="0" applyFont="1" applyFill="1"/>
    <xf numFmtId="0" fontId="28" fillId="17" borderId="0" xfId="0" applyFont="1" applyFill="1"/>
    <xf numFmtId="0" fontId="11" fillId="17" borderId="0" xfId="3" applyFont="1" applyFill="1"/>
    <xf numFmtId="9" fontId="7" fillId="17" borderId="0" xfId="2" applyFont="1" applyFill="1" applyAlignment="1">
      <alignment horizontal="center"/>
    </xf>
    <xf numFmtId="3" fontId="8" fillId="17" borderId="0" xfId="0" applyNumberFormat="1" applyFont="1" applyFill="1"/>
    <xf numFmtId="0" fontId="11" fillId="17" borderId="0" xfId="3" applyFont="1" applyFill="1" applyAlignment="1">
      <alignment horizontal="left" indent="1"/>
    </xf>
    <xf numFmtId="3" fontId="8" fillId="17" borderId="0" xfId="0" applyNumberFormat="1" applyFont="1" applyFill="1" applyAlignment="1">
      <alignment horizontal="center"/>
    </xf>
    <xf numFmtId="0" fontId="17" fillId="17" borderId="0" xfId="3" applyFont="1" applyFill="1"/>
    <xf numFmtId="0" fontId="7" fillId="17" borderId="0" xfId="0" applyFont="1" applyFill="1" applyAlignment="1">
      <alignment horizontal="left" indent="1"/>
    </xf>
    <xf numFmtId="0" fontId="11" fillId="17" borderId="0" xfId="3" applyFont="1" applyFill="1" applyAlignment="1">
      <alignment horizontal="center"/>
    </xf>
    <xf numFmtId="3" fontId="11" fillId="17" borderId="0" xfId="3" applyNumberFormat="1" applyFont="1" applyFill="1" applyAlignment="1">
      <alignment horizontal="center"/>
    </xf>
    <xf numFmtId="0" fontId="22" fillId="17" borderId="0" xfId="3" applyFont="1" applyFill="1"/>
    <xf numFmtId="3" fontId="22" fillId="17" borderId="0" xfId="3" applyNumberFormat="1" applyFont="1" applyFill="1" applyAlignment="1">
      <alignment horizontal="center"/>
    </xf>
    <xf numFmtId="0" fontId="10" fillId="17" borderId="0" xfId="3" applyFont="1" applyFill="1"/>
    <xf numFmtId="3" fontId="22" fillId="17" borderId="0" xfId="5" applyNumberFormat="1" applyFont="1" applyFill="1" applyAlignment="1">
      <alignment horizontal="center"/>
    </xf>
    <xf numFmtId="3" fontId="33" fillId="17" borderId="7" xfId="5" applyNumberFormat="1" applyFont="1" applyFill="1" applyBorder="1" applyAlignment="1">
      <alignment horizontal="centerContinuous" vertical="center"/>
    </xf>
    <xf numFmtId="3" fontId="33" fillId="17" borderId="0" xfId="5" applyNumberFormat="1" applyFont="1" applyFill="1" applyAlignment="1">
      <alignment horizontal="centerContinuous" vertical="center"/>
    </xf>
    <xf numFmtId="168" fontId="11" fillId="17" borderId="0" xfId="3" applyNumberFormat="1" applyFont="1" applyFill="1"/>
    <xf numFmtId="4" fontId="21" fillId="17" borderId="0" xfId="3" applyNumberFormat="1" applyFont="1" applyFill="1" applyAlignment="1">
      <alignment horizontal="center"/>
    </xf>
    <xf numFmtId="9" fontId="11" fillId="17" borderId="0" xfId="2" applyFont="1" applyFill="1" applyAlignment="1">
      <alignment horizontal="center"/>
    </xf>
    <xf numFmtId="49" fontId="43" fillId="17" borderId="0" xfId="5" applyNumberFormat="1" applyFont="1" applyFill="1" applyAlignment="1">
      <alignment horizontal="center"/>
    </xf>
    <xf numFmtId="9" fontId="11" fillId="17" borderId="0" xfId="5" applyFont="1" applyFill="1" applyAlignment="1">
      <alignment horizontal="center"/>
    </xf>
    <xf numFmtId="3" fontId="22" fillId="17" borderId="0" xfId="3" applyNumberFormat="1" applyFont="1" applyFill="1"/>
    <xf numFmtId="0" fontId="11" fillId="17" borderId="0" xfId="3" applyFont="1" applyFill="1" applyAlignment="1">
      <alignment horizontal="right" indent="1"/>
    </xf>
    <xf numFmtId="4" fontId="10" fillId="17" borderId="0" xfId="3" applyNumberFormat="1" applyFont="1" applyFill="1" applyAlignment="1">
      <alignment horizontal="center"/>
    </xf>
    <xf numFmtId="0" fontId="11" fillId="17" borderId="7" xfId="3" applyFont="1" applyFill="1" applyBorder="1" applyAlignment="1">
      <alignment horizontal="right" indent="1"/>
    </xf>
    <xf numFmtId="0" fontId="11" fillId="17" borderId="7" xfId="3" applyFont="1" applyFill="1" applyBorder="1" applyAlignment="1">
      <alignment horizontal="center"/>
    </xf>
    <xf numFmtId="3" fontId="11" fillId="17" borderId="7" xfId="3" applyNumberFormat="1" applyFont="1" applyFill="1" applyBorder="1" applyAlignment="1">
      <alignment horizontal="center"/>
    </xf>
    <xf numFmtId="0" fontId="48" fillId="17" borderId="0" xfId="3" applyFont="1" applyFill="1"/>
    <xf numFmtId="3" fontId="11" fillId="17" borderId="0" xfId="3" applyNumberFormat="1" applyFont="1" applyFill="1" applyAlignment="1">
      <alignment horizontal="right" indent="1"/>
    </xf>
    <xf numFmtId="9" fontId="11" fillId="17" borderId="0" xfId="5" applyFont="1" applyFill="1" applyAlignment="1">
      <alignment horizontal="right" indent="1"/>
    </xf>
    <xf numFmtId="0" fontId="48" fillId="17" borderId="0" xfId="3" applyFont="1" applyFill="1" applyAlignment="1">
      <alignment horizontal="left"/>
    </xf>
    <xf numFmtId="3" fontId="11" fillId="17" borderId="0" xfId="3" applyNumberFormat="1" applyFont="1" applyFill="1"/>
    <xf numFmtId="4" fontId="14" fillId="16" borderId="57" xfId="0" applyNumberFormat="1" applyFont="1" applyFill="1" applyBorder="1" applyAlignment="1">
      <alignment horizontal="center"/>
    </xf>
    <xf numFmtId="4" fontId="14" fillId="16" borderId="65" xfId="0" applyNumberFormat="1" applyFont="1" applyFill="1" applyBorder="1" applyAlignment="1">
      <alignment horizontal="center"/>
    </xf>
    <xf numFmtId="4" fontId="6" fillId="16" borderId="58" xfId="0" applyNumberFormat="1" applyFont="1" applyFill="1" applyBorder="1" applyAlignment="1">
      <alignment horizontal="center"/>
    </xf>
    <xf numFmtId="4" fontId="6" fillId="16" borderId="59" xfId="0" applyNumberFormat="1" applyFont="1" applyFill="1" applyBorder="1" applyAlignment="1">
      <alignment horizontal="center"/>
    </xf>
    <xf numFmtId="0" fontId="15" fillId="17" borderId="3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61" borderId="38" xfId="0" applyFont="1" applyFill="1" applyBorder="1" applyAlignment="1">
      <alignment horizontal="centerContinuous"/>
    </xf>
    <xf numFmtId="0" fontId="13" fillId="61" borderId="7" xfId="0" applyFont="1" applyFill="1" applyBorder="1" applyAlignment="1">
      <alignment horizontal="centerContinuous"/>
    </xf>
    <xf numFmtId="0" fontId="6" fillId="61" borderId="7" xfId="0" applyFont="1" applyFill="1" applyBorder="1" applyAlignment="1">
      <alignment horizontal="centerContinuous"/>
    </xf>
    <xf numFmtId="0" fontId="6" fillId="61" borderId="47" xfId="0" applyFont="1" applyFill="1" applyBorder="1" applyAlignment="1">
      <alignment horizontal="centerContinuous"/>
    </xf>
    <xf numFmtId="3" fontId="6" fillId="55" borderId="7" xfId="0" applyNumberFormat="1" applyFont="1" applyFill="1" applyBorder="1" applyAlignment="1">
      <alignment horizontal="centerContinuous"/>
    </xf>
    <xf numFmtId="3" fontId="6" fillId="19" borderId="7" xfId="0" applyNumberFormat="1" applyFont="1" applyFill="1" applyBorder="1" applyAlignment="1">
      <alignment horizontal="centerContinuous"/>
    </xf>
    <xf numFmtId="0" fontId="0" fillId="19" borderId="47" xfId="0" applyFill="1" applyBorder="1" applyAlignment="1">
      <alignment horizontal="centerContinuous"/>
    </xf>
    <xf numFmtId="0" fontId="6" fillId="56" borderId="46" xfId="0" applyFont="1" applyFill="1" applyBorder="1" applyAlignment="1">
      <alignment horizontal="centerContinuous"/>
    </xf>
    <xf numFmtId="9" fontId="0" fillId="17" borderId="0" xfId="0" applyNumberFormat="1" applyFill="1"/>
    <xf numFmtId="9" fontId="13" fillId="17" borderId="0" xfId="0" applyNumberFormat="1" applyFont="1" applyFill="1" applyBorder="1" applyAlignment="1">
      <alignment horizontal="center"/>
    </xf>
    <xf numFmtId="0" fontId="7" fillId="17" borderId="33" xfId="0" applyFont="1" applyFill="1" applyBorder="1"/>
    <xf numFmtId="0" fontId="15" fillId="17" borderId="16" xfId="0" applyFont="1" applyFill="1" applyBorder="1" applyAlignment="1">
      <alignment horizontal="center" vertical="center" wrapText="1"/>
    </xf>
    <xf numFmtId="0" fontId="7" fillId="17" borderId="4" xfId="0" applyFont="1" applyFill="1" applyBorder="1" applyAlignment="1">
      <alignment horizontal="left" indent="2"/>
    </xf>
    <xf numFmtId="0" fontId="7" fillId="17" borderId="4" xfId="0" applyFont="1" applyFill="1" applyBorder="1"/>
    <xf numFmtId="4" fontId="7" fillId="17" borderId="4" xfId="0" applyNumberFormat="1" applyFont="1" applyFill="1" applyBorder="1" applyAlignment="1">
      <alignment horizontal="center"/>
    </xf>
    <xf numFmtId="0" fontId="0" fillId="0" borderId="77" xfId="0" applyFill="1" applyBorder="1" applyAlignment="1">
      <alignment horizontal="center" vertical="center"/>
    </xf>
    <xf numFmtId="0" fontId="7" fillId="28" borderId="0" xfId="0" applyFont="1" applyFill="1" applyAlignment="1">
      <alignment horizontal="centerContinuous"/>
    </xf>
    <xf numFmtId="4" fontId="7" fillId="28" borderId="0" xfId="0" applyNumberFormat="1" applyFont="1" applyFill="1" applyAlignment="1">
      <alignment horizontal="centerContinuous"/>
    </xf>
    <xf numFmtId="4" fontId="7" fillId="17" borderId="7" xfId="0" applyNumberFormat="1" applyFont="1" applyFill="1" applyBorder="1" applyAlignment="1">
      <alignment horizontal="centerContinuous"/>
    </xf>
    <xf numFmtId="4" fontId="7" fillId="17" borderId="25" xfId="0" applyNumberFormat="1" applyFont="1" applyFill="1" applyBorder="1" applyAlignment="1">
      <alignment horizontal="centerContinuous"/>
    </xf>
    <xf numFmtId="0" fontId="7" fillId="17" borderId="31" xfId="0" applyFont="1" applyFill="1" applyBorder="1" applyAlignment="1">
      <alignment horizontal="centerContinuous"/>
    </xf>
    <xf numFmtId="0" fontId="7" fillId="17" borderId="64" xfId="0" applyFont="1" applyFill="1" applyBorder="1" applyAlignment="1">
      <alignment horizontal="centerContinuous"/>
    </xf>
    <xf numFmtId="0" fontId="7" fillId="17" borderId="64" xfId="0" applyFont="1" applyFill="1" applyBorder="1"/>
    <xf numFmtId="4" fontId="7" fillId="17" borderId="0" xfId="0" applyNumberFormat="1" applyFont="1" applyFill="1" applyBorder="1" applyAlignment="1">
      <alignment horizontal="centerContinuous"/>
    </xf>
    <xf numFmtId="4" fontId="7" fillId="17" borderId="30" xfId="0" applyNumberFormat="1" applyFont="1" applyFill="1" applyBorder="1" applyAlignment="1">
      <alignment horizontal="centerContinuous"/>
    </xf>
    <xf numFmtId="0" fontId="7" fillId="17" borderId="31" xfId="0" applyFont="1" applyFill="1" applyBorder="1"/>
    <xf numFmtId="0" fontId="7" fillId="17" borderId="2" xfId="0" applyFont="1" applyFill="1" applyBorder="1" applyAlignment="1">
      <alignment horizontal="center"/>
    </xf>
    <xf numFmtId="0" fontId="7" fillId="17" borderId="34" xfId="0" applyFont="1" applyFill="1" applyBorder="1"/>
    <xf numFmtId="0" fontId="7" fillId="17" borderId="6" xfId="0" applyFont="1" applyFill="1" applyBorder="1"/>
    <xf numFmtId="3" fontId="7" fillId="17" borderId="31" xfId="0" applyNumberFormat="1" applyFont="1" applyFill="1" applyBorder="1"/>
    <xf numFmtId="0" fontId="7" fillId="17" borderId="69" xfId="0" applyFont="1" applyFill="1" applyBorder="1"/>
    <xf numFmtId="0" fontId="7" fillId="17" borderId="89" xfId="0" applyFont="1" applyFill="1" applyBorder="1"/>
    <xf numFmtId="0" fontId="7" fillId="17" borderId="2" xfId="0" applyFont="1" applyFill="1" applyBorder="1"/>
    <xf numFmtId="0" fontId="29" fillId="17" borderId="0" xfId="0" quotePrefix="1" applyFont="1" applyFill="1" applyBorder="1"/>
    <xf numFmtId="0" fontId="27" fillId="44" borderId="4" xfId="0" applyFont="1" applyFill="1" applyBorder="1" applyAlignment="1">
      <alignment horizontal="center" vertical="center"/>
    </xf>
    <xf numFmtId="0" fontId="27" fillId="44" borderId="4" xfId="0" applyFont="1" applyFill="1" applyBorder="1"/>
    <xf numFmtId="0" fontId="27" fillId="44" borderId="5" xfId="0" applyFont="1" applyFill="1" applyBorder="1" applyAlignment="1">
      <alignment horizontal="center"/>
    </xf>
    <xf numFmtId="0" fontId="29" fillId="39" borderId="7" xfId="0" applyFont="1" applyFill="1" applyBorder="1" applyAlignment="1">
      <alignment vertical="center" wrapText="1"/>
    </xf>
    <xf numFmtId="0" fontId="29" fillId="39" borderId="3" xfId="0" applyFont="1" applyFill="1" applyBorder="1" applyAlignment="1">
      <alignment horizontal="center" vertical="center"/>
    </xf>
    <xf numFmtId="0" fontId="29" fillId="39" borderId="8" xfId="0" applyFont="1" applyFill="1" applyBorder="1" applyAlignment="1">
      <alignment vertical="center" wrapText="1"/>
    </xf>
    <xf numFmtId="0" fontId="29" fillId="39" borderId="9" xfId="0" applyFont="1" applyFill="1" applyBorder="1" applyAlignment="1">
      <alignment horizontal="center" vertical="center"/>
    </xf>
    <xf numFmtId="0" fontId="29" fillId="39" borderId="8" xfId="0" applyFont="1" applyFill="1" applyBorder="1" applyAlignment="1">
      <alignment vertical="center"/>
    </xf>
    <xf numFmtId="0" fontId="29" fillId="49" borderId="8" xfId="0" applyFont="1" applyFill="1" applyBorder="1" applyAlignment="1">
      <alignment vertical="center"/>
    </xf>
    <xf numFmtId="0" fontId="29" fillId="49" borderId="9" xfId="0" applyFont="1" applyFill="1" applyBorder="1" applyAlignment="1">
      <alignment horizontal="center" vertical="center"/>
    </xf>
    <xf numFmtId="0" fontId="29" fillId="49" borderId="7" xfId="0" applyFont="1" applyFill="1" applyBorder="1" applyAlignment="1">
      <alignment vertical="center"/>
    </xf>
    <xf numFmtId="0" fontId="29" fillId="49" borderId="7" xfId="0" applyFont="1" applyFill="1" applyBorder="1" applyAlignment="1">
      <alignment vertical="center" wrapText="1"/>
    </xf>
    <xf numFmtId="16" fontId="29" fillId="49" borderId="3" xfId="0" quotePrefix="1" applyNumberFormat="1" applyFont="1" applyFill="1" applyBorder="1" applyAlignment="1">
      <alignment horizontal="center" vertical="center"/>
    </xf>
    <xf numFmtId="0" fontId="29" fillId="49" borderId="23" xfId="0" applyFont="1" applyFill="1" applyBorder="1" applyAlignment="1">
      <alignment vertical="center"/>
    </xf>
    <xf numFmtId="0" fontId="27" fillId="50" borderId="0" xfId="0" applyFont="1" applyFill="1" applyAlignment="1">
      <alignment horizontal="center" vertical="center" wrapText="1"/>
    </xf>
    <xf numFmtId="0" fontId="29" fillId="51" borderId="0" xfId="0" applyFont="1" applyFill="1" applyAlignment="1">
      <alignment vertical="center"/>
    </xf>
    <xf numFmtId="0" fontId="29" fillId="51" borderId="0" xfId="0" applyFont="1" applyFill="1" applyAlignment="1">
      <alignment vertical="center" wrapText="1"/>
    </xf>
    <xf numFmtId="16" fontId="29" fillId="51" borderId="2" xfId="0" quotePrefix="1" applyNumberFormat="1" applyFont="1" applyFill="1" applyBorder="1" applyAlignment="1">
      <alignment horizontal="center" vertical="center"/>
    </xf>
    <xf numFmtId="0" fontId="29" fillId="25" borderId="7" xfId="0" applyFont="1" applyFill="1" applyBorder="1" applyAlignment="1">
      <alignment vertical="center"/>
    </xf>
    <xf numFmtId="0" fontId="29" fillId="25" borderId="7" xfId="0" applyFont="1" applyFill="1" applyBorder="1" applyAlignment="1">
      <alignment vertical="center" wrapText="1"/>
    </xf>
    <xf numFmtId="0" fontId="53" fillId="25" borderId="3" xfId="0" applyFont="1" applyFill="1" applyBorder="1" applyAlignment="1">
      <alignment horizontal="center" vertical="center"/>
    </xf>
    <xf numFmtId="0" fontId="29" fillId="42" borderId="8" xfId="0" applyFont="1" applyFill="1" applyBorder="1" applyAlignment="1">
      <alignment vertical="center" wrapText="1"/>
    </xf>
    <xf numFmtId="0" fontId="29" fillId="42" borderId="9" xfId="0" applyFont="1" applyFill="1" applyBorder="1" applyAlignment="1">
      <alignment horizontal="center" vertical="center"/>
    </xf>
    <xf numFmtId="0" fontId="29" fillId="43" borderId="23" xfId="0" applyFont="1" applyFill="1" applyBorder="1" applyAlignment="1">
      <alignment vertical="center" wrapText="1"/>
    </xf>
    <xf numFmtId="0" fontId="29" fillId="43" borderId="24" xfId="0" applyFont="1" applyFill="1" applyBorder="1" applyAlignment="1">
      <alignment horizontal="center" vertical="center"/>
    </xf>
    <xf numFmtId="0" fontId="7" fillId="17" borderId="67" xfId="0" applyFont="1" applyFill="1" applyBorder="1"/>
    <xf numFmtId="1" fontId="7" fillId="0" borderId="0" xfId="0" applyNumberFormat="1" applyFont="1"/>
    <xf numFmtId="0" fontId="11" fillId="0" borderId="0" xfId="0" applyFont="1"/>
    <xf numFmtId="9" fontId="7" fillId="0" borderId="49" xfId="2" applyFont="1" applyBorder="1" applyAlignment="1">
      <alignment horizontal="center" vertical="center"/>
    </xf>
    <xf numFmtId="9" fontId="15" fillId="17" borderId="0" xfId="2" applyFont="1" applyFill="1" applyAlignment="1">
      <alignment horizontal="left"/>
    </xf>
    <xf numFmtId="0" fontId="7" fillId="17" borderId="61" xfId="0" applyFont="1" applyFill="1" applyBorder="1" applyAlignment="1">
      <alignment horizontal="center"/>
    </xf>
    <xf numFmtId="3" fontId="7" fillId="0" borderId="56" xfId="0" applyNumberFormat="1" applyFont="1" applyBorder="1" applyAlignment="1">
      <alignment horizontal="center"/>
    </xf>
    <xf numFmtId="3" fontId="7" fillId="0" borderId="60" xfId="0" applyNumberFormat="1" applyFont="1" applyBorder="1" applyAlignment="1">
      <alignment horizontal="center"/>
    </xf>
    <xf numFmtId="3" fontId="7" fillId="0" borderId="96" xfId="0" applyNumberFormat="1" applyFont="1" applyBorder="1" applyAlignment="1">
      <alignment horizontal="center"/>
    </xf>
    <xf numFmtId="0" fontId="8" fillId="64" borderId="50" xfId="0" applyFont="1" applyFill="1" applyBorder="1" applyAlignment="1">
      <alignment horizontal="center"/>
    </xf>
    <xf numFmtId="0" fontId="8" fillId="64" borderId="46" xfId="0" applyFont="1" applyFill="1" applyBorder="1" applyAlignment="1">
      <alignment horizontal="center"/>
    </xf>
    <xf numFmtId="0" fontId="8" fillId="64" borderId="51" xfId="0" quotePrefix="1" applyFont="1" applyFill="1" applyBorder="1" applyAlignment="1">
      <alignment horizontal="center"/>
    </xf>
    <xf numFmtId="0" fontId="8" fillId="64" borderId="51" xfId="0" applyFont="1" applyFill="1" applyBorder="1" applyAlignment="1">
      <alignment horizontal="center"/>
    </xf>
    <xf numFmtId="0" fontId="8" fillId="64" borderId="46" xfId="0" quotePrefix="1" applyFont="1" applyFill="1" applyBorder="1" applyAlignment="1">
      <alignment horizontal="center"/>
    </xf>
    <xf numFmtId="0" fontId="8" fillId="64" borderId="52" xfId="0" applyFont="1" applyFill="1" applyBorder="1" applyAlignment="1">
      <alignment horizontal="center"/>
    </xf>
    <xf numFmtId="0" fontId="23" fillId="17" borderId="32" xfId="0" applyFont="1" applyFill="1" applyBorder="1" applyAlignment="1">
      <alignment horizontal="center" vertical="center"/>
    </xf>
    <xf numFmtId="167" fontId="7" fillId="0" borderId="27" xfId="0" applyNumberFormat="1" applyFont="1" applyFill="1" applyBorder="1" applyAlignment="1">
      <alignment vertical="center"/>
    </xf>
    <xf numFmtId="167" fontId="8" fillId="0" borderId="75" xfId="0" applyNumberFormat="1" applyFont="1" applyFill="1" applyBorder="1" applyAlignment="1">
      <alignment horizontal="center"/>
    </xf>
    <xf numFmtId="0" fontId="7" fillId="0" borderId="42" xfId="0" applyFont="1" applyFill="1" applyBorder="1"/>
    <xf numFmtId="166" fontId="8" fillId="0" borderId="27" xfId="1" applyNumberFormat="1" applyFont="1" applyBorder="1" applyAlignment="1">
      <alignment vertical="center"/>
    </xf>
    <xf numFmtId="4" fontId="8" fillId="0" borderId="75" xfId="0" applyNumberFormat="1" applyFont="1" applyFill="1" applyBorder="1" applyAlignment="1">
      <alignment horizontal="center"/>
    </xf>
    <xf numFmtId="0" fontId="23" fillId="0" borderId="27" xfId="0" applyFont="1" applyFill="1" applyBorder="1" applyAlignment="1">
      <alignment horizontal="center"/>
    </xf>
    <xf numFmtId="167" fontId="8" fillId="0" borderId="19" xfId="0" applyNumberFormat="1" applyFont="1" applyFill="1" applyBorder="1" applyAlignment="1">
      <alignment vertical="center"/>
    </xf>
    <xf numFmtId="4" fontId="8" fillId="0" borderId="75" xfId="0" applyNumberFormat="1" applyFont="1" applyBorder="1" applyAlignment="1">
      <alignment horizontal="center"/>
    </xf>
    <xf numFmtId="166" fontId="8" fillId="0" borderId="19" xfId="1" applyNumberFormat="1" applyFont="1" applyBorder="1" applyAlignment="1">
      <alignment vertical="center"/>
    </xf>
    <xf numFmtId="167" fontId="7" fillId="0" borderId="19" xfId="0" applyNumberFormat="1" applyFont="1" applyFill="1" applyBorder="1" applyAlignment="1">
      <alignment vertical="center"/>
    </xf>
    <xf numFmtId="167" fontId="8" fillId="0" borderId="75" xfId="0" applyNumberFormat="1" applyFont="1" applyFill="1" applyBorder="1"/>
    <xf numFmtId="0" fontId="23" fillId="0" borderId="27" xfId="0" applyFont="1" applyBorder="1" applyAlignment="1">
      <alignment horizontal="center"/>
    </xf>
    <xf numFmtId="166" fontId="8" fillId="0" borderId="19" xfId="1" applyNumberFormat="1" applyFont="1" applyBorder="1" applyAlignment="1"/>
    <xf numFmtId="4" fontId="8" fillId="0" borderId="75" xfId="0" applyNumberFormat="1" applyFont="1" applyBorder="1" applyAlignment="1">
      <alignment horizontal="center" vertical="center"/>
    </xf>
    <xf numFmtId="166" fontId="8" fillId="0" borderId="19" xfId="1" applyNumberFormat="1" applyFont="1" applyFill="1" applyBorder="1" applyAlignment="1"/>
    <xf numFmtId="4" fontId="8" fillId="0" borderId="77" xfId="0" applyNumberFormat="1" applyFont="1" applyBorder="1" applyAlignment="1">
      <alignment horizontal="center"/>
    </xf>
    <xf numFmtId="165" fontId="7" fillId="0" borderId="0" xfId="0" applyNumberFormat="1" applyFont="1"/>
    <xf numFmtId="3" fontId="10" fillId="0" borderId="47" xfId="5" applyNumberFormat="1" applyFont="1" applyFill="1" applyBorder="1" applyAlignment="1">
      <alignment horizontal="center"/>
    </xf>
    <xf numFmtId="3" fontId="10" fillId="0" borderId="27" xfId="5" applyNumberFormat="1" applyFont="1" applyFill="1" applyBorder="1" applyAlignment="1">
      <alignment horizontal="center"/>
    </xf>
    <xf numFmtId="3" fontId="8" fillId="0" borderId="20" xfId="0" applyNumberFormat="1" applyFont="1" applyFill="1" applyBorder="1" applyAlignment="1">
      <alignment horizontal="right" indent="1"/>
    </xf>
    <xf numFmtId="3" fontId="8" fillId="0" borderId="27" xfId="0" applyNumberFormat="1" applyFont="1" applyFill="1" applyBorder="1" applyAlignment="1">
      <alignment horizontal="right" indent="1"/>
    </xf>
    <xf numFmtId="9" fontId="8" fillId="0" borderId="20" xfId="2" applyFont="1" applyFill="1" applyBorder="1" applyAlignment="1">
      <alignment horizontal="right" indent="1"/>
    </xf>
    <xf numFmtId="3" fontId="39" fillId="0" borderId="20" xfId="0" applyNumberFormat="1" applyFont="1" applyFill="1" applyBorder="1" applyAlignment="1">
      <alignment horizontal="right" indent="1"/>
    </xf>
    <xf numFmtId="3" fontId="39" fillId="0" borderId="27" xfId="0" applyNumberFormat="1" applyFont="1" applyFill="1" applyBorder="1" applyAlignment="1">
      <alignment horizontal="right" indent="1"/>
    </xf>
    <xf numFmtId="9" fontId="39" fillId="0" borderId="20" xfId="2" applyFont="1" applyFill="1" applyBorder="1" applyAlignment="1">
      <alignment horizontal="right" indent="1"/>
    </xf>
    <xf numFmtId="3" fontId="23" fillId="0" borderId="20" xfId="0" applyNumberFormat="1" applyFont="1" applyFill="1" applyBorder="1" applyAlignment="1">
      <alignment horizontal="right" indent="1"/>
    </xf>
    <xf numFmtId="3" fontId="23" fillId="0" borderId="27" xfId="0" applyNumberFormat="1" applyFont="1" applyFill="1" applyBorder="1" applyAlignment="1">
      <alignment horizontal="right" indent="1"/>
    </xf>
    <xf numFmtId="9" fontId="23" fillId="0" borderId="20" xfId="2" applyFont="1" applyFill="1" applyBorder="1" applyAlignment="1">
      <alignment horizontal="right" indent="1"/>
    </xf>
    <xf numFmtId="3" fontId="8" fillId="0" borderId="20" xfId="0" applyNumberFormat="1" applyFont="1" applyBorder="1" applyAlignment="1">
      <alignment horizontal="right" indent="1"/>
    </xf>
    <xf numFmtId="3" fontId="8" fillId="0" borderId="27" xfId="0" applyNumberFormat="1" applyFont="1" applyBorder="1" applyAlignment="1">
      <alignment horizontal="right" indent="1"/>
    </xf>
    <xf numFmtId="9" fontId="8" fillId="0" borderId="20" xfId="2" applyFont="1" applyBorder="1" applyAlignment="1">
      <alignment horizontal="right" indent="1"/>
    </xf>
    <xf numFmtId="3" fontId="10" fillId="0" borderId="28" xfId="5" applyNumberFormat="1" applyFont="1" applyFill="1" applyBorder="1" applyAlignment="1">
      <alignment horizontal="center"/>
    </xf>
    <xf numFmtId="0" fontId="56" fillId="17" borderId="7" xfId="3" applyFont="1" applyFill="1" applyBorder="1"/>
    <xf numFmtId="167" fontId="11" fillId="17" borderId="13" xfId="5" applyNumberFormat="1" applyFont="1" applyFill="1" applyBorder="1" applyAlignment="1">
      <alignment horizontal="right"/>
    </xf>
    <xf numFmtId="167" fontId="57" fillId="17" borderId="0" xfId="5" applyNumberFormat="1" applyFont="1" applyFill="1" applyBorder="1" applyAlignment="1">
      <alignment horizontal="right"/>
    </xf>
    <xf numFmtId="3" fontId="11" fillId="17" borderId="0" xfId="5" applyNumberFormat="1" applyFont="1" applyFill="1" applyBorder="1" applyAlignment="1">
      <alignment horizontal="center"/>
    </xf>
    <xf numFmtId="167" fontId="40" fillId="17" borderId="13" xfId="5" applyNumberFormat="1" applyFont="1" applyFill="1" applyBorder="1" applyAlignment="1">
      <alignment horizontal="right"/>
    </xf>
    <xf numFmtId="167" fontId="58" fillId="17" borderId="0" xfId="5" applyNumberFormat="1" applyFont="1" applyFill="1" applyBorder="1" applyAlignment="1">
      <alignment horizontal="right"/>
    </xf>
    <xf numFmtId="167" fontId="38" fillId="0" borderId="9" xfId="0" applyNumberFormat="1" applyFont="1" applyFill="1" applyBorder="1" applyAlignment="1">
      <alignment horizontal="right" indent="1"/>
    </xf>
    <xf numFmtId="167" fontId="37" fillId="0" borderId="9" xfId="0" applyNumberFormat="1" applyFont="1" applyFill="1" applyBorder="1" applyAlignment="1">
      <alignment horizontal="right" indent="1"/>
    </xf>
    <xf numFmtId="167" fontId="57" fillId="0" borderId="9" xfId="5" applyNumberFormat="1" applyFont="1" applyBorder="1" applyAlignment="1">
      <alignment horizontal="right"/>
    </xf>
    <xf numFmtId="167" fontId="57" fillId="0" borderId="9" xfId="5" applyNumberFormat="1" applyFont="1" applyFill="1" applyBorder="1" applyAlignment="1">
      <alignment horizontal="right"/>
    </xf>
    <xf numFmtId="9" fontId="11" fillId="17" borderId="0" xfId="5" applyFont="1" applyFill="1" applyBorder="1" applyAlignment="1">
      <alignment horizontal="center"/>
    </xf>
    <xf numFmtId="3" fontId="11" fillId="17" borderId="13" xfId="5" applyNumberFormat="1" applyFont="1" applyFill="1" applyBorder="1" applyAlignment="1">
      <alignment horizontal="right"/>
    </xf>
    <xf numFmtId="3" fontId="57" fillId="17" borderId="0" xfId="5" applyNumberFormat="1" applyFont="1" applyFill="1" applyBorder="1" applyAlignment="1">
      <alignment horizontal="right"/>
    </xf>
    <xf numFmtId="3" fontId="11" fillId="17" borderId="0" xfId="3" applyNumberFormat="1" applyFont="1" applyFill="1" applyBorder="1" applyAlignment="1">
      <alignment horizontal="center"/>
    </xf>
    <xf numFmtId="0" fontId="11" fillId="17" borderId="0" xfId="3" applyFont="1" applyFill="1" applyBorder="1"/>
    <xf numFmtId="3" fontId="11" fillId="17" borderId="0" xfId="3" applyNumberFormat="1" applyFont="1" applyFill="1" applyBorder="1"/>
    <xf numFmtId="167" fontId="11" fillId="17" borderId="13" xfId="5" applyNumberFormat="1" applyFont="1" applyFill="1" applyBorder="1" applyAlignment="1"/>
    <xf numFmtId="167" fontId="57" fillId="17" borderId="0" xfId="5" applyNumberFormat="1" applyFont="1" applyFill="1" applyBorder="1" applyAlignment="1"/>
    <xf numFmtId="167" fontId="57" fillId="0" borderId="9" xfId="3" applyNumberFormat="1" applyFont="1" applyBorder="1" applyAlignment="1">
      <alignment horizontal="right" indent="1"/>
    </xf>
    <xf numFmtId="167" fontId="57" fillId="0" borderId="9" xfId="5" applyNumberFormat="1" applyFont="1" applyBorder="1" applyAlignment="1"/>
    <xf numFmtId="167" fontId="58" fillId="0" borderId="9" xfId="3" applyNumberFormat="1" applyFont="1" applyBorder="1" applyAlignment="1"/>
    <xf numFmtId="167" fontId="40" fillId="17" borderId="13" xfId="3" applyNumberFormat="1" applyFont="1" applyFill="1" applyBorder="1" applyAlignment="1"/>
    <xf numFmtId="167" fontId="58" fillId="17" borderId="0" xfId="3" applyNumberFormat="1" applyFont="1" applyFill="1" applyBorder="1" applyAlignment="1"/>
    <xf numFmtId="167" fontId="57" fillId="0" borderId="9" xfId="3" applyNumberFormat="1" applyFont="1" applyFill="1" applyBorder="1" applyAlignment="1">
      <alignment horizontal="right" indent="1"/>
    </xf>
    <xf numFmtId="167" fontId="57" fillId="0" borderId="9" xfId="5" applyNumberFormat="1" applyFont="1" applyFill="1" applyBorder="1" applyAlignment="1"/>
    <xf numFmtId="167" fontId="57" fillId="0" borderId="9" xfId="3" applyNumberFormat="1" applyFont="1" applyBorder="1" applyAlignment="1"/>
    <xf numFmtId="167" fontId="11" fillId="17" borderId="13" xfId="3" applyNumberFormat="1" applyFont="1" applyFill="1" applyBorder="1" applyAlignment="1"/>
    <xf numFmtId="167" fontId="57" fillId="17" borderId="0" xfId="3" applyNumberFormat="1" applyFont="1" applyFill="1" applyBorder="1" applyAlignment="1"/>
    <xf numFmtId="167" fontId="58" fillId="0" borderId="9" xfId="5" applyNumberFormat="1" applyFont="1" applyFill="1" applyBorder="1" applyAlignment="1"/>
    <xf numFmtId="167" fontId="40" fillId="17" borderId="13" xfId="5" applyNumberFormat="1" applyFont="1" applyFill="1" applyBorder="1" applyAlignment="1"/>
    <xf numFmtId="167" fontId="58" fillId="17" borderId="0" xfId="5" applyNumberFormat="1" applyFont="1" applyFill="1" applyBorder="1" applyAlignment="1"/>
    <xf numFmtId="167" fontId="57" fillId="17" borderId="9" xfId="3" applyNumberFormat="1" applyFont="1" applyFill="1" applyBorder="1" applyAlignment="1">
      <alignment horizontal="right" indent="1"/>
    </xf>
    <xf numFmtId="167" fontId="57" fillId="17" borderId="9" xfId="5" applyNumberFormat="1" applyFont="1" applyFill="1" applyBorder="1" applyAlignment="1"/>
    <xf numFmtId="0" fontId="59" fillId="17" borderId="26" xfId="3" applyFont="1" applyFill="1" applyBorder="1"/>
    <xf numFmtId="0" fontId="59" fillId="17" borderId="26" xfId="4" applyFont="1" applyFill="1" applyBorder="1"/>
    <xf numFmtId="0" fontId="59" fillId="17" borderId="26" xfId="4" applyFont="1" applyFill="1" applyBorder="1" applyAlignment="1"/>
    <xf numFmtId="0" fontId="59" fillId="17" borderId="43" xfId="4" applyFont="1" applyFill="1" applyBorder="1"/>
    <xf numFmtId="9" fontId="8" fillId="0" borderId="26" xfId="2" applyFont="1" applyBorder="1" applyAlignment="1">
      <alignment horizontal="center"/>
    </xf>
    <xf numFmtId="9" fontId="8" fillId="0" borderId="43" xfId="2" applyFont="1" applyBorder="1" applyAlignment="1">
      <alignment horizontal="center"/>
    </xf>
    <xf numFmtId="0" fontId="11" fillId="17" borderId="15" xfId="3" applyFont="1" applyFill="1" applyBorder="1" applyAlignment="1">
      <alignment horizontal="center" wrapText="1"/>
    </xf>
    <xf numFmtId="9" fontId="8" fillId="0" borderId="19" xfId="2" applyFont="1" applyBorder="1" applyAlignment="1">
      <alignment horizontal="center"/>
    </xf>
    <xf numFmtId="9" fontId="8" fillId="0" borderId="21" xfId="2" applyFont="1" applyBorder="1" applyAlignment="1">
      <alignment horizontal="center"/>
    </xf>
    <xf numFmtId="3" fontId="7" fillId="47" borderId="20" xfId="0" applyNumberFormat="1" applyFont="1" applyFill="1" applyBorder="1" applyAlignment="1">
      <alignment horizontal="center"/>
    </xf>
    <xf numFmtId="3" fontId="7" fillId="46" borderId="20" xfId="0" applyNumberFormat="1" applyFont="1" applyFill="1" applyBorder="1" applyAlignment="1">
      <alignment horizontal="center"/>
    </xf>
    <xf numFmtId="3" fontId="7" fillId="29" borderId="20" xfId="0" applyNumberFormat="1" applyFont="1" applyFill="1" applyBorder="1" applyAlignment="1">
      <alignment horizontal="center"/>
    </xf>
    <xf numFmtId="3" fontId="7" fillId="29" borderId="20" xfId="0" applyNumberFormat="1" applyFont="1" applyFill="1" applyBorder="1" applyAlignment="1">
      <alignment horizontal="center" vertical="center"/>
    </xf>
    <xf numFmtId="3" fontId="7" fillId="46" borderId="20" xfId="0" applyNumberFormat="1" applyFont="1" applyFill="1" applyBorder="1" applyAlignment="1">
      <alignment horizontal="center" vertical="center"/>
    </xf>
    <xf numFmtId="3" fontId="7" fillId="46" borderId="22" xfId="0" applyNumberFormat="1" applyFont="1" applyFill="1" applyBorder="1" applyAlignment="1">
      <alignment horizontal="center"/>
    </xf>
    <xf numFmtId="0" fontId="8" fillId="17" borderId="0" xfId="0" applyFont="1" applyFill="1" applyBorder="1" applyAlignment="1">
      <alignment vertical="center"/>
    </xf>
    <xf numFmtId="0" fontId="8" fillId="17" borderId="77" xfId="0" applyFont="1" applyFill="1" applyBorder="1" applyAlignment="1">
      <alignment horizontal="center"/>
    </xf>
    <xf numFmtId="172" fontId="8" fillId="0" borderId="97" xfId="0" applyNumberFormat="1" applyFont="1" applyBorder="1"/>
    <xf numFmtId="4" fontId="8" fillId="0" borderId="94" xfId="0" applyNumberFormat="1" applyFont="1" applyFill="1" applyBorder="1" applyAlignment="1">
      <alignment horizontal="center"/>
    </xf>
    <xf numFmtId="4" fontId="7" fillId="0" borderId="94" xfId="0" applyNumberFormat="1" applyFont="1" applyFill="1" applyBorder="1" applyAlignment="1">
      <alignment horizontal="center"/>
    </xf>
    <xf numFmtId="3" fontId="7" fillId="47" borderId="9" xfId="0" applyNumberFormat="1" applyFont="1" applyFill="1" applyBorder="1" applyAlignment="1">
      <alignment horizontal="center"/>
    </xf>
    <xf numFmtId="3" fontId="7" fillId="29" borderId="9" xfId="0" applyNumberFormat="1" applyFont="1" applyFill="1" applyBorder="1" applyAlignment="1">
      <alignment horizontal="center"/>
    </xf>
    <xf numFmtId="3" fontId="7" fillId="46" borderId="9" xfId="0" applyNumberFormat="1" applyFont="1" applyFill="1" applyBorder="1" applyAlignment="1">
      <alignment horizontal="center"/>
    </xf>
    <xf numFmtId="3" fontId="7" fillId="47" borderId="9" xfId="0" applyNumberFormat="1" applyFont="1" applyFill="1" applyBorder="1" applyAlignment="1">
      <alignment horizontal="center" vertical="center"/>
    </xf>
    <xf numFmtId="3" fontId="7" fillId="46" borderId="9" xfId="0" applyNumberFormat="1" applyFont="1" applyFill="1" applyBorder="1" applyAlignment="1">
      <alignment horizontal="center" vertical="center"/>
    </xf>
    <xf numFmtId="3" fontId="7" fillId="46" borderId="6" xfId="0" applyNumberFormat="1" applyFont="1" applyFill="1" applyBorder="1" applyAlignment="1">
      <alignment horizontal="center"/>
    </xf>
    <xf numFmtId="0" fontId="8" fillId="17" borderId="4" xfId="0" applyFont="1" applyFill="1" applyBorder="1" applyAlignment="1">
      <alignment horizontal="center" wrapText="1"/>
    </xf>
    <xf numFmtId="171" fontId="8" fillId="17" borderId="83" xfId="0" applyNumberFormat="1" applyFont="1" applyFill="1" applyBorder="1" applyAlignment="1">
      <alignment horizontal="center"/>
    </xf>
    <xf numFmtId="0" fontId="7" fillId="17" borderId="12" xfId="0" applyFont="1" applyFill="1" applyBorder="1" applyAlignment="1">
      <alignment horizontal="center"/>
    </xf>
    <xf numFmtId="0" fontId="7" fillId="17" borderId="15" xfId="0" applyFont="1" applyFill="1" applyBorder="1" applyAlignment="1">
      <alignment horizontal="center" vertical="center" wrapText="1"/>
    </xf>
    <xf numFmtId="0" fontId="7" fillId="17" borderId="26" xfId="0" applyFont="1" applyFill="1" applyBorder="1" applyAlignment="1">
      <alignment horizontal="center" vertical="center"/>
    </xf>
    <xf numFmtId="0" fontId="7" fillId="17" borderId="10" xfId="0" applyFont="1" applyFill="1" applyBorder="1"/>
    <xf numFmtId="171" fontId="7" fillId="68" borderId="0" xfId="0" quotePrefix="1" applyNumberFormat="1" applyFont="1" applyFill="1" applyAlignment="1">
      <alignment horizontal="left"/>
    </xf>
    <xf numFmtId="0" fontId="7" fillId="68" borderId="10" xfId="0" quotePrefix="1" applyFont="1" applyFill="1" applyBorder="1"/>
    <xf numFmtId="0" fontId="7" fillId="68" borderId="10" xfId="0" applyFont="1" applyFill="1" applyBorder="1"/>
    <xf numFmtId="0" fontId="7" fillId="68" borderId="4" xfId="0" applyFont="1" applyFill="1" applyBorder="1"/>
    <xf numFmtId="0" fontId="7" fillId="68" borderId="11" xfId="0" applyFont="1" applyFill="1" applyBorder="1" applyAlignment="1">
      <alignment horizontal="center"/>
    </xf>
    <xf numFmtId="0" fontId="7" fillId="68" borderId="16" xfId="0" applyFont="1" applyFill="1" applyBorder="1" applyAlignment="1">
      <alignment horizontal="center" vertical="center" wrapText="1"/>
    </xf>
    <xf numFmtId="0" fontId="7" fillId="68" borderId="7" xfId="0" applyFont="1" applyFill="1" applyBorder="1" applyAlignment="1">
      <alignment horizontal="center"/>
    </xf>
    <xf numFmtId="0" fontId="7" fillId="68" borderId="8" xfId="0" applyFont="1" applyFill="1" applyBorder="1" applyAlignment="1">
      <alignment horizontal="center"/>
    </xf>
    <xf numFmtId="0" fontId="7" fillId="68" borderId="8" xfId="0" applyFont="1" applyFill="1" applyBorder="1" applyAlignment="1">
      <alignment horizontal="center" vertical="center"/>
    </xf>
    <xf numFmtId="0" fontId="7" fillId="69" borderId="23" xfId="0" quotePrefix="1" applyFont="1" applyFill="1" applyBorder="1" applyAlignment="1">
      <alignment horizontal="left" indent="1"/>
    </xf>
    <xf numFmtId="0" fontId="7" fillId="69" borderId="8" xfId="0" quotePrefix="1" applyFont="1" applyFill="1" applyBorder="1" applyAlignment="1">
      <alignment horizontal="left" indent="1"/>
    </xf>
    <xf numFmtId="0" fontId="0" fillId="69" borderId="7" xfId="0" applyFill="1" applyBorder="1"/>
    <xf numFmtId="0" fontId="7" fillId="69" borderId="7" xfId="0" quotePrefix="1" applyFont="1" applyFill="1" applyBorder="1"/>
    <xf numFmtId="0" fontId="7" fillId="69" borderId="7" xfId="0" applyFont="1" applyFill="1" applyBorder="1"/>
    <xf numFmtId="0" fontId="7" fillId="69" borderId="11" xfId="0" applyFont="1" applyFill="1" applyBorder="1" applyAlignment="1">
      <alignment horizontal="center"/>
    </xf>
    <xf numFmtId="0" fontId="7" fillId="69" borderId="11" xfId="0" applyFont="1" applyFill="1" applyBorder="1"/>
    <xf numFmtId="0" fontId="7" fillId="69" borderId="16" xfId="0" applyFont="1" applyFill="1" applyBorder="1" applyAlignment="1">
      <alignment horizontal="center" vertical="center" wrapText="1"/>
    </xf>
    <xf numFmtId="0" fontId="7" fillId="69" borderId="20" xfId="0" applyFont="1" applyFill="1" applyBorder="1" applyAlignment="1">
      <alignment horizontal="center"/>
    </xf>
    <xf numFmtId="0" fontId="7" fillId="69" borderId="20" xfId="0" applyFont="1" applyFill="1" applyBorder="1"/>
    <xf numFmtId="0" fontId="7" fillId="69" borderId="20" xfId="0" applyFont="1" applyFill="1" applyBorder="1" applyAlignment="1">
      <alignment horizontal="center" vertical="center"/>
    </xf>
    <xf numFmtId="0" fontId="7" fillId="69" borderId="22" xfId="0" applyFont="1" applyFill="1" applyBorder="1" applyAlignment="1">
      <alignment horizontal="center"/>
    </xf>
    <xf numFmtId="0" fontId="8" fillId="18" borderId="19" xfId="0" applyFont="1" applyFill="1" applyBorder="1" applyAlignment="1">
      <alignment horizontal="center"/>
    </xf>
    <xf numFmtId="0" fontId="7" fillId="0" borderId="47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/>
    </xf>
    <xf numFmtId="0" fontId="6" fillId="18" borderId="19" xfId="0" applyFont="1" applyFill="1" applyBorder="1" applyAlignment="1">
      <alignment horizontal="center"/>
    </xf>
    <xf numFmtId="2" fontId="46" fillId="15" borderId="48" xfId="0" applyNumberFormat="1" applyFont="1" applyFill="1" applyBorder="1" applyAlignment="1">
      <alignment horizontal="center"/>
    </xf>
    <xf numFmtId="2" fontId="46" fillId="15" borderId="6" xfId="0" applyNumberFormat="1" applyFont="1" applyFill="1" applyBorder="1" applyAlignment="1">
      <alignment horizontal="center"/>
    </xf>
    <xf numFmtId="2" fontId="46" fillId="15" borderId="5" xfId="0" applyNumberFormat="1" applyFont="1" applyFill="1" applyBorder="1" applyAlignment="1">
      <alignment horizontal="center"/>
    </xf>
    <xf numFmtId="2" fontId="46" fillId="15" borderId="5" xfId="0" applyNumberFormat="1" applyFont="1" applyFill="1" applyBorder="1" applyAlignment="1">
      <alignment horizontal="center" wrapText="1"/>
    </xf>
    <xf numFmtId="2" fontId="46" fillId="24" borderId="5" xfId="0" applyNumberFormat="1" applyFont="1" applyFill="1" applyBorder="1" applyAlignment="1">
      <alignment horizontal="center"/>
    </xf>
    <xf numFmtId="2" fontId="45" fillId="24" borderId="48" xfId="0" applyNumberFormat="1" applyFont="1" applyFill="1" applyBorder="1" applyAlignment="1">
      <alignment horizontal="center"/>
    </xf>
    <xf numFmtId="0" fontId="7" fillId="17" borderId="14" xfId="0" applyFont="1" applyFill="1" applyBorder="1" applyAlignment="1">
      <alignment horizontal="centerContinuous" wrapText="1"/>
    </xf>
    <xf numFmtId="0" fontId="7" fillId="17" borderId="12" xfId="0" applyFont="1" applyFill="1" applyBorder="1" applyAlignment="1">
      <alignment horizontal="center" wrapText="1"/>
    </xf>
    <xf numFmtId="0" fontId="7" fillId="17" borderId="30" xfId="0" quotePrefix="1" applyFont="1" applyFill="1" applyBorder="1" applyAlignment="1">
      <alignment horizontal="center" wrapText="1"/>
    </xf>
    <xf numFmtId="0" fontId="7" fillId="17" borderId="33" xfId="0" applyFont="1" applyFill="1" applyBorder="1" applyAlignment="1">
      <alignment horizontal="center"/>
    </xf>
    <xf numFmtId="0" fontId="7" fillId="17" borderId="15" xfId="0" quotePrefix="1" applyFont="1" applyFill="1" applyBorder="1" applyAlignment="1">
      <alignment horizontal="center" wrapText="1"/>
    </xf>
    <xf numFmtId="0" fontId="7" fillId="17" borderId="33" xfId="0" quotePrefix="1" applyFont="1" applyFill="1" applyBorder="1" applyAlignment="1">
      <alignment horizontal="center" wrapText="1"/>
    </xf>
    <xf numFmtId="0" fontId="7" fillId="17" borderId="9" xfId="0" applyFont="1" applyFill="1" applyBorder="1" applyAlignment="1">
      <alignment horizontal="center" vertical="center"/>
    </xf>
    <xf numFmtId="0" fontId="7" fillId="17" borderId="6" xfId="0" applyFont="1" applyFill="1" applyBorder="1" applyAlignment="1">
      <alignment horizontal="center" vertical="center"/>
    </xf>
    <xf numFmtId="0" fontId="7" fillId="17" borderId="14" xfId="0" applyFont="1" applyFill="1" applyBorder="1"/>
    <xf numFmtId="0" fontId="7" fillId="17" borderId="3" xfId="0" applyFont="1" applyFill="1" applyBorder="1"/>
    <xf numFmtId="0" fontId="7" fillId="17" borderId="19" xfId="0" applyFont="1" applyFill="1" applyBorder="1"/>
    <xf numFmtId="0" fontId="7" fillId="17" borderId="9" xfId="0" applyFont="1" applyFill="1" applyBorder="1"/>
    <xf numFmtId="9" fontId="7" fillId="0" borderId="9" xfId="0" applyNumberFormat="1" applyFont="1" applyBorder="1"/>
    <xf numFmtId="165" fontId="7" fillId="17" borderId="9" xfId="0" applyNumberFormat="1" applyFont="1" applyFill="1" applyBorder="1"/>
    <xf numFmtId="9" fontId="7" fillId="67" borderId="9" xfId="0" applyNumberFormat="1" applyFont="1" applyFill="1" applyBorder="1"/>
    <xf numFmtId="9" fontId="7" fillId="65" borderId="9" xfId="0" applyNumberFormat="1" applyFont="1" applyFill="1" applyBorder="1"/>
    <xf numFmtId="0" fontId="7" fillId="17" borderId="21" xfId="0" applyFont="1" applyFill="1" applyBorder="1"/>
    <xf numFmtId="165" fontId="7" fillId="17" borderId="6" xfId="0" applyNumberFormat="1" applyFont="1" applyFill="1" applyBorder="1"/>
    <xf numFmtId="0" fontId="8" fillId="17" borderId="54" xfId="0" applyFont="1" applyFill="1" applyBorder="1" applyAlignment="1">
      <alignment horizontal="center"/>
    </xf>
    <xf numFmtId="0" fontId="8" fillId="17" borderId="54" xfId="0" applyFont="1" applyFill="1" applyBorder="1"/>
    <xf numFmtId="0" fontId="8" fillId="17" borderId="44" xfId="0" applyFont="1" applyFill="1" applyBorder="1"/>
    <xf numFmtId="0" fontId="7" fillId="17" borderId="6" xfId="0" applyFont="1" applyFill="1" applyBorder="1" applyAlignment="1">
      <alignment horizontal="center" wrapText="1"/>
    </xf>
    <xf numFmtId="165" fontId="7" fillId="17" borderId="39" xfId="1" applyNumberFormat="1" applyFont="1" applyFill="1" applyBorder="1"/>
    <xf numFmtId="0" fontId="7" fillId="17" borderId="36" xfId="0" applyFont="1" applyFill="1" applyBorder="1"/>
    <xf numFmtId="9" fontId="8" fillId="0" borderId="39" xfId="2" applyFont="1" applyBorder="1" applyAlignment="1">
      <alignment horizontal="center"/>
    </xf>
    <xf numFmtId="9" fontId="8" fillId="0" borderId="36" xfId="2" applyFont="1" applyBorder="1" applyAlignment="1">
      <alignment horizontal="center"/>
    </xf>
    <xf numFmtId="9" fontId="7" fillId="17" borderId="39" xfId="2" applyFont="1" applyFill="1" applyBorder="1"/>
    <xf numFmtId="9" fontId="7" fillId="17" borderId="36" xfId="2" applyFont="1" applyFill="1" applyBorder="1"/>
    <xf numFmtId="0" fontId="7" fillId="17" borderId="39" xfId="0" applyFont="1" applyFill="1" applyBorder="1"/>
    <xf numFmtId="165" fontId="7" fillId="17" borderId="40" xfId="0" applyNumberFormat="1" applyFont="1" applyFill="1" applyBorder="1"/>
    <xf numFmtId="0" fontId="7" fillId="17" borderId="40" xfId="0" applyFont="1" applyFill="1" applyBorder="1"/>
    <xf numFmtId="0" fontId="7" fillId="17" borderId="40" xfId="0" applyFont="1" applyFill="1" applyBorder="1" applyAlignment="1">
      <alignment horizontal="center" vertical="center"/>
    </xf>
    <xf numFmtId="0" fontId="7" fillId="17" borderId="41" xfId="0" applyFont="1" applyFill="1" applyBorder="1"/>
    <xf numFmtId="0" fontId="8" fillId="17" borderId="91" xfId="0" applyFont="1" applyFill="1" applyBorder="1" applyAlignment="1">
      <alignment horizontal="center"/>
    </xf>
    <xf numFmtId="165" fontId="7" fillId="17" borderId="19" xfId="1" applyNumberFormat="1" applyFont="1" applyFill="1" applyBorder="1"/>
    <xf numFmtId="9" fontId="7" fillId="17" borderId="19" xfId="2" applyFont="1" applyFill="1" applyBorder="1"/>
    <xf numFmtId="165" fontId="7" fillId="17" borderId="21" xfId="1" applyNumberFormat="1" applyFont="1" applyFill="1" applyBorder="1"/>
    <xf numFmtId="0" fontId="7" fillId="17" borderId="43" xfId="0" applyFont="1" applyFill="1" applyBorder="1"/>
    <xf numFmtId="9" fontId="7" fillId="17" borderId="21" xfId="2" applyFont="1" applyFill="1" applyBorder="1"/>
    <xf numFmtId="0" fontId="7" fillId="17" borderId="5" xfId="0" applyFont="1" applyFill="1" applyBorder="1" applyAlignment="1">
      <alignment horizontal="center" wrapText="1"/>
    </xf>
    <xf numFmtId="0" fontId="7" fillId="17" borderId="5" xfId="0" applyFont="1" applyFill="1" applyBorder="1"/>
    <xf numFmtId="0" fontId="7" fillId="17" borderId="2" xfId="0" applyFont="1" applyFill="1" applyBorder="1" applyAlignment="1">
      <alignment horizontal="center" wrapText="1"/>
    </xf>
    <xf numFmtId="0" fontId="7" fillId="17" borderId="2" xfId="0" applyFont="1" applyFill="1" applyBorder="1" applyAlignment="1">
      <alignment horizontal="center" vertical="center" wrapText="1"/>
    </xf>
    <xf numFmtId="0" fontId="7" fillId="17" borderId="38" xfId="0" applyFont="1" applyFill="1" applyBorder="1" applyAlignment="1">
      <alignment horizontal="centerContinuous" wrapText="1"/>
    </xf>
    <xf numFmtId="0" fontId="7" fillId="17" borderId="25" xfId="0" applyFont="1" applyFill="1" applyBorder="1" applyAlignment="1">
      <alignment horizontal="centerContinuous" wrapText="1"/>
    </xf>
    <xf numFmtId="0" fontId="7" fillId="17" borderId="3" xfId="0" applyFont="1" applyFill="1" applyBorder="1" applyAlignment="1">
      <alignment horizontal="centerContinuous" wrapText="1"/>
    </xf>
    <xf numFmtId="0" fontId="7" fillId="38" borderId="7" xfId="0" quotePrefix="1" applyFont="1" applyFill="1" applyBorder="1"/>
    <xf numFmtId="0" fontId="0" fillId="38" borderId="7" xfId="0" applyFill="1" applyBorder="1"/>
    <xf numFmtId="0" fontId="7" fillId="38" borderId="7" xfId="0" applyFont="1" applyFill="1" applyBorder="1"/>
    <xf numFmtId="0" fontId="7" fillId="38" borderId="26" xfId="0" applyFont="1" applyFill="1" applyBorder="1" applyAlignment="1">
      <alignment horizontal="center"/>
    </xf>
    <xf numFmtId="0" fontId="7" fillId="17" borderId="48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center" vertical="center"/>
    </xf>
    <xf numFmtId="0" fontId="7" fillId="17" borderId="58" xfId="0" applyFont="1" applyFill="1" applyBorder="1" applyAlignment="1">
      <alignment horizontal="centerContinuous"/>
    </xf>
    <xf numFmtId="0" fontId="7" fillId="17" borderId="60" xfId="0" applyFont="1" applyFill="1" applyBorder="1" applyAlignment="1">
      <alignment horizontal="center"/>
    </xf>
    <xf numFmtId="0" fontId="7" fillId="0" borderId="60" xfId="0" applyFont="1" applyFill="1" applyBorder="1" applyAlignment="1">
      <alignment horizontal="center"/>
    </xf>
    <xf numFmtId="2" fontId="8" fillId="17" borderId="30" xfId="0" applyNumberFormat="1" applyFont="1" applyFill="1" applyBorder="1" applyAlignment="1">
      <alignment horizontal="center"/>
    </xf>
    <xf numFmtId="0" fontId="7" fillId="17" borderId="33" xfId="0" applyFont="1" applyFill="1" applyBorder="1" applyAlignment="1">
      <alignment horizontal="center" vertical="center" wrapText="1"/>
    </xf>
    <xf numFmtId="0" fontId="8" fillId="17" borderId="99" xfId="0" applyFont="1" applyFill="1" applyBorder="1" applyAlignment="1">
      <alignment horizontal="center"/>
    </xf>
    <xf numFmtId="0" fontId="0" fillId="17" borderId="7" xfId="0" applyFill="1" applyBorder="1" applyAlignment="1">
      <alignment horizontal="left" indent="1"/>
    </xf>
    <xf numFmtId="167" fontId="7" fillId="17" borderId="67" xfId="0" applyNumberFormat="1" applyFont="1" applyFill="1" applyBorder="1" applyAlignment="1">
      <alignment horizontal="center"/>
    </xf>
    <xf numFmtId="2" fontId="7" fillId="0" borderId="0" xfId="0" applyNumberFormat="1" applyFont="1"/>
    <xf numFmtId="173" fontId="7" fillId="0" borderId="0" xfId="0" applyNumberFormat="1" applyFont="1"/>
    <xf numFmtId="0" fontId="7" fillId="17" borderId="21" xfId="0" applyFont="1" applyFill="1" applyBorder="1" applyAlignment="1">
      <alignment horizontal="center"/>
    </xf>
    <xf numFmtId="172" fontId="7" fillId="0" borderId="19" xfId="1" applyNumberFormat="1" applyFont="1" applyBorder="1"/>
    <xf numFmtId="172" fontId="7" fillId="0" borderId="12" xfId="1" applyNumberFormat="1" applyFont="1" applyBorder="1"/>
    <xf numFmtId="172" fontId="7" fillId="0" borderId="19" xfId="1" applyNumberFormat="1" applyFont="1" applyFill="1" applyBorder="1"/>
    <xf numFmtId="172" fontId="7" fillId="0" borderId="12" xfId="1" applyNumberFormat="1" applyFont="1" applyFill="1" applyBorder="1"/>
    <xf numFmtId="0" fontId="7" fillId="17" borderId="43" xfId="0" applyFont="1" applyFill="1" applyBorder="1" applyAlignment="1">
      <alignment horizontal="center"/>
    </xf>
    <xf numFmtId="0" fontId="8" fillId="17" borderId="68" xfId="0" applyFont="1" applyFill="1" applyBorder="1" applyAlignment="1">
      <alignment horizontal="center"/>
    </xf>
    <xf numFmtId="9" fontId="8" fillId="0" borderId="91" xfId="2" applyFont="1" applyBorder="1" applyAlignment="1">
      <alignment horizontal="center"/>
    </xf>
    <xf numFmtId="9" fontId="8" fillId="0" borderId="54" xfId="2" applyFont="1" applyBorder="1" applyAlignment="1">
      <alignment horizontal="center"/>
    </xf>
    <xf numFmtId="9" fontId="8" fillId="0" borderId="44" xfId="2" applyFont="1" applyBorder="1" applyAlignment="1">
      <alignment horizontal="center"/>
    </xf>
    <xf numFmtId="0" fontId="8" fillId="17" borderId="13" xfId="0" applyFont="1" applyFill="1" applyBorder="1" applyAlignment="1">
      <alignment horizontal="center" wrapText="1"/>
    </xf>
    <xf numFmtId="0" fontId="7" fillId="17" borderId="13" xfId="0" applyFont="1" applyFill="1" applyBorder="1" applyAlignment="1">
      <alignment horizontal="center" wrapText="1"/>
    </xf>
    <xf numFmtId="0" fontId="8" fillId="17" borderId="31" xfId="0" applyFont="1" applyFill="1" applyBorder="1" applyAlignment="1">
      <alignment horizontal="center" wrapText="1"/>
    </xf>
    <xf numFmtId="0" fontId="8" fillId="17" borderId="34" xfId="0" quotePrefix="1" applyFont="1" applyFill="1" applyBorder="1" applyAlignment="1">
      <alignment horizontal="center" wrapText="1"/>
    </xf>
    <xf numFmtId="0" fontId="12" fillId="17" borderId="12" xfId="0" applyFont="1" applyFill="1" applyBorder="1" applyAlignment="1">
      <alignment horizontal="center"/>
    </xf>
    <xf numFmtId="0" fontId="47" fillId="0" borderId="19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164" fontId="0" fillId="0" borderId="9" xfId="0" applyNumberFormat="1" applyFont="1" applyFill="1" applyBorder="1" applyAlignment="1">
      <alignment horizontal="center"/>
    </xf>
    <xf numFmtId="1" fontId="0" fillId="0" borderId="9" xfId="0" applyNumberFormat="1" applyFont="1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7" fillId="17" borderId="4" xfId="0" applyFont="1" applyFill="1" applyBorder="1" applyAlignment="1">
      <alignment horizontal="center" vertical="center" wrapText="1"/>
    </xf>
    <xf numFmtId="0" fontId="7" fillId="38" borderId="8" xfId="0" applyFont="1" applyFill="1" applyBorder="1" applyAlignment="1">
      <alignment horizontal="center"/>
    </xf>
    <xf numFmtId="0" fontId="7" fillId="17" borderId="8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7" fillId="17" borderId="0" xfId="0" applyNumberFormat="1" applyFont="1" applyFill="1" applyBorder="1" applyAlignment="1">
      <alignment horizontal="center"/>
    </xf>
    <xf numFmtId="0" fontId="0" fillId="38" borderId="0" xfId="0" applyFill="1" applyAlignment="1">
      <alignment horizontal="left"/>
    </xf>
    <xf numFmtId="0" fontId="0" fillId="38" borderId="0" xfId="0" applyFill="1"/>
    <xf numFmtId="0" fontId="7" fillId="68" borderId="10" xfId="0" applyFont="1" applyFill="1" applyBorder="1" applyAlignment="1">
      <alignment horizontal="center"/>
    </xf>
    <xf numFmtId="0" fontId="8" fillId="0" borderId="21" xfId="0" applyFont="1" applyBorder="1" applyAlignment="1">
      <alignment horizontal="center"/>
    </xf>
    <xf numFmtId="3" fontId="8" fillId="0" borderId="52" xfId="0" applyNumberFormat="1" applyFont="1" applyBorder="1" applyAlignment="1">
      <alignment horizontal="center"/>
    </xf>
    <xf numFmtId="0" fontId="49" fillId="0" borderId="44" xfId="0" applyFont="1" applyBorder="1" applyAlignment="1">
      <alignment horizontal="center" vertical="center" wrapText="1"/>
    </xf>
    <xf numFmtId="0" fontId="8" fillId="17" borderId="34" xfId="0" applyFont="1" applyFill="1" applyBorder="1" applyAlignment="1">
      <alignment horizontal="center" wrapText="1"/>
    </xf>
    <xf numFmtId="0" fontId="7" fillId="17" borderId="35" xfId="0" applyFont="1" applyFill="1" applyBorder="1" applyAlignment="1">
      <alignment horizontal="centerContinuous"/>
    </xf>
    <xf numFmtId="0" fontId="7" fillId="17" borderId="33" xfId="0" applyFont="1" applyFill="1" applyBorder="1" applyAlignment="1">
      <alignment horizontal="centerContinuous"/>
    </xf>
    <xf numFmtId="0" fontId="7" fillId="17" borderId="94" xfId="0" applyFont="1" applyFill="1" applyBorder="1" applyAlignment="1">
      <alignment horizontal="center" wrapText="1"/>
    </xf>
    <xf numFmtId="0" fontId="7" fillId="17" borderId="90" xfId="0" quotePrefix="1" applyFont="1" applyFill="1" applyBorder="1" applyAlignment="1">
      <alignment horizontal="center" wrapText="1"/>
    </xf>
    <xf numFmtId="9" fontId="7" fillId="17" borderId="9" xfId="0" applyNumberFormat="1" applyFont="1" applyFill="1" applyBorder="1"/>
    <xf numFmtId="9" fontId="7" fillId="17" borderId="6" xfId="0" applyNumberFormat="1" applyFont="1" applyFill="1" applyBorder="1"/>
    <xf numFmtId="9" fontId="7" fillId="70" borderId="9" xfId="0" applyNumberFormat="1" applyFont="1" applyFill="1" applyBorder="1"/>
    <xf numFmtId="9" fontId="7" fillId="70" borderId="40" xfId="0" applyNumberFormat="1" applyFont="1" applyFill="1" applyBorder="1"/>
    <xf numFmtId="4" fontId="6" fillId="16" borderId="109" xfId="0" applyNumberFormat="1" applyFont="1" applyFill="1" applyBorder="1" applyAlignment="1">
      <alignment horizontal="center"/>
    </xf>
    <xf numFmtId="9" fontId="7" fillId="0" borderId="32" xfId="2" applyFont="1" applyBorder="1" applyAlignment="1">
      <alignment horizontal="center" vertical="center"/>
    </xf>
    <xf numFmtId="3" fontId="8" fillId="0" borderId="39" xfId="2" applyNumberFormat="1" applyFont="1" applyBorder="1" applyAlignment="1">
      <alignment horizontal="center" vertical="center"/>
    </xf>
    <xf numFmtId="3" fontId="8" fillId="0" borderId="19" xfId="2" applyNumberFormat="1" applyFont="1" applyBorder="1" applyAlignment="1">
      <alignment horizontal="center" vertical="center"/>
    </xf>
    <xf numFmtId="3" fontId="10" fillId="0" borderId="19" xfId="0" applyNumberFormat="1" applyFont="1" applyFill="1" applyBorder="1" applyAlignment="1" applyProtection="1">
      <alignment horizontal="center" vertical="center"/>
    </xf>
    <xf numFmtId="3" fontId="8" fillId="0" borderId="12" xfId="2" applyNumberFormat="1" applyFont="1" applyBorder="1" applyAlignment="1">
      <alignment horizontal="center" vertical="center"/>
    </xf>
    <xf numFmtId="3" fontId="8" fillId="0" borderId="21" xfId="2" applyNumberFormat="1" applyFont="1" applyBorder="1" applyAlignment="1">
      <alignment horizontal="center" vertical="center"/>
    </xf>
    <xf numFmtId="0" fontId="8" fillId="17" borderId="4" xfId="1819" applyFont="1" applyFill="1" applyBorder="1"/>
    <xf numFmtId="0" fontId="7" fillId="17" borderId="3" xfId="1819" applyFont="1" applyFill="1" applyBorder="1" applyAlignment="1">
      <alignment horizontal="center" vertical="center" wrapText="1"/>
    </xf>
    <xf numFmtId="167" fontId="8" fillId="37" borderId="30" xfId="0" applyNumberFormat="1" applyFont="1" applyFill="1" applyBorder="1" applyAlignment="1">
      <alignment horizontal="right"/>
    </xf>
    <xf numFmtId="167" fontId="7" fillId="37" borderId="110" xfId="0" applyNumberFormat="1" applyFont="1" applyFill="1" applyBorder="1" applyAlignment="1">
      <alignment horizontal="center" vertical="center" wrapText="1"/>
    </xf>
    <xf numFmtId="0" fontId="59" fillId="17" borderId="25" xfId="3" applyFont="1" applyFill="1" applyBorder="1"/>
    <xf numFmtId="4" fontId="14" fillId="17" borderId="82" xfId="0" applyNumberFormat="1" applyFont="1" applyFill="1" applyBorder="1" applyAlignment="1">
      <alignment horizontal="center"/>
    </xf>
    <xf numFmtId="4" fontId="14" fillId="17" borderId="107" xfId="0" applyNumberFormat="1" applyFont="1" applyFill="1" applyBorder="1" applyAlignment="1">
      <alignment horizontal="center"/>
    </xf>
    <xf numFmtId="4" fontId="0" fillId="17" borderId="99" xfId="0" applyNumberFormat="1" applyFont="1" applyFill="1" applyBorder="1" applyAlignment="1">
      <alignment horizontal="center"/>
    </xf>
    <xf numFmtId="4" fontId="0" fillId="17" borderId="108" xfId="0" applyNumberFormat="1" applyFont="1" applyFill="1" applyBorder="1" applyAlignment="1">
      <alignment horizontal="center"/>
    </xf>
    <xf numFmtId="0" fontId="14" fillId="17" borderId="82" xfId="0" applyNumberFormat="1" applyFont="1" applyFill="1" applyBorder="1" applyAlignment="1">
      <alignment horizontal="center"/>
    </xf>
    <xf numFmtId="0" fontId="61" fillId="35" borderId="54" xfId="0" applyFont="1" applyFill="1" applyBorder="1" applyAlignment="1">
      <alignment horizontal="center" vertical="center"/>
    </xf>
    <xf numFmtId="0" fontId="61" fillId="31" borderId="54" xfId="0" applyFont="1" applyFill="1" applyBorder="1" applyAlignment="1">
      <alignment horizontal="center" vertical="center"/>
    </xf>
    <xf numFmtId="0" fontId="61" fillId="32" borderId="54" xfId="0" applyFont="1" applyFill="1" applyBorder="1" applyAlignment="1">
      <alignment horizontal="center" vertical="center"/>
    </xf>
    <xf numFmtId="0" fontId="61" fillId="31" borderId="31" xfId="0" applyFont="1" applyFill="1" applyBorder="1" applyAlignment="1">
      <alignment horizontal="center" vertical="center"/>
    </xf>
    <xf numFmtId="0" fontId="61" fillId="32" borderId="31" xfId="0" applyFont="1" applyFill="1" applyBorder="1" applyAlignment="1">
      <alignment horizontal="center" vertical="center"/>
    </xf>
    <xf numFmtId="0" fontId="61" fillId="30" borderId="54" xfId="0" applyFont="1" applyFill="1" applyBorder="1" applyAlignment="1">
      <alignment horizontal="center" vertical="center"/>
    </xf>
    <xf numFmtId="0" fontId="61" fillId="34" borderId="54" xfId="0" applyFont="1" applyFill="1" applyBorder="1" applyAlignment="1">
      <alignment horizontal="center" vertical="center"/>
    </xf>
    <xf numFmtId="0" fontId="61" fillId="33" borderId="54" xfId="0" applyFont="1" applyFill="1" applyBorder="1" applyAlignment="1">
      <alignment horizontal="center" vertical="center"/>
    </xf>
    <xf numFmtId="0" fontId="61" fillId="30" borderId="31" xfId="0" applyFont="1" applyFill="1" applyBorder="1" applyAlignment="1">
      <alignment horizontal="center" vertical="center"/>
    </xf>
    <xf numFmtId="0" fontId="10" fillId="31" borderId="91" xfId="0" applyFont="1" applyFill="1" applyBorder="1" applyAlignment="1">
      <alignment horizontal="center" vertical="center"/>
    </xf>
    <xf numFmtId="0" fontId="10" fillId="31" borderId="54" xfId="0" applyFont="1" applyFill="1" applyBorder="1" applyAlignment="1">
      <alignment horizontal="center" vertical="center"/>
    </xf>
    <xf numFmtId="0" fontId="10" fillId="32" borderId="54" xfId="0" applyFont="1" applyFill="1" applyBorder="1" applyAlignment="1">
      <alignment horizontal="center" vertical="center"/>
    </xf>
    <xf numFmtId="0" fontId="10" fillId="32" borderId="31" xfId="0" applyFont="1" applyFill="1" applyBorder="1" applyAlignment="1">
      <alignment horizontal="center" vertical="center"/>
    </xf>
    <xf numFmtId="0" fontId="10" fillId="30" borderId="31" xfId="0" applyFont="1" applyFill="1" applyBorder="1" applyAlignment="1">
      <alignment horizontal="center" vertical="center"/>
    </xf>
    <xf numFmtId="0" fontId="10" fillId="30" borderId="54" xfId="0" applyFont="1" applyFill="1" applyBorder="1" applyAlignment="1">
      <alignment horizontal="center" vertical="center"/>
    </xf>
    <xf numFmtId="9" fontId="7" fillId="0" borderId="40" xfId="2" applyFont="1" applyBorder="1" applyAlignment="1">
      <alignment horizontal="center" vertical="center"/>
    </xf>
    <xf numFmtId="9" fontId="7" fillId="0" borderId="9" xfId="2" applyFont="1" applyBorder="1" applyAlignment="1">
      <alignment horizontal="center" vertical="center"/>
    </xf>
    <xf numFmtId="9" fontId="7" fillId="0" borderId="3" xfId="2" applyFont="1" applyBorder="1" applyAlignment="1">
      <alignment horizontal="center" vertical="center"/>
    </xf>
    <xf numFmtId="9" fontId="7" fillId="0" borderId="2" xfId="2" applyFont="1" applyBorder="1" applyAlignment="1">
      <alignment horizontal="center" vertical="center"/>
    </xf>
    <xf numFmtId="9" fontId="7" fillId="0" borderId="6" xfId="2" applyFont="1" applyBorder="1" applyAlignment="1">
      <alignment horizontal="center" vertical="center"/>
    </xf>
    <xf numFmtId="9" fontId="8" fillId="17" borderId="5" xfId="2" applyFont="1" applyFill="1" applyBorder="1" applyAlignment="1">
      <alignment horizontal="center"/>
    </xf>
    <xf numFmtId="3" fontId="8" fillId="0" borderId="3" xfId="0" applyNumberFormat="1" applyFont="1" applyFill="1" applyBorder="1" applyAlignment="1">
      <alignment horizontal="right" indent="1"/>
    </xf>
    <xf numFmtId="3" fontId="8" fillId="0" borderId="6" xfId="0" applyNumberFormat="1" applyFont="1" applyBorder="1" applyAlignment="1">
      <alignment horizontal="right" indent="1"/>
    </xf>
    <xf numFmtId="3" fontId="63" fillId="0" borderId="9" xfId="0" applyNumberFormat="1" applyFont="1" applyFill="1" applyBorder="1" applyAlignment="1">
      <alignment horizontal="right" indent="1"/>
    </xf>
    <xf numFmtId="9" fontId="63" fillId="0" borderId="9" xfId="2" applyFont="1" applyFill="1" applyBorder="1" applyAlignment="1">
      <alignment horizontal="right" indent="1"/>
    </xf>
    <xf numFmtId="3" fontId="63" fillId="0" borderId="20" xfId="0" applyNumberFormat="1" applyFont="1" applyFill="1" applyBorder="1" applyAlignment="1">
      <alignment horizontal="right" indent="1"/>
    </xf>
    <xf numFmtId="3" fontId="63" fillId="0" borderId="27" xfId="0" applyNumberFormat="1" applyFont="1" applyFill="1" applyBorder="1" applyAlignment="1">
      <alignment horizontal="right" indent="1"/>
    </xf>
    <xf numFmtId="9" fontId="63" fillId="0" borderId="20" xfId="2" applyFont="1" applyFill="1" applyBorder="1" applyAlignment="1">
      <alignment horizontal="right" indent="1"/>
    </xf>
    <xf numFmtId="9" fontId="8" fillId="0" borderId="9" xfId="2" applyNumberFormat="1" applyFont="1" applyFill="1" applyBorder="1" applyAlignment="1">
      <alignment horizontal="right" indent="1"/>
    </xf>
    <xf numFmtId="9" fontId="63" fillId="0" borderId="9" xfId="2" applyNumberFormat="1" applyFont="1" applyFill="1" applyBorder="1" applyAlignment="1">
      <alignment horizontal="right" indent="1"/>
    </xf>
    <xf numFmtId="9" fontId="64" fillId="71" borderId="9" xfId="2" applyFont="1" applyFill="1" applyBorder="1" applyAlignment="1">
      <alignment horizontal="right" indent="1"/>
    </xf>
    <xf numFmtId="3" fontId="63" fillId="0" borderId="9" xfId="0" applyNumberFormat="1" applyFont="1" applyBorder="1" applyAlignment="1">
      <alignment horizontal="right" indent="1"/>
    </xf>
    <xf numFmtId="9" fontId="63" fillId="0" borderId="9" xfId="2" applyFont="1" applyBorder="1" applyAlignment="1">
      <alignment horizontal="right" indent="1"/>
    </xf>
    <xf numFmtId="3" fontId="63" fillId="0" borderId="20" xfId="0" applyNumberFormat="1" applyFont="1" applyBorder="1" applyAlignment="1">
      <alignment horizontal="right" indent="1"/>
    </xf>
    <xf numFmtId="3" fontId="63" fillId="0" borderId="27" xfId="0" applyNumberFormat="1" applyFont="1" applyBorder="1" applyAlignment="1">
      <alignment horizontal="right" indent="1"/>
    </xf>
    <xf numFmtId="9" fontId="63" fillId="0" borderId="20" xfId="2" applyFont="1" applyBorder="1" applyAlignment="1">
      <alignment horizontal="right" indent="1"/>
    </xf>
    <xf numFmtId="167" fontId="38" fillId="71" borderId="9" xfId="0" applyNumberFormat="1" applyFont="1" applyFill="1" applyBorder="1" applyAlignment="1">
      <alignment horizontal="right" indent="1"/>
    </xf>
    <xf numFmtId="167" fontId="37" fillId="71" borderId="9" xfId="0" applyNumberFormat="1" applyFont="1" applyFill="1" applyBorder="1" applyAlignment="1">
      <alignment horizontal="right" indent="1"/>
    </xf>
    <xf numFmtId="167" fontId="65" fillId="71" borderId="9" xfId="5" applyNumberFormat="1" applyFont="1" applyFill="1" applyBorder="1" applyAlignment="1">
      <alignment horizontal="right"/>
    </xf>
    <xf numFmtId="167" fontId="36" fillId="0" borderId="9" xfId="3" applyNumberFormat="1" applyFont="1" applyBorder="1" applyAlignment="1">
      <alignment horizontal="right"/>
    </xf>
    <xf numFmtId="9" fontId="36" fillId="0" borderId="9" xfId="2" applyFont="1" applyBorder="1" applyAlignment="1">
      <alignment horizontal="right" indent="1"/>
    </xf>
    <xf numFmtId="167" fontId="62" fillId="0" borderId="9" xfId="5" applyNumberFormat="1" applyFont="1" applyFill="1" applyBorder="1" applyAlignment="1">
      <alignment horizontal="right"/>
    </xf>
    <xf numFmtId="167" fontId="37" fillId="0" borderId="9" xfId="0" applyNumberFormat="1" applyFont="1" applyFill="1" applyBorder="1" applyAlignment="1">
      <alignment horizontal="right"/>
    </xf>
    <xf numFmtId="9" fontId="36" fillId="0" borderId="9" xfId="5" applyFont="1" applyFill="1" applyBorder="1" applyAlignment="1">
      <alignment horizontal="right" indent="1"/>
    </xf>
    <xf numFmtId="49" fontId="62" fillId="0" borderId="9" xfId="5" applyNumberFormat="1" applyFont="1" applyFill="1" applyBorder="1" applyAlignment="1">
      <alignment horizontal="right" indent="1"/>
    </xf>
    <xf numFmtId="167" fontId="37" fillId="0" borderId="9" xfId="0" applyNumberFormat="1" applyFont="1" applyBorder="1" applyAlignment="1">
      <alignment horizontal="right"/>
    </xf>
    <xf numFmtId="9" fontId="36" fillId="17" borderId="9" xfId="5" applyFont="1" applyFill="1" applyBorder="1" applyAlignment="1">
      <alignment horizontal="right" indent="1"/>
    </xf>
    <xf numFmtId="167" fontId="57" fillId="71" borderId="9" xfId="3" applyNumberFormat="1" applyFont="1" applyFill="1" applyBorder="1" applyAlignment="1">
      <alignment horizontal="right" indent="1"/>
    </xf>
    <xf numFmtId="167" fontId="63" fillId="71" borderId="9" xfId="0" applyNumberFormat="1" applyFont="1" applyFill="1" applyBorder="1" applyAlignment="1">
      <alignment horizontal="right"/>
    </xf>
    <xf numFmtId="9" fontId="64" fillId="71" borderId="9" xfId="5" applyFont="1" applyFill="1" applyBorder="1" applyAlignment="1">
      <alignment horizontal="right" indent="1"/>
    </xf>
    <xf numFmtId="167" fontId="65" fillId="71" borderId="9" xfId="5" applyNumberFormat="1" applyFont="1" applyFill="1" applyBorder="1" applyAlignment="1"/>
    <xf numFmtId="0" fontId="66" fillId="17" borderId="0" xfId="0" applyFont="1" applyFill="1" applyAlignment="1">
      <alignment horizontal="center"/>
    </xf>
    <xf numFmtId="0" fontId="7" fillId="17" borderId="15" xfId="0" applyFont="1" applyFill="1" applyBorder="1" applyAlignment="1">
      <alignment horizontal="center" wrapText="1"/>
    </xf>
    <xf numFmtId="0" fontId="7" fillId="17" borderId="33" xfId="0" applyFont="1" applyFill="1" applyBorder="1" applyAlignment="1">
      <alignment horizontal="center" wrapText="1"/>
    </xf>
    <xf numFmtId="0" fontId="7" fillId="17" borderId="35" xfId="0" applyFont="1" applyFill="1" applyBorder="1"/>
    <xf numFmtId="0" fontId="67" fillId="17" borderId="4" xfId="0" applyFont="1" applyFill="1" applyBorder="1" applyAlignment="1">
      <alignment horizontal="center" vertical="center" wrapText="1"/>
    </xf>
    <xf numFmtId="0" fontId="67" fillId="17" borderId="0" xfId="0" applyFont="1" applyFill="1" applyAlignment="1">
      <alignment horizontal="center"/>
    </xf>
    <xf numFmtId="3" fontId="63" fillId="17" borderId="9" xfId="0" applyNumberFormat="1" applyFont="1" applyFill="1" applyBorder="1" applyAlignment="1">
      <alignment horizontal="right" indent="1"/>
    </xf>
    <xf numFmtId="3" fontId="8" fillId="17" borderId="9" xfId="0" applyNumberFormat="1" applyFont="1" applyFill="1" applyBorder="1" applyAlignment="1">
      <alignment horizontal="right" indent="1"/>
    </xf>
    <xf numFmtId="3" fontId="23" fillId="17" borderId="9" xfId="0" applyNumberFormat="1" applyFont="1" applyFill="1" applyBorder="1" applyAlignment="1">
      <alignment horizontal="right" indent="1"/>
    </xf>
    <xf numFmtId="0" fontId="8" fillId="17" borderId="0" xfId="2306" applyFont="1" applyFill="1" applyAlignment="1">
      <alignment vertical="top"/>
    </xf>
    <xf numFmtId="4" fontId="8" fillId="17" borderId="0" xfId="1819" applyNumberFormat="1" applyFont="1" applyFill="1" applyAlignment="1">
      <alignment horizontal="center"/>
    </xf>
    <xf numFmtId="0" fontId="68" fillId="17" borderId="0" xfId="2306" applyFont="1" applyFill="1"/>
    <xf numFmtId="4" fontId="69" fillId="17" borderId="0" xfId="2306" applyNumberFormat="1" applyFont="1" applyFill="1"/>
    <xf numFmtId="4" fontId="68" fillId="17" borderId="0" xfId="2306" applyNumberFormat="1" applyFont="1" applyFill="1"/>
    <xf numFmtId="0" fontId="70" fillId="17" borderId="0" xfId="2306" applyFont="1" applyFill="1"/>
    <xf numFmtId="0" fontId="68" fillId="0" borderId="0" xfId="2306" applyFont="1"/>
    <xf numFmtId="0" fontId="71" fillId="0" borderId="0" xfId="2306" applyFont="1"/>
    <xf numFmtId="0" fontId="15" fillId="17" borderId="0" xfId="2306" applyFont="1" applyFill="1" applyAlignment="1">
      <alignment horizontal="left" vertical="center"/>
    </xf>
    <xf numFmtId="0" fontId="0" fillId="17" borderId="0" xfId="0" applyFill="1" applyBorder="1" applyAlignment="1">
      <alignment horizontal="center" vertical="center"/>
    </xf>
    <xf numFmtId="0" fontId="6" fillId="17" borderId="0" xfId="0" applyFont="1" applyFill="1" applyAlignment="1">
      <alignment vertical="center"/>
    </xf>
    <xf numFmtId="0" fontId="7" fillId="17" borderId="0" xfId="1819" applyFont="1" applyFill="1" applyAlignment="1">
      <alignment horizontal="center" vertical="center"/>
    </xf>
    <xf numFmtId="4" fontId="8" fillId="17" borderId="0" xfId="1819" applyNumberFormat="1" applyFont="1" applyFill="1" applyAlignment="1">
      <alignment horizontal="center" vertical="center"/>
    </xf>
    <xf numFmtId="0" fontId="68" fillId="17" borderId="0" xfId="2306" applyFont="1" applyFill="1" applyAlignment="1">
      <alignment vertical="center"/>
    </xf>
    <xf numFmtId="4" fontId="69" fillId="17" borderId="0" xfId="2306" applyNumberFormat="1" applyFont="1" applyFill="1" applyAlignment="1">
      <alignment vertical="center"/>
    </xf>
    <xf numFmtId="4" fontId="68" fillId="17" borderId="0" xfId="2306" applyNumberFormat="1" applyFont="1" applyFill="1" applyAlignment="1">
      <alignment vertical="center"/>
    </xf>
    <xf numFmtId="0" fontId="70" fillId="17" borderId="0" xfId="2306" applyFont="1" applyFill="1" applyAlignment="1">
      <alignment vertical="center"/>
    </xf>
    <xf numFmtId="0" fontId="68" fillId="0" borderId="0" xfId="2306" applyFont="1" applyAlignment="1">
      <alignment vertical="center"/>
    </xf>
    <xf numFmtId="0" fontId="8" fillId="17" borderId="30" xfId="2306" applyFont="1" applyFill="1" applyBorder="1"/>
    <xf numFmtId="0" fontId="8" fillId="17" borderId="4" xfId="1819" applyFont="1" applyFill="1" applyBorder="1" applyAlignment="1">
      <alignment horizontal="centerContinuous"/>
    </xf>
    <xf numFmtId="4" fontId="8" fillId="17" borderId="65" xfId="1819" applyNumberFormat="1" applyFont="1" applyFill="1" applyBorder="1" applyAlignment="1">
      <alignment horizontal="centerContinuous"/>
    </xf>
    <xf numFmtId="4" fontId="69" fillId="72" borderId="4" xfId="2306" applyNumberFormat="1" applyFont="1" applyFill="1" applyBorder="1" applyAlignment="1">
      <alignment horizontal="centerContinuous"/>
    </xf>
    <xf numFmtId="0" fontId="68" fillId="72" borderId="4" xfId="2306" applyFont="1" applyFill="1" applyBorder="1" applyAlignment="1">
      <alignment horizontal="centerContinuous"/>
    </xf>
    <xf numFmtId="4" fontId="68" fillId="72" borderId="4" xfId="2306" applyNumberFormat="1" applyFont="1" applyFill="1" applyBorder="1" applyAlignment="1">
      <alignment horizontal="centerContinuous"/>
    </xf>
    <xf numFmtId="4" fontId="69" fillId="72" borderId="65" xfId="2306" applyNumberFormat="1" applyFont="1" applyFill="1" applyBorder="1" applyAlignment="1">
      <alignment horizontal="centerContinuous"/>
    </xf>
    <xf numFmtId="4" fontId="69" fillId="73" borderId="4" xfId="2306" applyNumberFormat="1" applyFont="1" applyFill="1" applyBorder="1" applyAlignment="1">
      <alignment horizontal="centerContinuous"/>
    </xf>
    <xf numFmtId="0" fontId="68" fillId="73" borderId="4" xfId="2306" applyFont="1" applyFill="1" applyBorder="1" applyAlignment="1">
      <alignment horizontal="centerContinuous"/>
    </xf>
    <xf numFmtId="4" fontId="68" fillId="73" borderId="65" xfId="2306" applyNumberFormat="1" applyFont="1" applyFill="1" applyBorder="1" applyAlignment="1">
      <alignment horizontal="centerContinuous"/>
    </xf>
    <xf numFmtId="0" fontId="69" fillId="63" borderId="85" xfId="2306" applyFont="1" applyFill="1" applyBorder="1" applyAlignment="1">
      <alignment horizontal="centerContinuous"/>
    </xf>
    <xf numFmtId="0" fontId="69" fillId="63" borderId="4" xfId="2306" applyFont="1" applyFill="1" applyBorder="1" applyAlignment="1">
      <alignment horizontal="centerContinuous"/>
    </xf>
    <xf numFmtId="0" fontId="69" fillId="63" borderId="65" xfId="2306" applyFont="1" applyFill="1" applyBorder="1" applyAlignment="1">
      <alignment horizontal="centerContinuous"/>
    </xf>
    <xf numFmtId="0" fontId="15" fillId="17" borderId="30" xfId="2306" applyFont="1" applyFill="1" applyBorder="1"/>
    <xf numFmtId="0" fontId="6" fillId="17" borderId="87" xfId="0" applyFont="1" applyFill="1" applyBorder="1"/>
    <xf numFmtId="0" fontId="15" fillId="17" borderId="0" xfId="1819" applyFont="1" applyFill="1" applyBorder="1" applyAlignment="1">
      <alignment horizontal="center"/>
    </xf>
    <xf numFmtId="4" fontId="14" fillId="17" borderId="57" xfId="1819" applyNumberFormat="1" applyFont="1" applyFill="1" applyBorder="1" applyAlignment="1">
      <alignment horizontal="center"/>
    </xf>
    <xf numFmtId="0" fontId="70" fillId="74" borderId="0" xfId="2306" applyFont="1" applyFill="1"/>
    <xf numFmtId="0" fontId="72" fillId="74" borderId="112" xfId="2306" applyFont="1" applyFill="1" applyBorder="1" applyAlignment="1">
      <alignment horizontal="center"/>
    </xf>
    <xf numFmtId="0" fontId="70" fillId="75" borderId="0" xfId="2306" applyFont="1" applyFill="1"/>
    <xf numFmtId="0" fontId="72" fillId="75" borderId="112" xfId="2306" applyFont="1" applyFill="1" applyBorder="1" applyAlignment="1">
      <alignment horizontal="center"/>
    </xf>
    <xf numFmtId="0" fontId="70" fillId="76" borderId="0" xfId="2306" applyFont="1" applyFill="1"/>
    <xf numFmtId="0" fontId="70" fillId="76" borderId="57" xfId="2306" applyFont="1" applyFill="1" applyBorder="1"/>
    <xf numFmtId="0" fontId="70" fillId="0" borderId="0" xfId="2306" applyFont="1"/>
    <xf numFmtId="0" fontId="14" fillId="17" borderId="30" xfId="2306" applyFont="1" applyFill="1" applyBorder="1"/>
    <xf numFmtId="0" fontId="14" fillId="17" borderId="101" xfId="0" applyFont="1" applyFill="1" applyBorder="1" applyAlignment="1">
      <alignment horizontal="centerContinuous"/>
    </xf>
    <xf numFmtId="171" fontId="14" fillId="74" borderId="0" xfId="2306" applyNumberFormat="1" applyFont="1" applyFill="1" applyBorder="1" applyAlignment="1">
      <alignment horizontal="center"/>
    </xf>
    <xf numFmtId="4" fontId="72" fillId="74" borderId="55" xfId="2306" applyNumberFormat="1" applyFont="1" applyFill="1" applyBorder="1" applyAlignment="1">
      <alignment horizontal="center"/>
    </xf>
    <xf numFmtId="4" fontId="70" fillId="75" borderId="0" xfId="2306" applyNumberFormat="1" applyFont="1" applyFill="1"/>
    <xf numFmtId="4" fontId="72" fillId="75" borderId="55" xfId="2306" applyNumberFormat="1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Continuous"/>
    </xf>
    <xf numFmtId="0" fontId="70" fillId="0" borderId="113" xfId="2306" applyFont="1" applyBorder="1"/>
    <xf numFmtId="0" fontId="70" fillId="0" borderId="57" xfId="2306" applyFont="1" applyBorder="1"/>
    <xf numFmtId="0" fontId="15" fillId="74" borderId="88" xfId="2306" applyFont="1" applyFill="1" applyBorder="1" applyAlignment="1">
      <alignment horizontal="left" indent="1"/>
    </xf>
    <xf numFmtId="0" fontId="14" fillId="74" borderId="35" xfId="2306" applyFont="1" applyFill="1" applyBorder="1" applyAlignment="1">
      <alignment horizontal="centerContinuous"/>
    </xf>
    <xf numFmtId="0" fontId="14" fillId="74" borderId="34" xfId="2306" applyFont="1" applyFill="1" applyBorder="1" applyAlignment="1">
      <alignment horizontal="centerContinuous"/>
    </xf>
    <xf numFmtId="0" fontId="70" fillId="74" borderId="34" xfId="2306" applyFont="1" applyFill="1" applyBorder="1" applyAlignment="1">
      <alignment horizontal="centerContinuous"/>
    </xf>
    <xf numFmtId="0" fontId="70" fillId="74" borderId="7" xfId="2306" applyFont="1" applyFill="1" applyBorder="1"/>
    <xf numFmtId="4" fontId="72" fillId="74" borderId="56" xfId="2306" applyNumberFormat="1" applyFont="1" applyFill="1" applyBorder="1" applyAlignment="1">
      <alignment horizontal="center"/>
    </xf>
    <xf numFmtId="4" fontId="70" fillId="75" borderId="88" xfId="2306" applyNumberFormat="1" applyFont="1" applyFill="1" applyBorder="1" applyAlignment="1">
      <alignment horizontal="center"/>
    </xf>
    <xf numFmtId="0" fontId="70" fillId="75" borderId="7" xfId="2306" applyFont="1" applyFill="1" applyBorder="1"/>
    <xf numFmtId="4" fontId="72" fillId="75" borderId="56" xfId="2306" applyNumberFormat="1" applyFont="1" applyFill="1" applyBorder="1" applyAlignment="1">
      <alignment horizontal="center"/>
    </xf>
    <xf numFmtId="0" fontId="70" fillId="76" borderId="88" xfId="2306" applyFont="1" applyFill="1" applyBorder="1"/>
    <xf numFmtId="0" fontId="70" fillId="76" borderId="7" xfId="2306" applyFont="1" applyFill="1" applyBorder="1"/>
    <xf numFmtId="0" fontId="70" fillId="76" borderId="58" xfId="2306" applyFont="1" applyFill="1" applyBorder="1"/>
    <xf numFmtId="0" fontId="14" fillId="17" borderId="33" xfId="2306" applyFont="1" applyFill="1" applyBorder="1"/>
    <xf numFmtId="0" fontId="6" fillId="17" borderId="48" xfId="0" applyFont="1" applyFill="1" applyBorder="1" applyAlignment="1">
      <alignment horizontal="center" vertical="center"/>
    </xf>
    <xf numFmtId="0" fontId="6" fillId="17" borderId="106" xfId="0" applyFont="1" applyFill="1" applyBorder="1" applyAlignment="1">
      <alignment horizontal="center" vertical="center"/>
    </xf>
    <xf numFmtId="0" fontId="14" fillId="17" borderId="114" xfId="1819" applyFont="1" applyFill="1" applyBorder="1" applyAlignment="1">
      <alignment horizontal="center" vertical="center"/>
    </xf>
    <xf numFmtId="4" fontId="14" fillId="17" borderId="65" xfId="1819" applyNumberFormat="1" applyFont="1" applyFill="1" applyBorder="1" applyAlignment="1">
      <alignment horizontal="center" vertical="center" wrapText="1"/>
    </xf>
    <xf numFmtId="0" fontId="14" fillId="74" borderId="73" xfId="2306" applyFont="1" applyFill="1" applyBorder="1" applyAlignment="1">
      <alignment horizontal="center" vertical="center" wrapText="1"/>
    </xf>
    <xf numFmtId="0" fontId="14" fillId="29" borderId="4" xfId="2306" applyFont="1" applyFill="1" applyBorder="1" applyAlignment="1">
      <alignment horizontal="center" wrapText="1"/>
    </xf>
    <xf numFmtId="0" fontId="73" fillId="74" borderId="115" xfId="2306" applyFont="1" applyFill="1" applyBorder="1" applyAlignment="1">
      <alignment horizontal="center" vertical="center" wrapText="1"/>
    </xf>
    <xf numFmtId="0" fontId="14" fillId="74" borderId="116" xfId="2306" applyFont="1" applyFill="1" applyBorder="1" applyAlignment="1">
      <alignment horizontal="center" vertical="center" wrapText="1"/>
    </xf>
    <xf numFmtId="0" fontId="14" fillId="74" borderId="33" xfId="2306" applyFont="1" applyFill="1" applyBorder="1" applyAlignment="1">
      <alignment horizontal="center" vertical="center" wrapText="1"/>
    </xf>
    <xf numFmtId="0" fontId="14" fillId="74" borderId="28" xfId="2306" applyFont="1" applyFill="1" applyBorder="1" applyAlignment="1">
      <alignment horizontal="center" vertical="center" wrapText="1"/>
    </xf>
    <xf numFmtId="4" fontId="75" fillId="74" borderId="61" xfId="2306" applyNumberFormat="1" applyFont="1" applyFill="1" applyBorder="1" applyAlignment="1">
      <alignment horizontal="center" vertical="center" wrapText="1"/>
    </xf>
    <xf numFmtId="0" fontId="14" fillId="75" borderId="73" xfId="2306" applyFont="1" applyFill="1" applyBorder="1" applyAlignment="1">
      <alignment horizontal="center" vertical="center" wrapText="1"/>
    </xf>
    <xf numFmtId="0" fontId="14" fillId="75" borderId="5" xfId="2306" applyFont="1" applyFill="1" applyBorder="1" applyAlignment="1">
      <alignment horizontal="center" vertical="center" wrapText="1"/>
    </xf>
    <xf numFmtId="4" fontId="75" fillId="75" borderId="4" xfId="2306" applyNumberFormat="1" applyFont="1" applyFill="1" applyBorder="1" applyAlignment="1">
      <alignment horizontal="center" vertical="center" wrapText="1"/>
    </xf>
    <xf numFmtId="0" fontId="76" fillId="63" borderId="73" xfId="2306" applyFont="1" applyFill="1" applyBorder="1" applyAlignment="1">
      <alignment horizontal="center" vertical="center" wrapText="1"/>
    </xf>
    <xf numFmtId="0" fontId="70" fillId="76" borderId="5" xfId="2306" applyFont="1" applyFill="1" applyBorder="1" applyAlignment="1">
      <alignment horizontal="center" vertical="center" wrapText="1"/>
    </xf>
    <xf numFmtId="0" fontId="76" fillId="76" borderId="5" xfId="2306" applyFont="1" applyFill="1" applyBorder="1" applyAlignment="1">
      <alignment horizontal="center" vertical="center" wrapText="1"/>
    </xf>
    <xf numFmtId="0" fontId="77" fillId="76" borderId="17" xfId="2306" applyFont="1" applyFill="1" applyBorder="1" applyAlignment="1">
      <alignment horizontal="center" vertical="center" wrapText="1"/>
    </xf>
    <xf numFmtId="0" fontId="70" fillId="17" borderId="31" xfId="2306" applyFont="1" applyFill="1" applyBorder="1"/>
    <xf numFmtId="0" fontId="15" fillId="17" borderId="34" xfId="0" applyFont="1" applyFill="1" applyBorder="1" applyAlignment="1">
      <alignment horizontal="center" vertical="center"/>
    </xf>
    <xf numFmtId="0" fontId="15" fillId="0" borderId="104" xfId="1819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3" fontId="14" fillId="29" borderId="0" xfId="2306" applyNumberFormat="1" applyFont="1" applyFill="1" applyBorder="1" applyAlignment="1">
      <alignment horizontal="center"/>
    </xf>
    <xf numFmtId="0" fontId="73" fillId="0" borderId="12" xfId="2306" applyFont="1" applyBorder="1" applyAlignment="1">
      <alignment horizontal="center"/>
    </xf>
    <xf numFmtId="0" fontId="72" fillId="0" borderId="30" xfId="2306" applyFont="1" applyBorder="1" applyAlignment="1">
      <alignment horizontal="center"/>
    </xf>
    <xf numFmtId="0" fontId="72" fillId="0" borderId="32" xfId="2306" applyFont="1" applyBorder="1" applyAlignment="1">
      <alignment horizontal="center"/>
    </xf>
    <xf numFmtId="4" fontId="75" fillId="0" borderId="55" xfId="2306" applyNumberFormat="1" applyFont="1" applyBorder="1" applyAlignment="1">
      <alignment horizontal="right" indent="2"/>
    </xf>
    <xf numFmtId="0" fontId="72" fillId="0" borderId="86" xfId="2306" applyFont="1" applyBorder="1" applyAlignment="1">
      <alignment horizontal="center"/>
    </xf>
    <xf numFmtId="0" fontId="72" fillId="0" borderId="2" xfId="2306" applyFont="1" applyBorder="1" applyAlignment="1">
      <alignment horizontal="center"/>
    </xf>
    <xf numFmtId="4" fontId="75" fillId="0" borderId="0" xfId="2306" applyNumberFormat="1" applyFont="1" applyBorder="1" applyAlignment="1">
      <alignment horizontal="right" indent="2"/>
    </xf>
    <xf numFmtId="4" fontId="72" fillId="63" borderId="86" xfId="2306" applyNumberFormat="1" applyFont="1" applyFill="1" applyBorder="1" applyAlignment="1">
      <alignment horizontal="center"/>
    </xf>
    <xf numFmtId="4" fontId="70" fillId="76" borderId="2" xfId="2306" applyNumberFormat="1" applyFont="1" applyFill="1" applyBorder="1" applyAlignment="1">
      <alignment horizontal="right" indent="2"/>
    </xf>
    <xf numFmtId="0" fontId="15" fillId="0" borderId="3" xfId="1819" applyFont="1" applyBorder="1" applyAlignment="1">
      <alignment horizontal="center"/>
    </xf>
    <xf numFmtId="174" fontId="70" fillId="0" borderId="3" xfId="2306" applyNumberFormat="1" applyFont="1" applyBorder="1" applyAlignment="1">
      <alignment horizontal="center"/>
    </xf>
    <xf numFmtId="3" fontId="79" fillId="76" borderId="13" xfId="2306" applyNumberFormat="1" applyFont="1" applyFill="1" applyBorder="1" applyAlignment="1">
      <alignment horizontal="center"/>
    </xf>
    <xf numFmtId="0" fontId="70" fillId="17" borderId="29" xfId="2306" applyFont="1" applyFill="1" applyBorder="1"/>
    <xf numFmtId="0" fontId="0" fillId="17" borderId="91" xfId="0" applyFill="1" applyBorder="1"/>
    <xf numFmtId="0" fontId="6" fillId="17" borderId="84" xfId="0" applyFont="1" applyFill="1" applyBorder="1" applyAlignment="1">
      <alignment horizontal="center"/>
    </xf>
    <xf numFmtId="0" fontId="15" fillId="0" borderId="105" xfId="1819" applyFont="1" applyBorder="1" applyAlignment="1">
      <alignment horizontal="center"/>
    </xf>
    <xf numFmtId="4" fontId="14" fillId="17" borderId="58" xfId="1819" applyNumberFormat="1" applyFont="1" applyFill="1" applyBorder="1" applyAlignment="1">
      <alignment horizontal="center"/>
    </xf>
    <xf numFmtId="3" fontId="14" fillId="29" borderId="7" xfId="2306" applyNumberFormat="1" applyFont="1" applyFill="1" applyBorder="1" applyAlignment="1">
      <alignment horizontal="center"/>
    </xf>
    <xf numFmtId="0" fontId="73" fillId="0" borderId="14" xfId="2306" applyFont="1" applyBorder="1" applyAlignment="1">
      <alignment horizontal="center"/>
    </xf>
    <xf numFmtId="0" fontId="78" fillId="0" borderId="98" xfId="2306" applyFont="1" applyBorder="1" applyAlignment="1">
      <alignment horizontal="center"/>
    </xf>
    <xf numFmtId="0" fontId="72" fillId="0" borderId="25" xfId="2306" applyFont="1" applyBorder="1" applyAlignment="1">
      <alignment horizontal="center"/>
    </xf>
    <xf numFmtId="0" fontId="72" fillId="0" borderId="47" xfId="2306" applyFont="1" applyBorder="1" applyAlignment="1">
      <alignment horizontal="center"/>
    </xf>
    <xf numFmtId="4" fontId="75" fillId="0" borderId="56" xfId="2306" applyNumberFormat="1" applyFont="1" applyBorder="1" applyAlignment="1">
      <alignment horizontal="right" indent="2"/>
    </xf>
    <xf numFmtId="0" fontId="72" fillId="0" borderId="74" xfId="2306" applyFont="1" applyBorder="1" applyAlignment="1">
      <alignment horizontal="center"/>
    </xf>
    <xf numFmtId="0" fontId="72" fillId="0" borderId="3" xfId="2306" applyFont="1" applyBorder="1" applyAlignment="1">
      <alignment horizontal="center"/>
    </xf>
    <xf numFmtId="4" fontId="75" fillId="0" borderId="7" xfId="2306" applyNumberFormat="1" applyFont="1" applyBorder="1" applyAlignment="1">
      <alignment horizontal="right" indent="2"/>
    </xf>
    <xf numFmtId="4" fontId="72" fillId="63" borderId="74" xfId="2306" applyNumberFormat="1" applyFont="1" applyFill="1" applyBorder="1" applyAlignment="1">
      <alignment horizontal="center"/>
    </xf>
    <xf numFmtId="4" fontId="70" fillId="76" borderId="3" xfId="2306" applyNumberFormat="1" applyFont="1" applyFill="1" applyBorder="1" applyAlignment="1">
      <alignment horizontal="right" indent="2"/>
    </xf>
    <xf numFmtId="3" fontId="79" fillId="76" borderId="46" xfId="2306" applyNumberFormat="1" applyFont="1" applyFill="1" applyBorder="1" applyAlignment="1">
      <alignment horizontal="center"/>
    </xf>
    <xf numFmtId="0" fontId="0" fillId="17" borderId="54" xfId="0" applyFill="1" applyBorder="1"/>
    <xf numFmtId="0" fontId="52" fillId="17" borderId="84" xfId="0" applyFont="1" applyFill="1" applyBorder="1" applyAlignment="1">
      <alignment horizontal="center"/>
    </xf>
    <xf numFmtId="0" fontId="15" fillId="0" borderId="95" xfId="1819" applyFont="1" applyBorder="1" applyAlignment="1">
      <alignment horizontal="center"/>
    </xf>
    <xf numFmtId="4" fontId="14" fillId="17" borderId="59" xfId="1819" applyNumberFormat="1" applyFont="1" applyFill="1" applyBorder="1" applyAlignment="1">
      <alignment horizontal="center"/>
    </xf>
    <xf numFmtId="0" fontId="14" fillId="18" borderId="19" xfId="0" applyFont="1" applyFill="1" applyBorder="1" applyAlignment="1">
      <alignment horizontal="center"/>
    </xf>
    <xf numFmtId="0" fontId="78" fillId="0" borderId="81" xfId="2306" applyFont="1" applyFill="1" applyBorder="1" applyAlignment="1">
      <alignment horizontal="center"/>
    </xf>
    <xf numFmtId="0" fontId="72" fillId="0" borderId="27" xfId="2306" applyFont="1" applyBorder="1" applyAlignment="1">
      <alignment horizontal="center"/>
    </xf>
    <xf numFmtId="4" fontId="75" fillId="0" borderId="60" xfId="2306" applyNumberFormat="1" applyFont="1" applyBorder="1" applyAlignment="1">
      <alignment horizontal="right" indent="2"/>
    </xf>
    <xf numFmtId="0" fontId="72" fillId="0" borderId="75" xfId="2306" applyFont="1" applyBorder="1" applyAlignment="1">
      <alignment horizontal="center"/>
    </xf>
    <xf numFmtId="0" fontId="72" fillId="0" borderId="9" xfId="2306" applyFont="1" applyBorder="1" applyAlignment="1">
      <alignment horizontal="center"/>
    </xf>
    <xf numFmtId="4" fontId="75" fillId="0" borderId="8" xfId="2306" applyNumberFormat="1" applyFont="1" applyBorder="1" applyAlignment="1">
      <alignment horizontal="right" indent="2"/>
    </xf>
    <xf numFmtId="4" fontId="72" fillId="63" borderId="75" xfId="2306" applyNumberFormat="1" applyFont="1" applyFill="1" applyBorder="1" applyAlignment="1">
      <alignment horizontal="center"/>
    </xf>
    <xf numFmtId="4" fontId="70" fillId="76" borderId="9" xfId="2306" applyNumberFormat="1" applyFont="1" applyFill="1" applyBorder="1" applyAlignment="1">
      <alignment horizontal="right" indent="2"/>
    </xf>
    <xf numFmtId="174" fontId="70" fillId="0" borderId="9" xfId="2306" applyNumberFormat="1" applyFont="1" applyBorder="1" applyAlignment="1">
      <alignment horizontal="center"/>
    </xf>
    <xf numFmtId="3" fontId="79" fillId="76" borderId="51" xfId="2306" applyNumberFormat="1" applyFont="1" applyFill="1" applyBorder="1" applyAlignment="1">
      <alignment horizontal="center"/>
    </xf>
    <xf numFmtId="0" fontId="0" fillId="17" borderId="53" xfId="0" applyFill="1" applyBorder="1"/>
    <xf numFmtId="3" fontId="14" fillId="29" borderId="8" xfId="2306" applyNumberFormat="1" applyFont="1" applyFill="1" applyBorder="1" applyAlignment="1">
      <alignment horizontal="center"/>
    </xf>
    <xf numFmtId="0" fontId="78" fillId="0" borderId="81" xfId="2306" applyFont="1" applyBorder="1" applyAlignment="1">
      <alignment horizontal="center"/>
    </xf>
    <xf numFmtId="0" fontId="0" fillId="0" borderId="44" xfId="0" applyBorder="1"/>
    <xf numFmtId="0" fontId="18" fillId="17" borderId="84" xfId="0" applyFont="1" applyFill="1" applyBorder="1" applyAlignment="1">
      <alignment horizontal="center"/>
    </xf>
    <xf numFmtId="0" fontId="80" fillId="29" borderId="8" xfId="2306" applyFont="1" applyFill="1" applyBorder="1" applyAlignment="1">
      <alignment horizontal="center" vertical="center" wrapText="1"/>
    </xf>
    <xf numFmtId="0" fontId="51" fillId="17" borderId="84" xfId="0" applyFont="1" applyFill="1" applyBorder="1" applyAlignment="1">
      <alignment horizontal="center"/>
    </xf>
    <xf numFmtId="0" fontId="0" fillId="0" borderId="54" xfId="0" applyBorder="1"/>
    <xf numFmtId="0" fontId="0" fillId="17" borderId="44" xfId="0" applyFill="1" applyBorder="1"/>
    <xf numFmtId="3" fontId="79" fillId="76" borderId="60" xfId="2306" applyNumberFormat="1" applyFont="1" applyFill="1" applyBorder="1" applyAlignment="1">
      <alignment horizontal="center"/>
    </xf>
    <xf numFmtId="0" fontId="70" fillId="17" borderId="0" xfId="2306" applyFont="1" applyFill="1" applyBorder="1"/>
    <xf numFmtId="0" fontId="0" fillId="0" borderId="53" xfId="0" applyBorder="1"/>
    <xf numFmtId="0" fontId="6" fillId="17" borderId="100" xfId="0" applyFont="1" applyFill="1" applyBorder="1" applyAlignment="1">
      <alignment horizontal="center"/>
    </xf>
    <xf numFmtId="0" fontId="15" fillId="0" borderId="103" xfId="1819" applyFont="1" applyBorder="1" applyAlignment="1">
      <alignment horizontal="center"/>
    </xf>
    <xf numFmtId="4" fontId="14" fillId="17" borderId="72" xfId="1819" applyNumberFormat="1" applyFont="1" applyFill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73" fillId="0" borderId="15" xfId="2306" applyFont="1" applyBorder="1" applyAlignment="1">
      <alignment horizontal="center"/>
    </xf>
    <xf numFmtId="0" fontId="72" fillId="0" borderId="33" xfId="2306" applyFont="1" applyBorder="1" applyAlignment="1">
      <alignment horizontal="center"/>
    </xf>
    <xf numFmtId="0" fontId="72" fillId="0" borderId="28" xfId="2306" applyFont="1" applyBorder="1" applyAlignment="1">
      <alignment horizontal="center"/>
    </xf>
    <xf numFmtId="4" fontId="75" fillId="0" borderId="61" xfId="2306" applyNumberFormat="1" applyFont="1" applyBorder="1" applyAlignment="1">
      <alignment horizontal="right" indent="2"/>
    </xf>
    <xf numFmtId="0" fontId="72" fillId="0" borderId="77" xfId="2306" applyFont="1" applyBorder="1" applyAlignment="1">
      <alignment horizontal="center"/>
    </xf>
    <xf numFmtId="0" fontId="72" fillId="0" borderId="6" xfId="2306" applyFont="1" applyBorder="1" applyAlignment="1">
      <alignment horizontal="center"/>
    </xf>
    <xf numFmtId="4" fontId="75" fillId="0" borderId="10" xfId="2306" applyNumberFormat="1" applyFont="1" applyBorder="1" applyAlignment="1">
      <alignment horizontal="right" indent="2"/>
    </xf>
    <xf numFmtId="4" fontId="72" fillId="63" borderId="77" xfId="2306" applyNumberFormat="1" applyFont="1" applyFill="1" applyBorder="1" applyAlignment="1">
      <alignment horizontal="center"/>
    </xf>
    <xf numFmtId="4" fontId="70" fillId="76" borderId="6" xfId="2306" applyNumberFormat="1" applyFont="1" applyFill="1" applyBorder="1" applyAlignment="1">
      <alignment horizontal="right" indent="2"/>
    </xf>
    <xf numFmtId="0" fontId="15" fillId="0" borderId="5" xfId="1819" applyFont="1" applyBorder="1" applyAlignment="1">
      <alignment horizontal="center"/>
    </xf>
    <xf numFmtId="174" fontId="70" fillId="0" borderId="6" xfId="2306" applyNumberFormat="1" applyFont="1" applyBorder="1" applyAlignment="1">
      <alignment horizontal="center"/>
    </xf>
    <xf numFmtId="3" fontId="79" fillId="76" borderId="61" xfId="2306" applyNumberFormat="1" applyFont="1" applyFill="1" applyBorder="1" applyAlignment="1">
      <alignment horizontal="center"/>
    </xf>
    <xf numFmtId="0" fontId="70" fillId="17" borderId="4" xfId="2306" applyFont="1" applyFill="1" applyBorder="1"/>
    <xf numFmtId="0" fontId="8" fillId="17" borderId="0" xfId="2306" applyFont="1" applyFill="1" applyBorder="1"/>
    <xf numFmtId="0" fontId="68" fillId="17" borderId="0" xfId="2306" applyFont="1" applyFill="1" applyBorder="1"/>
    <xf numFmtId="0" fontId="68" fillId="18" borderId="0" xfId="2306" applyFont="1" applyFill="1" applyBorder="1"/>
    <xf numFmtId="0" fontId="68" fillId="18" borderId="0" xfId="2306" applyFont="1" applyFill="1"/>
    <xf numFmtId="0" fontId="8" fillId="17" borderId="0" xfId="2306" applyFont="1" applyFill="1"/>
    <xf numFmtId="0" fontId="8" fillId="0" borderId="0" xfId="2306" applyFont="1"/>
    <xf numFmtId="4" fontId="69" fillId="0" borderId="0" xfId="2306" applyNumberFormat="1" applyFont="1"/>
    <xf numFmtId="4" fontId="68" fillId="0" borderId="0" xfId="2306" applyNumberFormat="1" applyFont="1"/>
    <xf numFmtId="0" fontId="7" fillId="0" borderId="0" xfId="1819" applyFont="1" applyAlignment="1">
      <alignment horizontal="center"/>
    </xf>
    <xf numFmtId="0" fontId="81" fillId="74" borderId="0" xfId="2306" applyFont="1" applyFill="1" applyAlignment="1">
      <alignment horizontal="center"/>
    </xf>
    <xf numFmtId="0" fontId="82" fillId="74" borderId="0" xfId="2306" quotePrefix="1" applyFont="1" applyFill="1" applyBorder="1" applyAlignment="1">
      <alignment horizontal="center"/>
    </xf>
    <xf numFmtId="0" fontId="81" fillId="74" borderId="25" xfId="2306" applyFont="1" applyFill="1" applyBorder="1" applyAlignment="1">
      <alignment horizontal="center"/>
    </xf>
    <xf numFmtId="0" fontId="7" fillId="0" borderId="0" xfId="0" applyFont="1" applyAlignment="1">
      <alignment horizontal="right" vertical="center"/>
    </xf>
    <xf numFmtId="49" fontId="7" fillId="0" borderId="0" xfId="0" applyNumberFormat="1" applyFont="1" applyAlignment="1">
      <alignment horizontal="right" vertical="center"/>
    </xf>
    <xf numFmtId="0" fontId="0" fillId="17" borderId="4" xfId="0" applyFill="1" applyBorder="1" applyAlignment="1">
      <alignment horizontal="centerContinuous"/>
    </xf>
    <xf numFmtId="0" fontId="14" fillId="17" borderId="35" xfId="0" applyFont="1" applyFill="1" applyBorder="1" applyAlignment="1">
      <alignment horizontal="centerContinuous"/>
    </xf>
    <xf numFmtId="0" fontId="13" fillId="17" borderId="4" xfId="0" applyFont="1" applyFill="1" applyBorder="1" applyAlignment="1">
      <alignment horizontal="centerContinuous"/>
    </xf>
    <xf numFmtId="3" fontId="6" fillId="17" borderId="4" xfId="0" applyNumberFormat="1" applyFont="1" applyFill="1" applyBorder="1" applyAlignment="1">
      <alignment horizontal="centerContinuous"/>
    </xf>
    <xf numFmtId="3" fontId="14" fillId="17" borderId="4" xfId="0" applyNumberFormat="1" applyFont="1" applyFill="1" applyBorder="1" applyAlignment="1">
      <alignment horizontal="centerContinuous"/>
    </xf>
    <xf numFmtId="0" fontId="8" fillId="17" borderId="5" xfId="0" applyFont="1" applyFill="1" applyBorder="1" applyAlignment="1">
      <alignment horizontal="centerContinuous"/>
    </xf>
    <xf numFmtId="0" fontId="7" fillId="0" borderId="2" xfId="0" quotePrefix="1" applyFont="1" applyFill="1" applyBorder="1"/>
    <xf numFmtId="0" fontId="0" fillId="0" borderId="2" xfId="0" applyFill="1" applyBorder="1"/>
    <xf numFmtId="0" fontId="0" fillId="0" borderId="2" xfId="0" applyFill="1" applyBorder="1" applyAlignment="1">
      <alignment horizontal="left" indent="1"/>
    </xf>
    <xf numFmtId="3" fontId="7" fillId="0" borderId="54" xfId="0" applyNumberFormat="1" applyFont="1" applyBorder="1" applyAlignment="1">
      <alignment horizontal="center"/>
    </xf>
    <xf numFmtId="0" fontId="7" fillId="17" borderId="37" xfId="0" applyFont="1" applyFill="1" applyBorder="1" applyAlignment="1">
      <alignment horizontal="left" indent="1"/>
    </xf>
    <xf numFmtId="0" fontId="8" fillId="17" borderId="12" xfId="0" applyFont="1" applyFill="1" applyBorder="1" applyAlignment="1">
      <alignment horizontal="centerContinuous"/>
    </xf>
    <xf numFmtId="165" fontId="8" fillId="17" borderId="39" xfId="1" applyNumberFormat="1" applyFont="1" applyFill="1" applyBorder="1"/>
    <xf numFmtId="165" fontId="8" fillId="17" borderId="19" xfId="1" applyNumberFormat="1" applyFont="1" applyFill="1" applyBorder="1"/>
    <xf numFmtId="165" fontId="8" fillId="17" borderId="21" xfId="1" applyNumberFormat="1" applyFont="1" applyFill="1" applyBorder="1"/>
    <xf numFmtId="0" fontId="8" fillId="17" borderId="2" xfId="0" applyFont="1" applyFill="1" applyBorder="1" applyAlignment="1">
      <alignment horizontal="centerContinuous"/>
    </xf>
    <xf numFmtId="0" fontId="8" fillId="17" borderId="3" xfId="0" applyFont="1" applyFill="1" applyBorder="1" applyAlignment="1">
      <alignment horizontal="centerContinuous"/>
    </xf>
    <xf numFmtId="4" fontId="7" fillId="0" borderId="49" xfId="0" applyNumberFormat="1" applyFont="1" applyBorder="1" applyAlignment="1">
      <alignment horizontal="center"/>
    </xf>
    <xf numFmtId="4" fontId="7" fillId="0" borderId="27" xfId="0" applyNumberFormat="1" applyFont="1" applyBorder="1" applyAlignment="1">
      <alignment horizontal="center"/>
    </xf>
    <xf numFmtId="4" fontId="7" fillId="0" borderId="27" xfId="0" applyNumberFormat="1" applyFont="1" applyFill="1" applyBorder="1"/>
    <xf numFmtId="4" fontId="7" fillId="0" borderId="32" xfId="0" applyNumberFormat="1" applyFont="1" applyBorder="1" applyAlignment="1">
      <alignment horizontal="center"/>
    </xf>
    <xf numFmtId="4" fontId="7" fillId="0" borderId="32" xfId="0" applyNumberFormat="1" applyFont="1" applyFill="1" applyBorder="1"/>
    <xf numFmtId="4" fontId="7" fillId="0" borderId="27" xfId="0" applyNumberFormat="1" applyFont="1" applyFill="1" applyBorder="1" applyAlignment="1">
      <alignment horizontal="center"/>
    </xf>
    <xf numFmtId="0" fontId="8" fillId="17" borderId="32" xfId="0" applyFont="1" applyFill="1" applyBorder="1" applyAlignment="1">
      <alignment horizontal="centerContinuous"/>
    </xf>
    <xf numFmtId="0" fontId="7" fillId="27" borderId="0" xfId="0" applyFont="1" applyFill="1"/>
    <xf numFmtId="0" fontId="8" fillId="27" borderId="32" xfId="0" applyFont="1" applyFill="1" applyBorder="1" applyAlignment="1">
      <alignment horizontal="center"/>
    </xf>
    <xf numFmtId="0" fontId="8" fillId="27" borderId="48" xfId="0" applyFont="1" applyFill="1" applyBorder="1" applyAlignment="1">
      <alignment horizontal="center"/>
    </xf>
    <xf numFmtId="167" fontId="8" fillId="27" borderId="7" xfId="0" applyNumberFormat="1" applyFont="1" applyFill="1" applyBorder="1" applyAlignment="1">
      <alignment horizontal="center"/>
    </xf>
    <xf numFmtId="167" fontId="8" fillId="27" borderId="8" xfId="0" applyNumberFormat="1" applyFont="1" applyFill="1" applyBorder="1" applyAlignment="1">
      <alignment horizontal="center"/>
    </xf>
    <xf numFmtId="167" fontId="8" fillId="27" borderId="10" xfId="0" applyNumberFormat="1" applyFont="1" applyFill="1" applyBorder="1" applyAlignment="1">
      <alignment horizontal="center"/>
    </xf>
    <xf numFmtId="0" fontId="8" fillId="27" borderId="0" xfId="0" applyFont="1" applyFill="1" applyBorder="1" applyAlignment="1">
      <alignment horizontal="centerContinuous"/>
    </xf>
    <xf numFmtId="4" fontId="7" fillId="0" borderId="17" xfId="0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4" fontId="7" fillId="0" borderId="48" xfId="0" applyNumberFormat="1" applyFont="1" applyBorder="1" applyAlignment="1">
      <alignment horizontal="center"/>
    </xf>
    <xf numFmtId="172" fontId="7" fillId="0" borderId="36" xfId="1" applyNumberFormat="1" applyFont="1" applyFill="1" applyBorder="1"/>
    <xf numFmtId="172" fontId="7" fillId="0" borderId="33" xfId="1" applyNumberFormat="1" applyFont="1" applyBorder="1"/>
    <xf numFmtId="172" fontId="7" fillId="0" borderId="39" xfId="1" applyNumberFormat="1" applyFont="1" applyFill="1" applyBorder="1"/>
    <xf numFmtId="172" fontId="7" fillId="0" borderId="15" xfId="1" applyNumberFormat="1" applyFont="1" applyBorder="1"/>
    <xf numFmtId="172" fontId="7" fillId="0" borderId="49" xfId="1" applyNumberFormat="1" applyFont="1" applyFill="1" applyBorder="1"/>
    <xf numFmtId="0" fontId="8" fillId="17" borderId="36" xfId="0" applyFont="1" applyFill="1" applyBorder="1"/>
    <xf numFmtId="0" fontId="8" fillId="26" borderId="26" xfId="0" applyFont="1" applyFill="1" applyBorder="1"/>
    <xf numFmtId="0" fontId="8" fillId="0" borderId="0" xfId="0" applyFont="1" applyFill="1" applyAlignment="1">
      <alignment horizontal="left" vertical="center"/>
    </xf>
    <xf numFmtId="0" fontId="11" fillId="0" borderId="0" xfId="3" applyFont="1" applyFill="1"/>
    <xf numFmtId="0" fontId="8" fillId="0" borderId="0" xfId="0" applyFont="1" applyFill="1" applyAlignment="1">
      <alignment horizontal="left" indent="2"/>
    </xf>
    <xf numFmtId="0" fontId="7" fillId="0" borderId="0" xfId="0" applyFont="1" applyFill="1" applyAlignment="1">
      <alignment horizontal="left" vertical="center"/>
    </xf>
    <xf numFmtId="3" fontId="11" fillId="0" borderId="3" xfId="3" applyNumberFormat="1" applyFont="1" applyFill="1" applyBorder="1" applyAlignment="1">
      <alignment horizontal="right" indent="1"/>
    </xf>
    <xf numFmtId="9" fontId="8" fillId="0" borderId="3" xfId="2" applyFont="1" applyFill="1" applyBorder="1" applyAlignment="1">
      <alignment horizontal="right" indent="1"/>
    </xf>
    <xf numFmtId="9" fontId="8" fillId="0" borderId="6" xfId="2" applyFont="1" applyBorder="1" applyAlignment="1">
      <alignment horizontal="right" indent="1"/>
    </xf>
    <xf numFmtId="3" fontId="8" fillId="0" borderId="18" xfId="0" applyNumberFormat="1" applyFont="1" applyFill="1" applyBorder="1" applyAlignment="1">
      <alignment horizontal="right" indent="1"/>
    </xf>
    <xf numFmtId="3" fontId="8" fillId="0" borderId="22" xfId="0" applyNumberFormat="1" applyFont="1" applyBorder="1" applyAlignment="1">
      <alignment horizontal="right" indent="1"/>
    </xf>
    <xf numFmtId="3" fontId="8" fillId="0" borderId="47" xfId="0" applyNumberFormat="1" applyFont="1" applyFill="1" applyBorder="1" applyAlignment="1">
      <alignment horizontal="right" indent="1"/>
    </xf>
    <xf numFmtId="3" fontId="8" fillId="0" borderId="28" xfId="0" applyNumberFormat="1" applyFont="1" applyBorder="1" applyAlignment="1">
      <alignment horizontal="right" indent="1"/>
    </xf>
    <xf numFmtId="9" fontId="8" fillId="0" borderId="18" xfId="2" applyFont="1" applyFill="1" applyBorder="1" applyAlignment="1">
      <alignment horizontal="right" indent="1"/>
    </xf>
    <xf numFmtId="9" fontId="8" fillId="0" borderId="22" xfId="2" applyFont="1" applyBorder="1" applyAlignment="1">
      <alignment horizontal="right" indent="1"/>
    </xf>
    <xf numFmtId="169" fontId="57" fillId="17" borderId="9" xfId="2" applyNumberFormat="1" applyFont="1" applyFill="1" applyBorder="1" applyAlignment="1">
      <alignment horizontal="right" indent="1"/>
    </xf>
    <xf numFmtId="3" fontId="57" fillId="17" borderId="9" xfId="5" applyNumberFormat="1" applyFont="1" applyFill="1" applyBorder="1" applyAlignment="1">
      <alignment horizontal="right"/>
    </xf>
    <xf numFmtId="0" fontId="11" fillId="17" borderId="27" xfId="3" applyFont="1" applyFill="1" applyBorder="1"/>
    <xf numFmtId="0" fontId="8" fillId="0" borderId="7" xfId="0" applyFont="1" applyBorder="1" applyAlignment="1">
      <alignment horizontal="center"/>
    </xf>
    <xf numFmtId="4" fontId="0" fillId="17" borderId="111" xfId="0" applyNumberFormat="1" applyFont="1" applyFill="1" applyBorder="1" applyAlignment="1">
      <alignment horizontal="center"/>
    </xf>
    <xf numFmtId="0" fontId="0" fillId="0" borderId="71" xfId="0" applyFill="1" applyBorder="1" applyAlignment="1">
      <alignment horizontal="center" vertical="center"/>
    </xf>
    <xf numFmtId="0" fontId="18" fillId="17" borderId="90" xfId="0" applyFont="1" applyFill="1" applyBorder="1" applyAlignment="1">
      <alignment horizontal="center"/>
    </xf>
    <xf numFmtId="0" fontId="0" fillId="17" borderId="80" xfId="0" applyFill="1" applyBorder="1" applyAlignment="1">
      <alignment horizontal="center" vertical="center"/>
    </xf>
    <xf numFmtId="164" fontId="6" fillId="0" borderId="92" xfId="0" applyNumberFormat="1" applyFont="1" applyFill="1" applyBorder="1" applyAlignment="1">
      <alignment horizontal="center"/>
    </xf>
    <xf numFmtId="1" fontId="0" fillId="0" borderId="93" xfId="0" applyNumberFormat="1" applyFont="1" applyFill="1" applyBorder="1" applyAlignment="1">
      <alignment horizontal="center"/>
    </xf>
    <xf numFmtId="164" fontId="6" fillId="0" borderId="93" xfId="0" applyNumberFormat="1" applyFont="1" applyFill="1" applyBorder="1" applyAlignment="1">
      <alignment horizontal="center"/>
    </xf>
    <xf numFmtId="0" fontId="6" fillId="0" borderId="9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167" fontId="0" fillId="0" borderId="71" xfId="0" applyNumberFormat="1" applyBorder="1"/>
    <xf numFmtId="164" fontId="6" fillId="0" borderId="69" xfId="0" applyNumberFormat="1" applyFont="1" applyFill="1" applyBorder="1" applyAlignment="1">
      <alignment horizontal="center"/>
    </xf>
    <xf numFmtId="164" fontId="6" fillId="0" borderId="70" xfId="0" applyNumberFormat="1" applyFont="1" applyFill="1" applyBorder="1" applyAlignment="1">
      <alignment horizontal="center"/>
    </xf>
    <xf numFmtId="0" fontId="8" fillId="17" borderId="13" xfId="0" applyFont="1" applyFill="1" applyBorder="1" applyAlignment="1">
      <alignment horizontal="centerContinuous"/>
    </xf>
    <xf numFmtId="0" fontId="8" fillId="17" borderId="17" xfId="0" applyFont="1" applyFill="1" applyBorder="1" applyAlignment="1">
      <alignment horizontal="center"/>
    </xf>
    <xf numFmtId="0" fontId="0" fillId="77" borderId="27" xfId="0" applyFill="1" applyBorder="1" applyAlignment="1">
      <alignment horizontal="center" vertical="center"/>
    </xf>
    <xf numFmtId="0" fontId="0" fillId="77" borderId="27" xfId="0" applyNumberFormat="1" applyFill="1" applyBorder="1" applyAlignment="1">
      <alignment horizontal="center" vertical="center"/>
    </xf>
    <xf numFmtId="0" fontId="34" fillId="17" borderId="32" xfId="0" applyFont="1" applyFill="1" applyBorder="1" applyAlignment="1">
      <alignment horizontal="center"/>
    </xf>
    <xf numFmtId="0" fontId="6" fillId="20" borderId="49" xfId="0" applyFont="1" applyFill="1" applyBorder="1" applyAlignment="1">
      <alignment horizontal="centerContinuous"/>
    </xf>
    <xf numFmtId="4" fontId="6" fillId="16" borderId="97" xfId="0" applyNumberFormat="1" applyFont="1" applyFill="1" applyBorder="1" applyAlignment="1">
      <alignment horizontal="center"/>
    </xf>
    <xf numFmtId="0" fontId="0" fillId="0" borderId="49" xfId="0" applyBorder="1" applyAlignment="1">
      <alignment horizontal="center"/>
    </xf>
    <xf numFmtId="0" fontId="59" fillId="17" borderId="119" xfId="4" applyFont="1" applyFill="1" applyBorder="1"/>
    <xf numFmtId="0" fontId="14" fillId="17" borderId="48" xfId="0" applyFont="1" applyFill="1" applyBorder="1" applyAlignment="1">
      <alignment horizontal="center"/>
    </xf>
    <xf numFmtId="0" fontId="6" fillId="17" borderId="32" xfId="0" applyFont="1" applyFill="1" applyBorder="1"/>
    <xf numFmtId="0" fontId="54" fillId="17" borderId="48" xfId="3" applyFont="1" applyFill="1" applyBorder="1"/>
    <xf numFmtId="0" fontId="8" fillId="0" borderId="26" xfId="0" applyFont="1" applyFill="1" applyBorder="1"/>
    <xf numFmtId="9" fontId="11" fillId="0" borderId="32" xfId="2" applyFont="1" applyFill="1" applyBorder="1" applyAlignment="1" applyProtection="1">
      <alignment horizontal="center" vertical="center"/>
    </xf>
    <xf numFmtId="9" fontId="7" fillId="0" borderId="32" xfId="2" applyFont="1" applyFill="1" applyBorder="1" applyAlignment="1">
      <alignment horizontal="center" vertical="center"/>
    </xf>
    <xf numFmtId="0" fontId="61" fillId="30" borderId="91" xfId="0" applyFont="1" applyFill="1" applyBorder="1" applyAlignment="1">
      <alignment horizontal="center" vertical="center"/>
    </xf>
    <xf numFmtId="0" fontId="61" fillId="32" borderId="44" xfId="0" applyFont="1" applyFill="1" applyBorder="1" applyAlignment="1">
      <alignment horizontal="center" vertical="center"/>
    </xf>
    <xf numFmtId="0" fontId="61" fillId="36" borderId="54" xfId="0" applyFont="1" applyFill="1" applyBorder="1" applyAlignment="1">
      <alignment horizontal="center" vertical="center"/>
    </xf>
    <xf numFmtId="0" fontId="10" fillId="31" borderId="31" xfId="0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/>
    </xf>
    <xf numFmtId="0" fontId="15" fillId="0" borderId="0" xfId="0" applyFont="1" applyFill="1"/>
    <xf numFmtId="0" fontId="8" fillId="0" borderId="0" xfId="0" applyFont="1" applyFill="1" applyAlignment="1">
      <alignment vertical="center"/>
    </xf>
    <xf numFmtId="0" fontId="7" fillId="0" borderId="0" xfId="0" applyFont="1" applyFill="1" applyAlignment="1">
      <alignment vertical="top"/>
    </xf>
    <xf numFmtId="0" fontId="8" fillId="0" borderId="0" xfId="0" applyFont="1" applyFill="1" applyAlignment="1">
      <alignment horizontal="right" vertical="top"/>
    </xf>
    <xf numFmtId="0" fontId="7" fillId="0" borderId="0" xfId="0" applyFont="1" applyFill="1" applyAlignment="1">
      <alignment vertical="top" wrapText="1"/>
    </xf>
    <xf numFmtId="0" fontId="7" fillId="0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indent="1"/>
    </xf>
    <xf numFmtId="3" fontId="14" fillId="0" borderId="0" xfId="0" applyNumberFormat="1" applyFont="1" applyFill="1"/>
    <xf numFmtId="0" fontId="11" fillId="17" borderId="2" xfId="3" applyFont="1" applyFill="1" applyBorder="1"/>
    <xf numFmtId="0" fontId="10" fillId="17" borderId="5" xfId="3" applyFont="1" applyFill="1" applyBorder="1"/>
    <xf numFmtId="3" fontId="14" fillId="17" borderId="2" xfId="0" applyNumberFormat="1" applyFont="1" applyFill="1" applyBorder="1"/>
    <xf numFmtId="3" fontId="8" fillId="17" borderId="2" xfId="0" applyNumberFormat="1" applyFont="1" applyFill="1" applyBorder="1" applyAlignment="1">
      <alignment horizontal="center"/>
    </xf>
    <xf numFmtId="3" fontId="8" fillId="17" borderId="3" xfId="0" applyNumberFormat="1" applyFont="1" applyFill="1" applyBorder="1" applyAlignment="1">
      <alignment horizontal="center"/>
    </xf>
    <xf numFmtId="3" fontId="8" fillId="17" borderId="5" xfId="0" applyNumberFormat="1" applyFont="1" applyFill="1" applyBorder="1" applyAlignment="1">
      <alignment horizontal="center"/>
    </xf>
    <xf numFmtId="9" fontId="8" fillId="17" borderId="2" xfId="2" applyFont="1" applyFill="1" applyBorder="1" applyAlignment="1">
      <alignment horizontal="center"/>
    </xf>
    <xf numFmtId="9" fontId="7" fillId="17" borderId="2" xfId="2" applyFont="1" applyFill="1" applyBorder="1" applyAlignment="1">
      <alignment horizontal="center"/>
    </xf>
    <xf numFmtId="3" fontId="8" fillId="0" borderId="6" xfId="0" applyNumberFormat="1" applyFont="1" applyFill="1" applyBorder="1"/>
    <xf numFmtId="0" fontId="7" fillId="26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17" borderId="32" xfId="0" applyFont="1" applyFill="1" applyBorder="1"/>
    <xf numFmtId="0" fontId="23" fillId="0" borderId="47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2" fontId="7" fillId="0" borderId="28" xfId="0" applyNumberFormat="1" applyFont="1" applyBorder="1" applyAlignment="1">
      <alignment horizontal="center"/>
    </xf>
    <xf numFmtId="3" fontId="7" fillId="29" borderId="3" xfId="0" applyNumberFormat="1" applyFont="1" applyFill="1" applyBorder="1" applyAlignment="1">
      <alignment horizontal="center"/>
    </xf>
    <xf numFmtId="3" fontId="7" fillId="46" borderId="18" xfId="0" applyNumberFormat="1" applyFont="1" applyFill="1" applyBorder="1" applyAlignment="1">
      <alignment horizontal="center"/>
    </xf>
    <xf numFmtId="166" fontId="8" fillId="0" borderId="47" xfId="1" applyNumberFormat="1" applyFont="1" applyBorder="1" applyAlignment="1">
      <alignment vertical="center"/>
    </xf>
    <xf numFmtId="167" fontId="8" fillId="0" borderId="27" xfId="0" applyNumberFormat="1" applyFont="1" applyFill="1" applyBorder="1" applyAlignment="1">
      <alignment vertical="center"/>
    </xf>
    <xf numFmtId="166" fontId="8" fillId="0" borderId="21" xfId="1" applyNumberFormat="1" applyFont="1" applyFill="1" applyBorder="1" applyAlignment="1">
      <alignment vertical="center"/>
    </xf>
    <xf numFmtId="167" fontId="7" fillId="0" borderId="25" xfId="0" applyNumberFormat="1" applyFont="1" applyBorder="1" applyAlignment="1">
      <alignment horizontal="center"/>
    </xf>
    <xf numFmtId="4" fontId="8" fillId="0" borderId="74" xfId="0" applyNumberFormat="1" applyFont="1" applyBorder="1" applyAlignment="1">
      <alignment horizontal="center"/>
    </xf>
    <xf numFmtId="0" fontId="7" fillId="0" borderId="56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69" borderId="18" xfId="0" applyFont="1" applyFill="1" applyBorder="1" applyAlignment="1">
      <alignment horizontal="center"/>
    </xf>
    <xf numFmtId="0" fontId="7" fillId="17" borderId="18" xfId="0" applyFont="1" applyFill="1" applyBorder="1"/>
    <xf numFmtId="3" fontId="8" fillId="0" borderId="0" xfId="0" applyNumberFormat="1" applyFont="1" applyBorder="1" applyAlignment="1">
      <alignment horizontal="center"/>
    </xf>
    <xf numFmtId="0" fontId="59" fillId="17" borderId="36" xfId="4" applyFont="1" applyFill="1" applyBorder="1"/>
    <xf numFmtId="0" fontId="18" fillId="17" borderId="102" xfId="0" applyFont="1" applyFill="1" applyBorder="1" applyAlignment="1">
      <alignment horizontal="center"/>
    </xf>
    <xf numFmtId="0" fontId="80" fillId="29" borderId="10" xfId="2306" applyFont="1" applyFill="1" applyBorder="1" applyAlignment="1">
      <alignment horizontal="center" vertical="center" wrapText="1"/>
    </xf>
    <xf numFmtId="0" fontId="80" fillId="29" borderId="23" xfId="2306" applyFont="1" applyFill="1" applyBorder="1" applyAlignment="1">
      <alignment horizontal="center" vertical="center" wrapText="1"/>
    </xf>
    <xf numFmtId="0" fontId="78" fillId="0" borderId="117" xfId="2306" applyFont="1" applyBorder="1" applyAlignment="1">
      <alignment horizontal="center"/>
    </xf>
    <xf numFmtId="0" fontId="78" fillId="0" borderId="118" xfId="2306" applyFont="1" applyBorder="1" applyAlignment="1">
      <alignment horizontal="center"/>
    </xf>
    <xf numFmtId="3" fontId="22" fillId="17" borderId="0" xfId="3" applyNumberFormat="1" applyFont="1" applyFill="1" applyBorder="1" applyAlignment="1">
      <alignment horizontal="center"/>
    </xf>
    <xf numFmtId="3" fontId="10" fillId="17" borderId="44" xfId="3" applyNumberFormat="1" applyFont="1" applyFill="1" applyBorder="1" applyAlignment="1">
      <alignment horizontal="center" wrapText="1"/>
    </xf>
    <xf numFmtId="3" fontId="83" fillId="17" borderId="0" xfId="3" applyNumberFormat="1" applyFont="1" applyFill="1" applyAlignment="1">
      <alignment horizontal="centerContinuous"/>
    </xf>
    <xf numFmtId="0" fontId="11" fillId="17" borderId="21" xfId="3" applyFont="1" applyFill="1" applyBorder="1" applyAlignment="1">
      <alignment horizontal="center" wrapText="1"/>
    </xf>
    <xf numFmtId="0" fontId="11" fillId="17" borderId="22" xfId="3" applyFont="1" applyFill="1" applyBorder="1" applyAlignment="1">
      <alignment horizontal="center" wrapText="1"/>
    </xf>
    <xf numFmtId="0" fontId="31" fillId="17" borderId="0" xfId="3" applyFont="1" applyFill="1" applyBorder="1" applyAlignment="1">
      <alignment horizontal="centerContinuous"/>
    </xf>
    <xf numFmtId="0" fontId="11" fillId="17" borderId="0" xfId="3" applyFont="1" applyFill="1" applyBorder="1" applyAlignment="1">
      <alignment horizontal="centerContinuous"/>
    </xf>
    <xf numFmtId="0" fontId="11" fillId="17" borderId="32" xfId="3" applyFont="1" applyFill="1" applyBorder="1" applyAlignment="1">
      <alignment horizontal="centerContinuous"/>
    </xf>
    <xf numFmtId="3" fontId="10" fillId="17" borderId="21" xfId="3" applyNumberFormat="1" applyFont="1" applyFill="1" applyBorder="1" applyAlignment="1">
      <alignment horizontal="center" wrapText="1"/>
    </xf>
    <xf numFmtId="0" fontId="11" fillId="17" borderId="28" xfId="3" applyFont="1" applyFill="1" applyBorder="1" applyAlignment="1">
      <alignment horizontal="center" wrapText="1"/>
    </xf>
    <xf numFmtId="0" fontId="11" fillId="17" borderId="6" xfId="3" applyFont="1" applyFill="1" applyBorder="1" applyAlignment="1">
      <alignment horizontal="center" wrapText="1"/>
    </xf>
    <xf numFmtId="9" fontId="64" fillId="0" borderId="9" xfId="2" applyFont="1" applyFill="1" applyBorder="1" applyAlignment="1">
      <alignment horizontal="right" indent="1"/>
    </xf>
    <xf numFmtId="3" fontId="64" fillId="0" borderId="20" xfId="0" applyNumberFormat="1" applyFont="1" applyFill="1" applyBorder="1" applyAlignment="1">
      <alignment horizontal="right" indent="1"/>
    </xf>
    <xf numFmtId="9" fontId="64" fillId="0" borderId="20" xfId="2" applyFont="1" applyFill="1" applyBorder="1" applyAlignment="1">
      <alignment horizontal="right" indent="1"/>
    </xf>
    <xf numFmtId="0" fontId="27" fillId="41" borderId="0" xfId="0" applyFont="1" applyFill="1" applyAlignment="1">
      <alignment horizontal="center" vertical="center"/>
    </xf>
    <xf numFmtId="0" fontId="8" fillId="21" borderId="0" xfId="0" applyFont="1" applyFill="1" applyAlignment="1">
      <alignment horizontal="center" vertical="center" wrapText="1"/>
    </xf>
    <xf numFmtId="0" fontId="27" fillId="48" borderId="0" xfId="0" applyFont="1" applyFill="1" applyAlignment="1">
      <alignment horizontal="center" vertical="center" wrapText="1"/>
    </xf>
    <xf numFmtId="0" fontId="27" fillId="40" borderId="67" xfId="0" applyFont="1" applyFill="1" applyBorder="1" applyAlignment="1">
      <alignment horizontal="center" vertical="center" wrapText="1"/>
    </xf>
    <xf numFmtId="0" fontId="27" fillId="40" borderId="0" xfId="0" applyFont="1" applyFill="1" applyBorder="1" applyAlignment="1">
      <alignment horizontal="center" vertical="center" wrapText="1"/>
    </xf>
    <xf numFmtId="0" fontId="7" fillId="15" borderId="42" xfId="1819" applyFont="1" applyFill="1" applyBorder="1" applyAlignment="1">
      <alignment horizontal="center" vertical="center" wrapText="1"/>
    </xf>
    <xf numFmtId="0" fontId="7" fillId="15" borderId="8" xfId="1819" applyFont="1" applyFill="1" applyBorder="1" applyAlignment="1">
      <alignment horizontal="center" vertical="center" wrapText="1"/>
    </xf>
    <xf numFmtId="0" fontId="7" fillId="15" borderId="26" xfId="1819" applyFont="1" applyFill="1" applyBorder="1" applyAlignment="1">
      <alignment horizontal="center" vertical="center" wrapText="1"/>
    </xf>
    <xf numFmtId="0" fontId="27" fillId="17" borderId="0" xfId="0" applyFont="1" applyFill="1" applyBorder="1" applyAlignment="1">
      <alignment horizontal="center"/>
    </xf>
  </cellXfs>
  <cellStyles count="2307">
    <cellStyle name="20% - Accent1 10" xfId="6"/>
    <cellStyle name="20% - Accent1 10 2" xfId="7"/>
    <cellStyle name="20% - Accent1 10 2 2" xfId="8"/>
    <cellStyle name="20% - Accent1 10 3" xfId="9"/>
    <cellStyle name="20% - Accent1 11" xfId="10"/>
    <cellStyle name="20% - Accent1 11 2" xfId="11"/>
    <cellStyle name="20% - Accent1 12" xfId="12"/>
    <cellStyle name="20% - Accent1 2" xfId="13"/>
    <cellStyle name="20% - Accent1 2 2" xfId="14"/>
    <cellStyle name="20% - Accent1 2 2 2" xfId="15"/>
    <cellStyle name="20% - Accent1 2 2 2 2" xfId="16"/>
    <cellStyle name="20% - Accent1 2 2 2 2 2" xfId="17"/>
    <cellStyle name="20% - Accent1 2 2 2 2 2 2" xfId="18"/>
    <cellStyle name="20% - Accent1 2 2 2 2 3" xfId="19"/>
    <cellStyle name="20% - Accent1 2 2 2 3" xfId="20"/>
    <cellStyle name="20% - Accent1 2 2 2 3 2" xfId="21"/>
    <cellStyle name="20% - Accent1 2 2 2 4" xfId="22"/>
    <cellStyle name="20% - Accent1 2 2 3" xfId="23"/>
    <cellStyle name="20% - Accent1 2 2 3 2" xfId="24"/>
    <cellStyle name="20% - Accent1 2 2 3 2 2" xfId="25"/>
    <cellStyle name="20% - Accent1 2 2 3 3" xfId="26"/>
    <cellStyle name="20% - Accent1 2 2 4" xfId="27"/>
    <cellStyle name="20% - Accent1 2 2 4 2" xfId="28"/>
    <cellStyle name="20% - Accent1 2 2 5" xfId="29"/>
    <cellStyle name="20% - Accent1 2 3" xfId="30"/>
    <cellStyle name="20% - Accent1 2 3 2" xfId="31"/>
    <cellStyle name="20% - Accent1 2 3 2 2" xfId="32"/>
    <cellStyle name="20% - Accent1 2 3 2 2 2" xfId="33"/>
    <cellStyle name="20% - Accent1 2 3 2 3" xfId="34"/>
    <cellStyle name="20% - Accent1 2 3 3" xfId="35"/>
    <cellStyle name="20% - Accent1 2 3 3 2" xfId="36"/>
    <cellStyle name="20% - Accent1 2 3 4" xfId="37"/>
    <cellStyle name="20% - Accent1 2 4" xfId="38"/>
    <cellStyle name="20% - Accent1 2 4 2" xfId="39"/>
    <cellStyle name="20% - Accent1 2 4 2 2" xfId="40"/>
    <cellStyle name="20% - Accent1 2 4 3" xfId="41"/>
    <cellStyle name="20% - Accent1 2 5" xfId="42"/>
    <cellStyle name="20% - Accent1 2 5 2" xfId="43"/>
    <cellStyle name="20% - Accent1 2 6" xfId="44"/>
    <cellStyle name="20% - Accent1 3" xfId="45"/>
    <cellStyle name="20% - Accent1 3 2" xfId="46"/>
    <cellStyle name="20% - Accent1 3 2 2" xfId="47"/>
    <cellStyle name="20% - Accent1 3 2 2 2" xfId="48"/>
    <cellStyle name="20% - Accent1 3 2 2 2 2" xfId="49"/>
    <cellStyle name="20% - Accent1 3 2 2 3" xfId="50"/>
    <cellStyle name="20% - Accent1 3 2 3" xfId="51"/>
    <cellStyle name="20% - Accent1 3 2 3 2" xfId="52"/>
    <cellStyle name="20% - Accent1 3 2 4" xfId="53"/>
    <cellStyle name="20% - Accent1 3 3" xfId="54"/>
    <cellStyle name="20% - Accent1 3 3 2" xfId="55"/>
    <cellStyle name="20% - Accent1 3 3 2 2" xfId="56"/>
    <cellStyle name="20% - Accent1 3 3 3" xfId="57"/>
    <cellStyle name="20% - Accent1 3 4" xfId="58"/>
    <cellStyle name="20% - Accent1 3 4 2" xfId="59"/>
    <cellStyle name="20% - Accent1 3 5" xfId="60"/>
    <cellStyle name="20% - Accent1 4" xfId="61"/>
    <cellStyle name="20% - Accent1 4 2" xfId="62"/>
    <cellStyle name="20% - Accent1 4 2 2" xfId="63"/>
    <cellStyle name="20% - Accent1 4 2 2 2" xfId="64"/>
    <cellStyle name="20% - Accent1 4 2 2 2 2" xfId="65"/>
    <cellStyle name="20% - Accent1 4 2 2 3" xfId="66"/>
    <cellStyle name="20% - Accent1 4 2 3" xfId="67"/>
    <cellStyle name="20% - Accent1 4 2 3 2" xfId="68"/>
    <cellStyle name="20% - Accent1 4 2 4" xfId="69"/>
    <cellStyle name="20% - Accent1 4 3" xfId="70"/>
    <cellStyle name="20% - Accent1 4 3 2" xfId="71"/>
    <cellStyle name="20% - Accent1 4 3 2 2" xfId="72"/>
    <cellStyle name="20% - Accent1 4 3 3" xfId="73"/>
    <cellStyle name="20% - Accent1 4 4" xfId="74"/>
    <cellStyle name="20% - Accent1 4 4 2" xfId="75"/>
    <cellStyle name="20% - Accent1 4 5" xfId="76"/>
    <cellStyle name="20% - Accent1 5" xfId="77"/>
    <cellStyle name="20% - Accent1 5 2" xfId="78"/>
    <cellStyle name="20% - Accent1 5 2 2" xfId="79"/>
    <cellStyle name="20% - Accent1 5 2 2 2" xfId="80"/>
    <cellStyle name="20% - Accent1 5 2 2 2 2" xfId="81"/>
    <cellStyle name="20% - Accent1 5 2 2 3" xfId="82"/>
    <cellStyle name="20% - Accent1 5 2 3" xfId="83"/>
    <cellStyle name="20% - Accent1 5 2 3 2" xfId="84"/>
    <cellStyle name="20% - Accent1 5 2 4" xfId="85"/>
    <cellStyle name="20% - Accent1 5 3" xfId="86"/>
    <cellStyle name="20% - Accent1 5 3 2" xfId="87"/>
    <cellStyle name="20% - Accent1 5 3 2 2" xfId="88"/>
    <cellStyle name="20% - Accent1 5 3 3" xfId="89"/>
    <cellStyle name="20% - Accent1 5 4" xfId="90"/>
    <cellStyle name="20% - Accent1 5 4 2" xfId="91"/>
    <cellStyle name="20% - Accent1 5 5" xfId="92"/>
    <cellStyle name="20% - Accent1 6" xfId="93"/>
    <cellStyle name="20% - Accent1 6 2" xfId="94"/>
    <cellStyle name="20% - Accent1 6 2 2" xfId="95"/>
    <cellStyle name="20% - Accent1 6 2 2 2" xfId="96"/>
    <cellStyle name="20% - Accent1 6 2 2 2 2" xfId="97"/>
    <cellStyle name="20% - Accent1 6 2 2 3" xfId="98"/>
    <cellStyle name="20% - Accent1 6 2 3" xfId="99"/>
    <cellStyle name="20% - Accent1 6 2 3 2" xfId="100"/>
    <cellStyle name="20% - Accent1 6 2 4" xfId="101"/>
    <cellStyle name="20% - Accent1 6 3" xfId="102"/>
    <cellStyle name="20% - Accent1 6 3 2" xfId="103"/>
    <cellStyle name="20% - Accent1 6 3 2 2" xfId="104"/>
    <cellStyle name="20% - Accent1 6 3 3" xfId="105"/>
    <cellStyle name="20% - Accent1 6 4" xfId="106"/>
    <cellStyle name="20% - Accent1 6 4 2" xfId="107"/>
    <cellStyle name="20% - Accent1 6 5" xfId="108"/>
    <cellStyle name="20% - Accent1 7" xfId="109"/>
    <cellStyle name="20% - Accent1 7 2" xfId="110"/>
    <cellStyle name="20% - Accent1 7 2 2" xfId="111"/>
    <cellStyle name="20% - Accent1 7 2 2 2" xfId="112"/>
    <cellStyle name="20% - Accent1 7 2 2 2 2" xfId="113"/>
    <cellStyle name="20% - Accent1 7 2 2 3" xfId="114"/>
    <cellStyle name="20% - Accent1 7 2 3" xfId="115"/>
    <cellStyle name="20% - Accent1 7 2 3 2" xfId="116"/>
    <cellStyle name="20% - Accent1 7 2 4" xfId="117"/>
    <cellStyle name="20% - Accent1 7 3" xfId="118"/>
    <cellStyle name="20% - Accent1 7 3 2" xfId="119"/>
    <cellStyle name="20% - Accent1 7 3 2 2" xfId="120"/>
    <cellStyle name="20% - Accent1 7 3 3" xfId="121"/>
    <cellStyle name="20% - Accent1 7 4" xfId="122"/>
    <cellStyle name="20% - Accent1 7 4 2" xfId="123"/>
    <cellStyle name="20% - Accent1 7 5" xfId="124"/>
    <cellStyle name="20% - Accent1 8" xfId="125"/>
    <cellStyle name="20% - Accent1 8 2" xfId="126"/>
    <cellStyle name="20% - Accent1 8 2 2" xfId="127"/>
    <cellStyle name="20% - Accent1 8 2 2 2" xfId="128"/>
    <cellStyle name="20% - Accent1 8 2 2 2 2" xfId="129"/>
    <cellStyle name="20% - Accent1 8 2 2 3" xfId="130"/>
    <cellStyle name="20% - Accent1 8 2 3" xfId="131"/>
    <cellStyle name="20% - Accent1 8 2 3 2" xfId="132"/>
    <cellStyle name="20% - Accent1 8 2 4" xfId="133"/>
    <cellStyle name="20% - Accent1 8 3" xfId="134"/>
    <cellStyle name="20% - Accent1 8 3 2" xfId="135"/>
    <cellStyle name="20% - Accent1 8 3 2 2" xfId="136"/>
    <cellStyle name="20% - Accent1 8 3 3" xfId="137"/>
    <cellStyle name="20% - Accent1 8 4" xfId="138"/>
    <cellStyle name="20% - Accent1 8 4 2" xfId="139"/>
    <cellStyle name="20% - Accent1 8 5" xfId="140"/>
    <cellStyle name="20% - Accent1 9" xfId="141"/>
    <cellStyle name="20% - Accent1 9 2" xfId="142"/>
    <cellStyle name="20% - Accent1 9 2 2" xfId="143"/>
    <cellStyle name="20% - Accent1 9 2 2 2" xfId="144"/>
    <cellStyle name="20% - Accent1 9 2 3" xfId="145"/>
    <cellStyle name="20% - Accent1 9 3" xfId="146"/>
    <cellStyle name="20% - Accent1 9 3 2" xfId="147"/>
    <cellStyle name="20% - Accent1 9 4" xfId="148"/>
    <cellStyle name="20% - Accent2 10" xfId="149"/>
    <cellStyle name="20% - Accent2 10 2" xfId="150"/>
    <cellStyle name="20% - Accent2 10 2 2" xfId="151"/>
    <cellStyle name="20% - Accent2 10 3" xfId="152"/>
    <cellStyle name="20% - Accent2 11" xfId="153"/>
    <cellStyle name="20% - Accent2 11 2" xfId="154"/>
    <cellStyle name="20% - Accent2 12" xfId="155"/>
    <cellStyle name="20% - Accent2 2" xfId="156"/>
    <cellStyle name="20% - Accent2 2 2" xfId="157"/>
    <cellStyle name="20% - Accent2 2 2 2" xfId="158"/>
    <cellStyle name="20% - Accent2 2 2 2 2" xfId="159"/>
    <cellStyle name="20% - Accent2 2 2 2 2 2" xfId="160"/>
    <cellStyle name="20% - Accent2 2 2 2 2 2 2" xfId="161"/>
    <cellStyle name="20% - Accent2 2 2 2 2 3" xfId="162"/>
    <cellStyle name="20% - Accent2 2 2 2 3" xfId="163"/>
    <cellStyle name="20% - Accent2 2 2 2 3 2" xfId="164"/>
    <cellStyle name="20% - Accent2 2 2 2 4" xfId="165"/>
    <cellStyle name="20% - Accent2 2 2 3" xfId="166"/>
    <cellStyle name="20% - Accent2 2 2 3 2" xfId="167"/>
    <cellStyle name="20% - Accent2 2 2 3 2 2" xfId="168"/>
    <cellStyle name="20% - Accent2 2 2 3 3" xfId="169"/>
    <cellStyle name="20% - Accent2 2 2 4" xfId="170"/>
    <cellStyle name="20% - Accent2 2 2 4 2" xfId="171"/>
    <cellStyle name="20% - Accent2 2 2 5" xfId="172"/>
    <cellStyle name="20% - Accent2 2 3" xfId="173"/>
    <cellStyle name="20% - Accent2 2 3 2" xfId="174"/>
    <cellStyle name="20% - Accent2 2 3 2 2" xfId="175"/>
    <cellStyle name="20% - Accent2 2 3 2 2 2" xfId="176"/>
    <cellStyle name="20% - Accent2 2 3 2 3" xfId="177"/>
    <cellStyle name="20% - Accent2 2 3 3" xfId="178"/>
    <cellStyle name="20% - Accent2 2 3 3 2" xfId="179"/>
    <cellStyle name="20% - Accent2 2 3 4" xfId="180"/>
    <cellStyle name="20% - Accent2 2 4" xfId="181"/>
    <cellStyle name="20% - Accent2 2 4 2" xfId="182"/>
    <cellStyle name="20% - Accent2 2 4 2 2" xfId="183"/>
    <cellStyle name="20% - Accent2 2 4 3" xfId="184"/>
    <cellStyle name="20% - Accent2 2 5" xfId="185"/>
    <cellStyle name="20% - Accent2 2 5 2" xfId="186"/>
    <cellStyle name="20% - Accent2 2 6" xfId="187"/>
    <cellStyle name="20% - Accent2 3" xfId="188"/>
    <cellStyle name="20% - Accent2 3 2" xfId="189"/>
    <cellStyle name="20% - Accent2 3 2 2" xfId="190"/>
    <cellStyle name="20% - Accent2 3 2 2 2" xfId="191"/>
    <cellStyle name="20% - Accent2 3 2 2 2 2" xfId="192"/>
    <cellStyle name="20% - Accent2 3 2 2 3" xfId="193"/>
    <cellStyle name="20% - Accent2 3 2 3" xfId="194"/>
    <cellStyle name="20% - Accent2 3 2 3 2" xfId="195"/>
    <cellStyle name="20% - Accent2 3 2 4" xfId="196"/>
    <cellStyle name="20% - Accent2 3 3" xfId="197"/>
    <cellStyle name="20% - Accent2 3 3 2" xfId="198"/>
    <cellStyle name="20% - Accent2 3 3 2 2" xfId="199"/>
    <cellStyle name="20% - Accent2 3 3 3" xfId="200"/>
    <cellStyle name="20% - Accent2 3 4" xfId="201"/>
    <cellStyle name="20% - Accent2 3 4 2" xfId="202"/>
    <cellStyle name="20% - Accent2 3 5" xfId="203"/>
    <cellStyle name="20% - Accent2 4" xfId="204"/>
    <cellStyle name="20% - Accent2 4 2" xfId="205"/>
    <cellStyle name="20% - Accent2 4 2 2" xfId="206"/>
    <cellStyle name="20% - Accent2 4 2 2 2" xfId="207"/>
    <cellStyle name="20% - Accent2 4 2 2 2 2" xfId="208"/>
    <cellStyle name="20% - Accent2 4 2 2 3" xfId="209"/>
    <cellStyle name="20% - Accent2 4 2 3" xfId="210"/>
    <cellStyle name="20% - Accent2 4 2 3 2" xfId="211"/>
    <cellStyle name="20% - Accent2 4 2 4" xfId="212"/>
    <cellStyle name="20% - Accent2 4 3" xfId="213"/>
    <cellStyle name="20% - Accent2 4 3 2" xfId="214"/>
    <cellStyle name="20% - Accent2 4 3 2 2" xfId="215"/>
    <cellStyle name="20% - Accent2 4 3 3" xfId="216"/>
    <cellStyle name="20% - Accent2 4 4" xfId="217"/>
    <cellStyle name="20% - Accent2 4 4 2" xfId="218"/>
    <cellStyle name="20% - Accent2 4 5" xfId="219"/>
    <cellStyle name="20% - Accent2 5" xfId="220"/>
    <cellStyle name="20% - Accent2 5 2" xfId="221"/>
    <cellStyle name="20% - Accent2 5 2 2" xfId="222"/>
    <cellStyle name="20% - Accent2 5 2 2 2" xfId="223"/>
    <cellStyle name="20% - Accent2 5 2 2 2 2" xfId="224"/>
    <cellStyle name="20% - Accent2 5 2 2 3" xfId="225"/>
    <cellStyle name="20% - Accent2 5 2 3" xfId="226"/>
    <cellStyle name="20% - Accent2 5 2 3 2" xfId="227"/>
    <cellStyle name="20% - Accent2 5 2 4" xfId="228"/>
    <cellStyle name="20% - Accent2 5 3" xfId="229"/>
    <cellStyle name="20% - Accent2 5 3 2" xfId="230"/>
    <cellStyle name="20% - Accent2 5 3 2 2" xfId="231"/>
    <cellStyle name="20% - Accent2 5 3 3" xfId="232"/>
    <cellStyle name="20% - Accent2 5 4" xfId="233"/>
    <cellStyle name="20% - Accent2 5 4 2" xfId="234"/>
    <cellStyle name="20% - Accent2 5 5" xfId="235"/>
    <cellStyle name="20% - Accent2 6" xfId="236"/>
    <cellStyle name="20% - Accent2 6 2" xfId="237"/>
    <cellStyle name="20% - Accent2 6 2 2" xfId="238"/>
    <cellStyle name="20% - Accent2 6 2 2 2" xfId="239"/>
    <cellStyle name="20% - Accent2 6 2 2 2 2" xfId="240"/>
    <cellStyle name="20% - Accent2 6 2 2 3" xfId="241"/>
    <cellStyle name="20% - Accent2 6 2 3" xfId="242"/>
    <cellStyle name="20% - Accent2 6 2 3 2" xfId="243"/>
    <cellStyle name="20% - Accent2 6 2 4" xfId="244"/>
    <cellStyle name="20% - Accent2 6 3" xfId="245"/>
    <cellStyle name="20% - Accent2 6 3 2" xfId="246"/>
    <cellStyle name="20% - Accent2 6 3 2 2" xfId="247"/>
    <cellStyle name="20% - Accent2 6 3 3" xfId="248"/>
    <cellStyle name="20% - Accent2 6 4" xfId="249"/>
    <cellStyle name="20% - Accent2 6 4 2" xfId="250"/>
    <cellStyle name="20% - Accent2 6 5" xfId="251"/>
    <cellStyle name="20% - Accent2 7" xfId="252"/>
    <cellStyle name="20% - Accent2 7 2" xfId="253"/>
    <cellStyle name="20% - Accent2 7 2 2" xfId="254"/>
    <cellStyle name="20% - Accent2 7 2 2 2" xfId="255"/>
    <cellStyle name="20% - Accent2 7 2 2 2 2" xfId="256"/>
    <cellStyle name="20% - Accent2 7 2 2 3" xfId="257"/>
    <cellStyle name="20% - Accent2 7 2 3" xfId="258"/>
    <cellStyle name="20% - Accent2 7 2 3 2" xfId="259"/>
    <cellStyle name="20% - Accent2 7 2 4" xfId="260"/>
    <cellStyle name="20% - Accent2 7 3" xfId="261"/>
    <cellStyle name="20% - Accent2 7 3 2" xfId="262"/>
    <cellStyle name="20% - Accent2 7 3 2 2" xfId="263"/>
    <cellStyle name="20% - Accent2 7 3 3" xfId="264"/>
    <cellStyle name="20% - Accent2 7 4" xfId="265"/>
    <cellStyle name="20% - Accent2 7 4 2" xfId="266"/>
    <cellStyle name="20% - Accent2 7 5" xfId="267"/>
    <cellStyle name="20% - Accent2 8" xfId="268"/>
    <cellStyle name="20% - Accent2 8 2" xfId="269"/>
    <cellStyle name="20% - Accent2 8 2 2" xfId="270"/>
    <cellStyle name="20% - Accent2 8 2 2 2" xfId="271"/>
    <cellStyle name="20% - Accent2 8 2 2 2 2" xfId="272"/>
    <cellStyle name="20% - Accent2 8 2 2 3" xfId="273"/>
    <cellStyle name="20% - Accent2 8 2 3" xfId="274"/>
    <cellStyle name="20% - Accent2 8 2 3 2" xfId="275"/>
    <cellStyle name="20% - Accent2 8 2 4" xfId="276"/>
    <cellStyle name="20% - Accent2 8 3" xfId="277"/>
    <cellStyle name="20% - Accent2 8 3 2" xfId="278"/>
    <cellStyle name="20% - Accent2 8 3 2 2" xfId="279"/>
    <cellStyle name="20% - Accent2 8 3 3" xfId="280"/>
    <cellStyle name="20% - Accent2 8 4" xfId="281"/>
    <cellStyle name="20% - Accent2 8 4 2" xfId="282"/>
    <cellStyle name="20% - Accent2 8 5" xfId="283"/>
    <cellStyle name="20% - Accent2 9" xfId="284"/>
    <cellStyle name="20% - Accent2 9 2" xfId="285"/>
    <cellStyle name="20% - Accent2 9 2 2" xfId="286"/>
    <cellStyle name="20% - Accent2 9 2 2 2" xfId="287"/>
    <cellStyle name="20% - Accent2 9 2 3" xfId="288"/>
    <cellStyle name="20% - Accent2 9 3" xfId="289"/>
    <cellStyle name="20% - Accent2 9 3 2" xfId="290"/>
    <cellStyle name="20% - Accent2 9 4" xfId="291"/>
    <cellStyle name="20% - Accent3 10" xfId="292"/>
    <cellStyle name="20% - Accent3 10 2" xfId="293"/>
    <cellStyle name="20% - Accent3 10 2 2" xfId="294"/>
    <cellStyle name="20% - Accent3 10 3" xfId="295"/>
    <cellStyle name="20% - Accent3 11" xfId="296"/>
    <cellStyle name="20% - Accent3 11 2" xfId="297"/>
    <cellStyle name="20% - Accent3 12" xfId="298"/>
    <cellStyle name="20% - Accent3 2" xfId="299"/>
    <cellStyle name="20% - Accent3 2 2" xfId="300"/>
    <cellStyle name="20% - Accent3 2 2 2" xfId="301"/>
    <cellStyle name="20% - Accent3 2 2 2 2" xfId="302"/>
    <cellStyle name="20% - Accent3 2 2 2 2 2" xfId="303"/>
    <cellStyle name="20% - Accent3 2 2 2 2 2 2" xfId="304"/>
    <cellStyle name="20% - Accent3 2 2 2 2 3" xfId="305"/>
    <cellStyle name="20% - Accent3 2 2 2 3" xfId="306"/>
    <cellStyle name="20% - Accent3 2 2 2 3 2" xfId="307"/>
    <cellStyle name="20% - Accent3 2 2 2 4" xfId="308"/>
    <cellStyle name="20% - Accent3 2 2 3" xfId="309"/>
    <cellStyle name="20% - Accent3 2 2 3 2" xfId="310"/>
    <cellStyle name="20% - Accent3 2 2 3 2 2" xfId="311"/>
    <cellStyle name="20% - Accent3 2 2 3 3" xfId="312"/>
    <cellStyle name="20% - Accent3 2 2 4" xfId="313"/>
    <cellStyle name="20% - Accent3 2 2 4 2" xfId="314"/>
    <cellStyle name="20% - Accent3 2 2 5" xfId="315"/>
    <cellStyle name="20% - Accent3 2 3" xfId="316"/>
    <cellStyle name="20% - Accent3 2 3 2" xfId="317"/>
    <cellStyle name="20% - Accent3 2 3 2 2" xfId="318"/>
    <cellStyle name="20% - Accent3 2 3 2 2 2" xfId="319"/>
    <cellStyle name="20% - Accent3 2 3 2 3" xfId="320"/>
    <cellStyle name="20% - Accent3 2 3 3" xfId="321"/>
    <cellStyle name="20% - Accent3 2 3 3 2" xfId="322"/>
    <cellStyle name="20% - Accent3 2 3 4" xfId="323"/>
    <cellStyle name="20% - Accent3 2 4" xfId="324"/>
    <cellStyle name="20% - Accent3 2 4 2" xfId="325"/>
    <cellStyle name="20% - Accent3 2 4 2 2" xfId="326"/>
    <cellStyle name="20% - Accent3 2 4 3" xfId="327"/>
    <cellStyle name="20% - Accent3 2 5" xfId="328"/>
    <cellStyle name="20% - Accent3 2 5 2" xfId="329"/>
    <cellStyle name="20% - Accent3 2 6" xfId="330"/>
    <cellStyle name="20% - Accent3 3" xfId="331"/>
    <cellStyle name="20% - Accent3 3 2" xfId="332"/>
    <cellStyle name="20% - Accent3 3 2 2" xfId="333"/>
    <cellStyle name="20% - Accent3 3 2 2 2" xfId="334"/>
    <cellStyle name="20% - Accent3 3 2 2 2 2" xfId="335"/>
    <cellStyle name="20% - Accent3 3 2 2 3" xfId="336"/>
    <cellStyle name="20% - Accent3 3 2 3" xfId="337"/>
    <cellStyle name="20% - Accent3 3 2 3 2" xfId="338"/>
    <cellStyle name="20% - Accent3 3 2 4" xfId="339"/>
    <cellStyle name="20% - Accent3 3 3" xfId="340"/>
    <cellStyle name="20% - Accent3 3 3 2" xfId="341"/>
    <cellStyle name="20% - Accent3 3 3 2 2" xfId="342"/>
    <cellStyle name="20% - Accent3 3 3 3" xfId="343"/>
    <cellStyle name="20% - Accent3 3 4" xfId="344"/>
    <cellStyle name="20% - Accent3 3 4 2" xfId="345"/>
    <cellStyle name="20% - Accent3 3 5" xfId="346"/>
    <cellStyle name="20% - Accent3 4" xfId="347"/>
    <cellStyle name="20% - Accent3 4 2" xfId="348"/>
    <cellStyle name="20% - Accent3 4 2 2" xfId="349"/>
    <cellStyle name="20% - Accent3 4 2 2 2" xfId="350"/>
    <cellStyle name="20% - Accent3 4 2 2 2 2" xfId="351"/>
    <cellStyle name="20% - Accent3 4 2 2 3" xfId="352"/>
    <cellStyle name="20% - Accent3 4 2 3" xfId="353"/>
    <cellStyle name="20% - Accent3 4 2 3 2" xfId="354"/>
    <cellStyle name="20% - Accent3 4 2 4" xfId="355"/>
    <cellStyle name="20% - Accent3 4 3" xfId="356"/>
    <cellStyle name="20% - Accent3 4 3 2" xfId="357"/>
    <cellStyle name="20% - Accent3 4 3 2 2" xfId="358"/>
    <cellStyle name="20% - Accent3 4 3 3" xfId="359"/>
    <cellStyle name="20% - Accent3 4 4" xfId="360"/>
    <cellStyle name="20% - Accent3 4 4 2" xfId="361"/>
    <cellStyle name="20% - Accent3 4 5" xfId="362"/>
    <cellStyle name="20% - Accent3 5" xfId="363"/>
    <cellStyle name="20% - Accent3 5 2" xfId="364"/>
    <cellStyle name="20% - Accent3 5 2 2" xfId="365"/>
    <cellStyle name="20% - Accent3 5 2 2 2" xfId="366"/>
    <cellStyle name="20% - Accent3 5 2 2 2 2" xfId="367"/>
    <cellStyle name="20% - Accent3 5 2 2 3" xfId="368"/>
    <cellStyle name="20% - Accent3 5 2 3" xfId="369"/>
    <cellStyle name="20% - Accent3 5 2 3 2" xfId="370"/>
    <cellStyle name="20% - Accent3 5 2 4" xfId="371"/>
    <cellStyle name="20% - Accent3 5 3" xfId="372"/>
    <cellStyle name="20% - Accent3 5 3 2" xfId="373"/>
    <cellStyle name="20% - Accent3 5 3 2 2" xfId="374"/>
    <cellStyle name="20% - Accent3 5 3 3" xfId="375"/>
    <cellStyle name="20% - Accent3 5 4" xfId="376"/>
    <cellStyle name="20% - Accent3 5 4 2" xfId="377"/>
    <cellStyle name="20% - Accent3 5 5" xfId="378"/>
    <cellStyle name="20% - Accent3 6" xfId="379"/>
    <cellStyle name="20% - Accent3 6 2" xfId="380"/>
    <cellStyle name="20% - Accent3 6 2 2" xfId="381"/>
    <cellStyle name="20% - Accent3 6 2 2 2" xfId="382"/>
    <cellStyle name="20% - Accent3 6 2 2 2 2" xfId="383"/>
    <cellStyle name="20% - Accent3 6 2 2 3" xfId="384"/>
    <cellStyle name="20% - Accent3 6 2 3" xfId="385"/>
    <cellStyle name="20% - Accent3 6 2 3 2" xfId="386"/>
    <cellStyle name="20% - Accent3 6 2 4" xfId="387"/>
    <cellStyle name="20% - Accent3 6 3" xfId="388"/>
    <cellStyle name="20% - Accent3 6 3 2" xfId="389"/>
    <cellStyle name="20% - Accent3 6 3 2 2" xfId="390"/>
    <cellStyle name="20% - Accent3 6 3 3" xfId="391"/>
    <cellStyle name="20% - Accent3 6 4" xfId="392"/>
    <cellStyle name="20% - Accent3 6 4 2" xfId="393"/>
    <cellStyle name="20% - Accent3 6 5" xfId="394"/>
    <cellStyle name="20% - Accent3 7" xfId="395"/>
    <cellStyle name="20% - Accent3 7 2" xfId="396"/>
    <cellStyle name="20% - Accent3 7 2 2" xfId="397"/>
    <cellStyle name="20% - Accent3 7 2 2 2" xfId="398"/>
    <cellStyle name="20% - Accent3 7 2 2 2 2" xfId="399"/>
    <cellStyle name="20% - Accent3 7 2 2 3" xfId="400"/>
    <cellStyle name="20% - Accent3 7 2 3" xfId="401"/>
    <cellStyle name="20% - Accent3 7 2 3 2" xfId="402"/>
    <cellStyle name="20% - Accent3 7 2 4" xfId="403"/>
    <cellStyle name="20% - Accent3 7 3" xfId="404"/>
    <cellStyle name="20% - Accent3 7 3 2" xfId="405"/>
    <cellStyle name="20% - Accent3 7 3 2 2" xfId="406"/>
    <cellStyle name="20% - Accent3 7 3 3" xfId="407"/>
    <cellStyle name="20% - Accent3 7 4" xfId="408"/>
    <cellStyle name="20% - Accent3 7 4 2" xfId="409"/>
    <cellStyle name="20% - Accent3 7 5" xfId="410"/>
    <cellStyle name="20% - Accent3 8" xfId="411"/>
    <cellStyle name="20% - Accent3 8 2" xfId="412"/>
    <cellStyle name="20% - Accent3 8 2 2" xfId="413"/>
    <cellStyle name="20% - Accent3 8 2 2 2" xfId="414"/>
    <cellStyle name="20% - Accent3 8 2 2 2 2" xfId="415"/>
    <cellStyle name="20% - Accent3 8 2 2 3" xfId="416"/>
    <cellStyle name="20% - Accent3 8 2 3" xfId="417"/>
    <cellStyle name="20% - Accent3 8 2 3 2" xfId="418"/>
    <cellStyle name="20% - Accent3 8 2 4" xfId="419"/>
    <cellStyle name="20% - Accent3 8 3" xfId="420"/>
    <cellStyle name="20% - Accent3 8 3 2" xfId="421"/>
    <cellStyle name="20% - Accent3 8 3 2 2" xfId="422"/>
    <cellStyle name="20% - Accent3 8 3 3" xfId="423"/>
    <cellStyle name="20% - Accent3 8 4" xfId="424"/>
    <cellStyle name="20% - Accent3 8 4 2" xfId="425"/>
    <cellStyle name="20% - Accent3 8 5" xfId="426"/>
    <cellStyle name="20% - Accent3 9" xfId="427"/>
    <cellStyle name="20% - Accent3 9 2" xfId="428"/>
    <cellStyle name="20% - Accent3 9 2 2" xfId="429"/>
    <cellStyle name="20% - Accent3 9 2 2 2" xfId="430"/>
    <cellStyle name="20% - Accent3 9 2 3" xfId="431"/>
    <cellStyle name="20% - Accent3 9 3" xfId="432"/>
    <cellStyle name="20% - Accent3 9 3 2" xfId="433"/>
    <cellStyle name="20% - Accent3 9 4" xfId="434"/>
    <cellStyle name="20% - Accent4 10" xfId="435"/>
    <cellStyle name="20% - Accent4 10 2" xfId="436"/>
    <cellStyle name="20% - Accent4 10 2 2" xfId="437"/>
    <cellStyle name="20% - Accent4 10 3" xfId="438"/>
    <cellStyle name="20% - Accent4 11" xfId="439"/>
    <cellStyle name="20% - Accent4 11 2" xfId="440"/>
    <cellStyle name="20% - Accent4 12" xfId="441"/>
    <cellStyle name="20% - Accent4 2" xfId="442"/>
    <cellStyle name="20% - Accent4 2 2" xfId="443"/>
    <cellStyle name="20% - Accent4 2 2 2" xfId="444"/>
    <cellStyle name="20% - Accent4 2 2 2 2" xfId="445"/>
    <cellStyle name="20% - Accent4 2 2 2 2 2" xfId="446"/>
    <cellStyle name="20% - Accent4 2 2 2 2 2 2" xfId="447"/>
    <cellStyle name="20% - Accent4 2 2 2 2 3" xfId="448"/>
    <cellStyle name="20% - Accent4 2 2 2 3" xfId="449"/>
    <cellStyle name="20% - Accent4 2 2 2 3 2" xfId="450"/>
    <cellStyle name="20% - Accent4 2 2 2 4" xfId="451"/>
    <cellStyle name="20% - Accent4 2 2 3" xfId="452"/>
    <cellStyle name="20% - Accent4 2 2 3 2" xfId="453"/>
    <cellStyle name="20% - Accent4 2 2 3 2 2" xfId="454"/>
    <cellStyle name="20% - Accent4 2 2 3 3" xfId="455"/>
    <cellStyle name="20% - Accent4 2 2 4" xfId="456"/>
    <cellStyle name="20% - Accent4 2 2 4 2" xfId="457"/>
    <cellStyle name="20% - Accent4 2 2 5" xfId="458"/>
    <cellStyle name="20% - Accent4 2 3" xfId="459"/>
    <cellStyle name="20% - Accent4 2 3 2" xfId="460"/>
    <cellStyle name="20% - Accent4 2 3 2 2" xfId="461"/>
    <cellStyle name="20% - Accent4 2 3 2 2 2" xfId="462"/>
    <cellStyle name="20% - Accent4 2 3 2 3" xfId="463"/>
    <cellStyle name="20% - Accent4 2 3 3" xfId="464"/>
    <cellStyle name="20% - Accent4 2 3 3 2" xfId="465"/>
    <cellStyle name="20% - Accent4 2 3 4" xfId="466"/>
    <cellStyle name="20% - Accent4 2 4" xfId="467"/>
    <cellStyle name="20% - Accent4 2 4 2" xfId="468"/>
    <cellStyle name="20% - Accent4 2 4 2 2" xfId="469"/>
    <cellStyle name="20% - Accent4 2 4 3" xfId="470"/>
    <cellStyle name="20% - Accent4 2 5" xfId="471"/>
    <cellStyle name="20% - Accent4 2 5 2" xfId="472"/>
    <cellStyle name="20% - Accent4 2 6" xfId="473"/>
    <cellStyle name="20% - Accent4 3" xfId="474"/>
    <cellStyle name="20% - Accent4 3 2" xfId="475"/>
    <cellStyle name="20% - Accent4 3 2 2" xfId="476"/>
    <cellStyle name="20% - Accent4 3 2 2 2" xfId="477"/>
    <cellStyle name="20% - Accent4 3 2 2 2 2" xfId="478"/>
    <cellStyle name="20% - Accent4 3 2 2 3" xfId="479"/>
    <cellStyle name="20% - Accent4 3 2 3" xfId="480"/>
    <cellStyle name="20% - Accent4 3 2 3 2" xfId="481"/>
    <cellStyle name="20% - Accent4 3 2 4" xfId="482"/>
    <cellStyle name="20% - Accent4 3 3" xfId="483"/>
    <cellStyle name="20% - Accent4 3 3 2" xfId="484"/>
    <cellStyle name="20% - Accent4 3 3 2 2" xfId="485"/>
    <cellStyle name="20% - Accent4 3 3 3" xfId="486"/>
    <cellStyle name="20% - Accent4 3 4" xfId="487"/>
    <cellStyle name="20% - Accent4 3 4 2" xfId="488"/>
    <cellStyle name="20% - Accent4 3 5" xfId="489"/>
    <cellStyle name="20% - Accent4 4" xfId="490"/>
    <cellStyle name="20% - Accent4 4 2" xfId="491"/>
    <cellStyle name="20% - Accent4 4 2 2" xfId="492"/>
    <cellStyle name="20% - Accent4 4 2 2 2" xfId="493"/>
    <cellStyle name="20% - Accent4 4 2 2 2 2" xfId="494"/>
    <cellStyle name="20% - Accent4 4 2 2 3" xfId="495"/>
    <cellStyle name="20% - Accent4 4 2 3" xfId="496"/>
    <cellStyle name="20% - Accent4 4 2 3 2" xfId="497"/>
    <cellStyle name="20% - Accent4 4 2 4" xfId="498"/>
    <cellStyle name="20% - Accent4 4 3" xfId="499"/>
    <cellStyle name="20% - Accent4 4 3 2" xfId="500"/>
    <cellStyle name="20% - Accent4 4 3 2 2" xfId="501"/>
    <cellStyle name="20% - Accent4 4 3 3" xfId="502"/>
    <cellStyle name="20% - Accent4 4 4" xfId="503"/>
    <cellStyle name="20% - Accent4 4 4 2" xfId="504"/>
    <cellStyle name="20% - Accent4 4 5" xfId="505"/>
    <cellStyle name="20% - Accent4 5" xfId="506"/>
    <cellStyle name="20% - Accent4 5 2" xfId="507"/>
    <cellStyle name="20% - Accent4 5 2 2" xfId="508"/>
    <cellStyle name="20% - Accent4 5 2 2 2" xfId="509"/>
    <cellStyle name="20% - Accent4 5 2 2 2 2" xfId="510"/>
    <cellStyle name="20% - Accent4 5 2 2 3" xfId="511"/>
    <cellStyle name="20% - Accent4 5 2 3" xfId="512"/>
    <cellStyle name="20% - Accent4 5 2 3 2" xfId="513"/>
    <cellStyle name="20% - Accent4 5 2 4" xfId="514"/>
    <cellStyle name="20% - Accent4 5 3" xfId="515"/>
    <cellStyle name="20% - Accent4 5 3 2" xfId="516"/>
    <cellStyle name="20% - Accent4 5 3 2 2" xfId="517"/>
    <cellStyle name="20% - Accent4 5 3 3" xfId="518"/>
    <cellStyle name="20% - Accent4 5 4" xfId="519"/>
    <cellStyle name="20% - Accent4 5 4 2" xfId="520"/>
    <cellStyle name="20% - Accent4 5 5" xfId="521"/>
    <cellStyle name="20% - Accent4 6" xfId="522"/>
    <cellStyle name="20% - Accent4 6 2" xfId="523"/>
    <cellStyle name="20% - Accent4 6 2 2" xfId="524"/>
    <cellStyle name="20% - Accent4 6 2 2 2" xfId="525"/>
    <cellStyle name="20% - Accent4 6 2 2 2 2" xfId="526"/>
    <cellStyle name="20% - Accent4 6 2 2 3" xfId="527"/>
    <cellStyle name="20% - Accent4 6 2 3" xfId="528"/>
    <cellStyle name="20% - Accent4 6 2 3 2" xfId="529"/>
    <cellStyle name="20% - Accent4 6 2 4" xfId="530"/>
    <cellStyle name="20% - Accent4 6 3" xfId="531"/>
    <cellStyle name="20% - Accent4 6 3 2" xfId="532"/>
    <cellStyle name="20% - Accent4 6 3 2 2" xfId="533"/>
    <cellStyle name="20% - Accent4 6 3 3" xfId="534"/>
    <cellStyle name="20% - Accent4 6 4" xfId="535"/>
    <cellStyle name="20% - Accent4 6 4 2" xfId="536"/>
    <cellStyle name="20% - Accent4 6 5" xfId="537"/>
    <cellStyle name="20% - Accent4 7" xfId="538"/>
    <cellStyle name="20% - Accent4 7 2" xfId="539"/>
    <cellStyle name="20% - Accent4 7 2 2" xfId="540"/>
    <cellStyle name="20% - Accent4 7 2 2 2" xfId="541"/>
    <cellStyle name="20% - Accent4 7 2 2 2 2" xfId="542"/>
    <cellStyle name="20% - Accent4 7 2 2 3" xfId="543"/>
    <cellStyle name="20% - Accent4 7 2 3" xfId="544"/>
    <cellStyle name="20% - Accent4 7 2 3 2" xfId="545"/>
    <cellStyle name="20% - Accent4 7 2 4" xfId="546"/>
    <cellStyle name="20% - Accent4 7 3" xfId="547"/>
    <cellStyle name="20% - Accent4 7 3 2" xfId="548"/>
    <cellStyle name="20% - Accent4 7 3 2 2" xfId="549"/>
    <cellStyle name="20% - Accent4 7 3 3" xfId="550"/>
    <cellStyle name="20% - Accent4 7 4" xfId="551"/>
    <cellStyle name="20% - Accent4 7 4 2" xfId="552"/>
    <cellStyle name="20% - Accent4 7 5" xfId="553"/>
    <cellStyle name="20% - Accent4 8" xfId="554"/>
    <cellStyle name="20% - Accent4 8 2" xfId="555"/>
    <cellStyle name="20% - Accent4 8 2 2" xfId="556"/>
    <cellStyle name="20% - Accent4 8 2 2 2" xfId="557"/>
    <cellStyle name="20% - Accent4 8 2 2 2 2" xfId="558"/>
    <cellStyle name="20% - Accent4 8 2 2 3" xfId="559"/>
    <cellStyle name="20% - Accent4 8 2 3" xfId="560"/>
    <cellStyle name="20% - Accent4 8 2 3 2" xfId="561"/>
    <cellStyle name="20% - Accent4 8 2 4" xfId="562"/>
    <cellStyle name="20% - Accent4 8 3" xfId="563"/>
    <cellStyle name="20% - Accent4 8 3 2" xfId="564"/>
    <cellStyle name="20% - Accent4 8 3 2 2" xfId="565"/>
    <cellStyle name="20% - Accent4 8 3 3" xfId="566"/>
    <cellStyle name="20% - Accent4 8 4" xfId="567"/>
    <cellStyle name="20% - Accent4 8 4 2" xfId="568"/>
    <cellStyle name="20% - Accent4 8 5" xfId="569"/>
    <cellStyle name="20% - Accent4 9" xfId="570"/>
    <cellStyle name="20% - Accent4 9 2" xfId="571"/>
    <cellStyle name="20% - Accent4 9 2 2" xfId="572"/>
    <cellStyle name="20% - Accent4 9 2 2 2" xfId="573"/>
    <cellStyle name="20% - Accent4 9 2 3" xfId="574"/>
    <cellStyle name="20% - Accent4 9 3" xfId="575"/>
    <cellStyle name="20% - Accent4 9 3 2" xfId="576"/>
    <cellStyle name="20% - Accent4 9 4" xfId="577"/>
    <cellStyle name="20% - Accent5 10" xfId="578"/>
    <cellStyle name="20% - Accent5 10 2" xfId="579"/>
    <cellStyle name="20% - Accent5 10 2 2" xfId="580"/>
    <cellStyle name="20% - Accent5 10 3" xfId="581"/>
    <cellStyle name="20% - Accent5 11" xfId="582"/>
    <cellStyle name="20% - Accent5 11 2" xfId="583"/>
    <cellStyle name="20% - Accent5 12" xfId="584"/>
    <cellStyle name="20% - Accent5 2" xfId="585"/>
    <cellStyle name="20% - Accent5 2 2" xfId="586"/>
    <cellStyle name="20% - Accent5 2 2 2" xfId="587"/>
    <cellStyle name="20% - Accent5 2 2 2 2" xfId="588"/>
    <cellStyle name="20% - Accent5 2 2 2 2 2" xfId="589"/>
    <cellStyle name="20% - Accent5 2 2 2 2 2 2" xfId="590"/>
    <cellStyle name="20% - Accent5 2 2 2 2 3" xfId="591"/>
    <cellStyle name="20% - Accent5 2 2 2 3" xfId="592"/>
    <cellStyle name="20% - Accent5 2 2 2 3 2" xfId="593"/>
    <cellStyle name="20% - Accent5 2 2 2 4" xfId="594"/>
    <cellStyle name="20% - Accent5 2 2 3" xfId="595"/>
    <cellStyle name="20% - Accent5 2 2 3 2" xfId="596"/>
    <cellStyle name="20% - Accent5 2 2 3 2 2" xfId="597"/>
    <cellStyle name="20% - Accent5 2 2 3 3" xfId="598"/>
    <cellStyle name="20% - Accent5 2 2 4" xfId="599"/>
    <cellStyle name="20% - Accent5 2 2 4 2" xfId="600"/>
    <cellStyle name="20% - Accent5 2 2 5" xfId="601"/>
    <cellStyle name="20% - Accent5 2 3" xfId="602"/>
    <cellStyle name="20% - Accent5 2 3 2" xfId="603"/>
    <cellStyle name="20% - Accent5 2 3 2 2" xfId="604"/>
    <cellStyle name="20% - Accent5 2 3 2 2 2" xfId="605"/>
    <cellStyle name="20% - Accent5 2 3 2 3" xfId="606"/>
    <cellStyle name="20% - Accent5 2 3 3" xfId="607"/>
    <cellStyle name="20% - Accent5 2 3 3 2" xfId="608"/>
    <cellStyle name="20% - Accent5 2 3 4" xfId="609"/>
    <cellStyle name="20% - Accent5 2 4" xfId="610"/>
    <cellStyle name="20% - Accent5 2 4 2" xfId="611"/>
    <cellStyle name="20% - Accent5 2 4 2 2" xfId="612"/>
    <cellStyle name="20% - Accent5 2 4 3" xfId="613"/>
    <cellStyle name="20% - Accent5 2 5" xfId="614"/>
    <cellStyle name="20% - Accent5 2 5 2" xfId="615"/>
    <cellStyle name="20% - Accent5 2 6" xfId="616"/>
    <cellStyle name="20% - Accent5 3" xfId="617"/>
    <cellStyle name="20% - Accent5 3 2" xfId="618"/>
    <cellStyle name="20% - Accent5 3 2 2" xfId="619"/>
    <cellStyle name="20% - Accent5 3 2 2 2" xfId="620"/>
    <cellStyle name="20% - Accent5 3 2 2 2 2" xfId="621"/>
    <cellStyle name="20% - Accent5 3 2 2 3" xfId="622"/>
    <cellStyle name="20% - Accent5 3 2 3" xfId="623"/>
    <cellStyle name="20% - Accent5 3 2 3 2" xfId="624"/>
    <cellStyle name="20% - Accent5 3 2 4" xfId="625"/>
    <cellStyle name="20% - Accent5 3 3" xfId="626"/>
    <cellStyle name="20% - Accent5 3 3 2" xfId="627"/>
    <cellStyle name="20% - Accent5 3 3 2 2" xfId="628"/>
    <cellStyle name="20% - Accent5 3 3 3" xfId="629"/>
    <cellStyle name="20% - Accent5 3 4" xfId="630"/>
    <cellStyle name="20% - Accent5 3 4 2" xfId="631"/>
    <cellStyle name="20% - Accent5 3 5" xfId="632"/>
    <cellStyle name="20% - Accent5 4" xfId="633"/>
    <cellStyle name="20% - Accent5 4 2" xfId="634"/>
    <cellStyle name="20% - Accent5 4 2 2" xfId="635"/>
    <cellStyle name="20% - Accent5 4 2 2 2" xfId="636"/>
    <cellStyle name="20% - Accent5 4 2 2 2 2" xfId="637"/>
    <cellStyle name="20% - Accent5 4 2 2 3" xfId="638"/>
    <cellStyle name="20% - Accent5 4 2 3" xfId="639"/>
    <cellStyle name="20% - Accent5 4 2 3 2" xfId="640"/>
    <cellStyle name="20% - Accent5 4 2 4" xfId="641"/>
    <cellStyle name="20% - Accent5 4 3" xfId="642"/>
    <cellStyle name="20% - Accent5 4 3 2" xfId="643"/>
    <cellStyle name="20% - Accent5 4 3 2 2" xfId="644"/>
    <cellStyle name="20% - Accent5 4 3 3" xfId="645"/>
    <cellStyle name="20% - Accent5 4 4" xfId="646"/>
    <cellStyle name="20% - Accent5 4 4 2" xfId="647"/>
    <cellStyle name="20% - Accent5 4 5" xfId="648"/>
    <cellStyle name="20% - Accent5 5" xfId="649"/>
    <cellStyle name="20% - Accent5 5 2" xfId="650"/>
    <cellStyle name="20% - Accent5 5 2 2" xfId="651"/>
    <cellStyle name="20% - Accent5 5 2 2 2" xfId="652"/>
    <cellStyle name="20% - Accent5 5 2 2 2 2" xfId="653"/>
    <cellStyle name="20% - Accent5 5 2 2 3" xfId="654"/>
    <cellStyle name="20% - Accent5 5 2 3" xfId="655"/>
    <cellStyle name="20% - Accent5 5 2 3 2" xfId="656"/>
    <cellStyle name="20% - Accent5 5 2 4" xfId="657"/>
    <cellStyle name="20% - Accent5 5 3" xfId="658"/>
    <cellStyle name="20% - Accent5 5 3 2" xfId="659"/>
    <cellStyle name="20% - Accent5 5 3 2 2" xfId="660"/>
    <cellStyle name="20% - Accent5 5 3 3" xfId="661"/>
    <cellStyle name="20% - Accent5 5 4" xfId="662"/>
    <cellStyle name="20% - Accent5 5 4 2" xfId="663"/>
    <cellStyle name="20% - Accent5 5 5" xfId="664"/>
    <cellStyle name="20% - Accent5 6" xfId="665"/>
    <cellStyle name="20% - Accent5 6 2" xfId="666"/>
    <cellStyle name="20% - Accent5 6 2 2" xfId="667"/>
    <cellStyle name="20% - Accent5 6 2 2 2" xfId="668"/>
    <cellStyle name="20% - Accent5 6 2 2 2 2" xfId="669"/>
    <cellStyle name="20% - Accent5 6 2 2 3" xfId="670"/>
    <cellStyle name="20% - Accent5 6 2 3" xfId="671"/>
    <cellStyle name="20% - Accent5 6 2 3 2" xfId="672"/>
    <cellStyle name="20% - Accent5 6 2 4" xfId="673"/>
    <cellStyle name="20% - Accent5 6 3" xfId="674"/>
    <cellStyle name="20% - Accent5 6 3 2" xfId="675"/>
    <cellStyle name="20% - Accent5 6 3 2 2" xfId="676"/>
    <cellStyle name="20% - Accent5 6 3 3" xfId="677"/>
    <cellStyle name="20% - Accent5 6 4" xfId="678"/>
    <cellStyle name="20% - Accent5 6 4 2" xfId="679"/>
    <cellStyle name="20% - Accent5 6 5" xfId="680"/>
    <cellStyle name="20% - Accent5 7" xfId="681"/>
    <cellStyle name="20% - Accent5 7 2" xfId="682"/>
    <cellStyle name="20% - Accent5 7 2 2" xfId="683"/>
    <cellStyle name="20% - Accent5 7 2 2 2" xfId="684"/>
    <cellStyle name="20% - Accent5 7 2 2 2 2" xfId="685"/>
    <cellStyle name="20% - Accent5 7 2 2 3" xfId="686"/>
    <cellStyle name="20% - Accent5 7 2 3" xfId="687"/>
    <cellStyle name="20% - Accent5 7 2 3 2" xfId="688"/>
    <cellStyle name="20% - Accent5 7 2 4" xfId="689"/>
    <cellStyle name="20% - Accent5 7 3" xfId="690"/>
    <cellStyle name="20% - Accent5 7 3 2" xfId="691"/>
    <cellStyle name="20% - Accent5 7 3 2 2" xfId="692"/>
    <cellStyle name="20% - Accent5 7 3 3" xfId="693"/>
    <cellStyle name="20% - Accent5 7 4" xfId="694"/>
    <cellStyle name="20% - Accent5 7 4 2" xfId="695"/>
    <cellStyle name="20% - Accent5 7 5" xfId="696"/>
    <cellStyle name="20% - Accent5 8" xfId="697"/>
    <cellStyle name="20% - Accent5 8 2" xfId="698"/>
    <cellStyle name="20% - Accent5 8 2 2" xfId="699"/>
    <cellStyle name="20% - Accent5 8 2 2 2" xfId="700"/>
    <cellStyle name="20% - Accent5 8 2 2 2 2" xfId="701"/>
    <cellStyle name="20% - Accent5 8 2 2 3" xfId="702"/>
    <cellStyle name="20% - Accent5 8 2 3" xfId="703"/>
    <cellStyle name="20% - Accent5 8 2 3 2" xfId="704"/>
    <cellStyle name="20% - Accent5 8 2 4" xfId="705"/>
    <cellStyle name="20% - Accent5 8 3" xfId="706"/>
    <cellStyle name="20% - Accent5 8 3 2" xfId="707"/>
    <cellStyle name="20% - Accent5 8 3 2 2" xfId="708"/>
    <cellStyle name="20% - Accent5 8 3 3" xfId="709"/>
    <cellStyle name="20% - Accent5 8 4" xfId="710"/>
    <cellStyle name="20% - Accent5 8 4 2" xfId="711"/>
    <cellStyle name="20% - Accent5 8 5" xfId="712"/>
    <cellStyle name="20% - Accent5 9" xfId="713"/>
    <cellStyle name="20% - Accent5 9 2" xfId="714"/>
    <cellStyle name="20% - Accent5 9 2 2" xfId="715"/>
    <cellStyle name="20% - Accent5 9 2 2 2" xfId="716"/>
    <cellStyle name="20% - Accent5 9 2 3" xfId="717"/>
    <cellStyle name="20% - Accent5 9 3" xfId="718"/>
    <cellStyle name="20% - Accent5 9 3 2" xfId="719"/>
    <cellStyle name="20% - Accent5 9 4" xfId="720"/>
    <cellStyle name="20% - Accent6 10" xfId="721"/>
    <cellStyle name="20% - Accent6 10 2" xfId="722"/>
    <cellStyle name="20% - Accent6 10 2 2" xfId="723"/>
    <cellStyle name="20% - Accent6 10 3" xfId="724"/>
    <cellStyle name="20% - Accent6 11" xfId="725"/>
    <cellStyle name="20% - Accent6 11 2" xfId="726"/>
    <cellStyle name="20% - Accent6 12" xfId="727"/>
    <cellStyle name="20% - Accent6 2" xfId="728"/>
    <cellStyle name="20% - Accent6 2 2" xfId="729"/>
    <cellStyle name="20% - Accent6 2 2 2" xfId="730"/>
    <cellStyle name="20% - Accent6 2 2 2 2" xfId="731"/>
    <cellStyle name="20% - Accent6 2 2 2 2 2" xfId="732"/>
    <cellStyle name="20% - Accent6 2 2 2 2 2 2" xfId="733"/>
    <cellStyle name="20% - Accent6 2 2 2 2 3" xfId="734"/>
    <cellStyle name="20% - Accent6 2 2 2 3" xfId="735"/>
    <cellStyle name="20% - Accent6 2 2 2 3 2" xfId="736"/>
    <cellStyle name="20% - Accent6 2 2 2 4" xfId="737"/>
    <cellStyle name="20% - Accent6 2 2 3" xfId="738"/>
    <cellStyle name="20% - Accent6 2 2 3 2" xfId="739"/>
    <cellStyle name="20% - Accent6 2 2 3 2 2" xfId="740"/>
    <cellStyle name="20% - Accent6 2 2 3 3" xfId="741"/>
    <cellStyle name="20% - Accent6 2 2 4" xfId="742"/>
    <cellStyle name="20% - Accent6 2 2 4 2" xfId="743"/>
    <cellStyle name="20% - Accent6 2 2 5" xfId="744"/>
    <cellStyle name="20% - Accent6 2 3" xfId="745"/>
    <cellStyle name="20% - Accent6 2 3 2" xfId="746"/>
    <cellStyle name="20% - Accent6 2 3 2 2" xfId="747"/>
    <cellStyle name="20% - Accent6 2 3 2 2 2" xfId="748"/>
    <cellStyle name="20% - Accent6 2 3 2 3" xfId="749"/>
    <cellStyle name="20% - Accent6 2 3 3" xfId="750"/>
    <cellStyle name="20% - Accent6 2 3 3 2" xfId="751"/>
    <cellStyle name="20% - Accent6 2 3 4" xfId="752"/>
    <cellStyle name="20% - Accent6 2 4" xfId="753"/>
    <cellStyle name="20% - Accent6 2 4 2" xfId="754"/>
    <cellStyle name="20% - Accent6 2 4 2 2" xfId="755"/>
    <cellStyle name="20% - Accent6 2 4 3" xfId="756"/>
    <cellStyle name="20% - Accent6 2 5" xfId="757"/>
    <cellStyle name="20% - Accent6 2 5 2" xfId="758"/>
    <cellStyle name="20% - Accent6 2 6" xfId="759"/>
    <cellStyle name="20% - Accent6 3" xfId="760"/>
    <cellStyle name="20% - Accent6 3 2" xfId="761"/>
    <cellStyle name="20% - Accent6 3 2 2" xfId="762"/>
    <cellStyle name="20% - Accent6 3 2 2 2" xfId="763"/>
    <cellStyle name="20% - Accent6 3 2 2 2 2" xfId="764"/>
    <cellStyle name="20% - Accent6 3 2 2 3" xfId="765"/>
    <cellStyle name="20% - Accent6 3 2 3" xfId="766"/>
    <cellStyle name="20% - Accent6 3 2 3 2" xfId="767"/>
    <cellStyle name="20% - Accent6 3 2 4" xfId="768"/>
    <cellStyle name="20% - Accent6 3 3" xfId="769"/>
    <cellStyle name="20% - Accent6 3 3 2" xfId="770"/>
    <cellStyle name="20% - Accent6 3 3 2 2" xfId="771"/>
    <cellStyle name="20% - Accent6 3 3 3" xfId="772"/>
    <cellStyle name="20% - Accent6 3 4" xfId="773"/>
    <cellStyle name="20% - Accent6 3 4 2" xfId="774"/>
    <cellStyle name="20% - Accent6 3 5" xfId="775"/>
    <cellStyle name="20% - Accent6 4" xfId="776"/>
    <cellStyle name="20% - Accent6 4 2" xfId="777"/>
    <cellStyle name="20% - Accent6 4 2 2" xfId="778"/>
    <cellStyle name="20% - Accent6 4 2 2 2" xfId="779"/>
    <cellStyle name="20% - Accent6 4 2 2 2 2" xfId="780"/>
    <cellStyle name="20% - Accent6 4 2 2 3" xfId="781"/>
    <cellStyle name="20% - Accent6 4 2 3" xfId="782"/>
    <cellStyle name="20% - Accent6 4 2 3 2" xfId="783"/>
    <cellStyle name="20% - Accent6 4 2 4" xfId="784"/>
    <cellStyle name="20% - Accent6 4 3" xfId="785"/>
    <cellStyle name="20% - Accent6 4 3 2" xfId="786"/>
    <cellStyle name="20% - Accent6 4 3 2 2" xfId="787"/>
    <cellStyle name="20% - Accent6 4 3 3" xfId="788"/>
    <cellStyle name="20% - Accent6 4 4" xfId="789"/>
    <cellStyle name="20% - Accent6 4 4 2" xfId="790"/>
    <cellStyle name="20% - Accent6 4 5" xfId="791"/>
    <cellStyle name="20% - Accent6 5" xfId="792"/>
    <cellStyle name="20% - Accent6 5 2" xfId="793"/>
    <cellStyle name="20% - Accent6 5 2 2" xfId="794"/>
    <cellStyle name="20% - Accent6 5 2 2 2" xfId="795"/>
    <cellStyle name="20% - Accent6 5 2 2 2 2" xfId="796"/>
    <cellStyle name="20% - Accent6 5 2 2 3" xfId="797"/>
    <cellStyle name="20% - Accent6 5 2 3" xfId="798"/>
    <cellStyle name="20% - Accent6 5 2 3 2" xfId="799"/>
    <cellStyle name="20% - Accent6 5 2 4" xfId="800"/>
    <cellStyle name="20% - Accent6 5 3" xfId="801"/>
    <cellStyle name="20% - Accent6 5 3 2" xfId="802"/>
    <cellStyle name="20% - Accent6 5 3 2 2" xfId="803"/>
    <cellStyle name="20% - Accent6 5 3 3" xfId="804"/>
    <cellStyle name="20% - Accent6 5 4" xfId="805"/>
    <cellStyle name="20% - Accent6 5 4 2" xfId="806"/>
    <cellStyle name="20% - Accent6 5 5" xfId="807"/>
    <cellStyle name="20% - Accent6 6" xfId="808"/>
    <cellStyle name="20% - Accent6 6 2" xfId="809"/>
    <cellStyle name="20% - Accent6 6 2 2" xfId="810"/>
    <cellStyle name="20% - Accent6 6 2 2 2" xfId="811"/>
    <cellStyle name="20% - Accent6 6 2 2 2 2" xfId="812"/>
    <cellStyle name="20% - Accent6 6 2 2 3" xfId="813"/>
    <cellStyle name="20% - Accent6 6 2 3" xfId="814"/>
    <cellStyle name="20% - Accent6 6 2 3 2" xfId="815"/>
    <cellStyle name="20% - Accent6 6 2 4" xfId="816"/>
    <cellStyle name="20% - Accent6 6 3" xfId="817"/>
    <cellStyle name="20% - Accent6 6 3 2" xfId="818"/>
    <cellStyle name="20% - Accent6 6 3 2 2" xfId="819"/>
    <cellStyle name="20% - Accent6 6 3 3" xfId="820"/>
    <cellStyle name="20% - Accent6 6 4" xfId="821"/>
    <cellStyle name="20% - Accent6 6 4 2" xfId="822"/>
    <cellStyle name="20% - Accent6 6 5" xfId="823"/>
    <cellStyle name="20% - Accent6 7" xfId="824"/>
    <cellStyle name="20% - Accent6 7 2" xfId="825"/>
    <cellStyle name="20% - Accent6 7 2 2" xfId="826"/>
    <cellStyle name="20% - Accent6 7 2 2 2" xfId="827"/>
    <cellStyle name="20% - Accent6 7 2 2 2 2" xfId="828"/>
    <cellStyle name="20% - Accent6 7 2 2 3" xfId="829"/>
    <cellStyle name="20% - Accent6 7 2 3" xfId="830"/>
    <cellStyle name="20% - Accent6 7 2 3 2" xfId="831"/>
    <cellStyle name="20% - Accent6 7 2 4" xfId="832"/>
    <cellStyle name="20% - Accent6 7 3" xfId="833"/>
    <cellStyle name="20% - Accent6 7 3 2" xfId="834"/>
    <cellStyle name="20% - Accent6 7 3 2 2" xfId="835"/>
    <cellStyle name="20% - Accent6 7 3 3" xfId="836"/>
    <cellStyle name="20% - Accent6 7 4" xfId="837"/>
    <cellStyle name="20% - Accent6 7 4 2" xfId="838"/>
    <cellStyle name="20% - Accent6 7 5" xfId="839"/>
    <cellStyle name="20% - Accent6 8" xfId="840"/>
    <cellStyle name="20% - Accent6 8 2" xfId="841"/>
    <cellStyle name="20% - Accent6 8 2 2" xfId="842"/>
    <cellStyle name="20% - Accent6 8 2 2 2" xfId="843"/>
    <cellStyle name="20% - Accent6 8 2 2 2 2" xfId="844"/>
    <cellStyle name="20% - Accent6 8 2 2 3" xfId="845"/>
    <cellStyle name="20% - Accent6 8 2 3" xfId="846"/>
    <cellStyle name="20% - Accent6 8 2 3 2" xfId="847"/>
    <cellStyle name="20% - Accent6 8 2 4" xfId="848"/>
    <cellStyle name="20% - Accent6 8 3" xfId="849"/>
    <cellStyle name="20% - Accent6 8 3 2" xfId="850"/>
    <cellStyle name="20% - Accent6 8 3 2 2" xfId="851"/>
    <cellStyle name="20% - Accent6 8 3 3" xfId="852"/>
    <cellStyle name="20% - Accent6 8 4" xfId="853"/>
    <cellStyle name="20% - Accent6 8 4 2" xfId="854"/>
    <cellStyle name="20% - Accent6 8 5" xfId="855"/>
    <cellStyle name="20% - Accent6 9" xfId="856"/>
    <cellStyle name="20% - Accent6 9 2" xfId="857"/>
    <cellStyle name="20% - Accent6 9 2 2" xfId="858"/>
    <cellStyle name="20% - Accent6 9 2 2 2" xfId="859"/>
    <cellStyle name="20% - Accent6 9 2 3" xfId="860"/>
    <cellStyle name="20% - Accent6 9 3" xfId="861"/>
    <cellStyle name="20% - Accent6 9 3 2" xfId="862"/>
    <cellStyle name="20% - Accent6 9 4" xfId="863"/>
    <cellStyle name="40% - Accent1 10" xfId="864"/>
    <cellStyle name="40% - Accent1 10 2" xfId="865"/>
    <cellStyle name="40% - Accent1 10 2 2" xfId="866"/>
    <cellStyle name="40% - Accent1 10 3" xfId="867"/>
    <cellStyle name="40% - Accent1 11" xfId="868"/>
    <cellStyle name="40% - Accent1 11 2" xfId="869"/>
    <cellStyle name="40% - Accent1 12" xfId="870"/>
    <cellStyle name="40% - Accent1 2" xfId="871"/>
    <cellStyle name="40% - Accent1 2 2" xfId="872"/>
    <cellStyle name="40% - Accent1 2 2 2" xfId="873"/>
    <cellStyle name="40% - Accent1 2 2 2 2" xfId="874"/>
    <cellStyle name="40% - Accent1 2 2 2 2 2" xfId="875"/>
    <cellStyle name="40% - Accent1 2 2 2 2 2 2" xfId="876"/>
    <cellStyle name="40% - Accent1 2 2 2 2 3" xfId="877"/>
    <cellStyle name="40% - Accent1 2 2 2 3" xfId="878"/>
    <cellStyle name="40% - Accent1 2 2 2 3 2" xfId="879"/>
    <cellStyle name="40% - Accent1 2 2 2 4" xfId="880"/>
    <cellStyle name="40% - Accent1 2 2 3" xfId="881"/>
    <cellStyle name="40% - Accent1 2 2 3 2" xfId="882"/>
    <cellStyle name="40% - Accent1 2 2 3 2 2" xfId="883"/>
    <cellStyle name="40% - Accent1 2 2 3 3" xfId="884"/>
    <cellStyle name="40% - Accent1 2 2 4" xfId="885"/>
    <cellStyle name="40% - Accent1 2 2 4 2" xfId="886"/>
    <cellStyle name="40% - Accent1 2 2 5" xfId="887"/>
    <cellStyle name="40% - Accent1 2 3" xfId="888"/>
    <cellStyle name="40% - Accent1 2 3 2" xfId="889"/>
    <cellStyle name="40% - Accent1 2 3 2 2" xfId="890"/>
    <cellStyle name="40% - Accent1 2 3 2 2 2" xfId="891"/>
    <cellStyle name="40% - Accent1 2 3 2 3" xfId="892"/>
    <cellStyle name="40% - Accent1 2 3 3" xfId="893"/>
    <cellStyle name="40% - Accent1 2 3 3 2" xfId="894"/>
    <cellStyle name="40% - Accent1 2 3 4" xfId="895"/>
    <cellStyle name="40% - Accent1 2 4" xfId="896"/>
    <cellStyle name="40% - Accent1 2 4 2" xfId="897"/>
    <cellStyle name="40% - Accent1 2 4 2 2" xfId="898"/>
    <cellStyle name="40% - Accent1 2 4 3" xfId="899"/>
    <cellStyle name="40% - Accent1 2 5" xfId="900"/>
    <cellStyle name="40% - Accent1 2 5 2" xfId="901"/>
    <cellStyle name="40% - Accent1 2 6" xfId="902"/>
    <cellStyle name="40% - Accent1 3" xfId="903"/>
    <cellStyle name="40% - Accent1 3 2" xfId="904"/>
    <cellStyle name="40% - Accent1 3 2 2" xfId="905"/>
    <cellStyle name="40% - Accent1 3 2 2 2" xfId="906"/>
    <cellStyle name="40% - Accent1 3 2 2 2 2" xfId="907"/>
    <cellStyle name="40% - Accent1 3 2 2 3" xfId="908"/>
    <cellStyle name="40% - Accent1 3 2 3" xfId="909"/>
    <cellStyle name="40% - Accent1 3 2 3 2" xfId="910"/>
    <cellStyle name="40% - Accent1 3 2 4" xfId="911"/>
    <cellStyle name="40% - Accent1 3 3" xfId="912"/>
    <cellStyle name="40% - Accent1 3 3 2" xfId="913"/>
    <cellStyle name="40% - Accent1 3 3 2 2" xfId="914"/>
    <cellStyle name="40% - Accent1 3 3 3" xfId="915"/>
    <cellStyle name="40% - Accent1 3 4" xfId="916"/>
    <cellStyle name="40% - Accent1 3 4 2" xfId="917"/>
    <cellStyle name="40% - Accent1 3 5" xfId="918"/>
    <cellStyle name="40% - Accent1 4" xfId="919"/>
    <cellStyle name="40% - Accent1 4 2" xfId="920"/>
    <cellStyle name="40% - Accent1 4 2 2" xfId="921"/>
    <cellStyle name="40% - Accent1 4 2 2 2" xfId="922"/>
    <cellStyle name="40% - Accent1 4 2 2 2 2" xfId="923"/>
    <cellStyle name="40% - Accent1 4 2 2 3" xfId="924"/>
    <cellStyle name="40% - Accent1 4 2 3" xfId="925"/>
    <cellStyle name="40% - Accent1 4 2 3 2" xfId="926"/>
    <cellStyle name="40% - Accent1 4 2 4" xfId="927"/>
    <cellStyle name="40% - Accent1 4 3" xfId="928"/>
    <cellStyle name="40% - Accent1 4 3 2" xfId="929"/>
    <cellStyle name="40% - Accent1 4 3 2 2" xfId="930"/>
    <cellStyle name="40% - Accent1 4 3 3" xfId="931"/>
    <cellStyle name="40% - Accent1 4 4" xfId="932"/>
    <cellStyle name="40% - Accent1 4 4 2" xfId="933"/>
    <cellStyle name="40% - Accent1 4 5" xfId="934"/>
    <cellStyle name="40% - Accent1 5" xfId="935"/>
    <cellStyle name="40% - Accent1 5 2" xfId="936"/>
    <cellStyle name="40% - Accent1 5 2 2" xfId="937"/>
    <cellStyle name="40% - Accent1 5 2 2 2" xfId="938"/>
    <cellStyle name="40% - Accent1 5 2 2 2 2" xfId="939"/>
    <cellStyle name="40% - Accent1 5 2 2 3" xfId="940"/>
    <cellStyle name="40% - Accent1 5 2 3" xfId="941"/>
    <cellStyle name="40% - Accent1 5 2 3 2" xfId="942"/>
    <cellStyle name="40% - Accent1 5 2 4" xfId="943"/>
    <cellStyle name="40% - Accent1 5 3" xfId="944"/>
    <cellStyle name="40% - Accent1 5 3 2" xfId="945"/>
    <cellStyle name="40% - Accent1 5 3 2 2" xfId="946"/>
    <cellStyle name="40% - Accent1 5 3 3" xfId="947"/>
    <cellStyle name="40% - Accent1 5 4" xfId="948"/>
    <cellStyle name="40% - Accent1 5 4 2" xfId="949"/>
    <cellStyle name="40% - Accent1 5 5" xfId="950"/>
    <cellStyle name="40% - Accent1 6" xfId="951"/>
    <cellStyle name="40% - Accent1 6 2" xfId="952"/>
    <cellStyle name="40% - Accent1 6 2 2" xfId="953"/>
    <cellStyle name="40% - Accent1 6 2 2 2" xfId="954"/>
    <cellStyle name="40% - Accent1 6 2 2 2 2" xfId="955"/>
    <cellStyle name="40% - Accent1 6 2 2 3" xfId="956"/>
    <cellStyle name="40% - Accent1 6 2 3" xfId="957"/>
    <cellStyle name="40% - Accent1 6 2 3 2" xfId="958"/>
    <cellStyle name="40% - Accent1 6 2 4" xfId="959"/>
    <cellStyle name="40% - Accent1 6 3" xfId="960"/>
    <cellStyle name="40% - Accent1 6 3 2" xfId="961"/>
    <cellStyle name="40% - Accent1 6 3 2 2" xfId="962"/>
    <cellStyle name="40% - Accent1 6 3 3" xfId="963"/>
    <cellStyle name="40% - Accent1 6 4" xfId="964"/>
    <cellStyle name="40% - Accent1 6 4 2" xfId="965"/>
    <cellStyle name="40% - Accent1 6 5" xfId="966"/>
    <cellStyle name="40% - Accent1 7" xfId="967"/>
    <cellStyle name="40% - Accent1 7 2" xfId="968"/>
    <cellStyle name="40% - Accent1 7 2 2" xfId="969"/>
    <cellStyle name="40% - Accent1 7 2 2 2" xfId="970"/>
    <cellStyle name="40% - Accent1 7 2 2 2 2" xfId="971"/>
    <cellStyle name="40% - Accent1 7 2 2 3" xfId="972"/>
    <cellStyle name="40% - Accent1 7 2 3" xfId="973"/>
    <cellStyle name="40% - Accent1 7 2 3 2" xfId="974"/>
    <cellStyle name="40% - Accent1 7 2 4" xfId="975"/>
    <cellStyle name="40% - Accent1 7 3" xfId="976"/>
    <cellStyle name="40% - Accent1 7 3 2" xfId="977"/>
    <cellStyle name="40% - Accent1 7 3 2 2" xfId="978"/>
    <cellStyle name="40% - Accent1 7 3 3" xfId="979"/>
    <cellStyle name="40% - Accent1 7 4" xfId="980"/>
    <cellStyle name="40% - Accent1 7 4 2" xfId="981"/>
    <cellStyle name="40% - Accent1 7 5" xfId="982"/>
    <cellStyle name="40% - Accent1 8" xfId="983"/>
    <cellStyle name="40% - Accent1 8 2" xfId="984"/>
    <cellStyle name="40% - Accent1 8 2 2" xfId="985"/>
    <cellStyle name="40% - Accent1 8 2 2 2" xfId="986"/>
    <cellStyle name="40% - Accent1 8 2 2 2 2" xfId="987"/>
    <cellStyle name="40% - Accent1 8 2 2 3" xfId="988"/>
    <cellStyle name="40% - Accent1 8 2 3" xfId="989"/>
    <cellStyle name="40% - Accent1 8 2 3 2" xfId="990"/>
    <cellStyle name="40% - Accent1 8 2 4" xfId="991"/>
    <cellStyle name="40% - Accent1 8 3" xfId="992"/>
    <cellStyle name="40% - Accent1 8 3 2" xfId="993"/>
    <cellStyle name="40% - Accent1 8 3 2 2" xfId="994"/>
    <cellStyle name="40% - Accent1 8 3 3" xfId="995"/>
    <cellStyle name="40% - Accent1 8 4" xfId="996"/>
    <cellStyle name="40% - Accent1 8 4 2" xfId="997"/>
    <cellStyle name="40% - Accent1 8 5" xfId="998"/>
    <cellStyle name="40% - Accent1 9" xfId="999"/>
    <cellStyle name="40% - Accent1 9 2" xfId="1000"/>
    <cellStyle name="40% - Accent1 9 2 2" xfId="1001"/>
    <cellStyle name="40% - Accent1 9 2 2 2" xfId="1002"/>
    <cellStyle name="40% - Accent1 9 2 3" xfId="1003"/>
    <cellStyle name="40% - Accent1 9 3" xfId="1004"/>
    <cellStyle name="40% - Accent1 9 3 2" xfId="1005"/>
    <cellStyle name="40% - Accent1 9 4" xfId="1006"/>
    <cellStyle name="40% - Accent2 10" xfId="1007"/>
    <cellStyle name="40% - Accent2 10 2" xfId="1008"/>
    <cellStyle name="40% - Accent2 10 2 2" xfId="1009"/>
    <cellStyle name="40% - Accent2 10 3" xfId="1010"/>
    <cellStyle name="40% - Accent2 11" xfId="1011"/>
    <cellStyle name="40% - Accent2 11 2" xfId="1012"/>
    <cellStyle name="40% - Accent2 12" xfId="1013"/>
    <cellStyle name="40% - Accent2 2" xfId="1014"/>
    <cellStyle name="40% - Accent2 2 2" xfId="1015"/>
    <cellStyle name="40% - Accent2 2 2 2" xfId="1016"/>
    <cellStyle name="40% - Accent2 2 2 2 2" xfId="1017"/>
    <cellStyle name="40% - Accent2 2 2 2 2 2" xfId="1018"/>
    <cellStyle name="40% - Accent2 2 2 2 2 2 2" xfId="1019"/>
    <cellStyle name="40% - Accent2 2 2 2 2 3" xfId="1020"/>
    <cellStyle name="40% - Accent2 2 2 2 3" xfId="1021"/>
    <cellStyle name="40% - Accent2 2 2 2 3 2" xfId="1022"/>
    <cellStyle name="40% - Accent2 2 2 2 4" xfId="1023"/>
    <cellStyle name="40% - Accent2 2 2 3" xfId="1024"/>
    <cellStyle name="40% - Accent2 2 2 3 2" xfId="1025"/>
    <cellStyle name="40% - Accent2 2 2 3 2 2" xfId="1026"/>
    <cellStyle name="40% - Accent2 2 2 3 3" xfId="1027"/>
    <cellStyle name="40% - Accent2 2 2 4" xfId="1028"/>
    <cellStyle name="40% - Accent2 2 2 4 2" xfId="1029"/>
    <cellStyle name="40% - Accent2 2 2 5" xfId="1030"/>
    <cellStyle name="40% - Accent2 2 3" xfId="1031"/>
    <cellStyle name="40% - Accent2 2 3 2" xfId="1032"/>
    <cellStyle name="40% - Accent2 2 3 2 2" xfId="1033"/>
    <cellStyle name="40% - Accent2 2 3 2 2 2" xfId="1034"/>
    <cellStyle name="40% - Accent2 2 3 2 3" xfId="1035"/>
    <cellStyle name="40% - Accent2 2 3 3" xfId="1036"/>
    <cellStyle name="40% - Accent2 2 3 3 2" xfId="1037"/>
    <cellStyle name="40% - Accent2 2 3 4" xfId="1038"/>
    <cellStyle name="40% - Accent2 2 4" xfId="1039"/>
    <cellStyle name="40% - Accent2 2 4 2" xfId="1040"/>
    <cellStyle name="40% - Accent2 2 4 2 2" xfId="1041"/>
    <cellStyle name="40% - Accent2 2 4 3" xfId="1042"/>
    <cellStyle name="40% - Accent2 2 5" xfId="1043"/>
    <cellStyle name="40% - Accent2 2 5 2" xfId="1044"/>
    <cellStyle name="40% - Accent2 2 6" xfId="1045"/>
    <cellStyle name="40% - Accent2 3" xfId="1046"/>
    <cellStyle name="40% - Accent2 3 2" xfId="1047"/>
    <cellStyle name="40% - Accent2 3 2 2" xfId="1048"/>
    <cellStyle name="40% - Accent2 3 2 2 2" xfId="1049"/>
    <cellStyle name="40% - Accent2 3 2 2 2 2" xfId="1050"/>
    <cellStyle name="40% - Accent2 3 2 2 3" xfId="1051"/>
    <cellStyle name="40% - Accent2 3 2 3" xfId="1052"/>
    <cellStyle name="40% - Accent2 3 2 3 2" xfId="1053"/>
    <cellStyle name="40% - Accent2 3 2 4" xfId="1054"/>
    <cellStyle name="40% - Accent2 3 3" xfId="1055"/>
    <cellStyle name="40% - Accent2 3 3 2" xfId="1056"/>
    <cellStyle name="40% - Accent2 3 3 2 2" xfId="1057"/>
    <cellStyle name="40% - Accent2 3 3 3" xfId="1058"/>
    <cellStyle name="40% - Accent2 3 4" xfId="1059"/>
    <cellStyle name="40% - Accent2 3 4 2" xfId="1060"/>
    <cellStyle name="40% - Accent2 3 5" xfId="1061"/>
    <cellStyle name="40% - Accent2 4" xfId="1062"/>
    <cellStyle name="40% - Accent2 4 2" xfId="1063"/>
    <cellStyle name="40% - Accent2 4 2 2" xfId="1064"/>
    <cellStyle name="40% - Accent2 4 2 2 2" xfId="1065"/>
    <cellStyle name="40% - Accent2 4 2 2 2 2" xfId="1066"/>
    <cellStyle name="40% - Accent2 4 2 2 3" xfId="1067"/>
    <cellStyle name="40% - Accent2 4 2 3" xfId="1068"/>
    <cellStyle name="40% - Accent2 4 2 3 2" xfId="1069"/>
    <cellStyle name="40% - Accent2 4 2 4" xfId="1070"/>
    <cellStyle name="40% - Accent2 4 3" xfId="1071"/>
    <cellStyle name="40% - Accent2 4 3 2" xfId="1072"/>
    <cellStyle name="40% - Accent2 4 3 2 2" xfId="1073"/>
    <cellStyle name="40% - Accent2 4 3 3" xfId="1074"/>
    <cellStyle name="40% - Accent2 4 4" xfId="1075"/>
    <cellStyle name="40% - Accent2 4 4 2" xfId="1076"/>
    <cellStyle name="40% - Accent2 4 5" xfId="1077"/>
    <cellStyle name="40% - Accent2 5" xfId="1078"/>
    <cellStyle name="40% - Accent2 5 2" xfId="1079"/>
    <cellStyle name="40% - Accent2 5 2 2" xfId="1080"/>
    <cellStyle name="40% - Accent2 5 2 2 2" xfId="1081"/>
    <cellStyle name="40% - Accent2 5 2 2 2 2" xfId="1082"/>
    <cellStyle name="40% - Accent2 5 2 2 3" xfId="1083"/>
    <cellStyle name="40% - Accent2 5 2 3" xfId="1084"/>
    <cellStyle name="40% - Accent2 5 2 3 2" xfId="1085"/>
    <cellStyle name="40% - Accent2 5 2 4" xfId="1086"/>
    <cellStyle name="40% - Accent2 5 3" xfId="1087"/>
    <cellStyle name="40% - Accent2 5 3 2" xfId="1088"/>
    <cellStyle name="40% - Accent2 5 3 2 2" xfId="1089"/>
    <cellStyle name="40% - Accent2 5 3 3" xfId="1090"/>
    <cellStyle name="40% - Accent2 5 4" xfId="1091"/>
    <cellStyle name="40% - Accent2 5 4 2" xfId="1092"/>
    <cellStyle name="40% - Accent2 5 5" xfId="1093"/>
    <cellStyle name="40% - Accent2 6" xfId="1094"/>
    <cellStyle name="40% - Accent2 6 2" xfId="1095"/>
    <cellStyle name="40% - Accent2 6 2 2" xfId="1096"/>
    <cellStyle name="40% - Accent2 6 2 2 2" xfId="1097"/>
    <cellStyle name="40% - Accent2 6 2 2 2 2" xfId="1098"/>
    <cellStyle name="40% - Accent2 6 2 2 3" xfId="1099"/>
    <cellStyle name="40% - Accent2 6 2 3" xfId="1100"/>
    <cellStyle name="40% - Accent2 6 2 3 2" xfId="1101"/>
    <cellStyle name="40% - Accent2 6 2 4" xfId="1102"/>
    <cellStyle name="40% - Accent2 6 3" xfId="1103"/>
    <cellStyle name="40% - Accent2 6 3 2" xfId="1104"/>
    <cellStyle name="40% - Accent2 6 3 2 2" xfId="1105"/>
    <cellStyle name="40% - Accent2 6 3 3" xfId="1106"/>
    <cellStyle name="40% - Accent2 6 4" xfId="1107"/>
    <cellStyle name="40% - Accent2 6 4 2" xfId="1108"/>
    <cellStyle name="40% - Accent2 6 5" xfId="1109"/>
    <cellStyle name="40% - Accent2 7" xfId="1110"/>
    <cellStyle name="40% - Accent2 7 2" xfId="1111"/>
    <cellStyle name="40% - Accent2 7 2 2" xfId="1112"/>
    <cellStyle name="40% - Accent2 7 2 2 2" xfId="1113"/>
    <cellStyle name="40% - Accent2 7 2 2 2 2" xfId="1114"/>
    <cellStyle name="40% - Accent2 7 2 2 3" xfId="1115"/>
    <cellStyle name="40% - Accent2 7 2 3" xfId="1116"/>
    <cellStyle name="40% - Accent2 7 2 3 2" xfId="1117"/>
    <cellStyle name="40% - Accent2 7 2 4" xfId="1118"/>
    <cellStyle name="40% - Accent2 7 3" xfId="1119"/>
    <cellStyle name="40% - Accent2 7 3 2" xfId="1120"/>
    <cellStyle name="40% - Accent2 7 3 2 2" xfId="1121"/>
    <cellStyle name="40% - Accent2 7 3 3" xfId="1122"/>
    <cellStyle name="40% - Accent2 7 4" xfId="1123"/>
    <cellStyle name="40% - Accent2 7 4 2" xfId="1124"/>
    <cellStyle name="40% - Accent2 7 5" xfId="1125"/>
    <cellStyle name="40% - Accent2 8" xfId="1126"/>
    <cellStyle name="40% - Accent2 8 2" xfId="1127"/>
    <cellStyle name="40% - Accent2 8 2 2" xfId="1128"/>
    <cellStyle name="40% - Accent2 8 2 2 2" xfId="1129"/>
    <cellStyle name="40% - Accent2 8 2 2 2 2" xfId="1130"/>
    <cellStyle name="40% - Accent2 8 2 2 3" xfId="1131"/>
    <cellStyle name="40% - Accent2 8 2 3" xfId="1132"/>
    <cellStyle name="40% - Accent2 8 2 3 2" xfId="1133"/>
    <cellStyle name="40% - Accent2 8 2 4" xfId="1134"/>
    <cellStyle name="40% - Accent2 8 3" xfId="1135"/>
    <cellStyle name="40% - Accent2 8 3 2" xfId="1136"/>
    <cellStyle name="40% - Accent2 8 3 2 2" xfId="1137"/>
    <cellStyle name="40% - Accent2 8 3 3" xfId="1138"/>
    <cellStyle name="40% - Accent2 8 4" xfId="1139"/>
    <cellStyle name="40% - Accent2 8 4 2" xfId="1140"/>
    <cellStyle name="40% - Accent2 8 5" xfId="1141"/>
    <cellStyle name="40% - Accent2 9" xfId="1142"/>
    <cellStyle name="40% - Accent2 9 2" xfId="1143"/>
    <cellStyle name="40% - Accent2 9 2 2" xfId="1144"/>
    <cellStyle name="40% - Accent2 9 2 2 2" xfId="1145"/>
    <cellStyle name="40% - Accent2 9 2 3" xfId="1146"/>
    <cellStyle name="40% - Accent2 9 3" xfId="1147"/>
    <cellStyle name="40% - Accent2 9 3 2" xfId="1148"/>
    <cellStyle name="40% - Accent2 9 4" xfId="1149"/>
    <cellStyle name="40% - Accent3 10" xfId="1150"/>
    <cellStyle name="40% - Accent3 10 2" xfId="1151"/>
    <cellStyle name="40% - Accent3 10 2 2" xfId="1152"/>
    <cellStyle name="40% - Accent3 10 3" xfId="1153"/>
    <cellStyle name="40% - Accent3 11" xfId="1154"/>
    <cellStyle name="40% - Accent3 11 2" xfId="1155"/>
    <cellStyle name="40% - Accent3 12" xfId="1156"/>
    <cellStyle name="40% - Accent3 2" xfId="1157"/>
    <cellStyle name="40% - Accent3 2 2" xfId="1158"/>
    <cellStyle name="40% - Accent3 2 2 2" xfId="1159"/>
    <cellStyle name="40% - Accent3 2 2 2 2" xfId="1160"/>
    <cellStyle name="40% - Accent3 2 2 2 2 2" xfId="1161"/>
    <cellStyle name="40% - Accent3 2 2 2 2 2 2" xfId="1162"/>
    <cellStyle name="40% - Accent3 2 2 2 2 3" xfId="1163"/>
    <cellStyle name="40% - Accent3 2 2 2 3" xfId="1164"/>
    <cellStyle name="40% - Accent3 2 2 2 3 2" xfId="1165"/>
    <cellStyle name="40% - Accent3 2 2 2 4" xfId="1166"/>
    <cellStyle name="40% - Accent3 2 2 3" xfId="1167"/>
    <cellStyle name="40% - Accent3 2 2 3 2" xfId="1168"/>
    <cellStyle name="40% - Accent3 2 2 3 2 2" xfId="1169"/>
    <cellStyle name="40% - Accent3 2 2 3 3" xfId="1170"/>
    <cellStyle name="40% - Accent3 2 2 4" xfId="1171"/>
    <cellStyle name="40% - Accent3 2 2 4 2" xfId="1172"/>
    <cellStyle name="40% - Accent3 2 2 5" xfId="1173"/>
    <cellStyle name="40% - Accent3 2 3" xfId="1174"/>
    <cellStyle name="40% - Accent3 2 3 2" xfId="1175"/>
    <cellStyle name="40% - Accent3 2 3 2 2" xfId="1176"/>
    <cellStyle name="40% - Accent3 2 3 2 2 2" xfId="1177"/>
    <cellStyle name="40% - Accent3 2 3 2 3" xfId="1178"/>
    <cellStyle name="40% - Accent3 2 3 3" xfId="1179"/>
    <cellStyle name="40% - Accent3 2 3 3 2" xfId="1180"/>
    <cellStyle name="40% - Accent3 2 3 4" xfId="1181"/>
    <cellStyle name="40% - Accent3 2 4" xfId="1182"/>
    <cellStyle name="40% - Accent3 2 4 2" xfId="1183"/>
    <cellStyle name="40% - Accent3 2 4 2 2" xfId="1184"/>
    <cellStyle name="40% - Accent3 2 4 3" xfId="1185"/>
    <cellStyle name="40% - Accent3 2 5" xfId="1186"/>
    <cellStyle name="40% - Accent3 2 5 2" xfId="1187"/>
    <cellStyle name="40% - Accent3 2 6" xfId="1188"/>
    <cellStyle name="40% - Accent3 3" xfId="1189"/>
    <cellStyle name="40% - Accent3 3 2" xfId="1190"/>
    <cellStyle name="40% - Accent3 3 2 2" xfId="1191"/>
    <cellStyle name="40% - Accent3 3 2 2 2" xfId="1192"/>
    <cellStyle name="40% - Accent3 3 2 2 2 2" xfId="1193"/>
    <cellStyle name="40% - Accent3 3 2 2 3" xfId="1194"/>
    <cellStyle name="40% - Accent3 3 2 3" xfId="1195"/>
    <cellStyle name="40% - Accent3 3 2 3 2" xfId="1196"/>
    <cellStyle name="40% - Accent3 3 2 4" xfId="1197"/>
    <cellStyle name="40% - Accent3 3 3" xfId="1198"/>
    <cellStyle name="40% - Accent3 3 3 2" xfId="1199"/>
    <cellStyle name="40% - Accent3 3 3 2 2" xfId="1200"/>
    <cellStyle name="40% - Accent3 3 3 3" xfId="1201"/>
    <cellStyle name="40% - Accent3 3 4" xfId="1202"/>
    <cellStyle name="40% - Accent3 3 4 2" xfId="1203"/>
    <cellStyle name="40% - Accent3 3 5" xfId="1204"/>
    <cellStyle name="40% - Accent3 4" xfId="1205"/>
    <cellStyle name="40% - Accent3 4 2" xfId="1206"/>
    <cellStyle name="40% - Accent3 4 2 2" xfId="1207"/>
    <cellStyle name="40% - Accent3 4 2 2 2" xfId="1208"/>
    <cellStyle name="40% - Accent3 4 2 2 2 2" xfId="1209"/>
    <cellStyle name="40% - Accent3 4 2 2 3" xfId="1210"/>
    <cellStyle name="40% - Accent3 4 2 3" xfId="1211"/>
    <cellStyle name="40% - Accent3 4 2 3 2" xfId="1212"/>
    <cellStyle name="40% - Accent3 4 2 4" xfId="1213"/>
    <cellStyle name="40% - Accent3 4 3" xfId="1214"/>
    <cellStyle name="40% - Accent3 4 3 2" xfId="1215"/>
    <cellStyle name="40% - Accent3 4 3 2 2" xfId="1216"/>
    <cellStyle name="40% - Accent3 4 3 3" xfId="1217"/>
    <cellStyle name="40% - Accent3 4 4" xfId="1218"/>
    <cellStyle name="40% - Accent3 4 4 2" xfId="1219"/>
    <cellStyle name="40% - Accent3 4 5" xfId="1220"/>
    <cellStyle name="40% - Accent3 5" xfId="1221"/>
    <cellStyle name="40% - Accent3 5 2" xfId="1222"/>
    <cellStyle name="40% - Accent3 5 2 2" xfId="1223"/>
    <cellStyle name="40% - Accent3 5 2 2 2" xfId="1224"/>
    <cellStyle name="40% - Accent3 5 2 2 2 2" xfId="1225"/>
    <cellStyle name="40% - Accent3 5 2 2 3" xfId="1226"/>
    <cellStyle name="40% - Accent3 5 2 3" xfId="1227"/>
    <cellStyle name="40% - Accent3 5 2 3 2" xfId="1228"/>
    <cellStyle name="40% - Accent3 5 2 4" xfId="1229"/>
    <cellStyle name="40% - Accent3 5 3" xfId="1230"/>
    <cellStyle name="40% - Accent3 5 3 2" xfId="1231"/>
    <cellStyle name="40% - Accent3 5 3 2 2" xfId="1232"/>
    <cellStyle name="40% - Accent3 5 3 3" xfId="1233"/>
    <cellStyle name="40% - Accent3 5 4" xfId="1234"/>
    <cellStyle name="40% - Accent3 5 4 2" xfId="1235"/>
    <cellStyle name="40% - Accent3 5 5" xfId="1236"/>
    <cellStyle name="40% - Accent3 6" xfId="1237"/>
    <cellStyle name="40% - Accent3 6 2" xfId="1238"/>
    <cellStyle name="40% - Accent3 6 2 2" xfId="1239"/>
    <cellStyle name="40% - Accent3 6 2 2 2" xfId="1240"/>
    <cellStyle name="40% - Accent3 6 2 2 2 2" xfId="1241"/>
    <cellStyle name="40% - Accent3 6 2 2 3" xfId="1242"/>
    <cellStyle name="40% - Accent3 6 2 3" xfId="1243"/>
    <cellStyle name="40% - Accent3 6 2 3 2" xfId="1244"/>
    <cellStyle name="40% - Accent3 6 2 4" xfId="1245"/>
    <cellStyle name="40% - Accent3 6 3" xfId="1246"/>
    <cellStyle name="40% - Accent3 6 3 2" xfId="1247"/>
    <cellStyle name="40% - Accent3 6 3 2 2" xfId="1248"/>
    <cellStyle name="40% - Accent3 6 3 3" xfId="1249"/>
    <cellStyle name="40% - Accent3 6 4" xfId="1250"/>
    <cellStyle name="40% - Accent3 6 4 2" xfId="1251"/>
    <cellStyle name="40% - Accent3 6 5" xfId="1252"/>
    <cellStyle name="40% - Accent3 7" xfId="1253"/>
    <cellStyle name="40% - Accent3 7 2" xfId="1254"/>
    <cellStyle name="40% - Accent3 7 2 2" xfId="1255"/>
    <cellStyle name="40% - Accent3 7 2 2 2" xfId="1256"/>
    <cellStyle name="40% - Accent3 7 2 2 2 2" xfId="1257"/>
    <cellStyle name="40% - Accent3 7 2 2 3" xfId="1258"/>
    <cellStyle name="40% - Accent3 7 2 3" xfId="1259"/>
    <cellStyle name="40% - Accent3 7 2 3 2" xfId="1260"/>
    <cellStyle name="40% - Accent3 7 2 4" xfId="1261"/>
    <cellStyle name="40% - Accent3 7 3" xfId="1262"/>
    <cellStyle name="40% - Accent3 7 3 2" xfId="1263"/>
    <cellStyle name="40% - Accent3 7 3 2 2" xfId="1264"/>
    <cellStyle name="40% - Accent3 7 3 3" xfId="1265"/>
    <cellStyle name="40% - Accent3 7 4" xfId="1266"/>
    <cellStyle name="40% - Accent3 7 4 2" xfId="1267"/>
    <cellStyle name="40% - Accent3 7 5" xfId="1268"/>
    <cellStyle name="40% - Accent3 8" xfId="1269"/>
    <cellStyle name="40% - Accent3 8 2" xfId="1270"/>
    <cellStyle name="40% - Accent3 8 2 2" xfId="1271"/>
    <cellStyle name="40% - Accent3 8 2 2 2" xfId="1272"/>
    <cellStyle name="40% - Accent3 8 2 2 2 2" xfId="1273"/>
    <cellStyle name="40% - Accent3 8 2 2 3" xfId="1274"/>
    <cellStyle name="40% - Accent3 8 2 3" xfId="1275"/>
    <cellStyle name="40% - Accent3 8 2 3 2" xfId="1276"/>
    <cellStyle name="40% - Accent3 8 2 4" xfId="1277"/>
    <cellStyle name="40% - Accent3 8 3" xfId="1278"/>
    <cellStyle name="40% - Accent3 8 3 2" xfId="1279"/>
    <cellStyle name="40% - Accent3 8 3 2 2" xfId="1280"/>
    <cellStyle name="40% - Accent3 8 3 3" xfId="1281"/>
    <cellStyle name="40% - Accent3 8 4" xfId="1282"/>
    <cellStyle name="40% - Accent3 8 4 2" xfId="1283"/>
    <cellStyle name="40% - Accent3 8 5" xfId="1284"/>
    <cellStyle name="40% - Accent3 9" xfId="1285"/>
    <cellStyle name="40% - Accent3 9 2" xfId="1286"/>
    <cellStyle name="40% - Accent3 9 2 2" xfId="1287"/>
    <cellStyle name="40% - Accent3 9 2 2 2" xfId="1288"/>
    <cellStyle name="40% - Accent3 9 2 3" xfId="1289"/>
    <cellStyle name="40% - Accent3 9 3" xfId="1290"/>
    <cellStyle name="40% - Accent3 9 3 2" xfId="1291"/>
    <cellStyle name="40% - Accent3 9 4" xfId="1292"/>
    <cellStyle name="40% - Accent4 10" xfId="1293"/>
    <cellStyle name="40% - Accent4 10 2" xfId="1294"/>
    <cellStyle name="40% - Accent4 10 2 2" xfId="1295"/>
    <cellStyle name="40% - Accent4 10 3" xfId="1296"/>
    <cellStyle name="40% - Accent4 11" xfId="1297"/>
    <cellStyle name="40% - Accent4 11 2" xfId="1298"/>
    <cellStyle name="40% - Accent4 12" xfId="1299"/>
    <cellStyle name="40% - Accent4 2" xfId="1300"/>
    <cellStyle name="40% - Accent4 2 2" xfId="1301"/>
    <cellStyle name="40% - Accent4 2 2 2" xfId="1302"/>
    <cellStyle name="40% - Accent4 2 2 2 2" xfId="1303"/>
    <cellStyle name="40% - Accent4 2 2 2 2 2" xfId="1304"/>
    <cellStyle name="40% - Accent4 2 2 2 2 2 2" xfId="1305"/>
    <cellStyle name="40% - Accent4 2 2 2 2 3" xfId="1306"/>
    <cellStyle name="40% - Accent4 2 2 2 3" xfId="1307"/>
    <cellStyle name="40% - Accent4 2 2 2 3 2" xfId="1308"/>
    <cellStyle name="40% - Accent4 2 2 2 4" xfId="1309"/>
    <cellStyle name="40% - Accent4 2 2 3" xfId="1310"/>
    <cellStyle name="40% - Accent4 2 2 3 2" xfId="1311"/>
    <cellStyle name="40% - Accent4 2 2 3 2 2" xfId="1312"/>
    <cellStyle name="40% - Accent4 2 2 3 3" xfId="1313"/>
    <cellStyle name="40% - Accent4 2 2 4" xfId="1314"/>
    <cellStyle name="40% - Accent4 2 2 4 2" xfId="1315"/>
    <cellStyle name="40% - Accent4 2 2 5" xfId="1316"/>
    <cellStyle name="40% - Accent4 2 3" xfId="1317"/>
    <cellStyle name="40% - Accent4 2 3 2" xfId="1318"/>
    <cellStyle name="40% - Accent4 2 3 2 2" xfId="1319"/>
    <cellStyle name="40% - Accent4 2 3 2 2 2" xfId="1320"/>
    <cellStyle name="40% - Accent4 2 3 2 3" xfId="1321"/>
    <cellStyle name="40% - Accent4 2 3 3" xfId="1322"/>
    <cellStyle name="40% - Accent4 2 3 3 2" xfId="1323"/>
    <cellStyle name="40% - Accent4 2 3 4" xfId="1324"/>
    <cellStyle name="40% - Accent4 2 4" xfId="1325"/>
    <cellStyle name="40% - Accent4 2 4 2" xfId="1326"/>
    <cellStyle name="40% - Accent4 2 4 2 2" xfId="1327"/>
    <cellStyle name="40% - Accent4 2 4 3" xfId="1328"/>
    <cellStyle name="40% - Accent4 2 5" xfId="1329"/>
    <cellStyle name="40% - Accent4 2 5 2" xfId="1330"/>
    <cellStyle name="40% - Accent4 2 6" xfId="1331"/>
    <cellStyle name="40% - Accent4 3" xfId="1332"/>
    <cellStyle name="40% - Accent4 3 2" xfId="1333"/>
    <cellStyle name="40% - Accent4 3 2 2" xfId="1334"/>
    <cellStyle name="40% - Accent4 3 2 2 2" xfId="1335"/>
    <cellStyle name="40% - Accent4 3 2 2 2 2" xfId="1336"/>
    <cellStyle name="40% - Accent4 3 2 2 3" xfId="1337"/>
    <cellStyle name="40% - Accent4 3 2 3" xfId="1338"/>
    <cellStyle name="40% - Accent4 3 2 3 2" xfId="1339"/>
    <cellStyle name="40% - Accent4 3 2 4" xfId="1340"/>
    <cellStyle name="40% - Accent4 3 3" xfId="1341"/>
    <cellStyle name="40% - Accent4 3 3 2" xfId="1342"/>
    <cellStyle name="40% - Accent4 3 3 2 2" xfId="1343"/>
    <cellStyle name="40% - Accent4 3 3 3" xfId="1344"/>
    <cellStyle name="40% - Accent4 3 4" xfId="1345"/>
    <cellStyle name="40% - Accent4 3 4 2" xfId="1346"/>
    <cellStyle name="40% - Accent4 3 5" xfId="1347"/>
    <cellStyle name="40% - Accent4 4" xfId="1348"/>
    <cellStyle name="40% - Accent4 4 2" xfId="1349"/>
    <cellStyle name="40% - Accent4 4 2 2" xfId="1350"/>
    <cellStyle name="40% - Accent4 4 2 2 2" xfId="1351"/>
    <cellStyle name="40% - Accent4 4 2 2 2 2" xfId="1352"/>
    <cellStyle name="40% - Accent4 4 2 2 3" xfId="1353"/>
    <cellStyle name="40% - Accent4 4 2 3" xfId="1354"/>
    <cellStyle name="40% - Accent4 4 2 3 2" xfId="1355"/>
    <cellStyle name="40% - Accent4 4 2 4" xfId="1356"/>
    <cellStyle name="40% - Accent4 4 3" xfId="1357"/>
    <cellStyle name="40% - Accent4 4 3 2" xfId="1358"/>
    <cellStyle name="40% - Accent4 4 3 2 2" xfId="1359"/>
    <cellStyle name="40% - Accent4 4 3 3" xfId="1360"/>
    <cellStyle name="40% - Accent4 4 4" xfId="1361"/>
    <cellStyle name="40% - Accent4 4 4 2" xfId="1362"/>
    <cellStyle name="40% - Accent4 4 5" xfId="1363"/>
    <cellStyle name="40% - Accent4 5" xfId="1364"/>
    <cellStyle name="40% - Accent4 5 2" xfId="1365"/>
    <cellStyle name="40% - Accent4 5 2 2" xfId="1366"/>
    <cellStyle name="40% - Accent4 5 2 2 2" xfId="1367"/>
    <cellStyle name="40% - Accent4 5 2 2 2 2" xfId="1368"/>
    <cellStyle name="40% - Accent4 5 2 2 3" xfId="1369"/>
    <cellStyle name="40% - Accent4 5 2 3" xfId="1370"/>
    <cellStyle name="40% - Accent4 5 2 3 2" xfId="1371"/>
    <cellStyle name="40% - Accent4 5 2 4" xfId="1372"/>
    <cellStyle name="40% - Accent4 5 3" xfId="1373"/>
    <cellStyle name="40% - Accent4 5 3 2" xfId="1374"/>
    <cellStyle name="40% - Accent4 5 3 2 2" xfId="1375"/>
    <cellStyle name="40% - Accent4 5 3 3" xfId="1376"/>
    <cellStyle name="40% - Accent4 5 4" xfId="1377"/>
    <cellStyle name="40% - Accent4 5 4 2" xfId="1378"/>
    <cellStyle name="40% - Accent4 5 5" xfId="1379"/>
    <cellStyle name="40% - Accent4 6" xfId="1380"/>
    <cellStyle name="40% - Accent4 6 2" xfId="1381"/>
    <cellStyle name="40% - Accent4 6 2 2" xfId="1382"/>
    <cellStyle name="40% - Accent4 6 2 2 2" xfId="1383"/>
    <cellStyle name="40% - Accent4 6 2 2 2 2" xfId="1384"/>
    <cellStyle name="40% - Accent4 6 2 2 3" xfId="1385"/>
    <cellStyle name="40% - Accent4 6 2 3" xfId="1386"/>
    <cellStyle name="40% - Accent4 6 2 3 2" xfId="1387"/>
    <cellStyle name="40% - Accent4 6 2 4" xfId="1388"/>
    <cellStyle name="40% - Accent4 6 3" xfId="1389"/>
    <cellStyle name="40% - Accent4 6 3 2" xfId="1390"/>
    <cellStyle name="40% - Accent4 6 3 2 2" xfId="1391"/>
    <cellStyle name="40% - Accent4 6 3 3" xfId="1392"/>
    <cellStyle name="40% - Accent4 6 4" xfId="1393"/>
    <cellStyle name="40% - Accent4 6 4 2" xfId="1394"/>
    <cellStyle name="40% - Accent4 6 5" xfId="1395"/>
    <cellStyle name="40% - Accent4 7" xfId="1396"/>
    <cellStyle name="40% - Accent4 7 2" xfId="1397"/>
    <cellStyle name="40% - Accent4 7 2 2" xfId="1398"/>
    <cellStyle name="40% - Accent4 7 2 2 2" xfId="1399"/>
    <cellStyle name="40% - Accent4 7 2 2 2 2" xfId="1400"/>
    <cellStyle name="40% - Accent4 7 2 2 3" xfId="1401"/>
    <cellStyle name="40% - Accent4 7 2 3" xfId="1402"/>
    <cellStyle name="40% - Accent4 7 2 3 2" xfId="1403"/>
    <cellStyle name="40% - Accent4 7 2 4" xfId="1404"/>
    <cellStyle name="40% - Accent4 7 3" xfId="1405"/>
    <cellStyle name="40% - Accent4 7 3 2" xfId="1406"/>
    <cellStyle name="40% - Accent4 7 3 2 2" xfId="1407"/>
    <cellStyle name="40% - Accent4 7 3 3" xfId="1408"/>
    <cellStyle name="40% - Accent4 7 4" xfId="1409"/>
    <cellStyle name="40% - Accent4 7 4 2" xfId="1410"/>
    <cellStyle name="40% - Accent4 7 5" xfId="1411"/>
    <cellStyle name="40% - Accent4 8" xfId="1412"/>
    <cellStyle name="40% - Accent4 8 2" xfId="1413"/>
    <cellStyle name="40% - Accent4 8 2 2" xfId="1414"/>
    <cellStyle name="40% - Accent4 8 2 2 2" xfId="1415"/>
    <cellStyle name="40% - Accent4 8 2 2 2 2" xfId="1416"/>
    <cellStyle name="40% - Accent4 8 2 2 3" xfId="1417"/>
    <cellStyle name="40% - Accent4 8 2 3" xfId="1418"/>
    <cellStyle name="40% - Accent4 8 2 3 2" xfId="1419"/>
    <cellStyle name="40% - Accent4 8 2 4" xfId="1420"/>
    <cellStyle name="40% - Accent4 8 3" xfId="1421"/>
    <cellStyle name="40% - Accent4 8 3 2" xfId="1422"/>
    <cellStyle name="40% - Accent4 8 3 2 2" xfId="1423"/>
    <cellStyle name="40% - Accent4 8 3 3" xfId="1424"/>
    <cellStyle name="40% - Accent4 8 4" xfId="1425"/>
    <cellStyle name="40% - Accent4 8 4 2" xfId="1426"/>
    <cellStyle name="40% - Accent4 8 5" xfId="1427"/>
    <cellStyle name="40% - Accent4 9" xfId="1428"/>
    <cellStyle name="40% - Accent4 9 2" xfId="1429"/>
    <cellStyle name="40% - Accent4 9 2 2" xfId="1430"/>
    <cellStyle name="40% - Accent4 9 2 2 2" xfId="1431"/>
    <cellStyle name="40% - Accent4 9 2 3" xfId="1432"/>
    <cellStyle name="40% - Accent4 9 3" xfId="1433"/>
    <cellStyle name="40% - Accent4 9 3 2" xfId="1434"/>
    <cellStyle name="40% - Accent4 9 4" xfId="1435"/>
    <cellStyle name="40% - Accent5 10" xfId="1436"/>
    <cellStyle name="40% - Accent5 10 2" xfId="1437"/>
    <cellStyle name="40% - Accent5 10 2 2" xfId="1438"/>
    <cellStyle name="40% - Accent5 10 3" xfId="1439"/>
    <cellStyle name="40% - Accent5 11" xfId="1440"/>
    <cellStyle name="40% - Accent5 11 2" xfId="1441"/>
    <cellStyle name="40% - Accent5 12" xfId="1442"/>
    <cellStyle name="40% - Accent5 2" xfId="1443"/>
    <cellStyle name="40% - Accent5 2 2" xfId="1444"/>
    <cellStyle name="40% - Accent5 2 2 2" xfId="1445"/>
    <cellStyle name="40% - Accent5 2 2 2 2" xfId="1446"/>
    <cellStyle name="40% - Accent5 2 2 2 2 2" xfId="1447"/>
    <cellStyle name="40% - Accent5 2 2 2 2 2 2" xfId="1448"/>
    <cellStyle name="40% - Accent5 2 2 2 2 3" xfId="1449"/>
    <cellStyle name="40% - Accent5 2 2 2 3" xfId="1450"/>
    <cellStyle name="40% - Accent5 2 2 2 3 2" xfId="1451"/>
    <cellStyle name="40% - Accent5 2 2 2 4" xfId="1452"/>
    <cellStyle name="40% - Accent5 2 2 3" xfId="1453"/>
    <cellStyle name="40% - Accent5 2 2 3 2" xfId="1454"/>
    <cellStyle name="40% - Accent5 2 2 3 2 2" xfId="1455"/>
    <cellStyle name="40% - Accent5 2 2 3 3" xfId="1456"/>
    <cellStyle name="40% - Accent5 2 2 4" xfId="1457"/>
    <cellStyle name="40% - Accent5 2 2 4 2" xfId="1458"/>
    <cellStyle name="40% - Accent5 2 2 5" xfId="1459"/>
    <cellStyle name="40% - Accent5 2 3" xfId="1460"/>
    <cellStyle name="40% - Accent5 2 3 2" xfId="1461"/>
    <cellStyle name="40% - Accent5 2 3 2 2" xfId="1462"/>
    <cellStyle name="40% - Accent5 2 3 2 2 2" xfId="1463"/>
    <cellStyle name="40% - Accent5 2 3 2 3" xfId="1464"/>
    <cellStyle name="40% - Accent5 2 3 3" xfId="1465"/>
    <cellStyle name="40% - Accent5 2 3 3 2" xfId="1466"/>
    <cellStyle name="40% - Accent5 2 3 4" xfId="1467"/>
    <cellStyle name="40% - Accent5 2 4" xfId="1468"/>
    <cellStyle name="40% - Accent5 2 4 2" xfId="1469"/>
    <cellStyle name="40% - Accent5 2 4 2 2" xfId="1470"/>
    <cellStyle name="40% - Accent5 2 4 3" xfId="1471"/>
    <cellStyle name="40% - Accent5 2 5" xfId="1472"/>
    <cellStyle name="40% - Accent5 2 5 2" xfId="1473"/>
    <cellStyle name="40% - Accent5 2 6" xfId="1474"/>
    <cellStyle name="40% - Accent5 3" xfId="1475"/>
    <cellStyle name="40% - Accent5 3 2" xfId="1476"/>
    <cellStyle name="40% - Accent5 3 2 2" xfId="1477"/>
    <cellStyle name="40% - Accent5 3 2 2 2" xfId="1478"/>
    <cellStyle name="40% - Accent5 3 2 2 2 2" xfId="1479"/>
    <cellStyle name="40% - Accent5 3 2 2 3" xfId="1480"/>
    <cellStyle name="40% - Accent5 3 2 3" xfId="1481"/>
    <cellStyle name="40% - Accent5 3 2 3 2" xfId="1482"/>
    <cellStyle name="40% - Accent5 3 2 4" xfId="1483"/>
    <cellStyle name="40% - Accent5 3 3" xfId="1484"/>
    <cellStyle name="40% - Accent5 3 3 2" xfId="1485"/>
    <cellStyle name="40% - Accent5 3 3 2 2" xfId="1486"/>
    <cellStyle name="40% - Accent5 3 3 3" xfId="1487"/>
    <cellStyle name="40% - Accent5 3 4" xfId="1488"/>
    <cellStyle name="40% - Accent5 3 4 2" xfId="1489"/>
    <cellStyle name="40% - Accent5 3 5" xfId="1490"/>
    <cellStyle name="40% - Accent5 4" xfId="1491"/>
    <cellStyle name="40% - Accent5 4 2" xfId="1492"/>
    <cellStyle name="40% - Accent5 4 2 2" xfId="1493"/>
    <cellStyle name="40% - Accent5 4 2 2 2" xfId="1494"/>
    <cellStyle name="40% - Accent5 4 2 2 2 2" xfId="1495"/>
    <cellStyle name="40% - Accent5 4 2 2 3" xfId="1496"/>
    <cellStyle name="40% - Accent5 4 2 3" xfId="1497"/>
    <cellStyle name="40% - Accent5 4 2 3 2" xfId="1498"/>
    <cellStyle name="40% - Accent5 4 2 4" xfId="1499"/>
    <cellStyle name="40% - Accent5 4 3" xfId="1500"/>
    <cellStyle name="40% - Accent5 4 3 2" xfId="1501"/>
    <cellStyle name="40% - Accent5 4 3 2 2" xfId="1502"/>
    <cellStyle name="40% - Accent5 4 3 3" xfId="1503"/>
    <cellStyle name="40% - Accent5 4 4" xfId="1504"/>
    <cellStyle name="40% - Accent5 4 4 2" xfId="1505"/>
    <cellStyle name="40% - Accent5 4 5" xfId="1506"/>
    <cellStyle name="40% - Accent5 5" xfId="1507"/>
    <cellStyle name="40% - Accent5 5 2" xfId="1508"/>
    <cellStyle name="40% - Accent5 5 2 2" xfId="1509"/>
    <cellStyle name="40% - Accent5 5 2 2 2" xfId="1510"/>
    <cellStyle name="40% - Accent5 5 2 2 2 2" xfId="1511"/>
    <cellStyle name="40% - Accent5 5 2 2 3" xfId="1512"/>
    <cellStyle name="40% - Accent5 5 2 3" xfId="1513"/>
    <cellStyle name="40% - Accent5 5 2 3 2" xfId="1514"/>
    <cellStyle name="40% - Accent5 5 2 4" xfId="1515"/>
    <cellStyle name="40% - Accent5 5 3" xfId="1516"/>
    <cellStyle name="40% - Accent5 5 3 2" xfId="1517"/>
    <cellStyle name="40% - Accent5 5 3 2 2" xfId="1518"/>
    <cellStyle name="40% - Accent5 5 3 3" xfId="1519"/>
    <cellStyle name="40% - Accent5 5 4" xfId="1520"/>
    <cellStyle name="40% - Accent5 5 4 2" xfId="1521"/>
    <cellStyle name="40% - Accent5 5 5" xfId="1522"/>
    <cellStyle name="40% - Accent5 6" xfId="1523"/>
    <cellStyle name="40% - Accent5 6 2" xfId="1524"/>
    <cellStyle name="40% - Accent5 6 2 2" xfId="1525"/>
    <cellStyle name="40% - Accent5 6 2 2 2" xfId="1526"/>
    <cellStyle name="40% - Accent5 6 2 2 2 2" xfId="1527"/>
    <cellStyle name="40% - Accent5 6 2 2 3" xfId="1528"/>
    <cellStyle name="40% - Accent5 6 2 3" xfId="1529"/>
    <cellStyle name="40% - Accent5 6 2 3 2" xfId="1530"/>
    <cellStyle name="40% - Accent5 6 2 4" xfId="1531"/>
    <cellStyle name="40% - Accent5 6 3" xfId="1532"/>
    <cellStyle name="40% - Accent5 6 3 2" xfId="1533"/>
    <cellStyle name="40% - Accent5 6 3 2 2" xfId="1534"/>
    <cellStyle name="40% - Accent5 6 3 3" xfId="1535"/>
    <cellStyle name="40% - Accent5 6 4" xfId="1536"/>
    <cellStyle name="40% - Accent5 6 4 2" xfId="1537"/>
    <cellStyle name="40% - Accent5 6 5" xfId="1538"/>
    <cellStyle name="40% - Accent5 7" xfId="1539"/>
    <cellStyle name="40% - Accent5 7 2" xfId="1540"/>
    <cellStyle name="40% - Accent5 7 2 2" xfId="1541"/>
    <cellStyle name="40% - Accent5 7 2 2 2" xfId="1542"/>
    <cellStyle name="40% - Accent5 7 2 2 2 2" xfId="1543"/>
    <cellStyle name="40% - Accent5 7 2 2 3" xfId="1544"/>
    <cellStyle name="40% - Accent5 7 2 3" xfId="1545"/>
    <cellStyle name="40% - Accent5 7 2 3 2" xfId="1546"/>
    <cellStyle name="40% - Accent5 7 2 4" xfId="1547"/>
    <cellStyle name="40% - Accent5 7 3" xfId="1548"/>
    <cellStyle name="40% - Accent5 7 3 2" xfId="1549"/>
    <cellStyle name="40% - Accent5 7 3 2 2" xfId="1550"/>
    <cellStyle name="40% - Accent5 7 3 3" xfId="1551"/>
    <cellStyle name="40% - Accent5 7 4" xfId="1552"/>
    <cellStyle name="40% - Accent5 7 4 2" xfId="1553"/>
    <cellStyle name="40% - Accent5 7 5" xfId="1554"/>
    <cellStyle name="40% - Accent5 8" xfId="1555"/>
    <cellStyle name="40% - Accent5 8 2" xfId="1556"/>
    <cellStyle name="40% - Accent5 8 2 2" xfId="1557"/>
    <cellStyle name="40% - Accent5 8 2 2 2" xfId="1558"/>
    <cellStyle name="40% - Accent5 8 2 2 2 2" xfId="1559"/>
    <cellStyle name="40% - Accent5 8 2 2 3" xfId="1560"/>
    <cellStyle name="40% - Accent5 8 2 3" xfId="1561"/>
    <cellStyle name="40% - Accent5 8 2 3 2" xfId="1562"/>
    <cellStyle name="40% - Accent5 8 2 4" xfId="1563"/>
    <cellStyle name="40% - Accent5 8 3" xfId="1564"/>
    <cellStyle name="40% - Accent5 8 3 2" xfId="1565"/>
    <cellStyle name="40% - Accent5 8 3 2 2" xfId="1566"/>
    <cellStyle name="40% - Accent5 8 3 3" xfId="1567"/>
    <cellStyle name="40% - Accent5 8 4" xfId="1568"/>
    <cellStyle name="40% - Accent5 8 4 2" xfId="1569"/>
    <cellStyle name="40% - Accent5 8 5" xfId="1570"/>
    <cellStyle name="40% - Accent5 9" xfId="1571"/>
    <cellStyle name="40% - Accent5 9 2" xfId="1572"/>
    <cellStyle name="40% - Accent5 9 2 2" xfId="1573"/>
    <cellStyle name="40% - Accent5 9 2 2 2" xfId="1574"/>
    <cellStyle name="40% - Accent5 9 2 3" xfId="1575"/>
    <cellStyle name="40% - Accent5 9 3" xfId="1576"/>
    <cellStyle name="40% - Accent5 9 3 2" xfId="1577"/>
    <cellStyle name="40% - Accent5 9 4" xfId="1578"/>
    <cellStyle name="40% - Accent6 10" xfId="1579"/>
    <cellStyle name="40% - Accent6 10 2" xfId="1580"/>
    <cellStyle name="40% - Accent6 10 2 2" xfId="1581"/>
    <cellStyle name="40% - Accent6 10 3" xfId="1582"/>
    <cellStyle name="40% - Accent6 11" xfId="1583"/>
    <cellStyle name="40% - Accent6 11 2" xfId="1584"/>
    <cellStyle name="40% - Accent6 12" xfId="1585"/>
    <cellStyle name="40% - Accent6 2" xfId="1586"/>
    <cellStyle name="40% - Accent6 2 2" xfId="1587"/>
    <cellStyle name="40% - Accent6 2 2 2" xfId="1588"/>
    <cellStyle name="40% - Accent6 2 2 2 2" xfId="1589"/>
    <cellStyle name="40% - Accent6 2 2 2 2 2" xfId="1590"/>
    <cellStyle name="40% - Accent6 2 2 2 2 2 2" xfId="1591"/>
    <cellStyle name="40% - Accent6 2 2 2 2 3" xfId="1592"/>
    <cellStyle name="40% - Accent6 2 2 2 3" xfId="1593"/>
    <cellStyle name="40% - Accent6 2 2 2 3 2" xfId="1594"/>
    <cellStyle name="40% - Accent6 2 2 2 4" xfId="1595"/>
    <cellStyle name="40% - Accent6 2 2 3" xfId="1596"/>
    <cellStyle name="40% - Accent6 2 2 3 2" xfId="1597"/>
    <cellStyle name="40% - Accent6 2 2 3 2 2" xfId="1598"/>
    <cellStyle name="40% - Accent6 2 2 3 3" xfId="1599"/>
    <cellStyle name="40% - Accent6 2 2 4" xfId="1600"/>
    <cellStyle name="40% - Accent6 2 2 4 2" xfId="1601"/>
    <cellStyle name="40% - Accent6 2 2 5" xfId="1602"/>
    <cellStyle name="40% - Accent6 2 3" xfId="1603"/>
    <cellStyle name="40% - Accent6 2 3 2" xfId="1604"/>
    <cellStyle name="40% - Accent6 2 3 2 2" xfId="1605"/>
    <cellStyle name="40% - Accent6 2 3 2 2 2" xfId="1606"/>
    <cellStyle name="40% - Accent6 2 3 2 3" xfId="1607"/>
    <cellStyle name="40% - Accent6 2 3 3" xfId="1608"/>
    <cellStyle name="40% - Accent6 2 3 3 2" xfId="1609"/>
    <cellStyle name="40% - Accent6 2 3 4" xfId="1610"/>
    <cellStyle name="40% - Accent6 2 4" xfId="1611"/>
    <cellStyle name="40% - Accent6 2 4 2" xfId="1612"/>
    <cellStyle name="40% - Accent6 2 4 2 2" xfId="1613"/>
    <cellStyle name="40% - Accent6 2 4 3" xfId="1614"/>
    <cellStyle name="40% - Accent6 2 5" xfId="1615"/>
    <cellStyle name="40% - Accent6 2 5 2" xfId="1616"/>
    <cellStyle name="40% - Accent6 2 6" xfId="1617"/>
    <cellStyle name="40% - Accent6 3" xfId="1618"/>
    <cellStyle name="40% - Accent6 3 2" xfId="1619"/>
    <cellStyle name="40% - Accent6 3 2 2" xfId="1620"/>
    <cellStyle name="40% - Accent6 3 2 2 2" xfId="1621"/>
    <cellStyle name="40% - Accent6 3 2 2 2 2" xfId="1622"/>
    <cellStyle name="40% - Accent6 3 2 2 3" xfId="1623"/>
    <cellStyle name="40% - Accent6 3 2 3" xfId="1624"/>
    <cellStyle name="40% - Accent6 3 2 3 2" xfId="1625"/>
    <cellStyle name="40% - Accent6 3 2 4" xfId="1626"/>
    <cellStyle name="40% - Accent6 3 3" xfId="1627"/>
    <cellStyle name="40% - Accent6 3 3 2" xfId="1628"/>
    <cellStyle name="40% - Accent6 3 3 2 2" xfId="1629"/>
    <cellStyle name="40% - Accent6 3 3 3" xfId="1630"/>
    <cellStyle name="40% - Accent6 3 4" xfId="1631"/>
    <cellStyle name="40% - Accent6 3 4 2" xfId="1632"/>
    <cellStyle name="40% - Accent6 3 5" xfId="1633"/>
    <cellStyle name="40% - Accent6 4" xfId="1634"/>
    <cellStyle name="40% - Accent6 4 2" xfId="1635"/>
    <cellStyle name="40% - Accent6 4 2 2" xfId="1636"/>
    <cellStyle name="40% - Accent6 4 2 2 2" xfId="1637"/>
    <cellStyle name="40% - Accent6 4 2 2 2 2" xfId="1638"/>
    <cellStyle name="40% - Accent6 4 2 2 3" xfId="1639"/>
    <cellStyle name="40% - Accent6 4 2 3" xfId="1640"/>
    <cellStyle name="40% - Accent6 4 2 3 2" xfId="1641"/>
    <cellStyle name="40% - Accent6 4 2 4" xfId="1642"/>
    <cellStyle name="40% - Accent6 4 3" xfId="1643"/>
    <cellStyle name="40% - Accent6 4 3 2" xfId="1644"/>
    <cellStyle name="40% - Accent6 4 3 2 2" xfId="1645"/>
    <cellStyle name="40% - Accent6 4 3 3" xfId="1646"/>
    <cellStyle name="40% - Accent6 4 4" xfId="1647"/>
    <cellStyle name="40% - Accent6 4 4 2" xfId="1648"/>
    <cellStyle name="40% - Accent6 4 5" xfId="1649"/>
    <cellStyle name="40% - Accent6 5" xfId="1650"/>
    <cellStyle name="40% - Accent6 5 2" xfId="1651"/>
    <cellStyle name="40% - Accent6 5 2 2" xfId="1652"/>
    <cellStyle name="40% - Accent6 5 2 2 2" xfId="1653"/>
    <cellStyle name="40% - Accent6 5 2 2 2 2" xfId="1654"/>
    <cellStyle name="40% - Accent6 5 2 2 3" xfId="1655"/>
    <cellStyle name="40% - Accent6 5 2 3" xfId="1656"/>
    <cellStyle name="40% - Accent6 5 2 3 2" xfId="1657"/>
    <cellStyle name="40% - Accent6 5 2 4" xfId="1658"/>
    <cellStyle name="40% - Accent6 5 3" xfId="1659"/>
    <cellStyle name="40% - Accent6 5 3 2" xfId="1660"/>
    <cellStyle name="40% - Accent6 5 3 2 2" xfId="1661"/>
    <cellStyle name="40% - Accent6 5 3 3" xfId="1662"/>
    <cellStyle name="40% - Accent6 5 4" xfId="1663"/>
    <cellStyle name="40% - Accent6 5 4 2" xfId="1664"/>
    <cellStyle name="40% - Accent6 5 5" xfId="1665"/>
    <cellStyle name="40% - Accent6 6" xfId="1666"/>
    <cellStyle name="40% - Accent6 6 2" xfId="1667"/>
    <cellStyle name="40% - Accent6 6 2 2" xfId="1668"/>
    <cellStyle name="40% - Accent6 6 2 2 2" xfId="1669"/>
    <cellStyle name="40% - Accent6 6 2 2 2 2" xfId="1670"/>
    <cellStyle name="40% - Accent6 6 2 2 3" xfId="1671"/>
    <cellStyle name="40% - Accent6 6 2 3" xfId="1672"/>
    <cellStyle name="40% - Accent6 6 2 3 2" xfId="1673"/>
    <cellStyle name="40% - Accent6 6 2 4" xfId="1674"/>
    <cellStyle name="40% - Accent6 6 3" xfId="1675"/>
    <cellStyle name="40% - Accent6 6 3 2" xfId="1676"/>
    <cellStyle name="40% - Accent6 6 3 2 2" xfId="1677"/>
    <cellStyle name="40% - Accent6 6 3 3" xfId="1678"/>
    <cellStyle name="40% - Accent6 6 4" xfId="1679"/>
    <cellStyle name="40% - Accent6 6 4 2" xfId="1680"/>
    <cellStyle name="40% - Accent6 6 5" xfId="1681"/>
    <cellStyle name="40% - Accent6 7" xfId="1682"/>
    <cellStyle name="40% - Accent6 7 2" xfId="1683"/>
    <cellStyle name="40% - Accent6 7 2 2" xfId="1684"/>
    <cellStyle name="40% - Accent6 7 2 2 2" xfId="1685"/>
    <cellStyle name="40% - Accent6 7 2 2 2 2" xfId="1686"/>
    <cellStyle name="40% - Accent6 7 2 2 3" xfId="1687"/>
    <cellStyle name="40% - Accent6 7 2 3" xfId="1688"/>
    <cellStyle name="40% - Accent6 7 2 3 2" xfId="1689"/>
    <cellStyle name="40% - Accent6 7 2 4" xfId="1690"/>
    <cellStyle name="40% - Accent6 7 3" xfId="1691"/>
    <cellStyle name="40% - Accent6 7 3 2" xfId="1692"/>
    <cellStyle name="40% - Accent6 7 3 2 2" xfId="1693"/>
    <cellStyle name="40% - Accent6 7 3 3" xfId="1694"/>
    <cellStyle name="40% - Accent6 7 4" xfId="1695"/>
    <cellStyle name="40% - Accent6 7 4 2" xfId="1696"/>
    <cellStyle name="40% - Accent6 7 5" xfId="1697"/>
    <cellStyle name="40% - Accent6 8" xfId="1698"/>
    <cellStyle name="40% - Accent6 8 2" xfId="1699"/>
    <cellStyle name="40% - Accent6 8 2 2" xfId="1700"/>
    <cellStyle name="40% - Accent6 8 2 2 2" xfId="1701"/>
    <cellStyle name="40% - Accent6 8 2 2 2 2" xfId="1702"/>
    <cellStyle name="40% - Accent6 8 2 2 3" xfId="1703"/>
    <cellStyle name="40% - Accent6 8 2 3" xfId="1704"/>
    <cellStyle name="40% - Accent6 8 2 3 2" xfId="1705"/>
    <cellStyle name="40% - Accent6 8 2 4" xfId="1706"/>
    <cellStyle name="40% - Accent6 8 3" xfId="1707"/>
    <cellStyle name="40% - Accent6 8 3 2" xfId="1708"/>
    <cellStyle name="40% - Accent6 8 3 2 2" xfId="1709"/>
    <cellStyle name="40% - Accent6 8 3 3" xfId="1710"/>
    <cellStyle name="40% - Accent6 8 4" xfId="1711"/>
    <cellStyle name="40% - Accent6 8 4 2" xfId="1712"/>
    <cellStyle name="40% - Accent6 8 5" xfId="1713"/>
    <cellStyle name="40% - Accent6 9" xfId="1714"/>
    <cellStyle name="40% - Accent6 9 2" xfId="1715"/>
    <cellStyle name="40% - Accent6 9 2 2" xfId="1716"/>
    <cellStyle name="40% - Accent6 9 2 2 2" xfId="1717"/>
    <cellStyle name="40% - Accent6 9 2 3" xfId="1718"/>
    <cellStyle name="40% - Accent6 9 3" xfId="1719"/>
    <cellStyle name="40% - Accent6 9 3 2" xfId="1720"/>
    <cellStyle name="40% - Accent6 9 4" xfId="1721"/>
    <cellStyle name="Comma" xfId="1" builtinId="3"/>
    <cellStyle name="Comma [0] 2" xfId="1722"/>
    <cellStyle name="Comma [0] 2 2" xfId="1723"/>
    <cellStyle name="Comma 10" xfId="1724"/>
    <cellStyle name="Comma 11" xfId="1725"/>
    <cellStyle name="Comma 12" xfId="1726"/>
    <cellStyle name="Comma 13" xfId="1727"/>
    <cellStyle name="Comma 14" xfId="1728"/>
    <cellStyle name="Comma 15" xfId="1729"/>
    <cellStyle name="Comma 16" xfId="1730"/>
    <cellStyle name="Comma 17" xfId="1731"/>
    <cellStyle name="Comma 18" xfId="1732"/>
    <cellStyle name="Comma 19" xfId="1733"/>
    <cellStyle name="Comma 2" xfId="1734"/>
    <cellStyle name="Comma 2 2" xfId="1735"/>
    <cellStyle name="Comma 2 2 2" xfId="1736"/>
    <cellStyle name="Comma 2 2 2 2" xfId="1737"/>
    <cellStyle name="Comma 2 2 2 2 2" xfId="1738"/>
    <cellStyle name="Comma 2 2 2 3" xfId="1739"/>
    <cellStyle name="Comma 2 2 3" xfId="1740"/>
    <cellStyle name="Comma 2 2 3 2" xfId="1741"/>
    <cellStyle name="Comma 2 2 4" xfId="1742"/>
    <cellStyle name="Comma 2 3" xfId="1743"/>
    <cellStyle name="Comma 2 3 2" xfId="1744"/>
    <cellStyle name="Comma 2 3 2 2" xfId="1745"/>
    <cellStyle name="Comma 2 3 3" xfId="1746"/>
    <cellStyle name="Comma 2 4" xfId="1747"/>
    <cellStyle name="Comma 2 4 2" xfId="1748"/>
    <cellStyle name="Comma 2 5" xfId="1749"/>
    <cellStyle name="Comma 20" xfId="1750"/>
    <cellStyle name="Comma 21" xfId="1751"/>
    <cellStyle name="Comma 22" xfId="1752"/>
    <cellStyle name="Comma 23" xfId="1753"/>
    <cellStyle name="Comma 24" xfId="1754"/>
    <cellStyle name="Comma 25" xfId="1755"/>
    <cellStyle name="Comma 3" xfId="1756"/>
    <cellStyle name="Comma 3 2" xfId="1757"/>
    <cellStyle name="Comma 3 2 2" xfId="1758"/>
    <cellStyle name="Comma 3 3" xfId="1759"/>
    <cellStyle name="Comma 4" xfId="1760"/>
    <cellStyle name="Comma 4 2" xfId="1761"/>
    <cellStyle name="Comma 5" xfId="1762"/>
    <cellStyle name="Comma 5 2" xfId="1763"/>
    <cellStyle name="Comma 6" xfId="1764"/>
    <cellStyle name="Comma 6 2" xfId="1765"/>
    <cellStyle name="Comma 7" xfId="1766"/>
    <cellStyle name="Comma 7 2" xfId="1767"/>
    <cellStyle name="Comma 8" xfId="1768"/>
    <cellStyle name="Comma 8 2" xfId="1769"/>
    <cellStyle name="Comma 9" xfId="1770"/>
    <cellStyle name="Comma0" xfId="1771"/>
    <cellStyle name="Comma0 2" xfId="1772"/>
    <cellStyle name="Comma0 2 2" xfId="1773"/>
    <cellStyle name="Comma0 3" xfId="1774"/>
    <cellStyle name="Hyperlink" xfId="2297" builtinId="8"/>
    <cellStyle name="Hyperlink 2" xfId="1775"/>
    <cellStyle name="Normal" xfId="0" builtinId="0"/>
    <cellStyle name="Normal 10" xfId="1776"/>
    <cellStyle name="Normal 10 2" xfId="1777"/>
    <cellStyle name="Normal 10 2 2" xfId="1778"/>
    <cellStyle name="Normal 10 2 2 2" xfId="1779"/>
    <cellStyle name="Normal 10 2 2 2 2" xfId="1780"/>
    <cellStyle name="Normal 10 2 2 3" xfId="1781"/>
    <cellStyle name="Normal 10 2 2 4" xfId="1782"/>
    <cellStyle name="Normal 10 2 3" xfId="1783"/>
    <cellStyle name="Normal 10 2 3 2" xfId="1784"/>
    <cellStyle name="Normal 10 2 4" xfId="1785"/>
    <cellStyle name="Normal 10 3" xfId="1786"/>
    <cellStyle name="Normal 10 3 2" xfId="1787"/>
    <cellStyle name="Normal 10 3 2 2" xfId="1788"/>
    <cellStyle name="Normal 10 3 3" xfId="1789"/>
    <cellStyle name="Normal 10 4" xfId="1790"/>
    <cellStyle name="Normal 10 4 2" xfId="1791"/>
    <cellStyle name="Normal 10 5" xfId="1792"/>
    <cellStyle name="Normal 11" xfId="1793"/>
    <cellStyle name="Normal 11 2" xfId="1794"/>
    <cellStyle name="Normal 11 2 2" xfId="1795"/>
    <cellStyle name="Normal 11 2 2 2" xfId="1796"/>
    <cellStyle name="Normal 11 2 3" xfId="1797"/>
    <cellStyle name="Normal 11 3" xfId="1798"/>
    <cellStyle name="Normal 11 3 2" xfId="1799"/>
    <cellStyle name="Normal 11 4" xfId="1800"/>
    <cellStyle name="Normal 12" xfId="4"/>
    <cellStyle name="Normal 12 2" xfId="1801"/>
    <cellStyle name="Normal 13" xfId="1802"/>
    <cellStyle name="Normal 13 2" xfId="1803"/>
    <cellStyle name="Normal 13 2 2" xfId="1804"/>
    <cellStyle name="Normal 13 3" xfId="1805"/>
    <cellStyle name="Normal 13 4" xfId="1806"/>
    <cellStyle name="Normal 14" xfId="1807"/>
    <cellStyle name="Normal 14 2" xfId="1808"/>
    <cellStyle name="Normal 14 3" xfId="1809"/>
    <cellStyle name="Normal 15" xfId="1810"/>
    <cellStyle name="Normal 16" xfId="1811"/>
    <cellStyle name="Normal 16 2" xfId="1812"/>
    <cellStyle name="Normal 17" xfId="1813"/>
    <cellStyle name="Normal 17 2" xfId="1814"/>
    <cellStyle name="Normal 18" xfId="1815"/>
    <cellStyle name="Normal 19" xfId="2298"/>
    <cellStyle name="Normal 2" xfId="3"/>
    <cellStyle name="Normal 2 2" xfId="1816"/>
    <cellStyle name="Normal 2 2 2" xfId="1817"/>
    <cellStyle name="Normal 2 2 3" xfId="1818"/>
    <cellStyle name="Normal 2 3" xfId="1819"/>
    <cellStyle name="Normal 2 3 2" xfId="1820"/>
    <cellStyle name="Normal 2 3 2 2" xfId="1821"/>
    <cellStyle name="Normal 2 3 2 2 2" xfId="1822"/>
    <cellStyle name="Normal 2 3 2 2 2 2" xfId="1823"/>
    <cellStyle name="Normal 2 3 2 2 3" xfId="1824"/>
    <cellStyle name="Normal 2 3 2 3" xfId="1825"/>
    <cellStyle name="Normal 2 3 2 3 2" xfId="1826"/>
    <cellStyle name="Normal 2 3 2 4" xfId="1827"/>
    <cellStyle name="Normal 2 3 3" xfId="1828"/>
    <cellStyle name="Normal 2 3 3 2" xfId="1829"/>
    <cellStyle name="Normal 2 3 3 2 2" xfId="1830"/>
    <cellStyle name="Normal 2 3 3 3" xfId="1831"/>
    <cellStyle name="Normal 2 3 4" xfId="1832"/>
    <cellStyle name="Normal 2 3 4 2" xfId="1833"/>
    <cellStyle name="Normal 2 3 5" xfId="1834"/>
    <cellStyle name="Normal 2 3 6" xfId="1835"/>
    <cellStyle name="Normal 2 4" xfId="1836"/>
    <cellStyle name="Normal 2 5" xfId="1837"/>
    <cellStyle name="Normal 2 6" xfId="1838"/>
    <cellStyle name="Normal 20" xfId="2300"/>
    <cellStyle name="Normal 20 2" xfId="2303"/>
    <cellStyle name="Normal 20 2 2" xfId="2306"/>
    <cellStyle name="Normal 21" xfId="2301"/>
    <cellStyle name="Normal 22" xfId="2304"/>
    <cellStyle name="Normal 3" xfId="1839"/>
    <cellStyle name="Normal 3 2" xfId="1840"/>
    <cellStyle name="Normal 3 2 2" xfId="1841"/>
    <cellStyle name="Normal 3 3" xfId="1842"/>
    <cellStyle name="Normal 3 4" xfId="1843"/>
    <cellStyle name="Normal 3 5" xfId="1844"/>
    <cellStyle name="Normal 4" xfId="1845"/>
    <cellStyle name="Normal 4 10" xfId="1846"/>
    <cellStyle name="Normal 4 2" xfId="1847"/>
    <cellStyle name="Normal 4 2 2" xfId="1848"/>
    <cellStyle name="Normal 4 2 2 2" xfId="1849"/>
    <cellStyle name="Normal 4 2 2 2 2" xfId="1850"/>
    <cellStyle name="Normal 4 2 2 2 2 2" xfId="1851"/>
    <cellStyle name="Normal 4 2 2 2 2 2 2" xfId="1852"/>
    <cellStyle name="Normal 4 2 2 2 2 3" xfId="1853"/>
    <cellStyle name="Normal 4 2 2 2 3" xfId="1854"/>
    <cellStyle name="Normal 4 2 2 2 3 2" xfId="1855"/>
    <cellStyle name="Normal 4 2 2 2 4" xfId="1856"/>
    <cellStyle name="Normal 4 2 2 3" xfId="1857"/>
    <cellStyle name="Normal 4 2 2 3 2" xfId="1858"/>
    <cellStyle name="Normal 4 2 2 3 2 2" xfId="1859"/>
    <cellStyle name="Normal 4 2 2 3 3" xfId="1860"/>
    <cellStyle name="Normal 4 2 2 4" xfId="1861"/>
    <cellStyle name="Normal 4 2 2 4 2" xfId="1862"/>
    <cellStyle name="Normal 4 2 2 5" xfId="1863"/>
    <cellStyle name="Normal 4 2 3" xfId="1864"/>
    <cellStyle name="Normal 4 2 4" xfId="1865"/>
    <cellStyle name="Normal 4 2 4 2" xfId="1866"/>
    <cellStyle name="Normal 4 2 4 2 2" xfId="1867"/>
    <cellStyle name="Normal 4 2 4 2 2 2" xfId="1868"/>
    <cellStyle name="Normal 4 2 4 2 3" xfId="1869"/>
    <cellStyle name="Normal 4 2 4 3" xfId="1870"/>
    <cellStyle name="Normal 4 2 4 3 2" xfId="1871"/>
    <cellStyle name="Normal 4 2 4 4" xfId="1872"/>
    <cellStyle name="Normal 4 2 5" xfId="1873"/>
    <cellStyle name="Normal 4 2 5 2" xfId="1874"/>
    <cellStyle name="Normal 4 2 5 2 2" xfId="1875"/>
    <cellStyle name="Normal 4 2 5 3" xfId="1876"/>
    <cellStyle name="Normal 4 2 6" xfId="1877"/>
    <cellStyle name="Normal 4 2 6 2" xfId="1878"/>
    <cellStyle name="Normal 4 2 7" xfId="1879"/>
    <cellStyle name="Normal 4 3" xfId="1880"/>
    <cellStyle name="Normal 4 3 2" xfId="1881"/>
    <cellStyle name="Normal 4 3 2 2" xfId="1882"/>
    <cellStyle name="Normal 4 3 2 2 2" xfId="1883"/>
    <cellStyle name="Normal 4 3 2 2 2 2" xfId="1884"/>
    <cellStyle name="Normal 4 3 2 2 3" xfId="1885"/>
    <cellStyle name="Normal 4 3 2 3" xfId="1886"/>
    <cellStyle name="Normal 4 3 2 3 2" xfId="1887"/>
    <cellStyle name="Normal 4 3 2 4" xfId="1888"/>
    <cellStyle name="Normal 4 3 3" xfId="1889"/>
    <cellStyle name="Normal 4 3 3 2" xfId="1890"/>
    <cellStyle name="Normal 4 3 3 2 2" xfId="1891"/>
    <cellStyle name="Normal 4 3 3 3" xfId="1892"/>
    <cellStyle name="Normal 4 3 4" xfId="1893"/>
    <cellStyle name="Normal 4 3 4 2" xfId="1894"/>
    <cellStyle name="Normal 4 3 5" xfId="1895"/>
    <cellStyle name="Normal 4 4" xfId="1896"/>
    <cellStyle name="Normal 4 4 2" xfId="1897"/>
    <cellStyle name="Normal 4 4 2 2" xfId="1898"/>
    <cellStyle name="Normal 4 4 2 2 2" xfId="1899"/>
    <cellStyle name="Normal 4 4 2 2 2 2" xfId="1900"/>
    <cellStyle name="Normal 4 4 2 2 3" xfId="1901"/>
    <cellStyle name="Normal 4 4 2 3" xfId="1902"/>
    <cellStyle name="Normal 4 4 2 3 2" xfId="1903"/>
    <cellStyle name="Normal 4 4 2 4" xfId="1904"/>
    <cellStyle name="Normal 4 4 3" xfId="1905"/>
    <cellStyle name="Normal 4 4 3 2" xfId="1906"/>
    <cellStyle name="Normal 4 4 3 2 2" xfId="1907"/>
    <cellStyle name="Normal 4 4 3 3" xfId="1908"/>
    <cellStyle name="Normal 4 4 4" xfId="1909"/>
    <cellStyle name="Normal 4 4 4 2" xfId="1910"/>
    <cellStyle name="Normal 4 4 5" xfId="1911"/>
    <cellStyle name="Normal 4 5" xfId="1912"/>
    <cellStyle name="Normal 4 6" xfId="1913"/>
    <cellStyle name="Normal 4 6 2" xfId="1914"/>
    <cellStyle name="Normal 4 6 2 2" xfId="1915"/>
    <cellStyle name="Normal 4 6 2 2 2" xfId="1916"/>
    <cellStyle name="Normal 4 6 2 3" xfId="1917"/>
    <cellStyle name="Normal 4 6 3" xfId="1918"/>
    <cellStyle name="Normal 4 6 3 2" xfId="1919"/>
    <cellStyle name="Normal 4 6 4" xfId="1920"/>
    <cellStyle name="Normal 4 7" xfId="1921"/>
    <cellStyle name="Normal 4 7 2" xfId="1922"/>
    <cellStyle name="Normal 4 8" xfId="1923"/>
    <cellStyle name="Normal 4 8 2" xfId="1924"/>
    <cellStyle name="Normal 4 8 2 2" xfId="1925"/>
    <cellStyle name="Normal 4 8 3" xfId="1926"/>
    <cellStyle name="Normal 4 9" xfId="1927"/>
    <cellStyle name="Normal 4 9 2" xfId="1928"/>
    <cellStyle name="Normal 5" xfId="1929"/>
    <cellStyle name="Normal 5 2" xfId="1930"/>
    <cellStyle name="Normal 5 2 2" xfId="1931"/>
    <cellStyle name="Normal 5 2 2 2" xfId="1932"/>
    <cellStyle name="Normal 5 2 2 2 2" xfId="1933"/>
    <cellStyle name="Normal 5 2 2 2 2 2" xfId="1934"/>
    <cellStyle name="Normal 5 2 2 2 2 2 2" xfId="1935"/>
    <cellStyle name="Normal 5 2 2 2 2 3" xfId="1936"/>
    <cellStyle name="Normal 5 2 2 2 3" xfId="1937"/>
    <cellStyle name="Normal 5 2 2 2 3 2" xfId="1938"/>
    <cellStyle name="Normal 5 2 2 2 4" xfId="1939"/>
    <cellStyle name="Normal 5 2 2 3" xfId="1940"/>
    <cellStyle name="Normal 5 2 2 3 2" xfId="1941"/>
    <cellStyle name="Normal 5 2 2 3 2 2" xfId="1942"/>
    <cellStyle name="Normal 5 2 2 3 3" xfId="1943"/>
    <cellStyle name="Normal 5 2 2 4" xfId="1944"/>
    <cellStyle name="Normal 5 2 2 4 2" xfId="1945"/>
    <cellStyle name="Normal 5 2 2 5" xfId="1946"/>
    <cellStyle name="Normal 5 2 3" xfId="1947"/>
    <cellStyle name="Normal 5 2 3 2" xfId="1948"/>
    <cellStyle name="Normal 5 2 3 2 2" xfId="1949"/>
    <cellStyle name="Normal 5 2 3 2 2 2" xfId="1950"/>
    <cellStyle name="Normal 5 2 3 2 3" xfId="1951"/>
    <cellStyle name="Normal 5 2 3 3" xfId="1952"/>
    <cellStyle name="Normal 5 2 3 3 2" xfId="1953"/>
    <cellStyle name="Normal 5 2 3 4" xfId="1954"/>
    <cellStyle name="Normal 5 2 4" xfId="1955"/>
    <cellStyle name="Normal 5 2 4 2" xfId="1956"/>
    <cellStyle name="Normal 5 2 4 2 2" xfId="1957"/>
    <cellStyle name="Normal 5 2 4 3" xfId="1958"/>
    <cellStyle name="Normal 5 2 5" xfId="1959"/>
    <cellStyle name="Normal 5 2 5 2" xfId="1960"/>
    <cellStyle name="Normal 5 2 6" xfId="1961"/>
    <cellStyle name="Normal 5 3" xfId="1962"/>
    <cellStyle name="Normal 5 3 2" xfId="1963"/>
    <cellStyle name="Normal 5 3 2 2" xfId="1964"/>
    <cellStyle name="Normal 5 3 2 2 2" xfId="1965"/>
    <cellStyle name="Normal 5 3 2 2 2 2" xfId="1966"/>
    <cellStyle name="Normal 5 3 2 2 3" xfId="1967"/>
    <cellStyle name="Normal 5 3 2 3" xfId="1968"/>
    <cellStyle name="Normal 5 3 2 3 2" xfId="1969"/>
    <cellStyle name="Normal 5 3 2 4" xfId="1970"/>
    <cellStyle name="Normal 5 3 3" xfId="1971"/>
    <cellStyle name="Normal 5 3 3 2" xfId="1972"/>
    <cellStyle name="Normal 5 3 3 2 2" xfId="1973"/>
    <cellStyle name="Normal 5 3 3 3" xfId="1974"/>
    <cellStyle name="Normal 5 3 4" xfId="1975"/>
    <cellStyle name="Normal 5 3 4 2" xfId="1976"/>
    <cellStyle name="Normal 5 3 5" xfId="1977"/>
    <cellStyle name="Normal 5 4" xfId="1978"/>
    <cellStyle name="Normal 5 4 2" xfId="1979"/>
    <cellStyle name="Normal 5 4 2 2" xfId="1980"/>
    <cellStyle name="Normal 5 4 2 2 2" xfId="1981"/>
    <cellStyle name="Normal 5 4 2 2 2 2" xfId="1982"/>
    <cellStyle name="Normal 5 4 2 2 3" xfId="1983"/>
    <cellStyle name="Normal 5 4 2 3" xfId="1984"/>
    <cellStyle name="Normal 5 4 2 3 2" xfId="1985"/>
    <cellStyle name="Normal 5 4 2 4" xfId="1986"/>
    <cellStyle name="Normal 5 4 3" xfId="1987"/>
    <cellStyle name="Normal 5 4 3 2" xfId="1988"/>
    <cellStyle name="Normal 5 4 3 2 2" xfId="1989"/>
    <cellStyle name="Normal 5 4 3 3" xfId="1990"/>
    <cellStyle name="Normal 5 4 4" xfId="1991"/>
    <cellStyle name="Normal 5 4 4 2" xfId="1992"/>
    <cellStyle name="Normal 5 4 5" xfId="1993"/>
    <cellStyle name="Normal 5 5" xfId="1994"/>
    <cellStyle name="Normal 5 5 2" xfId="1995"/>
    <cellStyle name="Normal 5 6" xfId="1996"/>
    <cellStyle name="Normal 5 6 2" xfId="1997"/>
    <cellStyle name="Normal 5 6 2 2" xfId="1998"/>
    <cellStyle name="Normal 5 6 2 2 2" xfId="1999"/>
    <cellStyle name="Normal 5 6 2 3" xfId="2000"/>
    <cellStyle name="Normal 5 6 3" xfId="2001"/>
    <cellStyle name="Normal 5 6 3 2" xfId="2002"/>
    <cellStyle name="Normal 5 6 4" xfId="2003"/>
    <cellStyle name="Normal 5 7" xfId="2004"/>
    <cellStyle name="Normal 5 7 2" xfId="2005"/>
    <cellStyle name="Normal 5 7 2 2" xfId="2006"/>
    <cellStyle name="Normal 5 7 3" xfId="2007"/>
    <cellStyle name="Normal 5 8" xfId="2008"/>
    <cellStyle name="Normal 5 8 2" xfId="2009"/>
    <cellStyle name="Normal 5 9" xfId="2010"/>
    <cellStyle name="Normal 6" xfId="2011"/>
    <cellStyle name="Normal 6 2" xfId="2012"/>
    <cellStyle name="Normal 6 2 2" xfId="2013"/>
    <cellStyle name="Normal 6 2 2 2" xfId="2014"/>
    <cellStyle name="Normal 6 2 2 2 2" xfId="2015"/>
    <cellStyle name="Normal 6 2 2 2 2 2" xfId="2016"/>
    <cellStyle name="Normal 6 2 2 2 3" xfId="2017"/>
    <cellStyle name="Normal 6 2 2 3" xfId="2018"/>
    <cellStyle name="Normal 6 2 2 3 2" xfId="2019"/>
    <cellStyle name="Normal 6 2 2 4" xfId="2020"/>
    <cellStyle name="Normal 6 2 3" xfId="2021"/>
    <cellStyle name="Normal 6 2 3 2" xfId="2022"/>
    <cellStyle name="Normal 6 2 3 2 2" xfId="2023"/>
    <cellStyle name="Normal 6 2 3 3" xfId="2024"/>
    <cellStyle name="Normal 6 2 4" xfId="2025"/>
    <cellStyle name="Normal 6 2 4 2" xfId="2026"/>
    <cellStyle name="Normal 6 2 5" xfId="2027"/>
    <cellStyle name="Normal 6 3" xfId="2028"/>
    <cellStyle name="Normal 6 3 2" xfId="2029"/>
    <cellStyle name="Normal 6 3 2 2" xfId="2030"/>
    <cellStyle name="Normal 6 3 3" xfId="2031"/>
    <cellStyle name="Normal 6 4" xfId="2032"/>
    <cellStyle name="Normal 6 4 2" xfId="2033"/>
    <cellStyle name="Normal 6 4 2 2" xfId="2034"/>
    <cellStyle name="Normal 6 4 2 2 2" xfId="2035"/>
    <cellStyle name="Normal 6 4 2 3" xfId="2036"/>
    <cellStyle name="Normal 6 4 3" xfId="2037"/>
    <cellStyle name="Normal 6 4 3 2" xfId="2038"/>
    <cellStyle name="Normal 6 4 4" xfId="2039"/>
    <cellStyle name="Normal 6 5" xfId="2040"/>
    <cellStyle name="Normal 6 5 2" xfId="2041"/>
    <cellStyle name="Normal 6 5 2 2" xfId="2042"/>
    <cellStyle name="Normal 6 5 3" xfId="2043"/>
    <cellStyle name="Normal 6 6" xfId="2044"/>
    <cellStyle name="Normal 6 6 2" xfId="2045"/>
    <cellStyle name="Normal 6 7" xfId="2046"/>
    <cellStyle name="Normal 7" xfId="2047"/>
    <cellStyle name="Normal 7 2" xfId="2048"/>
    <cellStyle name="Normal 7 2 2" xfId="2049"/>
    <cellStyle name="Normal 7 2 2 2" xfId="2050"/>
    <cellStyle name="Normal 7 2 2 2 2" xfId="2051"/>
    <cellStyle name="Normal 7 2 2 2 2 2" xfId="2052"/>
    <cellStyle name="Normal 7 2 2 2 3" xfId="2053"/>
    <cellStyle name="Normal 7 2 2 3" xfId="2054"/>
    <cellStyle name="Normal 7 2 2 3 2" xfId="2055"/>
    <cellStyle name="Normal 7 2 2 4" xfId="2056"/>
    <cellStyle name="Normal 7 2 3" xfId="2057"/>
    <cellStyle name="Normal 7 2 3 2" xfId="2058"/>
    <cellStyle name="Normal 7 2 3 2 2" xfId="2059"/>
    <cellStyle name="Normal 7 2 3 3" xfId="2060"/>
    <cellStyle name="Normal 7 2 4" xfId="2061"/>
    <cellStyle name="Normal 7 2 4 2" xfId="2062"/>
    <cellStyle name="Normal 7 2 5" xfId="2063"/>
    <cellStyle name="Normal 7 3" xfId="2064"/>
    <cellStyle name="Normal 7 3 2" xfId="2065"/>
    <cellStyle name="Normal 7 3 2 2" xfId="2066"/>
    <cellStyle name="Normal 7 3 2 2 2" xfId="2067"/>
    <cellStyle name="Normal 7 3 2 3" xfId="2068"/>
    <cellStyle name="Normal 7 3 3" xfId="2069"/>
    <cellStyle name="Normal 7 3 3 2" xfId="2070"/>
    <cellStyle name="Normal 7 3 4" xfId="2071"/>
    <cellStyle name="Normal 7 4" xfId="2072"/>
    <cellStyle name="Normal 7 4 2" xfId="2073"/>
    <cellStyle name="Normal 7 4 2 2" xfId="2074"/>
    <cellStyle name="Normal 7 4 3" xfId="2075"/>
    <cellStyle name="Normal 7 5" xfId="2076"/>
    <cellStyle name="Normal 7 5 2" xfId="2077"/>
    <cellStyle name="Normal 7 6" xfId="2078"/>
    <cellStyle name="Normal 8" xfId="2079"/>
    <cellStyle name="Normal 8 2" xfId="2080"/>
    <cellStyle name="Normal 8 2 2" xfId="2081"/>
    <cellStyle name="Normal 8 2 2 2" xfId="2082"/>
    <cellStyle name="Normal 8 2 2 2 2" xfId="2083"/>
    <cellStyle name="Normal 8 2 2 3" xfId="2084"/>
    <cellStyle name="Normal 8 2 3" xfId="2085"/>
    <cellStyle name="Normal 8 2 3 2" xfId="2086"/>
    <cellStyle name="Normal 8 2 4" xfId="2087"/>
    <cellStyle name="Normal 8 3" xfId="2088"/>
    <cellStyle name="Normal 8 3 2" xfId="2089"/>
    <cellStyle name="Normal 8 3 2 2" xfId="2090"/>
    <cellStyle name="Normal 8 3 3" xfId="2091"/>
    <cellStyle name="Normal 8 4" xfId="2092"/>
    <cellStyle name="Normal 8 4 2" xfId="2093"/>
    <cellStyle name="Normal 8 5" xfId="2094"/>
    <cellStyle name="Normal 8 6" xfId="2095"/>
    <cellStyle name="Normal 9" xfId="2096"/>
    <cellStyle name="Normal 9 2" xfId="2097"/>
    <cellStyle name="Normal 9 2 2" xfId="2098"/>
    <cellStyle name="Normal 9 2 2 2" xfId="2099"/>
    <cellStyle name="Normal 9 2 2 2 2" xfId="2100"/>
    <cellStyle name="Normal 9 2 2 3" xfId="2101"/>
    <cellStyle name="Normal 9 2 3" xfId="2102"/>
    <cellStyle name="Normal 9 2 3 2" xfId="2103"/>
    <cellStyle name="Normal 9 2 4" xfId="2104"/>
    <cellStyle name="Normal 9 3" xfId="2105"/>
    <cellStyle name="Normal 9 3 2" xfId="2106"/>
    <cellStyle name="Normal 9 3 2 2" xfId="2107"/>
    <cellStyle name="Normal 9 3 3" xfId="2108"/>
    <cellStyle name="Normal 9 4" xfId="2109"/>
    <cellStyle name="Normal 9 4 2" xfId="2110"/>
    <cellStyle name="Normal 9 5" xfId="2111"/>
    <cellStyle name="Note 2" xfId="2112"/>
    <cellStyle name="Note 2 2" xfId="2113"/>
    <cellStyle name="Note 2 2 2" xfId="2114"/>
    <cellStyle name="Note 2 2 2 2" xfId="2115"/>
    <cellStyle name="Note 2 2 2 2 2" xfId="2116"/>
    <cellStyle name="Note 2 2 2 2 2 2" xfId="2117"/>
    <cellStyle name="Note 2 2 2 2 2 2 2" xfId="2118"/>
    <cellStyle name="Note 2 2 2 2 2 3" xfId="2119"/>
    <cellStyle name="Note 2 2 2 2 3" xfId="2120"/>
    <cellStyle name="Note 2 2 2 2 3 2" xfId="2121"/>
    <cellStyle name="Note 2 2 2 2 4" xfId="2122"/>
    <cellStyle name="Note 2 2 2 3" xfId="2123"/>
    <cellStyle name="Note 2 2 2 3 2" xfId="2124"/>
    <cellStyle name="Note 2 2 2 3 2 2" xfId="2125"/>
    <cellStyle name="Note 2 2 2 3 3" xfId="2126"/>
    <cellStyle name="Note 2 2 2 4" xfId="2127"/>
    <cellStyle name="Note 2 2 2 4 2" xfId="2128"/>
    <cellStyle name="Note 2 2 2 5" xfId="2129"/>
    <cellStyle name="Note 2 2 3" xfId="2130"/>
    <cellStyle name="Note 2 2 3 2" xfId="2131"/>
    <cellStyle name="Note 2 2 3 2 2" xfId="2132"/>
    <cellStyle name="Note 2 2 3 2 2 2" xfId="2133"/>
    <cellStyle name="Note 2 2 3 2 3" xfId="2134"/>
    <cellStyle name="Note 2 2 3 3" xfId="2135"/>
    <cellStyle name="Note 2 2 3 3 2" xfId="2136"/>
    <cellStyle name="Note 2 2 3 4" xfId="2137"/>
    <cellStyle name="Note 2 2 4" xfId="2138"/>
    <cellStyle name="Note 2 2 4 2" xfId="2139"/>
    <cellStyle name="Note 2 2 4 2 2" xfId="2140"/>
    <cellStyle name="Note 2 2 4 3" xfId="2141"/>
    <cellStyle name="Note 2 2 5" xfId="2142"/>
    <cellStyle name="Note 2 2 5 2" xfId="2143"/>
    <cellStyle name="Note 2 2 6" xfId="2144"/>
    <cellStyle name="Note 2 3" xfId="2145"/>
    <cellStyle name="Note 2 3 2" xfId="2146"/>
    <cellStyle name="Note 2 3 2 2" xfId="2147"/>
    <cellStyle name="Note 2 3 2 2 2" xfId="2148"/>
    <cellStyle name="Note 2 3 2 2 2 2" xfId="2149"/>
    <cellStyle name="Note 2 3 2 2 3" xfId="2150"/>
    <cellStyle name="Note 2 3 2 3" xfId="2151"/>
    <cellStyle name="Note 2 3 2 3 2" xfId="2152"/>
    <cellStyle name="Note 2 3 2 4" xfId="2153"/>
    <cellStyle name="Note 2 3 3" xfId="2154"/>
    <cellStyle name="Note 2 3 3 2" xfId="2155"/>
    <cellStyle name="Note 2 3 3 2 2" xfId="2156"/>
    <cellStyle name="Note 2 3 3 3" xfId="2157"/>
    <cellStyle name="Note 2 3 4" xfId="2158"/>
    <cellStyle name="Note 2 3 4 2" xfId="2159"/>
    <cellStyle name="Note 2 3 5" xfId="2160"/>
    <cellStyle name="Note 2 4" xfId="2161"/>
    <cellStyle name="Note 2 4 2" xfId="2162"/>
    <cellStyle name="Note 2 4 2 2" xfId="2163"/>
    <cellStyle name="Note 2 4 2 2 2" xfId="2164"/>
    <cellStyle name="Note 2 4 2 2 2 2" xfId="2165"/>
    <cellStyle name="Note 2 4 2 2 3" xfId="2166"/>
    <cellStyle name="Note 2 4 2 3" xfId="2167"/>
    <cellStyle name="Note 2 4 2 3 2" xfId="2168"/>
    <cellStyle name="Note 2 4 2 4" xfId="2169"/>
    <cellStyle name="Note 2 4 3" xfId="2170"/>
    <cellStyle name="Note 2 4 3 2" xfId="2171"/>
    <cellStyle name="Note 2 4 3 2 2" xfId="2172"/>
    <cellStyle name="Note 2 4 3 3" xfId="2173"/>
    <cellStyle name="Note 2 4 4" xfId="2174"/>
    <cellStyle name="Note 2 4 4 2" xfId="2175"/>
    <cellStyle name="Note 2 4 5" xfId="2176"/>
    <cellStyle name="Note 2 5" xfId="2177"/>
    <cellStyle name="Note 2 5 2" xfId="2178"/>
    <cellStyle name="Note 2 5 2 2" xfId="2179"/>
    <cellStyle name="Note 2 5 2 2 2" xfId="2180"/>
    <cellStyle name="Note 2 5 2 3" xfId="2181"/>
    <cellStyle name="Note 2 5 3" xfId="2182"/>
    <cellStyle name="Note 2 5 3 2" xfId="2183"/>
    <cellStyle name="Note 2 5 4" xfId="2184"/>
    <cellStyle name="Note 2 6" xfId="2185"/>
    <cellStyle name="Note 2 6 2" xfId="2186"/>
    <cellStyle name="Note 2 6 2 2" xfId="2187"/>
    <cellStyle name="Note 2 6 3" xfId="2188"/>
    <cellStyle name="Note 2 7" xfId="2189"/>
    <cellStyle name="Note 2 7 2" xfId="2190"/>
    <cellStyle name="Note 2 8" xfId="2191"/>
    <cellStyle name="Note 3" xfId="2192"/>
    <cellStyle name="Note 3 2" xfId="2193"/>
    <cellStyle name="Note 3 2 2" xfId="2194"/>
    <cellStyle name="Note 3 2 2 2" xfId="2195"/>
    <cellStyle name="Note 3 2 2 2 2" xfId="2196"/>
    <cellStyle name="Note 3 2 2 3" xfId="2197"/>
    <cellStyle name="Note 3 2 3" xfId="2198"/>
    <cellStyle name="Note 3 2 3 2" xfId="2199"/>
    <cellStyle name="Note 3 2 4" xfId="2200"/>
    <cellStyle name="Note 3 3" xfId="2201"/>
    <cellStyle name="Note 3 3 2" xfId="2202"/>
    <cellStyle name="Note 3 3 2 2" xfId="2203"/>
    <cellStyle name="Note 3 3 3" xfId="2204"/>
    <cellStyle name="Note 3 4" xfId="2205"/>
    <cellStyle name="Note 3 4 2" xfId="2206"/>
    <cellStyle name="Note 3 5" xfId="2207"/>
    <cellStyle name="Note 4" xfId="2208"/>
    <cellStyle name="Note 4 2" xfId="2209"/>
    <cellStyle name="Note 4 2 2" xfId="2210"/>
    <cellStyle name="Note 4 2 2 2" xfId="2211"/>
    <cellStyle name="Note 4 2 2 2 2" xfId="2212"/>
    <cellStyle name="Note 4 2 2 3" xfId="2213"/>
    <cellStyle name="Note 4 2 3" xfId="2214"/>
    <cellStyle name="Note 4 2 3 2" xfId="2215"/>
    <cellStyle name="Note 4 2 4" xfId="2216"/>
    <cellStyle name="Note 4 3" xfId="2217"/>
    <cellStyle name="Note 4 3 2" xfId="2218"/>
    <cellStyle name="Note 4 3 2 2" xfId="2219"/>
    <cellStyle name="Note 4 3 3" xfId="2220"/>
    <cellStyle name="Note 4 4" xfId="2221"/>
    <cellStyle name="Note 4 4 2" xfId="2222"/>
    <cellStyle name="Note 4 5" xfId="2223"/>
    <cellStyle name="Note 5" xfId="2224"/>
    <cellStyle name="Note 5 2" xfId="2225"/>
    <cellStyle name="Note 5 2 2" xfId="2226"/>
    <cellStyle name="Note 5 2 2 2" xfId="2227"/>
    <cellStyle name="Note 5 2 2 2 2" xfId="2228"/>
    <cellStyle name="Note 5 2 2 3" xfId="2229"/>
    <cellStyle name="Note 5 2 3" xfId="2230"/>
    <cellStyle name="Note 5 2 3 2" xfId="2231"/>
    <cellStyle name="Note 5 2 4" xfId="2232"/>
    <cellStyle name="Note 5 3" xfId="2233"/>
    <cellStyle name="Note 5 3 2" xfId="2234"/>
    <cellStyle name="Note 5 3 2 2" xfId="2235"/>
    <cellStyle name="Note 5 3 3" xfId="2236"/>
    <cellStyle name="Note 5 4" xfId="2237"/>
    <cellStyle name="Note 5 4 2" xfId="2238"/>
    <cellStyle name="Note 5 5" xfId="2239"/>
    <cellStyle name="Note 6" xfId="2240"/>
    <cellStyle name="Note 6 2" xfId="2241"/>
    <cellStyle name="Note 6 2 2" xfId="2242"/>
    <cellStyle name="Note 6 2 2 2" xfId="2243"/>
    <cellStyle name="Note 6 2 2 2 2" xfId="2244"/>
    <cellStyle name="Note 6 2 2 3" xfId="2245"/>
    <cellStyle name="Note 6 2 3" xfId="2246"/>
    <cellStyle name="Note 6 2 3 2" xfId="2247"/>
    <cellStyle name="Note 6 2 4" xfId="2248"/>
    <cellStyle name="Note 6 3" xfId="2249"/>
    <cellStyle name="Note 6 3 2" xfId="2250"/>
    <cellStyle name="Note 6 3 2 2" xfId="2251"/>
    <cellStyle name="Note 6 3 3" xfId="2252"/>
    <cellStyle name="Note 6 4" xfId="2253"/>
    <cellStyle name="Note 6 4 2" xfId="2254"/>
    <cellStyle name="Note 6 5" xfId="2255"/>
    <cellStyle name="Note 7" xfId="2256"/>
    <cellStyle name="Note 7 2" xfId="2257"/>
    <cellStyle name="Note 7 2 2" xfId="2258"/>
    <cellStyle name="Note 7 2 2 2" xfId="2259"/>
    <cellStyle name="Note 7 2 3" xfId="2260"/>
    <cellStyle name="Note 7 3" xfId="2261"/>
    <cellStyle name="Note 7 3 2" xfId="2262"/>
    <cellStyle name="Note 7 4" xfId="2263"/>
    <cellStyle name="Note 8" xfId="2264"/>
    <cellStyle name="Note 8 2" xfId="2265"/>
    <cellStyle name="Note 8 2 2" xfId="2266"/>
    <cellStyle name="Note 8 3" xfId="2267"/>
    <cellStyle name="Note 9" xfId="2268"/>
    <cellStyle name="Note 9 2" xfId="2269"/>
    <cellStyle name="Percent" xfId="2" builtinId="5"/>
    <cellStyle name="Percent 10" xfId="2302"/>
    <cellStyle name="Percent 2" xfId="5"/>
    <cellStyle name="Percent 2 2" xfId="2270"/>
    <cellStyle name="Percent 3" xfId="2271"/>
    <cellStyle name="Percent 3 2" xfId="2272"/>
    <cellStyle name="Percent 3 2 2" xfId="2273"/>
    <cellStyle name="Percent 3 2 2 2" xfId="2274"/>
    <cellStyle name="Percent 3 2 2 2 2" xfId="2275"/>
    <cellStyle name="Percent 3 2 2 3" xfId="2276"/>
    <cellStyle name="Percent 3 2 3" xfId="2277"/>
    <cellStyle name="Percent 3 2 3 2" xfId="2278"/>
    <cellStyle name="Percent 3 2 4" xfId="2279"/>
    <cellStyle name="Percent 3 3" xfId="2280"/>
    <cellStyle name="Percent 3 3 2" xfId="2281"/>
    <cellStyle name="Percent 3 3 2 2" xfId="2282"/>
    <cellStyle name="Percent 3 3 3" xfId="2283"/>
    <cellStyle name="Percent 3 4" xfId="2284"/>
    <cellStyle name="Percent 3 4 2" xfId="2285"/>
    <cellStyle name="Percent 3 5" xfId="2286"/>
    <cellStyle name="Percent 4" xfId="2287"/>
    <cellStyle name="Percent 4 2" xfId="2288"/>
    <cellStyle name="Percent 4 2 2" xfId="2289"/>
    <cellStyle name="Percent 4 3" xfId="2290"/>
    <cellStyle name="Percent 5" xfId="2291"/>
    <cellStyle name="Percent 5 2" xfId="2292"/>
    <cellStyle name="Percent 6" xfId="2293"/>
    <cellStyle name="Percent 6 2" xfId="2294"/>
    <cellStyle name="Percent 7" xfId="2295"/>
    <cellStyle name="Percent 8" xfId="2296"/>
    <cellStyle name="Percent 9" xfId="2299"/>
    <cellStyle name="WinCalendar_BlankCells_46" xfId="2305"/>
  </cellStyles>
  <dxfs count="22">
    <dxf>
      <fill>
        <patternFill>
          <bgColor rgb="FFFF7171"/>
        </patternFill>
      </fill>
    </dxf>
    <dxf>
      <fill>
        <patternFill>
          <bgColor rgb="FFFFFF79"/>
        </patternFill>
      </fill>
    </dxf>
    <dxf>
      <fill>
        <patternFill>
          <bgColor rgb="FF92D050"/>
        </patternFill>
      </fill>
    </dxf>
    <dxf>
      <font>
        <color rgb="FFCC0000"/>
      </font>
    </dxf>
    <dxf>
      <font>
        <color rgb="FFCC0000"/>
      </font>
    </dxf>
    <dxf>
      <font>
        <color theme="0"/>
      </font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ill>
        <patternFill>
          <bgColor rgb="FFFF7171"/>
        </patternFill>
      </fill>
    </dxf>
    <dxf>
      <fill>
        <patternFill>
          <bgColor rgb="FFFFFF79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62BC2A"/>
      <color rgb="FFE95DAD"/>
      <color rgb="FFFFF9DD"/>
      <color rgb="FF03BE7B"/>
      <color rgb="FF9C0218"/>
      <color rgb="FF62BC20"/>
      <color rgb="FFE95DB3"/>
      <color rgb="FFFFFBE7"/>
      <color rgb="FFFFC5E2"/>
      <color rgb="FF2FCB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780135</xdr:colOff>
      <xdr:row>20</xdr:row>
      <xdr:rowOff>32402</xdr:rowOff>
    </xdr:from>
    <xdr:to>
      <xdr:col>1</xdr:col>
      <xdr:colOff>86715</xdr:colOff>
      <xdr:row>20</xdr:row>
      <xdr:rowOff>348886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1874835">
          <a:off x="780135" y="4840622"/>
          <a:ext cx="220980" cy="316484"/>
        </a:xfrm>
        <a:prstGeom prst="downArrow">
          <a:avLst/>
        </a:prstGeom>
        <a:solidFill>
          <a:srgbClr val="33CC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87086</xdr:colOff>
      <xdr:row>11</xdr:row>
      <xdr:rowOff>152399</xdr:rowOff>
    </xdr:from>
    <xdr:to>
      <xdr:col>16</xdr:col>
      <xdr:colOff>266700</xdr:colOff>
      <xdr:row>13</xdr:row>
      <xdr:rowOff>171450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2831536" y="2343149"/>
          <a:ext cx="3722914" cy="12192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0 - Not in rebuilding</a:t>
          </a:r>
        </a:p>
        <a:p>
          <a:r>
            <a:rPr lang="en-US" sz="1200" b="1"/>
            <a:t>4 - Projected to rebuild in over 20 years</a:t>
          </a:r>
        </a:p>
        <a:p>
          <a:r>
            <a:rPr lang="en-US" sz="1200" b="1"/>
            <a:t>6 - Projected to rebuild within 20 years</a:t>
          </a:r>
        </a:p>
        <a:p>
          <a:r>
            <a:rPr lang="en-US" sz="1200" b="1"/>
            <a:t>9 - In rebuilding and projected to be rebuilt by next assessment</a:t>
          </a:r>
        </a:p>
        <a:p>
          <a:r>
            <a:rPr lang="en-US" sz="1200" b="1"/>
            <a:t>10 - In rebuilding, with declining biomass</a:t>
          </a:r>
        </a:p>
        <a:p>
          <a:endParaRPr lang="en-US" sz="1200" b="1"/>
        </a:p>
      </xdr:txBody>
    </xdr:sp>
    <xdr:clientData/>
  </xdr:twoCellAnchor>
  <xdr:twoCellAnchor>
    <xdr:from>
      <xdr:col>5</xdr:col>
      <xdr:colOff>65314</xdr:colOff>
      <xdr:row>13</xdr:row>
      <xdr:rowOff>83820</xdr:rowOff>
    </xdr:from>
    <xdr:to>
      <xdr:col>10</xdr:col>
      <xdr:colOff>50074</xdr:colOff>
      <xdr:row>13</xdr:row>
      <xdr:rowOff>83820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6662057" y="3099163"/>
          <a:ext cx="6102531" cy="0"/>
        </a:xfrm>
        <a:prstGeom prst="straightConnector1">
          <a:avLst/>
        </a:prstGeom>
        <a:ln w="28575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420007</xdr:colOff>
      <xdr:row>14</xdr:row>
      <xdr:rowOff>80554</xdr:rowOff>
    </xdr:from>
    <xdr:to>
      <xdr:col>19</xdr:col>
      <xdr:colOff>160020</xdr:colOff>
      <xdr:row>20</xdr:row>
      <xdr:rowOff>167640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612007" y="3326674"/>
          <a:ext cx="5912213" cy="26016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1 - point = stock biomass is way above target (SBC &gt; 2 * SBMSY)</a:t>
          </a:r>
        </a:p>
        <a:p>
          <a:r>
            <a:rPr lang="en-US" sz="1200" b="1"/>
            <a:t>2 - points = stock biomass is above target ( 2 * SBMSY &gt;= SBC &gt; 1.5*SBMSY)</a:t>
          </a:r>
        </a:p>
        <a:p>
          <a:r>
            <a:rPr lang="en-US" sz="1200" b="1"/>
            <a:t>3 - points = stock biomass is above target ( 1.5 * SBMSY &gt;= SBC &gt; 1.1*SBMSY), </a:t>
          </a:r>
        </a:p>
        <a:p>
          <a:r>
            <a:rPr lang="en-US" sz="1200" b="1"/>
            <a:t>or SBC is unknown and Vulnerability is low (1.8 &gt; PSA)"</a:t>
          </a:r>
        </a:p>
        <a:p>
          <a:r>
            <a:rPr lang="en-US" sz="1200" b="1"/>
            <a:t>4 - points = stock biomass is near target ( 1.1 * SBMSY &gt;= SBC &gt; 0.9*SBMSY), </a:t>
          </a:r>
        </a:p>
        <a:p>
          <a:r>
            <a:rPr lang="en-US" sz="1200" b="1"/>
            <a:t>or SBC is unknown and Vulnerability is intermediate (2 &gt; PSA &gt;= 1.8)"</a:t>
          </a:r>
        </a:p>
        <a:p>
          <a:r>
            <a:rPr lang="en-US" sz="1200" b="1"/>
            <a:t>5 -  points = stock biomass is below target ( 0.9 * SBMSY &gt;= SBC &gt; MSST)) and not declining</a:t>
          </a:r>
        </a:p>
        <a:p>
          <a:r>
            <a:rPr lang="en-US" sz="1200" b="1"/>
            <a:t>6 -  points = SBC is unknown and Vulnerability is high (PSA &gt;= 2)</a:t>
          </a:r>
        </a:p>
        <a:p>
          <a:r>
            <a:rPr lang="en-US" sz="1200" b="1"/>
            <a:t>7 -  points = stock biomass is below target ( 0.9 * SBMSY &gt;= SBC &gt; MSST)) and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recent trend </a:t>
          </a:r>
          <a:r>
            <a:rPr lang="en-US" sz="1200" b="1"/>
            <a:t>is declining or unknown</a:t>
          </a:r>
        </a:p>
        <a:p>
          <a:r>
            <a:rPr lang="en-US" sz="1200" b="1"/>
            <a:t>8 -  points = stock is overfished (SBC ≤ MSST) and increasing</a:t>
          </a:r>
        </a:p>
        <a:p>
          <a:r>
            <a:rPr lang="en-US" sz="1200" b="1"/>
            <a:t>9 -  points = stock is overfished (SBC ≤ MSST) and stable</a:t>
          </a:r>
        </a:p>
        <a:p>
          <a:r>
            <a:rPr lang="en-US" sz="1200" b="1"/>
            <a:t>10 -  points = stock is overfished (SBC ≤ MSST) and declining</a:t>
          </a:r>
        </a:p>
        <a:p>
          <a:endParaRPr lang="en-US" sz="1200" b="1"/>
        </a:p>
      </xdr:txBody>
    </xdr:sp>
    <xdr:clientData/>
  </xdr:twoCellAnchor>
  <xdr:twoCellAnchor>
    <xdr:from>
      <xdr:col>5</xdr:col>
      <xdr:colOff>57695</xdr:colOff>
      <xdr:row>14</xdr:row>
      <xdr:rowOff>141514</xdr:rowOff>
    </xdr:from>
    <xdr:to>
      <xdr:col>9</xdr:col>
      <xdr:colOff>400595</xdr:colOff>
      <xdr:row>14</xdr:row>
      <xdr:rowOff>141514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6654438" y="3385457"/>
          <a:ext cx="5774871" cy="0"/>
        </a:xfrm>
        <a:prstGeom prst="straightConnector1">
          <a:avLst/>
        </a:prstGeom>
        <a:ln w="28575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173083</xdr:colOff>
      <xdr:row>15</xdr:row>
      <xdr:rowOff>66583</xdr:rowOff>
    </xdr:from>
    <xdr:to>
      <xdr:col>9</xdr:col>
      <xdr:colOff>386443</xdr:colOff>
      <xdr:row>19</xdr:row>
      <xdr:rowOff>333375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7402558" y="3933733"/>
          <a:ext cx="5061585" cy="21717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point = negligible fisheries impact on stock (F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0.1*F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points = low fisheries impact on stock (0.1*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0.25*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 points = moderately low fisheries impact on stock (0.25*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0.5*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 points = caution -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unknown and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&lt;= 5 mt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 points = moderate fisheries impact on stock (0.5*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0.75*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 points = caution -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is unknown or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unknown and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&gt; 5 mt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 points = moderately high fisheries impact on stock (0.75*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0.9*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 points =high impact, potential for overfishing (0.9*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 points =slight overfishing (F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1.1*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 points = significant overfishing (1.1*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twoCellAnchor>
  <xdr:twoCellAnchor>
    <xdr:from>
      <xdr:col>5</xdr:col>
      <xdr:colOff>53340</xdr:colOff>
      <xdr:row>15</xdr:row>
      <xdr:rowOff>160020</xdr:rowOff>
    </xdr:from>
    <xdr:to>
      <xdr:col>6</xdr:col>
      <xdr:colOff>152400</xdr:colOff>
      <xdr:row>15</xdr:row>
      <xdr:rowOff>160020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6873240" y="3139440"/>
          <a:ext cx="708660" cy="0"/>
        </a:xfrm>
        <a:prstGeom prst="straightConnector1">
          <a:avLst/>
        </a:prstGeom>
        <a:ln w="28575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45721</xdr:colOff>
      <xdr:row>23</xdr:row>
      <xdr:rowOff>30481</xdr:rowOff>
    </xdr:from>
    <xdr:to>
      <xdr:col>6</xdr:col>
      <xdr:colOff>1515534</xdr:colOff>
      <xdr:row>24</xdr:row>
      <xdr:rowOff>458047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6515101" y="6896101"/>
          <a:ext cx="2201333" cy="884766"/>
        </a:xfrm>
        <a:prstGeom prst="rect">
          <a:avLst/>
        </a:prstGeom>
        <a:solidFill>
          <a:srgbClr val="86FCBE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Species in the top third of each category receive a -1;</a:t>
          </a:r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species in the bottom third receive a +1; others receive a 0.</a:t>
          </a:r>
          <a:endParaRPr lang="en-US" sz="12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45720</xdr:colOff>
      <xdr:row>22</xdr:row>
      <xdr:rowOff>8466</xdr:rowOff>
    </xdr:from>
    <xdr:to>
      <xdr:col>7</xdr:col>
      <xdr:colOff>914400</xdr:colOff>
      <xdr:row>23</xdr:row>
      <xdr:rowOff>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6515100" y="6371166"/>
          <a:ext cx="3208020" cy="494454"/>
        </a:xfrm>
        <a:prstGeom prst="rect">
          <a:avLst/>
        </a:prstGeom>
        <a:solidFill>
          <a:srgbClr val="A5D4E5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Species with Sigma-r &gt; 0.9 receive a -1;</a:t>
          </a:r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species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Sigma-r &lt; 0.3 receive a </a:t>
          </a:r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+1; others receive a 0.</a:t>
          </a:r>
          <a:endParaRPr lang="en-US" sz="12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221283</xdr:colOff>
      <xdr:row>9</xdr:row>
      <xdr:rowOff>96537</xdr:rowOff>
    </xdr:from>
    <xdr:to>
      <xdr:col>8</xdr:col>
      <xdr:colOff>6566140</xdr:colOff>
      <xdr:row>27</xdr:row>
      <xdr:rowOff>53889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3950" y="1578204"/>
          <a:ext cx="6344857" cy="438118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314692</xdr:colOff>
      <xdr:row>6</xdr:row>
      <xdr:rowOff>8485</xdr:rowOff>
    </xdr:from>
    <xdr:to>
      <xdr:col>11</xdr:col>
      <xdr:colOff>4351659</xdr:colOff>
      <xdr:row>27</xdr:row>
      <xdr:rowOff>206505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77257" y="1989685"/>
          <a:ext cx="4646567" cy="50927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10</xdr:col>
      <xdr:colOff>233082</xdr:colOff>
      <xdr:row>28</xdr:row>
      <xdr:rowOff>89647</xdr:rowOff>
    </xdr:from>
    <xdr:to>
      <xdr:col>15</xdr:col>
      <xdr:colOff>459754</xdr:colOff>
      <xdr:row>52</xdr:row>
      <xdr:rowOff>218786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5647" y="7198659"/>
          <a:ext cx="8779001" cy="572311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233083</xdr:colOff>
      <xdr:row>3</xdr:row>
      <xdr:rowOff>17930</xdr:rowOff>
    </xdr:from>
    <xdr:to>
      <xdr:col>17</xdr:col>
      <xdr:colOff>358589</xdr:colOff>
      <xdr:row>4</xdr:row>
      <xdr:rowOff>206188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1038243" y="779930"/>
          <a:ext cx="125506" cy="424478"/>
        </a:xfrm>
        <a:prstGeom prst="down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.nmfs.noaa.gov/Assets/stock/documents/PrioritizingFishStockAssessments_FinalWeb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W42"/>
  <sheetViews>
    <sheetView zoomScale="85" zoomScaleNormal="85" workbookViewId="0">
      <selection activeCell="B20" sqref="B20"/>
    </sheetView>
  </sheetViews>
  <sheetFormatPr defaultColWidth="8.88671875" defaultRowHeight="18" x14ac:dyDescent="0.35"/>
  <cols>
    <col min="1" max="1" width="16.6640625" style="14" customWidth="1"/>
    <col min="2" max="2" width="34.109375" style="1" customWidth="1"/>
    <col min="3" max="3" width="44.5546875" style="1" customWidth="1"/>
    <col min="4" max="4" width="9.33203125" style="3" customWidth="1"/>
    <col min="5" max="5" width="1.6640625" style="149" customWidth="1"/>
    <col min="6" max="6" width="8.88671875" style="1"/>
    <col min="7" max="7" width="23.44140625" style="1" customWidth="1"/>
    <col min="8" max="8" width="40.44140625" style="1" customWidth="1"/>
    <col min="9" max="9" width="10.109375" style="1" customWidth="1"/>
    <col min="10" max="10" width="10" style="1" customWidth="1"/>
    <col min="11" max="16384" width="8.88671875" style="1"/>
  </cols>
  <sheetData>
    <row r="1" spans="1:23" x14ac:dyDescent="0.35">
      <c r="H1" s="1193" t="s">
        <v>452</v>
      </c>
    </row>
    <row r="2" spans="1:23" x14ac:dyDescent="0.35">
      <c r="H2" s="1193" t="s">
        <v>451</v>
      </c>
    </row>
    <row r="3" spans="1:23" x14ac:dyDescent="0.35">
      <c r="H3" s="1194" t="s">
        <v>453</v>
      </c>
    </row>
    <row r="5" spans="1:23" ht="21" x14ac:dyDescent="0.35">
      <c r="A5" s="194" t="s">
        <v>207</v>
      </c>
      <c r="B5" s="33"/>
      <c r="C5" s="33"/>
      <c r="D5" s="32"/>
      <c r="E5" s="195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</row>
    <row r="6" spans="1:23" x14ac:dyDescent="0.35">
      <c r="A6" s="196" t="s">
        <v>259</v>
      </c>
      <c r="B6" s="33"/>
      <c r="C6" s="33"/>
      <c r="D6" s="32"/>
      <c r="E6" s="195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</row>
    <row r="7" spans="1:23" x14ac:dyDescent="0.35">
      <c r="A7" s="197" t="s">
        <v>199</v>
      </c>
      <c r="B7" s="33"/>
      <c r="C7" s="33"/>
      <c r="D7" s="32"/>
      <c r="E7" s="195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</row>
    <row r="8" spans="1:23" x14ac:dyDescent="0.35">
      <c r="A8" s="197"/>
      <c r="B8" s="33"/>
      <c r="C8" s="33"/>
      <c r="D8" s="32"/>
      <c r="E8" s="195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</row>
    <row r="9" spans="1:23" ht="21.6" thickBot="1" x14ac:dyDescent="0.45">
      <c r="A9" s="670" t="s">
        <v>43</v>
      </c>
      <c r="B9" s="671" t="s">
        <v>69</v>
      </c>
      <c r="C9" s="671" t="s">
        <v>164</v>
      </c>
      <c r="D9" s="672" t="s">
        <v>165</v>
      </c>
      <c r="E9" s="150"/>
      <c r="F9" s="151"/>
      <c r="G9" s="152" t="s">
        <v>139</v>
      </c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</row>
    <row r="10" spans="1:23" ht="42.75" customHeight="1" x14ac:dyDescent="0.35">
      <c r="A10" s="1345" t="s">
        <v>44</v>
      </c>
      <c r="B10" s="673" t="s">
        <v>186</v>
      </c>
      <c r="C10" s="673" t="s">
        <v>197</v>
      </c>
      <c r="D10" s="674" t="s">
        <v>45</v>
      </c>
      <c r="E10" s="199"/>
      <c r="F10" s="200"/>
      <c r="G10" s="201" t="s">
        <v>257</v>
      </c>
      <c r="H10" s="201"/>
      <c r="I10" s="33"/>
      <c r="J10" s="118"/>
      <c r="K10" s="33"/>
      <c r="L10" s="33"/>
      <c r="M10" s="33"/>
      <c r="N10" s="33"/>
      <c r="O10" s="33"/>
      <c r="P10" s="33"/>
      <c r="Q10" s="33"/>
      <c r="R10" s="33"/>
      <c r="S10" s="33"/>
      <c r="T10" s="33"/>
      <c r="W10" s="1" t="s">
        <v>46</v>
      </c>
    </row>
    <row r="11" spans="1:23" ht="42.75" customHeight="1" x14ac:dyDescent="0.35">
      <c r="A11" s="1346"/>
      <c r="B11" s="675" t="s">
        <v>166</v>
      </c>
      <c r="C11" s="675" t="s">
        <v>328</v>
      </c>
      <c r="D11" s="676" t="s">
        <v>45</v>
      </c>
      <c r="E11" s="199"/>
      <c r="F11" s="200"/>
      <c r="G11" s="201" t="s">
        <v>258</v>
      </c>
      <c r="H11" s="201"/>
      <c r="I11" s="33"/>
      <c r="J11" s="105"/>
      <c r="K11" s="33"/>
      <c r="L11" s="33"/>
      <c r="M11" s="33"/>
      <c r="N11" s="33"/>
      <c r="O11" s="33"/>
      <c r="P11" s="33"/>
      <c r="Q11" s="33"/>
      <c r="R11" s="33"/>
      <c r="S11" s="33"/>
      <c r="T11" s="33"/>
    </row>
    <row r="12" spans="1:23" ht="63" x14ac:dyDescent="0.35">
      <c r="A12" s="1346"/>
      <c r="B12" s="677" t="s">
        <v>47</v>
      </c>
      <c r="C12" s="675" t="s">
        <v>198</v>
      </c>
      <c r="D12" s="676" t="s">
        <v>45</v>
      </c>
      <c r="E12" s="199"/>
      <c r="F12" s="200"/>
      <c r="G12" s="202" t="s">
        <v>260</v>
      </c>
      <c r="H12" s="203"/>
      <c r="I12" s="205"/>
      <c r="J12" s="212"/>
      <c r="K12" s="33"/>
      <c r="L12" s="33"/>
      <c r="M12" s="33"/>
      <c r="N12" s="33"/>
      <c r="O12" s="33"/>
      <c r="P12" s="33"/>
      <c r="Q12" s="33"/>
      <c r="R12" s="33"/>
      <c r="S12" s="33"/>
      <c r="T12" s="33"/>
    </row>
    <row r="13" spans="1:23" ht="44.25" customHeight="1" x14ac:dyDescent="0.35">
      <c r="A13" s="1346"/>
      <c r="B13" s="675" t="s">
        <v>187</v>
      </c>
      <c r="C13" s="675" t="s">
        <v>331</v>
      </c>
      <c r="D13" s="676" t="s">
        <v>45</v>
      </c>
      <c r="E13" s="199"/>
      <c r="F13" s="200"/>
      <c r="G13" s="213" t="s">
        <v>254</v>
      </c>
      <c r="H13" s="204"/>
      <c r="I13" s="119"/>
      <c r="J13" s="212"/>
      <c r="K13" s="33"/>
      <c r="L13" s="33"/>
      <c r="M13" s="33"/>
      <c r="N13" s="33"/>
      <c r="O13" s="33"/>
      <c r="P13" s="33"/>
      <c r="Q13" s="33"/>
      <c r="R13" s="33"/>
      <c r="S13" s="33"/>
      <c r="T13" s="33"/>
    </row>
    <row r="14" spans="1:23" ht="24" customHeight="1" x14ac:dyDescent="0.35">
      <c r="A14" s="1344" t="s">
        <v>49</v>
      </c>
      <c r="B14" s="678" t="s">
        <v>48</v>
      </c>
      <c r="C14" s="678" t="s">
        <v>189</v>
      </c>
      <c r="D14" s="679" t="s">
        <v>45</v>
      </c>
      <c r="E14" s="198"/>
      <c r="F14" s="33"/>
      <c r="G14" s="33"/>
      <c r="H14" s="33"/>
      <c r="I14" s="155"/>
      <c r="J14" s="195"/>
      <c r="K14" s="33"/>
      <c r="L14" s="33"/>
      <c r="M14" s="33"/>
      <c r="N14" s="33"/>
      <c r="O14" s="33"/>
      <c r="P14" s="33"/>
      <c r="Q14" s="33"/>
      <c r="R14" s="33"/>
      <c r="S14" s="33"/>
      <c r="T14" s="33"/>
    </row>
    <row r="15" spans="1:23" ht="24" customHeight="1" x14ac:dyDescent="0.35">
      <c r="A15" s="1344"/>
      <c r="B15" s="680" t="s">
        <v>50</v>
      </c>
      <c r="C15" s="681" t="s">
        <v>192</v>
      </c>
      <c r="D15" s="682" t="s">
        <v>51</v>
      </c>
      <c r="E15" s="198"/>
      <c r="F15" s="33"/>
      <c r="G15" s="33"/>
      <c r="H15" s="33"/>
      <c r="I15" s="156"/>
      <c r="J15" s="195"/>
      <c r="K15" s="33"/>
      <c r="L15" s="33"/>
      <c r="M15" s="33"/>
      <c r="N15" s="33"/>
      <c r="O15" s="33"/>
      <c r="P15" s="33"/>
      <c r="Q15" s="33"/>
      <c r="R15" s="33"/>
      <c r="S15" s="33"/>
      <c r="T15" s="33"/>
    </row>
    <row r="16" spans="1:23" ht="24" customHeight="1" x14ac:dyDescent="0.35">
      <c r="A16" s="1344"/>
      <c r="B16" s="683" t="s">
        <v>52</v>
      </c>
      <c r="C16" s="683" t="s">
        <v>190</v>
      </c>
      <c r="D16" s="682" t="s">
        <v>51</v>
      </c>
      <c r="E16" s="198"/>
      <c r="F16" s="33"/>
      <c r="G16" s="33"/>
      <c r="H16" s="33"/>
      <c r="I16" s="156"/>
      <c r="J16" s="195"/>
      <c r="K16" s="33"/>
      <c r="L16" s="33"/>
      <c r="M16" s="33"/>
      <c r="N16" s="33"/>
      <c r="O16" s="33"/>
      <c r="P16" s="33"/>
      <c r="Q16" s="33"/>
      <c r="R16" s="33"/>
      <c r="S16" s="33"/>
      <c r="T16" s="33"/>
    </row>
    <row r="17" spans="1:20" ht="49.5" customHeight="1" x14ac:dyDescent="0.35">
      <c r="A17" s="684" t="s">
        <v>333</v>
      </c>
      <c r="B17" s="685" t="s">
        <v>167</v>
      </c>
      <c r="C17" s="686" t="s">
        <v>255</v>
      </c>
      <c r="D17" s="687" t="s">
        <v>45</v>
      </c>
      <c r="E17" s="198"/>
      <c r="F17" s="33"/>
      <c r="G17" s="33"/>
      <c r="H17" s="33"/>
      <c r="I17" s="156"/>
      <c r="J17" s="195"/>
      <c r="K17" s="33"/>
      <c r="L17" s="33"/>
      <c r="M17" s="33"/>
      <c r="N17" s="33"/>
      <c r="O17" s="33"/>
      <c r="P17" s="33"/>
      <c r="Q17" s="33"/>
      <c r="R17" s="33"/>
      <c r="S17" s="33"/>
      <c r="T17" s="33"/>
    </row>
    <row r="18" spans="1:20" ht="43.5" customHeight="1" x14ac:dyDescent="0.35">
      <c r="A18" s="1342" t="s">
        <v>196</v>
      </c>
      <c r="B18" s="688" t="s">
        <v>188</v>
      </c>
      <c r="C18" s="689" t="s">
        <v>329</v>
      </c>
      <c r="D18" s="690" t="s">
        <v>45</v>
      </c>
      <c r="E18" s="198"/>
      <c r="F18" s="33"/>
      <c r="G18" s="33"/>
      <c r="H18" s="33"/>
      <c r="I18" s="156"/>
      <c r="J18" s="195"/>
      <c r="K18" s="33"/>
      <c r="L18" s="33"/>
      <c r="M18" s="33"/>
      <c r="N18" s="33"/>
      <c r="O18" s="33"/>
      <c r="P18" s="33"/>
      <c r="Q18" s="33"/>
      <c r="R18" s="33"/>
      <c r="S18" s="33"/>
      <c r="T18" s="33"/>
    </row>
    <row r="19" spans="1:20" ht="72.75" customHeight="1" x14ac:dyDescent="0.35">
      <c r="A19" s="1342"/>
      <c r="B19" s="691" t="s">
        <v>53</v>
      </c>
      <c r="C19" s="691" t="s">
        <v>191</v>
      </c>
      <c r="D19" s="692" t="s">
        <v>45</v>
      </c>
      <c r="E19" s="198"/>
      <c r="F19" s="33"/>
      <c r="G19" s="33"/>
      <c r="H19" s="33"/>
      <c r="I19" s="156"/>
      <c r="J19" s="195"/>
      <c r="K19" s="33"/>
      <c r="L19" s="33"/>
      <c r="M19" s="33"/>
      <c r="N19" s="33"/>
      <c r="O19" s="33"/>
      <c r="P19" s="33"/>
      <c r="Q19" s="33"/>
      <c r="R19" s="33"/>
      <c r="S19" s="33"/>
      <c r="T19" s="33"/>
    </row>
    <row r="20" spans="1:20" ht="68.25" customHeight="1" x14ac:dyDescent="0.35">
      <c r="A20" s="1342"/>
      <c r="B20" s="693" t="s">
        <v>332</v>
      </c>
      <c r="C20" s="693" t="s">
        <v>373</v>
      </c>
      <c r="D20" s="694" t="s">
        <v>312</v>
      </c>
      <c r="E20" s="198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</row>
    <row r="21" spans="1:20" ht="28.2" customHeight="1" x14ac:dyDescent="0.35"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</row>
    <row r="22" spans="1:20" ht="37.200000000000003" customHeight="1" x14ac:dyDescent="0.35">
      <c r="A22" s="1343" t="s">
        <v>54</v>
      </c>
      <c r="B22" s="148" t="s">
        <v>193</v>
      </c>
      <c r="C22" s="15" t="s">
        <v>55</v>
      </c>
      <c r="D22" s="16" t="s">
        <v>56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</row>
    <row r="23" spans="1:20" ht="39.6" customHeight="1" x14ac:dyDescent="0.35">
      <c r="A23" s="1343"/>
      <c r="B23" s="17" t="s">
        <v>57</v>
      </c>
      <c r="C23" s="18" t="s">
        <v>194</v>
      </c>
      <c r="D23" s="19" t="s">
        <v>58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</row>
    <row r="24" spans="1:20" ht="36" x14ac:dyDescent="0.35">
      <c r="A24" s="1343"/>
      <c r="B24" s="206" t="s">
        <v>59</v>
      </c>
      <c r="C24" s="207" t="s">
        <v>195</v>
      </c>
      <c r="D24" s="208" t="s">
        <v>58</v>
      </c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</row>
    <row r="25" spans="1:20" ht="37.200000000000003" customHeight="1" x14ac:dyDescent="0.35">
      <c r="A25" s="1343"/>
      <c r="B25" s="209" t="s">
        <v>60</v>
      </c>
      <c r="C25" s="210" t="s">
        <v>256</v>
      </c>
      <c r="D25" s="211" t="s">
        <v>58</v>
      </c>
      <c r="E25" s="195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</row>
    <row r="30" spans="1:20" x14ac:dyDescent="0.35">
      <c r="A30" s="20"/>
    </row>
    <row r="31" spans="1:20" x14ac:dyDescent="0.35">
      <c r="A31" s="1"/>
    </row>
    <row r="32" spans="1:20" x14ac:dyDescent="0.35">
      <c r="A32" s="1"/>
      <c r="C32" s="21"/>
    </row>
    <row r="33" spans="1:5" x14ac:dyDescent="0.35">
      <c r="A33" s="1"/>
      <c r="C33" s="21"/>
    </row>
    <row r="34" spans="1:5" x14ac:dyDescent="0.35">
      <c r="A34" s="1"/>
    </row>
    <row r="35" spans="1:5" x14ac:dyDescent="0.35">
      <c r="A35" s="1"/>
    </row>
    <row r="37" spans="1:5" x14ac:dyDescent="0.35">
      <c r="A37" s="20"/>
    </row>
    <row r="38" spans="1:5" x14ac:dyDescent="0.35">
      <c r="A38" s="22"/>
    </row>
    <row r="39" spans="1:5" x14ac:dyDescent="0.35">
      <c r="A39" s="22"/>
      <c r="D39" s="1"/>
      <c r="E39" s="67"/>
    </row>
    <row r="40" spans="1:5" x14ac:dyDescent="0.35">
      <c r="A40" s="22"/>
      <c r="D40" s="1"/>
      <c r="E40" s="67"/>
    </row>
    <row r="41" spans="1:5" x14ac:dyDescent="0.35">
      <c r="A41" s="22"/>
      <c r="D41" s="1"/>
      <c r="E41" s="67"/>
    </row>
    <row r="42" spans="1:5" x14ac:dyDescent="0.35">
      <c r="A42" s="22"/>
      <c r="D42" s="1"/>
      <c r="E42" s="67"/>
    </row>
  </sheetData>
  <mergeCells count="4">
    <mergeCell ref="A18:A20"/>
    <mergeCell ref="A22:A25"/>
    <mergeCell ref="A14:A16"/>
    <mergeCell ref="A10:A13"/>
  </mergeCells>
  <hyperlinks>
    <hyperlink ref="A7" r:id="rId1" display="http://www.st.nmfs.noaa.gov/Assets/stock/documents/PrioritizingFishStockAssessments_FinalWeb.pdf"/>
  </hyperlinks>
  <pageMargins left="0.7" right="0.7" top="0.75" bottom="0.75" header="0.3" footer="0.3"/>
  <pageSetup scale="80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B336"/>
  <sheetViews>
    <sheetView zoomScale="95" zoomScaleNormal="95" workbookViewId="0">
      <pane xSplit="1" ySplit="1" topLeftCell="B32" activePane="bottomRight" state="frozen"/>
      <selection activeCell="A22" sqref="A22"/>
      <selection pane="topRight" activeCell="A22" sqref="A22"/>
      <selection pane="bottomLeft" activeCell="A22" sqref="A22"/>
      <selection pane="bottomRight" activeCell="A48" sqref="A48"/>
    </sheetView>
  </sheetViews>
  <sheetFormatPr defaultColWidth="10.109375" defaultRowHeight="18" x14ac:dyDescent="0.35"/>
  <cols>
    <col min="1" max="1" width="37.44140625" style="191" customWidth="1"/>
    <col min="2" max="2" width="11.88671875" style="37" bestFit="1" customWidth="1"/>
    <col min="3" max="3" width="13.44140625" style="223" customWidth="1"/>
    <col min="4" max="4" width="14" style="223" customWidth="1"/>
    <col min="5" max="5" width="10.109375" style="223"/>
    <col min="6" max="6" width="14.44140625" style="237" customWidth="1"/>
    <col min="7" max="7" width="26" style="191" customWidth="1"/>
    <col min="8" max="8" width="16.44140625" style="191" customWidth="1"/>
    <col min="9" max="9" width="7.88671875" style="221" bestFit="1" customWidth="1"/>
    <col min="10" max="10" width="10.6640625" style="221" bestFit="1" customWidth="1"/>
    <col min="11" max="11" width="15.109375" style="192" customWidth="1"/>
    <col min="12" max="12" width="7.6640625" style="192" bestFit="1" customWidth="1"/>
    <col min="13" max="13" width="13.109375" style="192" bestFit="1" customWidth="1"/>
    <col min="14" max="14" width="11.88671875" style="192" customWidth="1"/>
    <col min="15" max="15" width="9.44140625" style="192" bestFit="1" customWidth="1"/>
    <col min="16" max="16" width="6.6640625" bestFit="1" customWidth="1"/>
    <col min="17" max="17" width="4.109375" style="195" customWidth="1"/>
    <col min="18" max="18" width="12.33203125" style="193" customWidth="1"/>
    <col min="19" max="19" width="9.6640625" style="193" customWidth="1"/>
    <col min="20" max="20" width="7.33203125" style="222" customWidth="1"/>
    <col min="26" max="16384" width="10.109375" style="191"/>
  </cols>
  <sheetData>
    <row r="1" spans="1:28" x14ac:dyDescent="0.35">
      <c r="A1" s="72" t="s">
        <v>342</v>
      </c>
      <c r="B1" s="116"/>
      <c r="C1" s="240"/>
      <c r="D1" s="240"/>
      <c r="E1" s="240"/>
      <c r="F1" s="447"/>
      <c r="G1" s="240"/>
      <c r="H1" s="240"/>
      <c r="I1" s="242"/>
      <c r="J1" s="242"/>
      <c r="K1" s="240"/>
      <c r="L1" s="240"/>
      <c r="M1" s="240"/>
      <c r="N1" s="240"/>
      <c r="O1" s="240"/>
      <c r="P1" s="240"/>
      <c r="R1" s="240"/>
      <c r="S1" s="240"/>
      <c r="T1" s="240"/>
      <c r="U1" s="195"/>
      <c r="V1" s="195"/>
      <c r="W1" s="195"/>
      <c r="X1" s="195"/>
      <c r="Y1" s="195"/>
      <c r="Z1" s="240"/>
      <c r="AA1" s="240"/>
    </row>
    <row r="2" spans="1:28" x14ac:dyDescent="0.35">
      <c r="A2" s="72"/>
      <c r="B2" s="116"/>
      <c r="C2" s="240"/>
      <c r="D2" s="240"/>
      <c r="E2" s="240"/>
      <c r="F2" s="447"/>
      <c r="G2" s="240"/>
      <c r="H2" s="240"/>
      <c r="I2" s="242"/>
      <c r="J2" s="242"/>
      <c r="K2" s="240"/>
      <c r="L2" s="240"/>
      <c r="M2" s="240"/>
      <c r="N2" s="240"/>
      <c r="O2" s="240"/>
      <c r="P2" s="240"/>
      <c r="R2" s="240"/>
      <c r="S2" s="240"/>
      <c r="T2" s="240"/>
      <c r="U2" s="195"/>
      <c r="V2" s="195"/>
      <c r="W2" s="195"/>
      <c r="X2" s="195"/>
      <c r="Y2" s="195"/>
      <c r="Z2" s="240"/>
      <c r="AA2" s="240"/>
    </row>
    <row r="3" spans="1:28" x14ac:dyDescent="0.35">
      <c r="A3" s="72"/>
      <c r="B3" s="116"/>
      <c r="C3" s="240"/>
      <c r="D3" s="240"/>
      <c r="E3" s="240"/>
      <c r="F3" s="447"/>
      <c r="G3" s="240"/>
      <c r="H3" s="240"/>
      <c r="I3" s="242"/>
      <c r="J3" s="242"/>
      <c r="K3" s="240"/>
      <c r="L3" s="240"/>
      <c r="M3" s="240"/>
      <c r="N3" s="240"/>
      <c r="O3" s="240"/>
      <c r="P3" s="240"/>
      <c r="R3" s="240"/>
      <c r="S3" s="240"/>
      <c r="T3" s="240"/>
      <c r="U3" s="195"/>
      <c r="V3" s="195"/>
      <c r="W3" s="195"/>
      <c r="X3" s="195"/>
      <c r="Y3" s="195"/>
      <c r="Z3" s="240"/>
      <c r="AA3" s="240"/>
    </row>
    <row r="4" spans="1:28" x14ac:dyDescent="0.35">
      <c r="A4" s="241"/>
      <c r="B4" s="116"/>
      <c r="C4" s="240"/>
      <c r="D4" s="240"/>
      <c r="E4" s="240"/>
      <c r="F4" s="447"/>
      <c r="G4" s="240"/>
      <c r="H4" s="240"/>
      <c r="I4" s="242"/>
      <c r="J4" s="433"/>
      <c r="K4" s="287" t="s">
        <v>241</v>
      </c>
      <c r="L4" s="287"/>
      <c r="M4" s="287"/>
      <c r="N4" s="287"/>
      <c r="O4" s="287"/>
      <c r="P4" s="434"/>
      <c r="Q4" s="157"/>
      <c r="R4" s="292" t="s">
        <v>264</v>
      </c>
      <c r="S4" s="292"/>
      <c r="T4" s="294"/>
      <c r="U4" s="240"/>
      <c r="V4" s="240"/>
      <c r="W4" s="240"/>
      <c r="X4" s="240"/>
      <c r="Y4" s="240"/>
      <c r="Z4" s="240"/>
      <c r="AA4" s="240"/>
      <c r="AB4" s="240"/>
    </row>
    <row r="5" spans="1:28" ht="54" x14ac:dyDescent="0.35">
      <c r="A5" s="260"/>
      <c r="B5" s="243" t="s">
        <v>265</v>
      </c>
      <c r="C5" s="244"/>
      <c r="D5" s="245"/>
      <c r="E5" s="261"/>
      <c r="F5" s="265"/>
      <c r="G5" s="259"/>
      <c r="H5" s="952" t="s">
        <v>310</v>
      </c>
      <c r="I5" s="387" t="s">
        <v>290</v>
      </c>
      <c r="J5" s="442"/>
      <c r="K5" s="435" t="s">
        <v>291</v>
      </c>
      <c r="L5" s="309"/>
      <c r="M5" s="310"/>
      <c r="N5" s="448" t="s">
        <v>280</v>
      </c>
      <c r="O5" s="449"/>
      <c r="P5" s="450"/>
      <c r="Q5" s="157"/>
      <c r="R5" s="1347" t="s">
        <v>301</v>
      </c>
      <c r="S5" s="1348"/>
      <c r="T5" s="1349"/>
      <c r="U5" s="240" t="s">
        <v>300</v>
      </c>
      <c r="V5" s="240"/>
      <c r="W5" s="240"/>
      <c r="X5" s="240"/>
      <c r="Y5" s="240"/>
      <c r="Z5" s="240"/>
      <c r="AA5" s="240"/>
      <c r="AB5" s="240"/>
    </row>
    <row r="6" spans="1:28" ht="54.6" thickBot="1" x14ac:dyDescent="0.4">
      <c r="A6" s="951" t="s">
        <v>4</v>
      </c>
      <c r="B6" s="257" t="s">
        <v>3</v>
      </c>
      <c r="C6" s="276" t="s">
        <v>278</v>
      </c>
      <c r="D6" s="277" t="s">
        <v>279</v>
      </c>
      <c r="E6" s="278" t="s">
        <v>267</v>
      </c>
      <c r="F6" s="279" t="s">
        <v>268</v>
      </c>
      <c r="G6" s="280" t="s">
        <v>266</v>
      </c>
      <c r="H6" s="281" t="s">
        <v>461</v>
      </c>
      <c r="I6" s="282" t="s">
        <v>288</v>
      </c>
      <c r="J6" s="443" t="s">
        <v>289</v>
      </c>
      <c r="K6" s="436" t="s">
        <v>286</v>
      </c>
      <c r="L6" s="283" t="s">
        <v>242</v>
      </c>
      <c r="M6" s="283" t="s">
        <v>243</v>
      </c>
      <c r="N6" s="284" t="s">
        <v>253</v>
      </c>
      <c r="O6" s="285" t="s">
        <v>252</v>
      </c>
      <c r="P6" s="286" t="s">
        <v>3</v>
      </c>
      <c r="Q6" s="158"/>
      <c r="R6" s="288" t="s">
        <v>253</v>
      </c>
      <c r="S6" s="289" t="s">
        <v>252</v>
      </c>
      <c r="T6" s="293" t="s">
        <v>3</v>
      </c>
      <c r="U6" s="240"/>
      <c r="V6" s="240"/>
      <c r="W6" s="240"/>
      <c r="X6" s="240"/>
      <c r="Y6" s="240"/>
      <c r="Z6" s="240"/>
      <c r="AA6" s="240"/>
      <c r="AB6" s="240"/>
    </row>
    <row r="7" spans="1:28" x14ac:dyDescent="0.35">
      <c r="A7" s="164" t="s">
        <v>10</v>
      </c>
      <c r="B7" s="258">
        <f t="shared" ref="B7:B38" si="0">RANK(C7,C$7:C$63,0)</f>
        <v>9</v>
      </c>
      <c r="C7" s="267">
        <f t="shared" ref="C7:C38" si="1">D7/MAX($D$7:$D$63)*10</f>
        <v>1.2054212270092182</v>
      </c>
      <c r="D7" s="268">
        <f t="shared" ref="D7:D38" si="2">O7+S7</f>
        <v>0.15365839225710626</v>
      </c>
      <c r="E7" s="269">
        <f t="shared" ref="E7:E38" si="3">_xlfn.RANK.EQ(C7,$C$7:$C$63,1)/COUNT($C$7:$C$63)</f>
        <v>0.85964912280701755</v>
      </c>
      <c r="F7" s="270">
        <f t="shared" ref="F7:F38" si="4">IF(E7&gt;0.66,-1,IF(E7&lt;0.335,1,0))</f>
        <v>-1</v>
      </c>
      <c r="G7" s="271" t="s">
        <v>10</v>
      </c>
      <c r="H7" s="230"/>
      <c r="I7" s="272"/>
      <c r="J7" s="444"/>
      <c r="K7" s="437"/>
      <c r="L7" s="273"/>
      <c r="M7" s="274"/>
      <c r="N7" s="274"/>
      <c r="O7" s="275"/>
      <c r="P7" s="80">
        <v>3</v>
      </c>
      <c r="Q7" s="295"/>
      <c r="R7" s="290">
        <v>3.1181897540734573E-3</v>
      </c>
      <c r="S7" s="291">
        <v>0.15365839225710626</v>
      </c>
      <c r="T7" s="43">
        <f>RANK(S7,S$7:S$63,0)</f>
        <v>9</v>
      </c>
      <c r="U7" s="240"/>
      <c r="V7" s="240"/>
      <c r="W7" s="240"/>
      <c r="X7" s="240"/>
      <c r="Y7" s="240"/>
      <c r="Z7" s="240"/>
      <c r="AA7" s="240"/>
      <c r="AB7" s="240"/>
    </row>
    <row r="8" spans="1:28" x14ac:dyDescent="0.35">
      <c r="A8" s="214" t="s">
        <v>209</v>
      </c>
      <c r="B8" s="256">
        <f t="shared" si="0"/>
        <v>38</v>
      </c>
      <c r="C8" s="255">
        <f t="shared" si="1"/>
        <v>3.5485224142156109E-2</v>
      </c>
      <c r="D8" s="246">
        <f t="shared" si="2"/>
        <v>4.5234000931734571E-3</v>
      </c>
      <c r="E8" s="262">
        <f t="shared" si="3"/>
        <v>0.35087719298245612</v>
      </c>
      <c r="F8" s="266">
        <f t="shared" si="4"/>
        <v>0</v>
      </c>
      <c r="G8" s="263" t="s">
        <v>244</v>
      </c>
      <c r="H8" s="231"/>
      <c r="I8" s="248"/>
      <c r="J8" s="445"/>
      <c r="K8" s="440"/>
      <c r="L8" s="249"/>
      <c r="M8" s="253"/>
      <c r="N8" s="253"/>
      <c r="O8" s="254"/>
      <c r="P8" s="43">
        <v>50</v>
      </c>
      <c r="Q8" s="295"/>
      <c r="R8" s="290">
        <v>9.1793358090768972E-5</v>
      </c>
      <c r="S8" s="291">
        <v>4.5234000931734571E-3</v>
      </c>
      <c r="T8" s="43">
        <f>RANK(S8,S$7:S$63,0)</f>
        <v>38</v>
      </c>
      <c r="U8" s="240"/>
      <c r="V8" s="240"/>
      <c r="W8" s="240"/>
      <c r="X8" s="240"/>
      <c r="Y8" s="240"/>
      <c r="Z8" s="240"/>
      <c r="AA8" s="240"/>
      <c r="AB8" s="240"/>
    </row>
    <row r="9" spans="1:28" x14ac:dyDescent="0.35">
      <c r="A9" s="214" t="s">
        <v>146</v>
      </c>
      <c r="B9" s="256">
        <f t="shared" si="0"/>
        <v>26</v>
      </c>
      <c r="C9" s="255">
        <f t="shared" si="1"/>
        <v>0.2463073128143442</v>
      </c>
      <c r="D9" s="246">
        <f t="shared" si="2"/>
        <v>3.1397477363264363E-2</v>
      </c>
      <c r="E9" s="262">
        <f t="shared" si="3"/>
        <v>0.56140350877192979</v>
      </c>
      <c r="F9" s="266">
        <f t="shared" si="4"/>
        <v>0</v>
      </c>
      <c r="G9" s="264" t="s">
        <v>244</v>
      </c>
      <c r="H9" s="231"/>
      <c r="I9" s="248"/>
      <c r="J9" s="445"/>
      <c r="K9" s="440"/>
      <c r="L9" s="249"/>
      <c r="M9" s="253"/>
      <c r="N9" s="253"/>
      <c r="O9" s="254"/>
      <c r="P9" s="43">
        <v>49</v>
      </c>
      <c r="Q9" s="295"/>
      <c r="R9" s="290">
        <v>6.3714900813272371E-4</v>
      </c>
      <c r="S9" s="291">
        <v>3.1397477363264363E-2</v>
      </c>
      <c r="T9" s="43">
        <v>49</v>
      </c>
      <c r="U9" s="240"/>
      <c r="V9" s="240"/>
      <c r="W9" s="240"/>
      <c r="X9" s="240"/>
      <c r="Y9" s="240"/>
      <c r="Z9" s="240"/>
      <c r="AA9" s="240"/>
      <c r="AB9" s="240"/>
    </row>
    <row r="10" spans="1:28" x14ac:dyDescent="0.35">
      <c r="A10" s="214" t="s">
        <v>147</v>
      </c>
      <c r="B10" s="256">
        <f t="shared" si="0"/>
        <v>27</v>
      </c>
      <c r="C10" s="255">
        <f t="shared" si="1"/>
        <v>0.18407777028041605</v>
      </c>
      <c r="D10" s="246">
        <f t="shared" si="2"/>
        <v>2.3464904713632825E-2</v>
      </c>
      <c r="E10" s="262">
        <f t="shared" si="3"/>
        <v>0.54385964912280704</v>
      </c>
      <c r="F10" s="266">
        <f t="shared" si="4"/>
        <v>0</v>
      </c>
      <c r="G10" s="263" t="s">
        <v>246</v>
      </c>
      <c r="H10" s="231"/>
      <c r="I10" s="248"/>
      <c r="J10" s="445"/>
      <c r="K10" s="438"/>
      <c r="L10" s="249"/>
      <c r="M10" s="250"/>
      <c r="N10" s="250"/>
      <c r="O10" s="251"/>
      <c r="P10" s="43">
        <v>12</v>
      </c>
      <c r="Q10" s="295"/>
      <c r="R10" s="290">
        <v>4.7617331135375087E-4</v>
      </c>
      <c r="S10" s="291">
        <v>2.3464904713632825E-2</v>
      </c>
      <c r="T10" s="43">
        <f t="shared" ref="T10:T41" si="5">RANK(S10,S$7:S$63,0)</f>
        <v>27</v>
      </c>
      <c r="U10" s="240"/>
      <c r="V10" s="240"/>
      <c r="W10" s="240"/>
      <c r="X10" s="240"/>
      <c r="Y10" s="240"/>
      <c r="Z10" s="240"/>
      <c r="AA10" s="240"/>
      <c r="AB10" s="240"/>
    </row>
    <row r="11" spans="1:28" x14ac:dyDescent="0.35">
      <c r="A11" s="95" t="s">
        <v>5</v>
      </c>
      <c r="B11" s="256">
        <f t="shared" si="0"/>
        <v>19</v>
      </c>
      <c r="C11" s="255">
        <f t="shared" si="1"/>
        <v>0.54448769866462232</v>
      </c>
      <c r="D11" s="246">
        <f t="shared" si="2"/>
        <v>6.9407359440782287E-2</v>
      </c>
      <c r="E11" s="262">
        <f t="shared" si="3"/>
        <v>0.68421052631578949</v>
      </c>
      <c r="F11" s="266">
        <f t="shared" si="4"/>
        <v>-1</v>
      </c>
      <c r="G11" s="263" t="s">
        <v>5</v>
      </c>
      <c r="H11" s="232"/>
      <c r="I11" s="248"/>
      <c r="J11" s="445"/>
      <c r="K11" s="438"/>
      <c r="L11" s="249"/>
      <c r="M11" s="250"/>
      <c r="N11" s="250"/>
      <c r="O11" s="251"/>
      <c r="P11" s="43">
        <v>9</v>
      </c>
      <c r="Q11" s="295"/>
      <c r="R11" s="290">
        <v>1.4084835451317948E-3</v>
      </c>
      <c r="S11" s="291">
        <v>6.9407359440782287E-2</v>
      </c>
      <c r="T11" s="43">
        <f t="shared" si="5"/>
        <v>19</v>
      </c>
      <c r="U11" s="240"/>
      <c r="V11" s="240"/>
      <c r="W11" s="240"/>
      <c r="X11" s="240"/>
      <c r="Y11" s="240"/>
      <c r="Z11" s="240"/>
      <c r="AA11" s="240"/>
      <c r="AB11" s="240"/>
    </row>
    <row r="12" spans="1:28" x14ac:dyDescent="0.35">
      <c r="A12" s="214" t="s">
        <v>210</v>
      </c>
      <c r="B12" s="256">
        <f t="shared" si="0"/>
        <v>34</v>
      </c>
      <c r="C12" s="255">
        <f t="shared" si="1"/>
        <v>6.7060381897015645E-2</v>
      </c>
      <c r="D12" s="246">
        <f t="shared" si="2"/>
        <v>8.5483731624747452E-3</v>
      </c>
      <c r="E12" s="262">
        <f t="shared" si="3"/>
        <v>0.42105263157894735</v>
      </c>
      <c r="F12" s="266">
        <f t="shared" si="4"/>
        <v>0</v>
      </c>
      <c r="G12" s="263" t="s">
        <v>244</v>
      </c>
      <c r="H12" s="231"/>
      <c r="I12" s="248"/>
      <c r="J12" s="445"/>
      <c r="K12" s="440"/>
      <c r="L12" s="249"/>
      <c r="M12" s="253"/>
      <c r="N12" s="253"/>
      <c r="O12" s="254"/>
      <c r="P12" s="43">
        <v>50</v>
      </c>
      <c r="Q12" s="295"/>
      <c r="R12" s="290">
        <v>1.7347213658610002E-4</v>
      </c>
      <c r="S12" s="291">
        <v>8.5483731624747452E-3</v>
      </c>
      <c r="T12" s="43">
        <f t="shared" si="5"/>
        <v>34</v>
      </c>
      <c r="U12" s="240"/>
      <c r="V12" s="240"/>
      <c r="W12" s="240"/>
      <c r="X12" s="240"/>
      <c r="Y12" s="240"/>
      <c r="Z12" s="240"/>
      <c r="AA12" s="240"/>
      <c r="AB12" s="240"/>
    </row>
    <row r="13" spans="1:28" x14ac:dyDescent="0.35">
      <c r="A13" s="214" t="s">
        <v>339</v>
      </c>
      <c r="B13" s="256">
        <f t="shared" si="0"/>
        <v>30</v>
      </c>
      <c r="C13" s="255">
        <f t="shared" si="1"/>
        <v>9.1209944220394801E-2</v>
      </c>
      <c r="D13" s="246">
        <f t="shared" si="2"/>
        <v>1.162678495511431E-2</v>
      </c>
      <c r="E13" s="262">
        <f t="shared" si="3"/>
        <v>0.49122807017543857</v>
      </c>
      <c r="F13" s="266">
        <f t="shared" si="4"/>
        <v>0</v>
      </c>
      <c r="G13" s="263" t="s">
        <v>247</v>
      </c>
      <c r="H13" s="231"/>
      <c r="I13" s="248"/>
      <c r="J13" s="445"/>
      <c r="K13" s="438"/>
      <c r="L13" s="249"/>
      <c r="M13" s="250"/>
      <c r="N13" s="250"/>
      <c r="O13" s="251"/>
      <c r="P13" s="43">
        <v>20</v>
      </c>
      <c r="Q13" s="295"/>
      <c r="R13" s="290">
        <v>2.3594234709413471E-4</v>
      </c>
      <c r="S13" s="291">
        <v>1.162678495511431E-2</v>
      </c>
      <c r="T13" s="43">
        <f t="shared" si="5"/>
        <v>30</v>
      </c>
      <c r="U13" s="240"/>
      <c r="V13" s="240"/>
      <c r="W13" s="240"/>
      <c r="X13" s="240"/>
      <c r="Y13" s="240"/>
      <c r="Z13" s="240"/>
      <c r="AA13" s="240"/>
      <c r="AB13" s="240"/>
    </row>
    <row r="14" spans="1:28" x14ac:dyDescent="0.35">
      <c r="A14" s="95" t="s">
        <v>134</v>
      </c>
      <c r="B14" s="256">
        <f t="shared" si="0"/>
        <v>18</v>
      </c>
      <c r="C14" s="255">
        <f t="shared" si="1"/>
        <v>0.62079729898878888</v>
      </c>
      <c r="D14" s="246">
        <f t="shared" si="2"/>
        <v>7.9134756168883963E-2</v>
      </c>
      <c r="E14" s="262">
        <f t="shared" si="3"/>
        <v>0.70175438596491224</v>
      </c>
      <c r="F14" s="266">
        <f t="shared" si="4"/>
        <v>-1</v>
      </c>
      <c r="G14" s="263" t="s">
        <v>248</v>
      </c>
      <c r="H14" s="232"/>
      <c r="I14" s="248"/>
      <c r="J14" s="445"/>
      <c r="K14" s="438"/>
      <c r="L14" s="249"/>
      <c r="M14" s="250"/>
      <c r="N14" s="250"/>
      <c r="O14" s="251"/>
      <c r="P14" s="43">
        <v>10</v>
      </c>
      <c r="Q14" s="295"/>
      <c r="R14" s="290">
        <v>1.605881606935162E-3</v>
      </c>
      <c r="S14" s="291">
        <v>7.9134756168883963E-2</v>
      </c>
      <c r="T14" s="43">
        <f t="shared" si="5"/>
        <v>18</v>
      </c>
      <c r="U14" s="240"/>
      <c r="V14" s="240"/>
      <c r="W14" s="240"/>
      <c r="X14" s="240"/>
      <c r="Y14" s="240"/>
      <c r="Z14" s="240"/>
      <c r="AA14" s="240"/>
      <c r="AB14" s="240"/>
    </row>
    <row r="15" spans="1:28" x14ac:dyDescent="0.35">
      <c r="A15" s="214" t="s">
        <v>148</v>
      </c>
      <c r="B15" s="256">
        <f t="shared" si="0"/>
        <v>37</v>
      </c>
      <c r="C15" s="255">
        <f t="shared" si="1"/>
        <v>5.0850714828280338E-2</v>
      </c>
      <c r="D15" s="246">
        <f t="shared" si="2"/>
        <v>6.4820818735908973E-3</v>
      </c>
      <c r="E15" s="262">
        <f t="shared" si="3"/>
        <v>0.36842105263157893</v>
      </c>
      <c r="F15" s="266">
        <f t="shared" si="4"/>
        <v>0</v>
      </c>
      <c r="G15" s="263" t="s">
        <v>247</v>
      </c>
      <c r="H15" s="233"/>
      <c r="I15" s="248"/>
      <c r="J15" s="445"/>
      <c r="K15" s="438"/>
      <c r="L15" s="249"/>
      <c r="M15" s="250"/>
      <c r="N15" s="250"/>
      <c r="O15" s="251"/>
      <c r="P15" s="43">
        <v>26</v>
      </c>
      <c r="Q15" s="295"/>
      <c r="R15" s="290">
        <v>1.3154088746078008E-4</v>
      </c>
      <c r="S15" s="291">
        <v>6.4820818735908973E-3</v>
      </c>
      <c r="T15" s="43">
        <f t="shared" si="5"/>
        <v>37</v>
      </c>
      <c r="U15" s="240"/>
      <c r="V15" s="240"/>
      <c r="W15" s="240"/>
      <c r="X15" s="240"/>
      <c r="Y15" s="240"/>
      <c r="Z15" s="240"/>
      <c r="AA15" s="240"/>
      <c r="AB15" s="240"/>
    </row>
    <row r="16" spans="1:28" x14ac:dyDescent="0.35">
      <c r="A16" s="214" t="s">
        <v>9</v>
      </c>
      <c r="B16" s="256">
        <f t="shared" si="0"/>
        <v>36</v>
      </c>
      <c r="C16" s="255">
        <f t="shared" si="1"/>
        <v>5.7653101335499175E-2</v>
      </c>
      <c r="D16" s="246">
        <f t="shared" si="2"/>
        <v>7.3492009775111451E-3</v>
      </c>
      <c r="E16" s="262">
        <f t="shared" si="3"/>
        <v>0.38596491228070173</v>
      </c>
      <c r="F16" s="266">
        <f t="shared" si="4"/>
        <v>0</v>
      </c>
      <c r="G16" s="264" t="s">
        <v>269</v>
      </c>
      <c r="H16" s="232"/>
      <c r="I16" s="248"/>
      <c r="J16" s="445"/>
      <c r="K16" s="438"/>
      <c r="L16" s="249"/>
      <c r="M16" s="250"/>
      <c r="N16" s="250"/>
      <c r="O16" s="251"/>
      <c r="P16" s="43">
        <v>16</v>
      </c>
      <c r="Q16" s="295"/>
      <c r="R16" s="290">
        <v>1.4913733543663366E-4</v>
      </c>
      <c r="S16" s="291">
        <v>7.3492009775111451E-3</v>
      </c>
      <c r="T16" s="43">
        <f t="shared" si="5"/>
        <v>36</v>
      </c>
      <c r="U16" s="240"/>
      <c r="V16" s="240"/>
      <c r="W16" s="240"/>
      <c r="X16" s="240"/>
      <c r="Y16" s="240"/>
      <c r="Z16" s="240"/>
      <c r="AA16" s="240"/>
      <c r="AB16" s="240"/>
    </row>
    <row r="17" spans="1:28" x14ac:dyDescent="0.35">
      <c r="A17" s="95" t="s">
        <v>129</v>
      </c>
      <c r="B17" s="256">
        <f t="shared" si="0"/>
        <v>13</v>
      </c>
      <c r="C17" s="255">
        <f t="shared" si="1"/>
        <v>0.92005386026752833</v>
      </c>
      <c r="D17" s="246">
        <f t="shared" si="2"/>
        <v>0.11728182131769577</v>
      </c>
      <c r="E17" s="262">
        <f t="shared" si="3"/>
        <v>0.77192982456140347</v>
      </c>
      <c r="F17" s="266">
        <f t="shared" si="4"/>
        <v>-1</v>
      </c>
      <c r="G17" s="263" t="s">
        <v>245</v>
      </c>
      <c r="H17" s="232"/>
      <c r="I17" s="386"/>
      <c r="J17" s="445"/>
      <c r="K17" s="439"/>
      <c r="L17" s="249"/>
      <c r="M17" s="250"/>
      <c r="N17" s="250"/>
      <c r="O17" s="251"/>
      <c r="P17" s="43">
        <v>13</v>
      </c>
      <c r="Q17" s="295"/>
      <c r="R17" s="290">
        <v>2.3800000000000002E-3</v>
      </c>
      <c r="S17" s="291">
        <v>0.11728182131769577</v>
      </c>
      <c r="T17" s="43">
        <f t="shared" si="5"/>
        <v>13</v>
      </c>
      <c r="U17" s="240"/>
      <c r="V17" s="240"/>
      <c r="W17" s="240"/>
      <c r="X17" s="240"/>
      <c r="Y17" s="240"/>
      <c r="Z17" s="240"/>
      <c r="AA17" s="240"/>
      <c r="AB17" s="240"/>
    </row>
    <row r="18" spans="1:28" x14ac:dyDescent="0.35">
      <c r="A18" s="95" t="s">
        <v>18</v>
      </c>
      <c r="B18" s="256">
        <f t="shared" si="0"/>
        <v>22</v>
      </c>
      <c r="C18" s="255">
        <f t="shared" si="1"/>
        <v>0.31184269958621463</v>
      </c>
      <c r="D18" s="246">
        <f t="shared" si="2"/>
        <v>3.9751455160965975E-2</v>
      </c>
      <c r="E18" s="262">
        <f t="shared" si="3"/>
        <v>0.63157894736842102</v>
      </c>
      <c r="F18" s="266">
        <f t="shared" si="4"/>
        <v>0</v>
      </c>
      <c r="G18" s="263" t="s">
        <v>216</v>
      </c>
      <c r="H18" s="232"/>
      <c r="I18" s="248"/>
      <c r="J18" s="445"/>
      <c r="K18" s="438"/>
      <c r="L18" s="249"/>
      <c r="M18" s="250"/>
      <c r="N18" s="250"/>
      <c r="O18" s="251"/>
      <c r="P18" s="43">
        <v>29</v>
      </c>
      <c r="Q18" s="295"/>
      <c r="R18" s="290">
        <v>8.0667627958148263E-4</v>
      </c>
      <c r="S18" s="291">
        <v>3.9751455160965975E-2</v>
      </c>
      <c r="T18" s="43">
        <f t="shared" si="5"/>
        <v>22</v>
      </c>
      <c r="U18" s="240"/>
      <c r="V18" s="240"/>
      <c r="W18" s="240"/>
      <c r="X18" s="240"/>
      <c r="Y18" s="240"/>
      <c r="Z18" s="240"/>
      <c r="AA18" s="240"/>
      <c r="AB18" s="240"/>
    </row>
    <row r="19" spans="1:28" x14ac:dyDescent="0.35">
      <c r="A19" s="95" t="s">
        <v>140</v>
      </c>
      <c r="B19" s="256">
        <f t="shared" si="0"/>
        <v>15</v>
      </c>
      <c r="C19" s="255">
        <f t="shared" si="1"/>
        <v>0.86448894818378907</v>
      </c>
      <c r="D19" s="246">
        <f t="shared" si="2"/>
        <v>0.11019880762473254</v>
      </c>
      <c r="E19" s="262">
        <f t="shared" si="3"/>
        <v>0.75438596491228072</v>
      </c>
      <c r="F19" s="266">
        <f t="shared" si="4"/>
        <v>-1</v>
      </c>
      <c r="G19" s="263" t="s">
        <v>248</v>
      </c>
      <c r="H19" s="232"/>
      <c r="I19" s="248"/>
      <c r="J19" s="445"/>
      <c r="K19" s="438"/>
      <c r="L19" s="249"/>
      <c r="M19" s="250"/>
      <c r="N19" s="250"/>
      <c r="O19" s="251"/>
      <c r="P19" s="43">
        <v>8</v>
      </c>
      <c r="Q19" s="295"/>
      <c r="R19" s="290">
        <v>2.2362644031286975E-3</v>
      </c>
      <c r="S19" s="291">
        <v>0.11019880762473254</v>
      </c>
      <c r="T19" s="43">
        <f t="shared" si="5"/>
        <v>15</v>
      </c>
      <c r="U19" s="240"/>
      <c r="V19" s="240"/>
      <c r="W19" s="240"/>
      <c r="X19" s="240"/>
      <c r="Y19" s="240"/>
      <c r="Z19" s="240"/>
      <c r="AA19" s="240"/>
      <c r="AB19" s="240"/>
    </row>
    <row r="20" spans="1:28" x14ac:dyDescent="0.35">
      <c r="A20" s="214" t="s">
        <v>143</v>
      </c>
      <c r="B20" s="256">
        <f t="shared" si="0"/>
        <v>44</v>
      </c>
      <c r="C20" s="255">
        <f t="shared" si="1"/>
        <v>2.5147486999930024E-2</v>
      </c>
      <c r="D20" s="246">
        <f t="shared" si="2"/>
        <v>3.2056200232204626E-3</v>
      </c>
      <c r="E20" s="262">
        <f t="shared" si="3"/>
        <v>0.24561403508771928</v>
      </c>
      <c r="F20" s="266">
        <f t="shared" si="4"/>
        <v>1</v>
      </c>
      <c r="G20" s="263" t="s">
        <v>248</v>
      </c>
      <c r="H20" s="231"/>
      <c r="I20" s="248"/>
      <c r="J20" s="445"/>
      <c r="K20" s="438"/>
      <c r="L20" s="249"/>
      <c r="M20" s="250"/>
      <c r="N20" s="250"/>
      <c r="O20" s="251"/>
      <c r="P20" s="43">
        <v>23</v>
      </c>
      <c r="Q20" s="295"/>
      <c r="R20" s="290">
        <v>6.5051647131212845E-5</v>
      </c>
      <c r="S20" s="291">
        <v>3.2056200232204626E-3</v>
      </c>
      <c r="T20" s="43">
        <f t="shared" si="5"/>
        <v>44</v>
      </c>
      <c r="U20" s="240"/>
      <c r="V20" s="240"/>
      <c r="W20" s="240"/>
      <c r="X20" s="240"/>
      <c r="Y20" s="240"/>
      <c r="Z20" s="240"/>
      <c r="AA20" s="240"/>
      <c r="AB20" s="240"/>
    </row>
    <row r="21" spans="1:28" x14ac:dyDescent="0.35">
      <c r="A21" s="214" t="s">
        <v>149</v>
      </c>
      <c r="B21" s="256">
        <f t="shared" si="0"/>
        <v>33</v>
      </c>
      <c r="C21" s="255">
        <f t="shared" si="1"/>
        <v>7.3159703340184262E-2</v>
      </c>
      <c r="D21" s="246">
        <f t="shared" si="2"/>
        <v>9.3258706096882044E-3</v>
      </c>
      <c r="E21" s="262">
        <f t="shared" si="3"/>
        <v>0.43859649122807015</v>
      </c>
      <c r="F21" s="266">
        <f t="shared" si="4"/>
        <v>0</v>
      </c>
      <c r="G21" s="263" t="s">
        <v>247</v>
      </c>
      <c r="H21" s="231"/>
      <c r="I21" s="248"/>
      <c r="J21" s="445"/>
      <c r="K21" s="438"/>
      <c r="L21" s="249"/>
      <c r="M21" s="250"/>
      <c r="N21" s="250"/>
      <c r="O21" s="251"/>
      <c r="P21" s="43">
        <v>22</v>
      </c>
      <c r="Q21" s="295"/>
      <c r="R21" s="290">
        <v>1.8924989228240273E-4</v>
      </c>
      <c r="S21" s="291">
        <v>9.3258706096882044E-3</v>
      </c>
      <c r="T21" s="43">
        <f t="shared" si="5"/>
        <v>33</v>
      </c>
      <c r="U21" s="240"/>
      <c r="V21" s="240"/>
      <c r="W21" s="240"/>
      <c r="X21" s="240"/>
      <c r="Y21" s="240"/>
      <c r="Z21" s="240"/>
      <c r="AA21" s="240"/>
      <c r="AB21" s="240"/>
    </row>
    <row r="22" spans="1:28" x14ac:dyDescent="0.35">
      <c r="A22" s="95" t="s">
        <v>132</v>
      </c>
      <c r="B22" s="256">
        <f t="shared" si="0"/>
        <v>47</v>
      </c>
      <c r="C22" s="255">
        <f t="shared" si="1"/>
        <v>1.3897102339716586E-2</v>
      </c>
      <c r="D22" s="246">
        <f t="shared" si="2"/>
        <v>1.7715022389737547E-3</v>
      </c>
      <c r="E22" s="262">
        <f t="shared" si="3"/>
        <v>0.19298245614035087</v>
      </c>
      <c r="F22" s="266">
        <f t="shared" si="4"/>
        <v>1</v>
      </c>
      <c r="G22" s="263" t="s">
        <v>247</v>
      </c>
      <c r="H22" s="247"/>
      <c r="I22" s="248"/>
      <c r="J22" s="445"/>
      <c r="K22" s="438"/>
      <c r="L22" s="249"/>
      <c r="M22" s="250"/>
      <c r="N22" s="250"/>
      <c r="O22" s="251"/>
      <c r="P22" s="43">
        <v>39</v>
      </c>
      <c r="Q22" s="295"/>
      <c r="R22" s="290">
        <v>3.5949094935494407E-5</v>
      </c>
      <c r="S22" s="291">
        <v>1.7715022389737547E-3</v>
      </c>
      <c r="T22" s="43">
        <f t="shared" si="5"/>
        <v>47</v>
      </c>
      <c r="U22" s="240"/>
      <c r="V22" s="240"/>
      <c r="W22" s="240"/>
      <c r="X22" s="240"/>
      <c r="Y22" s="240"/>
      <c r="Z22" s="240"/>
      <c r="AA22" s="240"/>
      <c r="AB22" s="240"/>
    </row>
    <row r="23" spans="1:28" x14ac:dyDescent="0.35">
      <c r="A23" s="95" t="s">
        <v>16</v>
      </c>
      <c r="B23" s="256">
        <f t="shared" si="0"/>
        <v>25</v>
      </c>
      <c r="C23" s="255">
        <f t="shared" si="1"/>
        <v>0.26928269089203882</v>
      </c>
      <c r="D23" s="246">
        <f t="shared" si="2"/>
        <v>3.4326212628427173E-2</v>
      </c>
      <c r="E23" s="262">
        <f t="shared" si="3"/>
        <v>0.57894736842105265</v>
      </c>
      <c r="F23" s="266">
        <f t="shared" si="4"/>
        <v>0</v>
      </c>
      <c r="G23" s="263" t="s">
        <v>244</v>
      </c>
      <c r="H23" s="232"/>
      <c r="I23" s="248"/>
      <c r="J23" s="445"/>
      <c r="K23" s="440"/>
      <c r="L23" s="249"/>
      <c r="M23" s="253"/>
      <c r="N23" s="253"/>
      <c r="O23" s="254"/>
      <c r="P23" s="43">
        <v>50</v>
      </c>
      <c r="Q23" s="295"/>
      <c r="R23" s="290">
        <v>6.9658183286867262E-4</v>
      </c>
      <c r="S23" s="291">
        <v>3.4326212628427173E-2</v>
      </c>
      <c r="T23" s="43">
        <f t="shared" si="5"/>
        <v>25</v>
      </c>
      <c r="U23" s="240"/>
      <c r="V23" s="240"/>
      <c r="W23" s="240"/>
      <c r="X23" s="240"/>
      <c r="Y23" s="240"/>
      <c r="Z23" s="240"/>
      <c r="AA23" s="240"/>
      <c r="AB23" s="240"/>
    </row>
    <row r="24" spans="1:28" x14ac:dyDescent="0.35">
      <c r="A24" s="95" t="s">
        <v>6</v>
      </c>
      <c r="B24" s="256">
        <f t="shared" si="0"/>
        <v>1</v>
      </c>
      <c r="C24" s="255">
        <f t="shared" si="1"/>
        <v>10</v>
      </c>
      <c r="D24" s="246">
        <f t="shared" si="2"/>
        <v>1.2747277782584727</v>
      </c>
      <c r="E24" s="262">
        <f t="shared" si="3"/>
        <v>1</v>
      </c>
      <c r="F24" s="266">
        <f t="shared" si="4"/>
        <v>-1</v>
      </c>
      <c r="G24" s="263" t="s">
        <v>249</v>
      </c>
      <c r="H24" s="232"/>
      <c r="I24" s="248"/>
      <c r="J24" s="445"/>
      <c r="K24" s="438"/>
      <c r="L24" s="249"/>
      <c r="M24" s="250"/>
      <c r="N24" s="250"/>
      <c r="O24" s="251"/>
      <c r="P24" s="43">
        <v>19</v>
      </c>
      <c r="Q24" s="295"/>
      <c r="R24" s="290">
        <v>2.586805080419919E-2</v>
      </c>
      <c r="S24" s="291">
        <v>1.2747277782584727</v>
      </c>
      <c r="T24" s="43">
        <f t="shared" si="5"/>
        <v>1</v>
      </c>
      <c r="U24" s="240"/>
      <c r="V24" s="240"/>
      <c r="W24" s="240"/>
      <c r="X24" s="240"/>
      <c r="Y24" s="240"/>
      <c r="Z24" s="240"/>
      <c r="AA24" s="240"/>
      <c r="AB24" s="240"/>
    </row>
    <row r="25" spans="1:28" x14ac:dyDescent="0.35">
      <c r="A25" s="95" t="s">
        <v>20</v>
      </c>
      <c r="B25" s="256">
        <f t="shared" si="0"/>
        <v>8</v>
      </c>
      <c r="C25" s="255">
        <f t="shared" si="1"/>
        <v>1.206086350838296</v>
      </c>
      <c r="D25" s="246">
        <f t="shared" si="2"/>
        <v>0.15374317743919699</v>
      </c>
      <c r="E25" s="262">
        <f t="shared" si="3"/>
        <v>0.8771929824561403</v>
      </c>
      <c r="F25" s="266">
        <f t="shared" si="4"/>
        <v>-1</v>
      </c>
      <c r="G25" s="263" t="s">
        <v>249</v>
      </c>
      <c r="H25" s="232"/>
      <c r="I25" s="248"/>
      <c r="J25" s="445"/>
      <c r="K25" s="438"/>
      <c r="L25" s="249"/>
      <c r="M25" s="250"/>
      <c r="N25" s="250"/>
      <c r="O25" s="251"/>
      <c r="P25" s="43">
        <v>34</v>
      </c>
      <c r="Q25" s="295"/>
      <c r="R25" s="290">
        <v>3.1199102997736244E-3</v>
      </c>
      <c r="S25" s="291">
        <v>0.15374317743919699</v>
      </c>
      <c r="T25" s="43">
        <f t="shared" si="5"/>
        <v>8</v>
      </c>
      <c r="U25" s="240"/>
      <c r="V25" s="240"/>
      <c r="W25" s="240"/>
      <c r="X25" s="240"/>
      <c r="Y25" s="240"/>
      <c r="Z25" s="240"/>
      <c r="AA25" s="240"/>
      <c r="AB25" s="240"/>
    </row>
    <row r="26" spans="1:28" x14ac:dyDescent="0.35">
      <c r="A26" s="214" t="s">
        <v>150</v>
      </c>
      <c r="B26" s="256">
        <f t="shared" si="0"/>
        <v>48</v>
      </c>
      <c r="C26" s="255">
        <f t="shared" si="1"/>
        <v>1.1904023455835133E-2</v>
      </c>
      <c r="D26" s="246">
        <f t="shared" si="2"/>
        <v>1.5174389372193467E-3</v>
      </c>
      <c r="E26" s="262">
        <f t="shared" si="3"/>
        <v>0.17543859649122806</v>
      </c>
      <c r="F26" s="266">
        <f t="shared" si="4"/>
        <v>1</v>
      </c>
      <c r="G26" s="264" t="s">
        <v>248</v>
      </c>
      <c r="H26" s="231"/>
      <c r="I26" s="248"/>
      <c r="J26" s="445"/>
      <c r="K26" s="438"/>
      <c r="L26" s="249"/>
      <c r="M26" s="250"/>
      <c r="N26" s="250"/>
      <c r="O26" s="251"/>
      <c r="P26" s="43">
        <v>30</v>
      </c>
      <c r="Q26" s="295"/>
      <c r="R26" s="290">
        <v>3.0793388352992202E-5</v>
      </c>
      <c r="S26" s="291">
        <v>1.5174389372193467E-3</v>
      </c>
      <c r="T26" s="43">
        <f t="shared" si="5"/>
        <v>48</v>
      </c>
      <c r="U26" s="240"/>
      <c r="V26" s="240"/>
      <c r="W26" s="240"/>
      <c r="X26" s="240"/>
      <c r="Y26" s="240"/>
      <c r="Z26" s="240"/>
      <c r="AA26" s="240"/>
      <c r="AB26" s="240"/>
    </row>
    <row r="27" spans="1:28" x14ac:dyDescent="0.35">
      <c r="A27" s="214" t="s">
        <v>33</v>
      </c>
      <c r="B27" s="256">
        <f t="shared" si="0"/>
        <v>52</v>
      </c>
      <c r="C27" s="255">
        <f t="shared" si="1"/>
        <v>5.1504419569717366E-3</v>
      </c>
      <c r="D27" s="246">
        <f t="shared" si="2"/>
        <v>6.5654114328598016E-4</v>
      </c>
      <c r="E27" s="262">
        <f t="shared" si="3"/>
        <v>0.10526315789473684</v>
      </c>
      <c r="F27" s="266">
        <f t="shared" si="4"/>
        <v>1</v>
      </c>
      <c r="G27" s="264" t="s">
        <v>249</v>
      </c>
      <c r="H27" s="231"/>
      <c r="I27" s="248"/>
      <c r="J27" s="445"/>
      <c r="K27" s="438"/>
      <c r="L27" s="249"/>
      <c r="M27" s="250"/>
      <c r="N27" s="250"/>
      <c r="O27" s="251"/>
      <c r="P27" s="43">
        <v>48</v>
      </c>
      <c r="Q27" s="295"/>
      <c r="R27" s="290">
        <v>1.3323189420702396E-5</v>
      </c>
      <c r="S27" s="291">
        <v>6.5654114328598016E-4</v>
      </c>
      <c r="T27" s="43">
        <f t="shared" si="5"/>
        <v>52</v>
      </c>
      <c r="U27" s="240"/>
      <c r="V27" s="240"/>
      <c r="W27" s="240"/>
      <c r="X27" s="240"/>
      <c r="Y27" s="240"/>
      <c r="Z27" s="240"/>
      <c r="AA27" s="240"/>
      <c r="AB27" s="240"/>
    </row>
    <row r="28" spans="1:28" x14ac:dyDescent="0.35">
      <c r="A28" s="214" t="s">
        <v>476</v>
      </c>
      <c r="B28" s="256">
        <f t="shared" si="0"/>
        <v>31</v>
      </c>
      <c r="C28" s="255">
        <f t="shared" si="1"/>
        <v>8.8120791787908048E-2</v>
      </c>
      <c r="D28" s="246">
        <f t="shared" si="2"/>
        <v>1.123300211341775E-2</v>
      </c>
      <c r="E28" s="262">
        <f t="shared" si="3"/>
        <v>0.47368421052631576</v>
      </c>
      <c r="F28" s="266">
        <f t="shared" si="4"/>
        <v>0</v>
      </c>
      <c r="G28" s="263" t="s">
        <v>248</v>
      </c>
      <c r="H28" s="231"/>
      <c r="I28" s="248"/>
      <c r="J28" s="445"/>
      <c r="K28" s="438"/>
      <c r="L28" s="249"/>
      <c r="M28" s="250"/>
      <c r="N28" s="250"/>
      <c r="O28" s="251"/>
      <c r="P28" s="43">
        <v>17</v>
      </c>
      <c r="Q28" s="295"/>
      <c r="R28" s="290">
        <v>2.279513118875864E-4</v>
      </c>
      <c r="S28" s="291">
        <v>1.123300211341775E-2</v>
      </c>
      <c r="T28" s="43">
        <f t="shared" si="5"/>
        <v>31</v>
      </c>
      <c r="U28" s="240"/>
      <c r="V28" s="240"/>
      <c r="W28" s="240"/>
      <c r="X28" s="240"/>
      <c r="Y28" s="240"/>
      <c r="Z28" s="240"/>
      <c r="AA28" s="240"/>
      <c r="AB28" s="240"/>
    </row>
    <row r="29" spans="1:28" x14ac:dyDescent="0.35">
      <c r="A29" s="214" t="s">
        <v>151</v>
      </c>
      <c r="B29" s="256">
        <f t="shared" si="0"/>
        <v>46</v>
      </c>
      <c r="C29" s="255">
        <f t="shared" si="1"/>
        <v>1.7097223263660484E-2</v>
      </c>
      <c r="D29" s="246">
        <f t="shared" si="2"/>
        <v>2.1794305425274999E-3</v>
      </c>
      <c r="E29" s="262">
        <f t="shared" si="3"/>
        <v>0.21052631578947367</v>
      </c>
      <c r="F29" s="266">
        <f t="shared" si="4"/>
        <v>1</v>
      </c>
      <c r="G29" s="264" t="s">
        <v>247</v>
      </c>
      <c r="H29" s="234"/>
      <c r="I29" s="248"/>
      <c r="J29" s="445"/>
      <c r="K29" s="438"/>
      <c r="L29" s="249"/>
      <c r="M29" s="250"/>
      <c r="N29" s="250"/>
      <c r="O29" s="251"/>
      <c r="P29" s="43">
        <v>35</v>
      </c>
      <c r="Q29" s="295"/>
      <c r="R29" s="290">
        <v>4.4227183999510556E-5</v>
      </c>
      <c r="S29" s="291">
        <v>2.1794305425274999E-3</v>
      </c>
      <c r="T29" s="43">
        <f t="shared" si="5"/>
        <v>46</v>
      </c>
      <c r="U29" s="240"/>
      <c r="V29" s="240"/>
      <c r="W29" s="240"/>
      <c r="X29" s="240"/>
      <c r="Y29" s="240"/>
      <c r="Z29" s="240"/>
      <c r="AA29" s="240"/>
      <c r="AB29" s="240"/>
    </row>
    <row r="30" spans="1:28" x14ac:dyDescent="0.35">
      <c r="A30" s="214" t="s">
        <v>144</v>
      </c>
      <c r="B30" s="256">
        <f t="shared" si="0"/>
        <v>42</v>
      </c>
      <c r="C30" s="255">
        <f t="shared" si="1"/>
        <v>2.7659393332926802E-2</v>
      </c>
      <c r="D30" s="246">
        <f t="shared" si="2"/>
        <v>3.5258197011258994E-3</v>
      </c>
      <c r="E30" s="262">
        <f t="shared" si="3"/>
        <v>0.2807017543859649</v>
      </c>
      <c r="F30" s="266">
        <f t="shared" si="4"/>
        <v>1</v>
      </c>
      <c r="G30" s="263" t="s">
        <v>247</v>
      </c>
      <c r="H30" s="234"/>
      <c r="I30" s="248"/>
      <c r="J30" s="445"/>
      <c r="K30" s="438"/>
      <c r="L30" s="249"/>
      <c r="M30" s="250"/>
      <c r="N30" s="250"/>
      <c r="O30" s="251"/>
      <c r="P30" s="43">
        <v>32</v>
      </c>
      <c r="Q30" s="295"/>
      <c r="R30" s="290">
        <v>7.1549459194947883E-5</v>
      </c>
      <c r="S30" s="291">
        <v>3.5258197011258994E-3</v>
      </c>
      <c r="T30" s="43">
        <f t="shared" si="5"/>
        <v>42</v>
      </c>
      <c r="U30" s="240"/>
      <c r="V30" s="240"/>
      <c r="W30" s="240"/>
      <c r="X30" s="240"/>
      <c r="Y30" s="240"/>
      <c r="Z30" s="240"/>
      <c r="AA30" s="240"/>
      <c r="AB30" s="240"/>
    </row>
    <row r="31" spans="1:28" x14ac:dyDescent="0.35">
      <c r="A31" s="214" t="s">
        <v>145</v>
      </c>
      <c r="B31" s="256">
        <f t="shared" si="0"/>
        <v>20</v>
      </c>
      <c r="C31" s="255">
        <f t="shared" si="1"/>
        <v>0.45618572044541528</v>
      </c>
      <c r="D31" s="246">
        <f t="shared" si="2"/>
        <v>5.8151260989662494E-2</v>
      </c>
      <c r="E31" s="262">
        <f t="shared" si="3"/>
        <v>0.66666666666666663</v>
      </c>
      <c r="F31" s="266">
        <f t="shared" si="4"/>
        <v>-1</v>
      </c>
      <c r="G31" s="263" t="s">
        <v>145</v>
      </c>
      <c r="H31" s="234"/>
      <c r="I31" s="248"/>
      <c r="J31" s="445"/>
      <c r="K31" s="438"/>
      <c r="L31" s="249"/>
      <c r="M31" s="250"/>
      <c r="N31" s="250"/>
      <c r="O31" s="251"/>
      <c r="P31" s="43">
        <v>28</v>
      </c>
      <c r="Q31" s="295"/>
      <c r="R31" s="290">
        <v>1.180063539263221E-3</v>
      </c>
      <c r="S31" s="291">
        <v>5.8151260989662494E-2</v>
      </c>
      <c r="T31" s="43">
        <f t="shared" si="5"/>
        <v>20</v>
      </c>
      <c r="U31" s="240"/>
      <c r="V31" s="240"/>
      <c r="W31" s="240"/>
      <c r="X31" s="240"/>
      <c r="Y31" s="240"/>
      <c r="Z31" s="240"/>
      <c r="AA31" s="240"/>
      <c r="AB31" s="240"/>
    </row>
    <row r="32" spans="1:28" x14ac:dyDescent="0.35">
      <c r="A32" s="214" t="s">
        <v>152</v>
      </c>
      <c r="B32" s="256">
        <f t="shared" si="0"/>
        <v>53</v>
      </c>
      <c r="C32" s="255">
        <f t="shared" si="1"/>
        <v>4.9988594658231791E-3</v>
      </c>
      <c r="D32" s="246">
        <f t="shared" si="2"/>
        <v>6.3721850206951167E-4</v>
      </c>
      <c r="E32" s="262">
        <f t="shared" si="3"/>
        <v>8.771929824561403E-2</v>
      </c>
      <c r="F32" s="266">
        <f t="shared" si="4"/>
        <v>1</v>
      </c>
      <c r="G32" s="264" t="s">
        <v>248</v>
      </c>
      <c r="H32" s="231"/>
      <c r="I32" s="248"/>
      <c r="J32" s="445"/>
      <c r="K32" s="438"/>
      <c r="L32" s="249"/>
      <c r="M32" s="250"/>
      <c r="N32" s="250"/>
      <c r="O32" s="251"/>
      <c r="P32" s="43">
        <v>37</v>
      </c>
      <c r="Q32" s="295"/>
      <c r="R32" s="290">
        <v>1.2931075062496602E-5</v>
      </c>
      <c r="S32" s="291">
        <v>6.3721850206951167E-4</v>
      </c>
      <c r="T32" s="43">
        <f t="shared" si="5"/>
        <v>53</v>
      </c>
      <c r="U32" s="240"/>
      <c r="V32" s="240"/>
      <c r="W32" s="240"/>
      <c r="X32" s="240"/>
      <c r="Y32" s="240"/>
      <c r="Z32" s="240"/>
      <c r="AA32" s="240"/>
      <c r="AB32" s="240"/>
    </row>
    <row r="33" spans="1:28" x14ac:dyDescent="0.35">
      <c r="A33" s="214" t="s">
        <v>356</v>
      </c>
      <c r="B33" s="256">
        <f t="shared" si="0"/>
        <v>39</v>
      </c>
      <c r="C33" s="255">
        <f t="shared" si="1"/>
        <v>3.3721744248822502E-2</v>
      </c>
      <c r="D33" s="246">
        <f t="shared" si="2"/>
        <v>4.2986044125301942E-3</v>
      </c>
      <c r="E33" s="262">
        <f t="shared" si="3"/>
        <v>0.33333333333333331</v>
      </c>
      <c r="F33" s="266">
        <f t="shared" si="4"/>
        <v>1</v>
      </c>
      <c r="G33" s="263" t="s">
        <v>247</v>
      </c>
      <c r="H33" s="231"/>
      <c r="I33" s="248"/>
      <c r="J33" s="445"/>
      <c r="K33" s="438"/>
      <c r="L33" s="249"/>
      <c r="M33" s="250"/>
      <c r="N33" s="250"/>
      <c r="O33" s="251"/>
      <c r="P33" s="43">
        <v>31</v>
      </c>
      <c r="Q33" s="295"/>
      <c r="R33" s="290">
        <v>8.7231579343475231E-5</v>
      </c>
      <c r="S33" s="291">
        <v>4.2986044125301942E-3</v>
      </c>
      <c r="T33" s="43">
        <f t="shared" si="5"/>
        <v>39</v>
      </c>
      <c r="U33" s="240"/>
      <c r="V33" s="240"/>
      <c r="W33" s="240"/>
      <c r="X33" s="240"/>
      <c r="Y33" s="240"/>
      <c r="Z33" s="240"/>
      <c r="AA33" s="240"/>
      <c r="AB33" s="240"/>
    </row>
    <row r="34" spans="1:28" x14ac:dyDescent="0.35">
      <c r="A34" s="214" t="s">
        <v>337</v>
      </c>
      <c r="B34" s="256">
        <f t="shared" si="0"/>
        <v>57</v>
      </c>
      <c r="C34" s="255">
        <f t="shared" si="1"/>
        <v>2.5525290011724341E-6</v>
      </c>
      <c r="D34" s="246">
        <f t="shared" si="2"/>
        <v>3.2537796226048554E-7</v>
      </c>
      <c r="E34" s="262">
        <f t="shared" si="3"/>
        <v>1.7543859649122806E-2</v>
      </c>
      <c r="F34" s="266">
        <f t="shared" si="4"/>
        <v>1</v>
      </c>
      <c r="G34" s="263" t="s">
        <v>247</v>
      </c>
      <c r="H34" s="252"/>
      <c r="I34" s="248"/>
      <c r="J34" s="445"/>
      <c r="K34" s="438"/>
      <c r="L34" s="249"/>
      <c r="M34" s="250"/>
      <c r="N34" s="250"/>
      <c r="O34" s="251"/>
      <c r="P34" s="43">
        <v>49</v>
      </c>
      <c r="Q34" s="295"/>
      <c r="R34" s="290">
        <v>6.6028949881520333E-9</v>
      </c>
      <c r="S34" s="291">
        <v>3.2537796226048554E-7</v>
      </c>
      <c r="T34" s="43">
        <f t="shared" si="5"/>
        <v>57</v>
      </c>
      <c r="U34" s="240"/>
      <c r="V34" s="240"/>
      <c r="W34" s="240"/>
      <c r="X34" s="240"/>
      <c r="Y34" s="240"/>
      <c r="Z34" s="240"/>
      <c r="AA34" s="240"/>
      <c r="AB34" s="240"/>
    </row>
    <row r="35" spans="1:28" x14ac:dyDescent="0.35">
      <c r="A35" s="95" t="s">
        <v>128</v>
      </c>
      <c r="B35" s="256">
        <f t="shared" si="0"/>
        <v>11</v>
      </c>
      <c r="C35" s="255">
        <f t="shared" si="1"/>
        <v>1.107037654775856</v>
      </c>
      <c r="D35" s="246">
        <f t="shared" si="2"/>
        <v>0.14111716501208971</v>
      </c>
      <c r="E35" s="262">
        <f t="shared" si="3"/>
        <v>0.82456140350877194</v>
      </c>
      <c r="F35" s="266">
        <f t="shared" si="4"/>
        <v>-1</v>
      </c>
      <c r="G35" s="263" t="s">
        <v>127</v>
      </c>
      <c r="H35" s="232"/>
      <c r="I35" s="248"/>
      <c r="J35" s="445"/>
      <c r="K35" s="438"/>
      <c r="L35" s="249"/>
      <c r="M35" s="250"/>
      <c r="N35" s="250"/>
      <c r="O35" s="251"/>
      <c r="P35" s="43">
        <v>4</v>
      </c>
      <c r="Q35" s="295"/>
      <c r="R35" s="290">
        <v>2.8636906295903364E-3</v>
      </c>
      <c r="S35" s="291">
        <v>0.14111716501208971</v>
      </c>
      <c r="T35" s="43">
        <f t="shared" si="5"/>
        <v>11</v>
      </c>
      <c r="U35" s="240"/>
      <c r="V35" s="240"/>
      <c r="W35" s="240"/>
      <c r="X35" s="240"/>
      <c r="Y35" s="240"/>
      <c r="Z35" s="240"/>
      <c r="AA35" s="240"/>
      <c r="AB35" s="240"/>
    </row>
    <row r="36" spans="1:28" x14ac:dyDescent="0.35">
      <c r="A36" s="96" t="s">
        <v>141</v>
      </c>
      <c r="B36" s="256">
        <f t="shared" si="0"/>
        <v>12</v>
      </c>
      <c r="C36" s="255">
        <f t="shared" si="1"/>
        <v>1.0275665924678246</v>
      </c>
      <c r="D36" s="246">
        <f t="shared" si="2"/>
        <v>0.13098676794291395</v>
      </c>
      <c r="E36" s="262">
        <f t="shared" si="3"/>
        <v>0.80701754385964908</v>
      </c>
      <c r="F36" s="266">
        <f t="shared" si="4"/>
        <v>-1</v>
      </c>
      <c r="G36" s="263" t="s">
        <v>246</v>
      </c>
      <c r="H36" s="232"/>
      <c r="I36" s="248"/>
      <c r="J36" s="445"/>
      <c r="K36" s="438"/>
      <c r="L36" s="249"/>
      <c r="M36" s="250"/>
      <c r="N36" s="250"/>
      <c r="O36" s="251"/>
      <c r="P36" s="43">
        <v>5</v>
      </c>
      <c r="Q36" s="295"/>
      <c r="R36" s="290">
        <v>2.6581144818655527E-3</v>
      </c>
      <c r="S36" s="291">
        <v>0.13098676794291395</v>
      </c>
      <c r="T36" s="43">
        <f t="shared" si="5"/>
        <v>12</v>
      </c>
      <c r="U36" s="240"/>
      <c r="V36" s="240"/>
      <c r="W36" s="240"/>
      <c r="X36" s="240"/>
      <c r="Y36" s="240"/>
      <c r="Z36" s="240"/>
      <c r="AA36" s="240"/>
      <c r="AB36" s="240"/>
    </row>
    <row r="37" spans="1:28" x14ac:dyDescent="0.35">
      <c r="A37" s="95" t="s">
        <v>125</v>
      </c>
      <c r="B37" s="256">
        <f t="shared" si="0"/>
        <v>6</v>
      </c>
      <c r="C37" s="255">
        <f t="shared" si="1"/>
        <v>1.3023396130713438</v>
      </c>
      <c r="D37" s="246">
        <f t="shared" si="2"/>
        <v>0.1660128481508433</v>
      </c>
      <c r="E37" s="262">
        <f t="shared" si="3"/>
        <v>0.91228070175438591</v>
      </c>
      <c r="F37" s="266">
        <f t="shared" si="4"/>
        <v>-1</v>
      </c>
      <c r="G37" s="263" t="s">
        <v>125</v>
      </c>
      <c r="H37" s="232"/>
      <c r="I37" s="248"/>
      <c r="J37" s="445"/>
      <c r="K37" s="438"/>
      <c r="L37" s="249"/>
      <c r="M37" s="250"/>
      <c r="N37" s="250"/>
      <c r="O37" s="251"/>
      <c r="P37" s="43">
        <v>27</v>
      </c>
      <c r="Q37" s="295"/>
      <c r="R37" s="290">
        <v>3.3688987275250631E-3</v>
      </c>
      <c r="S37" s="291">
        <v>0.1660128481508433</v>
      </c>
      <c r="T37" s="43">
        <f t="shared" si="5"/>
        <v>6</v>
      </c>
      <c r="U37" s="240"/>
      <c r="V37" s="240"/>
      <c r="W37" s="240"/>
      <c r="X37" s="240"/>
      <c r="Y37" s="240"/>
      <c r="Z37" s="240"/>
      <c r="AA37" s="240"/>
      <c r="AB37" s="240"/>
    </row>
    <row r="38" spans="1:28" x14ac:dyDescent="0.35">
      <c r="A38" s="214" t="s">
        <v>153</v>
      </c>
      <c r="B38" s="256">
        <f t="shared" si="0"/>
        <v>35</v>
      </c>
      <c r="C38" s="255">
        <f t="shared" si="1"/>
        <v>6.3801257355281707E-2</v>
      </c>
      <c r="D38" s="246">
        <f t="shared" si="2"/>
        <v>8.132923503859529E-3</v>
      </c>
      <c r="E38" s="262">
        <f t="shared" si="3"/>
        <v>0.40350877192982454</v>
      </c>
      <c r="F38" s="266">
        <f t="shared" si="4"/>
        <v>0</v>
      </c>
      <c r="G38" s="264" t="s">
        <v>247</v>
      </c>
      <c r="H38" s="231"/>
      <c r="I38" s="248"/>
      <c r="J38" s="445"/>
      <c r="K38" s="438"/>
      <c r="L38" s="249"/>
      <c r="M38" s="250"/>
      <c r="N38" s="250"/>
      <c r="O38" s="251"/>
      <c r="P38" s="43">
        <v>24</v>
      </c>
      <c r="Q38" s="295"/>
      <c r="R38" s="290">
        <v>1.6504141666382141E-4</v>
      </c>
      <c r="S38" s="291">
        <v>8.132923503859529E-3</v>
      </c>
      <c r="T38" s="43">
        <f t="shared" si="5"/>
        <v>35</v>
      </c>
      <c r="U38" s="240"/>
      <c r="V38" s="240"/>
      <c r="W38" s="240"/>
      <c r="X38" s="240"/>
      <c r="Y38" s="240"/>
      <c r="Z38" s="240"/>
      <c r="AA38" s="240"/>
      <c r="AB38" s="240"/>
    </row>
    <row r="39" spans="1:28" x14ac:dyDescent="0.35">
      <c r="A39" s="95" t="s">
        <v>133</v>
      </c>
      <c r="B39" s="256">
        <f t="shared" ref="B39:B63" si="6">RANK(C39,C$7:C$63,0)</f>
        <v>13</v>
      </c>
      <c r="C39" s="255">
        <f t="shared" ref="C39:C63" si="7">D39/MAX($D$7:$D$63)*10</f>
        <v>0.92005386026752833</v>
      </c>
      <c r="D39" s="246">
        <f t="shared" ref="D39:D63" si="8">O39+S39</f>
        <v>0.11728182131769577</v>
      </c>
      <c r="E39" s="262">
        <f t="shared" ref="E39:E63" si="9">_xlfn.RANK.EQ(C39,$C$7:$C$63,1)/COUNT($C$7:$C$63)</f>
        <v>0.77192982456140347</v>
      </c>
      <c r="F39" s="266">
        <f t="shared" ref="F39:F63" si="10">IF(E39&gt;0.66,-1,IF(E39&lt;0.335,1,0))</f>
        <v>-1</v>
      </c>
      <c r="G39" s="263" t="s">
        <v>245</v>
      </c>
      <c r="H39" s="232"/>
      <c r="I39" s="386"/>
      <c r="J39" s="445"/>
      <c r="K39" s="439"/>
      <c r="L39" s="249"/>
      <c r="M39" s="250"/>
      <c r="N39" s="250"/>
      <c r="O39" s="251"/>
      <c r="P39" s="43">
        <v>13</v>
      </c>
      <c r="Q39" s="295"/>
      <c r="R39" s="290">
        <v>2.3800000000000002E-3</v>
      </c>
      <c r="S39" s="291">
        <v>0.11728182131769577</v>
      </c>
      <c r="T39" s="43">
        <f t="shared" si="5"/>
        <v>13</v>
      </c>
      <c r="U39" s="240"/>
      <c r="V39" s="240"/>
      <c r="W39" s="240"/>
      <c r="X39" s="240"/>
      <c r="Y39" s="240"/>
      <c r="Z39" s="240"/>
      <c r="AA39" s="240"/>
      <c r="AB39" s="240"/>
    </row>
    <row r="40" spans="1:28" x14ac:dyDescent="0.35">
      <c r="A40" s="95" t="s">
        <v>357</v>
      </c>
      <c r="B40" s="256">
        <f t="shared" si="6"/>
        <v>21</v>
      </c>
      <c r="C40" s="255">
        <f t="shared" si="7"/>
        <v>0.39382970027953296</v>
      </c>
      <c r="D40" s="246">
        <f t="shared" si="8"/>
        <v>5.0202565884952928E-2</v>
      </c>
      <c r="E40" s="262">
        <f t="shared" si="9"/>
        <v>0.64912280701754388</v>
      </c>
      <c r="F40" s="266">
        <f t="shared" si="10"/>
        <v>0</v>
      </c>
      <c r="G40" s="263" t="s">
        <v>250</v>
      </c>
      <c r="H40" s="235"/>
      <c r="I40" s="248"/>
      <c r="J40" s="445"/>
      <c r="K40" s="438"/>
      <c r="L40" s="249"/>
      <c r="M40" s="250"/>
      <c r="N40" s="250"/>
      <c r="O40" s="251"/>
      <c r="P40" s="43">
        <v>33</v>
      </c>
      <c r="Q40" s="295"/>
      <c r="R40" s="290">
        <v>1.0187606695033497E-3</v>
      </c>
      <c r="S40" s="291">
        <v>5.0202565884952928E-2</v>
      </c>
      <c r="T40" s="43">
        <f t="shared" si="5"/>
        <v>21</v>
      </c>
      <c r="U40" s="240"/>
      <c r="V40" s="240"/>
      <c r="W40" s="240"/>
      <c r="X40" s="240"/>
      <c r="Y40" s="240"/>
      <c r="Z40" s="240"/>
      <c r="AA40" s="240"/>
      <c r="AB40" s="240"/>
    </row>
    <row r="41" spans="1:28" x14ac:dyDescent="0.35">
      <c r="A41" s="214" t="s">
        <v>154</v>
      </c>
      <c r="B41" s="256">
        <f t="shared" si="6"/>
        <v>16</v>
      </c>
      <c r="C41" s="255">
        <f t="shared" si="7"/>
        <v>0.70649348101203724</v>
      </c>
      <c r="D41" s="246">
        <f t="shared" si="8"/>
        <v>9.0058686540456873E-2</v>
      </c>
      <c r="E41" s="262">
        <f t="shared" si="9"/>
        <v>0.73684210526315785</v>
      </c>
      <c r="F41" s="266">
        <f t="shared" si="10"/>
        <v>-1</v>
      </c>
      <c r="G41" s="263" t="s">
        <v>249</v>
      </c>
      <c r="H41" s="236"/>
      <c r="I41" s="248"/>
      <c r="J41" s="445"/>
      <c r="K41" s="438"/>
      <c r="L41" s="249"/>
      <c r="M41" s="250"/>
      <c r="N41" s="250"/>
      <c r="O41" s="251"/>
      <c r="P41" s="43">
        <v>40</v>
      </c>
      <c r="Q41" s="295"/>
      <c r="R41" s="290">
        <v>1.8275609259654916E-3</v>
      </c>
      <c r="S41" s="291">
        <v>9.0058686540456873E-2</v>
      </c>
      <c r="T41" s="43">
        <f t="shared" si="5"/>
        <v>16</v>
      </c>
      <c r="U41" s="240"/>
      <c r="V41" s="240"/>
      <c r="W41" s="240"/>
      <c r="X41" s="240"/>
      <c r="Y41" s="240"/>
      <c r="Z41" s="240"/>
      <c r="AA41" s="240"/>
      <c r="AB41" s="240"/>
    </row>
    <row r="42" spans="1:28" x14ac:dyDescent="0.35">
      <c r="A42" s="214" t="s">
        <v>341</v>
      </c>
      <c r="B42" s="256">
        <f t="shared" si="6"/>
        <v>4</v>
      </c>
      <c r="C42" s="255">
        <f t="shared" si="7"/>
        <v>2.5866399727490546</v>
      </c>
      <c r="D42" s="246">
        <f t="shared" si="8"/>
        <v>0.32972618256169589</v>
      </c>
      <c r="E42" s="262">
        <f t="shared" si="9"/>
        <v>0.94736842105263153</v>
      </c>
      <c r="F42" s="266">
        <f t="shared" si="10"/>
        <v>-1</v>
      </c>
      <c r="G42" s="263" t="s">
        <v>251</v>
      </c>
      <c r="H42" s="232"/>
      <c r="I42" s="248"/>
      <c r="J42" s="445"/>
      <c r="K42" s="438"/>
      <c r="L42" s="249"/>
      <c r="M42" s="250"/>
      <c r="N42" s="250"/>
      <c r="O42" s="251"/>
      <c r="P42" s="43">
        <v>1</v>
      </c>
      <c r="Q42" s="295"/>
      <c r="R42" s="290">
        <v>6.6911334227244953E-3</v>
      </c>
      <c r="S42" s="291">
        <v>0.32972618256169589</v>
      </c>
      <c r="T42" s="43">
        <f t="shared" ref="T42:T63" si="11">RANK(S42,S$7:S$63,0)</f>
        <v>4</v>
      </c>
      <c r="U42" s="240"/>
      <c r="V42" s="240"/>
      <c r="W42" s="240"/>
      <c r="X42" s="240"/>
      <c r="Y42" s="240"/>
      <c r="Z42" s="240"/>
      <c r="AA42" s="240"/>
      <c r="AB42" s="240"/>
    </row>
    <row r="43" spans="1:28" x14ac:dyDescent="0.35">
      <c r="A43" s="95" t="s">
        <v>7</v>
      </c>
      <c r="B43" s="256">
        <f t="shared" si="6"/>
        <v>23</v>
      </c>
      <c r="C43" s="255">
        <f t="shared" si="7"/>
        <v>0.31113207689752143</v>
      </c>
      <c r="D43" s="246">
        <f t="shared" si="8"/>
        <v>3.966087011285218E-2</v>
      </c>
      <c r="E43" s="262">
        <f t="shared" si="9"/>
        <v>0.61403508771929827</v>
      </c>
      <c r="F43" s="266">
        <f t="shared" si="10"/>
        <v>0</v>
      </c>
      <c r="G43" s="263" t="s">
        <v>7</v>
      </c>
      <c r="H43" s="232"/>
      <c r="I43" s="248"/>
      <c r="J43" s="445"/>
      <c r="K43" s="438"/>
      <c r="L43" s="249"/>
      <c r="M43" s="250"/>
      <c r="N43" s="250"/>
      <c r="O43" s="251"/>
      <c r="P43" s="43">
        <v>11</v>
      </c>
      <c r="Q43" s="295"/>
      <c r="R43" s="290">
        <v>8.048380372001092E-4</v>
      </c>
      <c r="S43" s="291">
        <v>3.966087011285218E-2</v>
      </c>
      <c r="T43" s="43">
        <f t="shared" si="11"/>
        <v>23</v>
      </c>
      <c r="U43" s="240"/>
      <c r="V43" s="240"/>
      <c r="W43" s="240"/>
      <c r="X43" s="240"/>
      <c r="Y43" s="240"/>
      <c r="Z43" s="240"/>
      <c r="AA43" s="240"/>
      <c r="AB43" s="240"/>
    </row>
    <row r="44" spans="1:28" x14ac:dyDescent="0.35">
      <c r="A44" s="214" t="s">
        <v>155</v>
      </c>
      <c r="B44" s="256">
        <f t="shared" si="6"/>
        <v>56</v>
      </c>
      <c r="C44" s="255">
        <f t="shared" si="7"/>
        <v>3.6187538314535099E-3</v>
      </c>
      <c r="D44" s="246">
        <f t="shared" si="8"/>
        <v>4.6129260316330687E-4</v>
      </c>
      <c r="E44" s="262">
        <f t="shared" si="9"/>
        <v>3.5087719298245612E-2</v>
      </c>
      <c r="F44" s="266">
        <f t="shared" si="10"/>
        <v>1</v>
      </c>
      <c r="G44" s="264" t="s">
        <v>247</v>
      </c>
      <c r="H44" s="231"/>
      <c r="I44" s="248"/>
      <c r="J44" s="445"/>
      <c r="K44" s="438"/>
      <c r="L44" s="249"/>
      <c r="M44" s="250"/>
      <c r="N44" s="250"/>
      <c r="O44" s="251"/>
      <c r="P44" s="43">
        <v>45</v>
      </c>
      <c r="Q44" s="295"/>
      <c r="R44" s="290">
        <v>9.3610107959929862E-6</v>
      </c>
      <c r="S44" s="291">
        <v>4.6129260316330687E-4</v>
      </c>
      <c r="T44" s="43">
        <f t="shared" si="11"/>
        <v>56</v>
      </c>
      <c r="U44" s="240"/>
      <c r="V44" s="240"/>
      <c r="W44" s="240"/>
      <c r="X44" s="240"/>
      <c r="Y44" s="240"/>
      <c r="Z44" s="240"/>
      <c r="AA44" s="240"/>
      <c r="AB44" s="240"/>
    </row>
    <row r="45" spans="1:28" x14ac:dyDescent="0.35">
      <c r="A45" s="214" t="s">
        <v>156</v>
      </c>
      <c r="B45" s="256">
        <f t="shared" si="6"/>
        <v>43</v>
      </c>
      <c r="C45" s="255">
        <f t="shared" si="7"/>
        <v>2.6344966813272138E-2</v>
      </c>
      <c r="D45" s="246">
        <f t="shared" si="8"/>
        <v>3.3582661014175588E-3</v>
      </c>
      <c r="E45" s="262">
        <f t="shared" si="9"/>
        <v>0.26315789473684209</v>
      </c>
      <c r="F45" s="266">
        <f t="shared" si="10"/>
        <v>1</v>
      </c>
      <c r="G45" s="264" t="s">
        <v>244</v>
      </c>
      <c r="H45" s="231"/>
      <c r="I45" s="248"/>
      <c r="J45" s="445"/>
      <c r="K45" s="440"/>
      <c r="L45" s="249"/>
      <c r="M45" s="253"/>
      <c r="N45" s="253"/>
      <c r="O45" s="254"/>
      <c r="P45" s="43">
        <v>50</v>
      </c>
      <c r="Q45" s="295"/>
      <c r="R45" s="290">
        <v>6.814929399606652E-5</v>
      </c>
      <c r="S45" s="291">
        <v>3.3582661014175588E-3</v>
      </c>
      <c r="T45" s="43">
        <f t="shared" si="11"/>
        <v>43</v>
      </c>
      <c r="U45" s="240"/>
      <c r="V45" s="240"/>
      <c r="W45" s="240"/>
      <c r="X45" s="240"/>
      <c r="Y45" s="240"/>
      <c r="Z45" s="240"/>
      <c r="AA45" s="240"/>
      <c r="AB45" s="240"/>
    </row>
    <row r="46" spans="1:28" x14ac:dyDescent="0.35">
      <c r="A46" s="214" t="s">
        <v>13</v>
      </c>
      <c r="B46" s="256">
        <f t="shared" si="6"/>
        <v>17</v>
      </c>
      <c r="C46" s="255">
        <f t="shared" si="7"/>
        <v>0.69121383653968793</v>
      </c>
      <c r="D46" s="246">
        <f t="shared" si="8"/>
        <v>8.8110947815375151E-2</v>
      </c>
      <c r="E46" s="262">
        <f t="shared" si="9"/>
        <v>0.7192982456140351</v>
      </c>
      <c r="F46" s="266">
        <f t="shared" si="10"/>
        <v>-1</v>
      </c>
      <c r="G46" s="263" t="s">
        <v>249</v>
      </c>
      <c r="H46" s="231"/>
      <c r="I46" s="248"/>
      <c r="J46" s="445"/>
      <c r="K46" s="438"/>
      <c r="L46" s="249"/>
      <c r="M46" s="250"/>
      <c r="N46" s="250"/>
      <c r="O46" s="251"/>
      <c r="P46" s="43">
        <v>41</v>
      </c>
      <c r="Q46" s="295"/>
      <c r="R46" s="290">
        <v>1.7880354640174079E-3</v>
      </c>
      <c r="S46" s="291">
        <v>8.8110947815375151E-2</v>
      </c>
      <c r="T46" s="43">
        <f t="shared" si="11"/>
        <v>17</v>
      </c>
      <c r="U46" s="240"/>
      <c r="V46" s="240"/>
      <c r="W46" s="240"/>
      <c r="X46" s="240"/>
      <c r="Y46" s="240"/>
      <c r="Z46" s="240"/>
      <c r="AA46" s="240"/>
      <c r="AB46" s="240"/>
    </row>
    <row r="47" spans="1:28" x14ac:dyDescent="0.35">
      <c r="A47" s="214" t="s">
        <v>25</v>
      </c>
      <c r="B47" s="256">
        <f t="shared" si="6"/>
        <v>49</v>
      </c>
      <c r="C47" s="255">
        <f t="shared" si="7"/>
        <v>9.8152708151432802E-3</v>
      </c>
      <c r="D47" s="246">
        <f t="shared" si="8"/>
        <v>1.2511798359192824E-3</v>
      </c>
      <c r="E47" s="262">
        <f t="shared" si="9"/>
        <v>0.15789473684210525</v>
      </c>
      <c r="F47" s="266">
        <f t="shared" si="10"/>
        <v>1</v>
      </c>
      <c r="G47" s="264" t="s">
        <v>249</v>
      </c>
      <c r="H47" s="231"/>
      <c r="I47" s="248"/>
      <c r="J47" s="445"/>
      <c r="K47" s="438"/>
      <c r="L47" s="249"/>
      <c r="M47" s="250"/>
      <c r="N47" s="250"/>
      <c r="O47" s="251"/>
      <c r="P47" s="43">
        <v>47</v>
      </c>
      <c r="Q47" s="295"/>
      <c r="R47" s="290">
        <v>2.5390192410309998E-5</v>
      </c>
      <c r="S47" s="291">
        <v>1.2511798359192824E-3</v>
      </c>
      <c r="T47" s="43">
        <f t="shared" si="11"/>
        <v>49</v>
      </c>
      <c r="U47" s="240"/>
      <c r="V47" s="240"/>
      <c r="W47" s="240"/>
      <c r="X47" s="240"/>
      <c r="Y47" s="240"/>
      <c r="Z47" s="240"/>
      <c r="AA47" s="240"/>
      <c r="AB47" s="240"/>
    </row>
    <row r="48" spans="1:28" x14ac:dyDescent="0.35">
      <c r="A48" s="214" t="s">
        <v>472</v>
      </c>
      <c r="B48" s="256">
        <f t="shared" si="6"/>
        <v>32</v>
      </c>
      <c r="C48" s="255">
        <f t="shared" si="7"/>
        <v>7.7058256008769935E-2</v>
      </c>
      <c r="D48" s="246">
        <f t="shared" si="8"/>
        <v>9.82282994785319E-3</v>
      </c>
      <c r="E48" s="262">
        <f t="shared" si="9"/>
        <v>0.45614035087719296</v>
      </c>
      <c r="F48" s="266">
        <f t="shared" si="10"/>
        <v>0</v>
      </c>
      <c r="G48" s="263" t="s">
        <v>244</v>
      </c>
      <c r="H48" s="231"/>
      <c r="I48" s="248"/>
      <c r="J48" s="445"/>
      <c r="K48" s="440"/>
      <c r="L48" s="249"/>
      <c r="M48" s="253"/>
      <c r="N48" s="253"/>
      <c r="O48" s="254"/>
      <c r="P48" s="43">
        <v>50</v>
      </c>
      <c r="Q48" s="295"/>
      <c r="R48" s="290">
        <v>1.9933468813178475E-4</v>
      </c>
      <c r="S48" s="291">
        <v>9.82282994785319E-3</v>
      </c>
      <c r="T48" s="43">
        <f t="shared" si="11"/>
        <v>32</v>
      </c>
      <c r="U48" s="240"/>
      <c r="V48" s="240"/>
      <c r="W48" s="240"/>
      <c r="X48" s="240"/>
      <c r="Y48" s="240"/>
      <c r="Z48" s="240"/>
      <c r="AA48" s="240"/>
      <c r="AB48" s="240"/>
    </row>
    <row r="49" spans="1:28" x14ac:dyDescent="0.35">
      <c r="A49" s="96" t="s">
        <v>130</v>
      </c>
      <c r="B49" s="256">
        <f t="shared" si="6"/>
        <v>3</v>
      </c>
      <c r="C49" s="255">
        <f t="shared" si="7"/>
        <v>3.0943321254171092</v>
      </c>
      <c r="D49" s="246">
        <f t="shared" si="8"/>
        <v>0.39444311154267692</v>
      </c>
      <c r="E49" s="262">
        <f t="shared" si="9"/>
        <v>0.96491228070175439</v>
      </c>
      <c r="F49" s="266">
        <f t="shared" si="10"/>
        <v>-1</v>
      </c>
      <c r="G49" s="263" t="s">
        <v>124</v>
      </c>
      <c r="H49" s="232"/>
      <c r="I49" s="248"/>
      <c r="J49" s="445"/>
      <c r="K49" s="438"/>
      <c r="L49" s="249"/>
      <c r="M49" s="250"/>
      <c r="N49" s="250"/>
      <c r="O49" s="251"/>
      <c r="P49" s="43">
        <v>2</v>
      </c>
      <c r="Q49" s="295"/>
      <c r="R49" s="290">
        <v>8.0044340625355422E-3</v>
      </c>
      <c r="S49" s="291">
        <v>0.39444311154267692</v>
      </c>
      <c r="T49" s="43">
        <f t="shared" si="11"/>
        <v>3</v>
      </c>
      <c r="U49" s="240"/>
      <c r="V49" s="240"/>
      <c r="W49" s="240"/>
      <c r="X49" s="240"/>
      <c r="Y49" s="240"/>
      <c r="Z49" s="240"/>
      <c r="AA49" s="240"/>
      <c r="AB49" s="240"/>
    </row>
    <row r="50" spans="1:28" x14ac:dyDescent="0.35">
      <c r="A50" s="214" t="s">
        <v>19</v>
      </c>
      <c r="B50" s="256">
        <f t="shared" si="6"/>
        <v>29</v>
      </c>
      <c r="C50" s="255">
        <f t="shared" si="7"/>
        <v>0.11378062060372993</v>
      </c>
      <c r="D50" s="246">
        <f t="shared" si="8"/>
        <v>1.4503931771106286E-2</v>
      </c>
      <c r="E50" s="262">
        <f t="shared" si="9"/>
        <v>0.50877192982456143</v>
      </c>
      <c r="F50" s="266">
        <f t="shared" si="10"/>
        <v>0</v>
      </c>
      <c r="G50" s="264" t="s">
        <v>249</v>
      </c>
      <c r="H50" s="231"/>
      <c r="I50" s="248"/>
      <c r="J50" s="445"/>
      <c r="K50" s="438"/>
      <c r="L50" s="249"/>
      <c r="M50" s="250"/>
      <c r="N50" s="250"/>
      <c r="O50" s="251"/>
      <c r="P50" s="43">
        <v>46</v>
      </c>
      <c r="Q50" s="295"/>
      <c r="R50" s="290">
        <v>2.9432828743105986E-4</v>
      </c>
      <c r="S50" s="291">
        <v>1.4503931771106286E-2</v>
      </c>
      <c r="T50" s="43">
        <f t="shared" si="11"/>
        <v>29</v>
      </c>
      <c r="U50" s="240"/>
      <c r="V50" s="240"/>
      <c r="W50" s="240"/>
      <c r="X50" s="240"/>
      <c r="Y50" s="240"/>
      <c r="Z50" s="240"/>
      <c r="AA50" s="240"/>
      <c r="AB50" s="240"/>
    </row>
    <row r="51" spans="1:28" x14ac:dyDescent="0.35">
      <c r="A51" s="214" t="s">
        <v>211</v>
      </c>
      <c r="B51" s="256">
        <f t="shared" si="6"/>
        <v>28</v>
      </c>
      <c r="C51" s="255">
        <f t="shared" si="7"/>
        <v>0.16474888350914649</v>
      </c>
      <c r="D51" s="246">
        <f t="shared" si="8"/>
        <v>2.1000997824617822E-2</v>
      </c>
      <c r="E51" s="262">
        <f t="shared" si="9"/>
        <v>0.52631578947368418</v>
      </c>
      <c r="F51" s="266">
        <f t="shared" si="10"/>
        <v>0</v>
      </c>
      <c r="G51" s="263" t="s">
        <v>244</v>
      </c>
      <c r="H51" s="231"/>
      <c r="I51" s="248"/>
      <c r="J51" s="445"/>
      <c r="K51" s="440"/>
      <c r="L51" s="249"/>
      <c r="M51" s="253"/>
      <c r="N51" s="253"/>
      <c r="O51" s="254"/>
      <c r="P51" s="43">
        <v>50</v>
      </c>
      <c r="Q51" s="295"/>
      <c r="R51" s="290">
        <v>4.2617324885496941E-4</v>
      </c>
      <c r="S51" s="291">
        <v>2.1000997824617822E-2</v>
      </c>
      <c r="T51" s="43">
        <f t="shared" si="11"/>
        <v>28</v>
      </c>
      <c r="U51" s="240"/>
      <c r="V51" s="240"/>
      <c r="W51" s="240"/>
      <c r="X51" s="240"/>
      <c r="Y51" s="240"/>
      <c r="Z51" s="240"/>
      <c r="AA51" s="240"/>
      <c r="AB51" s="240"/>
    </row>
    <row r="52" spans="1:28" x14ac:dyDescent="0.35">
      <c r="A52" s="214" t="s">
        <v>157</v>
      </c>
      <c r="B52" s="256">
        <f t="shared" si="6"/>
        <v>50</v>
      </c>
      <c r="C52" s="255">
        <f t="shared" si="7"/>
        <v>8.9013646173148418E-3</v>
      </c>
      <c r="D52" s="246">
        <f t="shared" si="8"/>
        <v>1.1346816742098327E-3</v>
      </c>
      <c r="E52" s="262">
        <f t="shared" si="9"/>
        <v>0.14035087719298245</v>
      </c>
      <c r="F52" s="266">
        <f t="shared" si="10"/>
        <v>1</v>
      </c>
      <c r="G52" s="264" t="s">
        <v>244</v>
      </c>
      <c r="H52" s="231"/>
      <c r="I52" s="248"/>
      <c r="J52" s="445"/>
      <c r="K52" s="440"/>
      <c r="L52" s="249"/>
      <c r="M52" s="253"/>
      <c r="N52" s="253"/>
      <c r="O52" s="254"/>
      <c r="P52" s="43">
        <v>50</v>
      </c>
      <c r="Q52" s="295"/>
      <c r="R52" s="290">
        <v>2.3026095214740134E-5</v>
      </c>
      <c r="S52" s="291">
        <v>1.1346816742098327E-3</v>
      </c>
      <c r="T52" s="43">
        <f t="shared" si="11"/>
        <v>50</v>
      </c>
      <c r="U52" s="240"/>
      <c r="V52" s="240"/>
      <c r="W52" s="240"/>
      <c r="X52" s="240"/>
      <c r="Y52" s="240"/>
      <c r="Z52" s="240"/>
      <c r="AA52" s="240"/>
      <c r="AB52" s="240"/>
    </row>
    <row r="53" spans="1:28" x14ac:dyDescent="0.35">
      <c r="A53" s="95" t="s">
        <v>126</v>
      </c>
      <c r="B53" s="256">
        <f t="shared" si="6"/>
        <v>2</v>
      </c>
      <c r="C53" s="255">
        <f t="shared" si="7"/>
        <v>3.6736288928390932</v>
      </c>
      <c r="D53" s="246">
        <f t="shared" si="8"/>
        <v>0.46828767967149104</v>
      </c>
      <c r="E53" s="262">
        <f t="shared" si="9"/>
        <v>0.98245614035087714</v>
      </c>
      <c r="F53" s="266">
        <f t="shared" si="10"/>
        <v>-1</v>
      </c>
      <c r="G53" s="263" t="s">
        <v>212</v>
      </c>
      <c r="H53" s="232"/>
      <c r="I53" s="248"/>
      <c r="J53" s="445"/>
      <c r="K53" s="438"/>
      <c r="L53" s="249"/>
      <c r="M53" s="250"/>
      <c r="N53" s="250"/>
      <c r="O53" s="251"/>
      <c r="P53" s="43">
        <v>7</v>
      </c>
      <c r="Q53" s="295"/>
      <c r="R53" s="290">
        <v>9.5029618835735675E-3</v>
      </c>
      <c r="S53" s="291">
        <v>0.46828767967149104</v>
      </c>
      <c r="T53" s="43">
        <f t="shared" si="11"/>
        <v>2</v>
      </c>
      <c r="U53" s="240"/>
      <c r="V53" s="240"/>
      <c r="W53" s="240"/>
      <c r="X53" s="240"/>
      <c r="Y53" s="240"/>
      <c r="Z53" s="240"/>
      <c r="AA53" s="240"/>
      <c r="AB53" s="240"/>
    </row>
    <row r="54" spans="1:28" x14ac:dyDescent="0.35">
      <c r="A54" s="214" t="s">
        <v>158</v>
      </c>
      <c r="B54" s="256">
        <f t="shared" si="6"/>
        <v>45</v>
      </c>
      <c r="C54" s="255">
        <f t="shared" si="7"/>
        <v>2.0038669065841175E-2</v>
      </c>
      <c r="D54" s="246">
        <f t="shared" si="8"/>
        <v>2.5543848097556508E-3</v>
      </c>
      <c r="E54" s="262">
        <f t="shared" si="9"/>
        <v>0.22807017543859648</v>
      </c>
      <c r="F54" s="266">
        <f t="shared" si="10"/>
        <v>1</v>
      </c>
      <c r="G54" s="264" t="s">
        <v>248</v>
      </c>
      <c r="H54" s="231"/>
      <c r="I54" s="248"/>
      <c r="J54" s="445"/>
      <c r="K54" s="438"/>
      <c r="L54" s="249"/>
      <c r="M54" s="250"/>
      <c r="N54" s="250"/>
      <c r="O54" s="251"/>
      <c r="P54" s="43">
        <v>25</v>
      </c>
      <c r="Q54" s="295"/>
      <c r="R54" s="290">
        <v>5.1836130944371418E-5</v>
      </c>
      <c r="S54" s="291">
        <v>2.5543848097556508E-3</v>
      </c>
      <c r="T54" s="43">
        <f t="shared" si="11"/>
        <v>45</v>
      </c>
      <c r="U54" s="240"/>
      <c r="V54" s="240"/>
      <c r="W54" s="240"/>
      <c r="X54" s="240"/>
      <c r="Y54" s="240"/>
      <c r="Z54" s="240"/>
      <c r="AA54" s="240"/>
      <c r="AB54" s="240"/>
    </row>
    <row r="55" spans="1:28" x14ac:dyDescent="0.35">
      <c r="A55" s="214" t="s">
        <v>213</v>
      </c>
      <c r="B55" s="256">
        <f t="shared" si="6"/>
        <v>10</v>
      </c>
      <c r="C55" s="255">
        <f t="shared" si="7"/>
        <v>1.2045626326563723</v>
      </c>
      <c r="D55" s="246">
        <f t="shared" si="8"/>
        <v>0.15354894484992343</v>
      </c>
      <c r="E55" s="262">
        <f t="shared" si="9"/>
        <v>0.84210526315789469</v>
      </c>
      <c r="F55" s="266">
        <f t="shared" si="10"/>
        <v>-1</v>
      </c>
      <c r="G55" s="263" t="s">
        <v>24</v>
      </c>
      <c r="H55" s="232"/>
      <c r="I55" s="248"/>
      <c r="J55" s="445"/>
      <c r="K55" s="440"/>
      <c r="L55" s="249"/>
      <c r="M55" s="253"/>
      <c r="N55" s="253"/>
      <c r="O55" s="254"/>
      <c r="P55" s="43">
        <v>50</v>
      </c>
      <c r="Q55" s="295"/>
      <c r="R55" s="290">
        <v>3.1159687378394963E-3</v>
      </c>
      <c r="S55" s="291">
        <v>0.15354894484992343</v>
      </c>
      <c r="T55" s="43">
        <f t="shared" si="11"/>
        <v>10</v>
      </c>
      <c r="U55" s="240"/>
      <c r="V55" s="240"/>
      <c r="W55" s="240"/>
      <c r="X55" s="240"/>
      <c r="Y55" s="240"/>
      <c r="Z55" s="240"/>
      <c r="AA55" s="240"/>
      <c r="AB55" s="240"/>
    </row>
    <row r="56" spans="1:28" x14ac:dyDescent="0.35">
      <c r="A56" s="214" t="s">
        <v>159</v>
      </c>
      <c r="B56" s="256">
        <f t="shared" si="6"/>
        <v>51</v>
      </c>
      <c r="C56" s="255">
        <f t="shared" si="7"/>
        <v>5.7012644201934288E-3</v>
      </c>
      <c r="D56" s="246">
        <f t="shared" si="8"/>
        <v>7.26756012761725E-4</v>
      </c>
      <c r="E56" s="262">
        <f t="shared" si="9"/>
        <v>0.12280701754385964</v>
      </c>
      <c r="F56" s="266">
        <f t="shared" si="10"/>
        <v>1</v>
      </c>
      <c r="G56" s="264" t="s">
        <v>248</v>
      </c>
      <c r="H56" s="231"/>
      <c r="I56" s="248"/>
      <c r="J56" s="445"/>
      <c r="K56" s="438"/>
      <c r="L56" s="249"/>
      <c r="M56" s="250"/>
      <c r="N56" s="250"/>
      <c r="O56" s="251"/>
      <c r="P56" s="43">
        <v>36</v>
      </c>
      <c r="Q56" s="295"/>
      <c r="R56" s="290">
        <v>1.4748059766973687E-5</v>
      </c>
      <c r="S56" s="291">
        <v>7.26756012761725E-4</v>
      </c>
      <c r="T56" s="43">
        <f t="shared" si="11"/>
        <v>51</v>
      </c>
      <c r="U56" s="240"/>
      <c r="V56" s="240"/>
      <c r="W56" s="240"/>
      <c r="X56" s="240"/>
      <c r="Y56" s="240"/>
      <c r="Z56" s="240"/>
      <c r="AA56" s="240"/>
      <c r="AB56" s="240"/>
    </row>
    <row r="57" spans="1:28" x14ac:dyDescent="0.35">
      <c r="A57" s="95" t="s">
        <v>23</v>
      </c>
      <c r="B57" s="256">
        <f t="shared" si="6"/>
        <v>24</v>
      </c>
      <c r="C57" s="255">
        <f t="shared" si="7"/>
        <v>0.27086419510855181</v>
      </c>
      <c r="D57" s="246">
        <f t="shared" si="8"/>
        <v>3.4527811364049373E-2</v>
      </c>
      <c r="E57" s="262">
        <f t="shared" si="9"/>
        <v>0.59649122807017541</v>
      </c>
      <c r="F57" s="266">
        <f t="shared" si="10"/>
        <v>0</v>
      </c>
      <c r="G57" s="263" t="s">
        <v>249</v>
      </c>
      <c r="H57" s="234"/>
      <c r="I57" s="248"/>
      <c r="J57" s="445"/>
      <c r="K57" s="438"/>
      <c r="L57" s="249"/>
      <c r="M57" s="250"/>
      <c r="N57" s="250"/>
      <c r="O57" s="251"/>
      <c r="P57" s="43">
        <v>43</v>
      </c>
      <c r="Q57" s="295"/>
      <c r="R57" s="290">
        <v>7.0067287601065383E-4</v>
      </c>
      <c r="S57" s="291">
        <v>3.4527811364049373E-2</v>
      </c>
      <c r="T57" s="43">
        <f t="shared" si="11"/>
        <v>24</v>
      </c>
      <c r="U57" s="240"/>
      <c r="V57" s="240"/>
      <c r="W57" s="240"/>
      <c r="X57" s="240"/>
      <c r="Y57" s="240"/>
      <c r="Z57" s="240"/>
      <c r="AA57" s="240"/>
      <c r="AB57" s="240"/>
    </row>
    <row r="58" spans="1:28" x14ac:dyDescent="0.35">
      <c r="A58" s="214" t="s">
        <v>160</v>
      </c>
      <c r="B58" s="256">
        <f t="shared" si="6"/>
        <v>41</v>
      </c>
      <c r="C58" s="255">
        <f t="shared" si="7"/>
        <v>3.1702874100460715E-2</v>
      </c>
      <c r="D58" s="246">
        <f t="shared" si="8"/>
        <v>4.0412534266488368E-3</v>
      </c>
      <c r="E58" s="262">
        <f t="shared" si="9"/>
        <v>0.2982456140350877</v>
      </c>
      <c r="F58" s="266">
        <f t="shared" si="10"/>
        <v>1</v>
      </c>
      <c r="G58" s="264" t="s">
        <v>248</v>
      </c>
      <c r="H58" s="231"/>
      <c r="I58" s="248"/>
      <c r="J58" s="445"/>
      <c r="K58" s="438"/>
      <c r="L58" s="249"/>
      <c r="M58" s="250"/>
      <c r="N58" s="250"/>
      <c r="O58" s="251"/>
      <c r="P58" s="43">
        <v>21</v>
      </c>
      <c r="Q58" s="295"/>
      <c r="R58" s="290">
        <v>8.2009155786984841E-5</v>
      </c>
      <c r="S58" s="291">
        <v>4.0412534266488368E-3</v>
      </c>
      <c r="T58" s="43">
        <f t="shared" si="11"/>
        <v>41</v>
      </c>
      <c r="U58" s="240"/>
      <c r="V58" s="240"/>
      <c r="W58" s="240"/>
      <c r="X58" s="240"/>
      <c r="Y58" s="240"/>
      <c r="Z58" s="240"/>
      <c r="AA58" s="240"/>
      <c r="AB58" s="240"/>
    </row>
    <row r="59" spans="1:28" x14ac:dyDescent="0.35">
      <c r="A59" s="214" t="s">
        <v>338</v>
      </c>
      <c r="B59" s="256">
        <f t="shared" si="6"/>
        <v>55</v>
      </c>
      <c r="C59" s="255">
        <f t="shared" si="7"/>
        <v>3.8134769096799504E-3</v>
      </c>
      <c r="D59" s="246">
        <f t="shared" si="8"/>
        <v>4.8611449485163097E-4</v>
      </c>
      <c r="E59" s="262">
        <f t="shared" si="9"/>
        <v>5.2631578947368418E-2</v>
      </c>
      <c r="F59" s="266">
        <f t="shared" si="10"/>
        <v>1</v>
      </c>
      <c r="G59" s="264" t="s">
        <v>247</v>
      </c>
      <c r="H59" s="231"/>
      <c r="I59" s="248"/>
      <c r="J59" s="445"/>
      <c r="K59" s="438"/>
      <c r="L59" s="249"/>
      <c r="M59" s="250"/>
      <c r="N59" s="250"/>
      <c r="O59" s="251"/>
      <c r="P59" s="43">
        <v>44</v>
      </c>
      <c r="Q59" s="295"/>
      <c r="R59" s="290">
        <v>9.8647214440241473E-6</v>
      </c>
      <c r="S59" s="291">
        <v>4.8611449485163097E-4</v>
      </c>
      <c r="T59" s="43">
        <f t="shared" si="11"/>
        <v>55</v>
      </c>
      <c r="U59" s="240"/>
      <c r="V59" s="240"/>
      <c r="W59" s="240"/>
      <c r="X59" s="240"/>
      <c r="Y59" s="240"/>
      <c r="Z59" s="240"/>
      <c r="AA59" s="240"/>
      <c r="AB59" s="240"/>
    </row>
    <row r="60" spans="1:28" x14ac:dyDescent="0.35">
      <c r="A60" s="214" t="s">
        <v>384</v>
      </c>
      <c r="B60" s="256">
        <f t="shared" si="6"/>
        <v>54</v>
      </c>
      <c r="C60" s="255">
        <f t="shared" si="7"/>
        <v>4.9143638195249598E-3</v>
      </c>
      <c r="D60" s="246">
        <f t="shared" si="8"/>
        <v>6.2644760732168733E-4</v>
      </c>
      <c r="E60" s="262">
        <f t="shared" si="9"/>
        <v>7.0175438596491224E-2</v>
      </c>
      <c r="F60" s="266">
        <f t="shared" si="10"/>
        <v>1</v>
      </c>
      <c r="G60" s="263" t="s">
        <v>248</v>
      </c>
      <c r="H60" s="252"/>
      <c r="I60" s="248"/>
      <c r="J60" s="445"/>
      <c r="K60" s="438"/>
      <c r="L60" s="249"/>
      <c r="M60" s="250"/>
      <c r="N60" s="250"/>
      <c r="O60" s="251"/>
      <c r="P60" s="43">
        <v>38</v>
      </c>
      <c r="Q60" s="295"/>
      <c r="R60" s="290">
        <v>1.2712501295379001E-5</v>
      </c>
      <c r="S60" s="291">
        <v>6.2644760732168733E-4</v>
      </c>
      <c r="T60" s="43">
        <f t="shared" si="11"/>
        <v>54</v>
      </c>
      <c r="U60" s="240"/>
      <c r="V60" s="240"/>
      <c r="W60" s="240"/>
      <c r="X60" s="240"/>
      <c r="Y60" s="240"/>
      <c r="Z60" s="240"/>
      <c r="AA60" s="240"/>
      <c r="AB60" s="240"/>
    </row>
    <row r="61" spans="1:28" x14ac:dyDescent="0.35">
      <c r="A61" s="95" t="s">
        <v>142</v>
      </c>
      <c r="B61" s="256">
        <f t="shared" si="6"/>
        <v>7</v>
      </c>
      <c r="C61" s="255">
        <f t="shared" si="7"/>
        <v>1.227769781421761</v>
      </c>
      <c r="D61" s="246">
        <f t="shared" si="8"/>
        <v>0.15650722456846519</v>
      </c>
      <c r="E61" s="262">
        <f t="shared" si="9"/>
        <v>0.89473684210526316</v>
      </c>
      <c r="F61" s="266">
        <f t="shared" si="10"/>
        <v>-1</v>
      </c>
      <c r="G61" s="263" t="s">
        <v>14</v>
      </c>
      <c r="H61" s="232"/>
      <c r="I61" s="248"/>
      <c r="J61" s="445"/>
      <c r="K61" s="438"/>
      <c r="L61" s="249"/>
      <c r="M61" s="250"/>
      <c r="N61" s="250"/>
      <c r="O61" s="251"/>
      <c r="P61" s="43">
        <v>13</v>
      </c>
      <c r="Q61" s="295"/>
      <c r="R61" s="290">
        <v>3.1760011081678639E-3</v>
      </c>
      <c r="S61" s="291">
        <v>0.15650722456846519</v>
      </c>
      <c r="T61" s="43">
        <f t="shared" si="11"/>
        <v>7</v>
      </c>
      <c r="U61" s="240"/>
      <c r="V61" s="240"/>
      <c r="W61" s="240"/>
      <c r="X61" s="240"/>
      <c r="Y61" s="240"/>
      <c r="Z61" s="240"/>
      <c r="AA61" s="240"/>
      <c r="AB61" s="240"/>
    </row>
    <row r="62" spans="1:28" x14ac:dyDescent="0.35">
      <c r="A62" s="95" t="s">
        <v>214</v>
      </c>
      <c r="B62" s="256">
        <f t="shared" si="6"/>
        <v>40</v>
      </c>
      <c r="C62" s="255">
        <f t="shared" si="7"/>
        <v>3.2557944810023713E-2</v>
      </c>
      <c r="D62" s="246">
        <f t="shared" si="8"/>
        <v>4.15025166523435E-3</v>
      </c>
      <c r="E62" s="262">
        <f t="shared" si="9"/>
        <v>0.31578947368421051</v>
      </c>
      <c r="F62" s="266">
        <f t="shared" si="10"/>
        <v>1</v>
      </c>
      <c r="G62" s="263" t="s">
        <v>214</v>
      </c>
      <c r="H62" s="232"/>
      <c r="I62" s="248"/>
      <c r="J62" s="445"/>
      <c r="K62" s="438"/>
      <c r="L62" s="249"/>
      <c r="M62" s="250"/>
      <c r="N62" s="250"/>
      <c r="O62" s="251"/>
      <c r="P62" s="43">
        <v>18</v>
      </c>
      <c r="Q62" s="295"/>
      <c r="R62" s="290">
        <v>8.4221057042600656E-5</v>
      </c>
      <c r="S62" s="291">
        <v>4.15025166523435E-3</v>
      </c>
      <c r="T62" s="43">
        <f t="shared" si="11"/>
        <v>40</v>
      </c>
      <c r="U62" s="240"/>
      <c r="V62" s="240"/>
      <c r="W62" s="240"/>
      <c r="X62" s="240"/>
      <c r="Y62" s="240"/>
      <c r="Z62" s="240"/>
      <c r="AA62" s="240"/>
      <c r="AB62" s="240"/>
    </row>
    <row r="63" spans="1:28" ht="18.600000000000001" thickBot="1" x14ac:dyDescent="0.4">
      <c r="A63" s="165" t="s">
        <v>215</v>
      </c>
      <c r="B63" s="296">
        <f t="shared" si="6"/>
        <v>5</v>
      </c>
      <c r="C63" s="297">
        <f t="shared" si="7"/>
        <v>2.3080005396275158</v>
      </c>
      <c r="D63" s="298">
        <f t="shared" si="8"/>
        <v>0.29420724000987397</v>
      </c>
      <c r="E63" s="299">
        <f t="shared" si="9"/>
        <v>0.92982456140350878</v>
      </c>
      <c r="F63" s="300">
        <f t="shared" si="10"/>
        <v>-1</v>
      </c>
      <c r="G63" s="301" t="s">
        <v>105</v>
      </c>
      <c r="H63" s="1301"/>
      <c r="I63" s="302"/>
      <c r="J63" s="446"/>
      <c r="K63" s="441"/>
      <c r="L63" s="303"/>
      <c r="M63" s="304"/>
      <c r="N63" s="304"/>
      <c r="O63" s="305"/>
      <c r="P63" s="83">
        <v>6</v>
      </c>
      <c r="Q63" s="306"/>
      <c r="R63" s="307">
        <v>5.9703475215203729E-3</v>
      </c>
      <c r="S63" s="308">
        <v>0.29420724000987397</v>
      </c>
      <c r="T63" s="83">
        <f t="shared" si="11"/>
        <v>5</v>
      </c>
      <c r="U63" s="240"/>
      <c r="V63" s="240"/>
      <c r="W63" s="240"/>
      <c r="X63" s="240"/>
      <c r="Y63" s="240"/>
      <c r="Z63" s="240"/>
      <c r="AA63" s="240"/>
      <c r="AB63" s="240"/>
    </row>
    <row r="64" spans="1:28" s="222" customFormat="1" x14ac:dyDescent="0.35">
      <c r="B64" s="57"/>
      <c r="F64" s="238"/>
      <c r="I64" s="239"/>
      <c r="J64" s="239"/>
      <c r="P64" s="149"/>
      <c r="Q64" s="195"/>
      <c r="U64" s="149"/>
      <c r="V64" s="149"/>
      <c r="W64" s="149"/>
      <c r="X64" s="149"/>
      <c r="Y64" s="149"/>
    </row>
    <row r="65" spans="2:25" s="222" customFormat="1" x14ac:dyDescent="0.35">
      <c r="B65" s="57"/>
      <c r="F65" s="238"/>
      <c r="I65" s="239"/>
      <c r="J65" s="239"/>
      <c r="P65" s="149"/>
      <c r="Q65" s="195"/>
      <c r="U65" s="149"/>
      <c r="V65" s="149"/>
      <c r="W65" s="149"/>
      <c r="X65" s="149"/>
      <c r="Y65" s="149"/>
    </row>
    <row r="66" spans="2:25" s="222" customFormat="1" x14ac:dyDescent="0.35">
      <c r="B66" s="57"/>
      <c r="F66" s="238"/>
      <c r="I66" s="239"/>
      <c r="J66" s="239"/>
      <c r="P66" s="149"/>
      <c r="Q66" s="195"/>
      <c r="U66" s="149"/>
      <c r="V66" s="149"/>
      <c r="W66" s="149"/>
      <c r="X66" s="149"/>
      <c r="Y66" s="149"/>
    </row>
    <row r="67" spans="2:25" s="222" customFormat="1" x14ac:dyDescent="0.35">
      <c r="B67" s="57"/>
      <c r="F67" s="238"/>
      <c r="I67" s="239"/>
      <c r="J67" s="239"/>
      <c r="P67" s="149"/>
      <c r="Q67" s="195"/>
      <c r="U67" s="149"/>
      <c r="V67" s="149"/>
      <c r="W67" s="149"/>
      <c r="X67" s="149"/>
      <c r="Y67" s="149"/>
    </row>
    <row r="68" spans="2:25" s="222" customFormat="1" x14ac:dyDescent="0.35">
      <c r="B68" s="57"/>
      <c r="F68" s="238"/>
      <c r="I68" s="239"/>
      <c r="J68" s="239"/>
      <c r="P68" s="149"/>
      <c r="Q68" s="195"/>
      <c r="U68" s="149"/>
      <c r="V68" s="149"/>
      <c r="W68" s="149"/>
      <c r="X68" s="149"/>
      <c r="Y68" s="149"/>
    </row>
    <row r="69" spans="2:25" s="222" customFormat="1" x14ac:dyDescent="0.35">
      <c r="B69" s="57"/>
      <c r="F69" s="238"/>
      <c r="I69" s="239"/>
      <c r="J69" s="239"/>
      <c r="P69" s="149"/>
      <c r="Q69" s="195"/>
      <c r="U69" s="149"/>
      <c r="V69" s="149"/>
      <c r="W69" s="149"/>
      <c r="X69" s="149"/>
      <c r="Y69" s="149"/>
    </row>
    <row r="70" spans="2:25" s="222" customFormat="1" x14ac:dyDescent="0.35">
      <c r="B70" s="57"/>
      <c r="F70" s="238"/>
      <c r="I70" s="239"/>
      <c r="J70" s="239"/>
      <c r="P70" s="149"/>
      <c r="Q70" s="195"/>
      <c r="U70" s="149"/>
      <c r="V70" s="149"/>
      <c r="W70" s="149"/>
      <c r="X70" s="149"/>
      <c r="Y70" s="149"/>
    </row>
    <row r="71" spans="2:25" s="222" customFormat="1" x14ac:dyDescent="0.35">
      <c r="B71" s="57"/>
      <c r="F71" s="238"/>
      <c r="I71" s="239"/>
      <c r="J71" s="239"/>
      <c r="P71" s="149"/>
      <c r="Q71" s="195"/>
      <c r="U71" s="149"/>
      <c r="V71" s="149"/>
      <c r="W71" s="149"/>
      <c r="X71" s="149"/>
      <c r="Y71" s="149"/>
    </row>
    <row r="72" spans="2:25" s="222" customFormat="1" x14ac:dyDescent="0.35">
      <c r="B72" s="57"/>
      <c r="F72" s="238"/>
      <c r="I72" s="239"/>
      <c r="J72" s="239"/>
      <c r="P72" s="149"/>
      <c r="Q72" s="195"/>
      <c r="U72" s="149"/>
      <c r="V72" s="149"/>
      <c r="W72" s="149"/>
      <c r="X72" s="149"/>
      <c r="Y72" s="149"/>
    </row>
    <row r="73" spans="2:25" s="222" customFormat="1" x14ac:dyDescent="0.35">
      <c r="B73" s="57"/>
      <c r="F73" s="238"/>
      <c r="I73" s="239"/>
      <c r="J73" s="239"/>
      <c r="P73" s="149"/>
      <c r="Q73" s="195"/>
      <c r="U73" s="149"/>
      <c r="V73" s="149"/>
      <c r="W73" s="149"/>
      <c r="X73" s="149"/>
      <c r="Y73" s="149"/>
    </row>
    <row r="74" spans="2:25" s="222" customFormat="1" x14ac:dyDescent="0.35">
      <c r="B74" s="57"/>
      <c r="F74" s="238"/>
      <c r="I74" s="239"/>
      <c r="J74" s="239"/>
      <c r="P74" s="149"/>
      <c r="Q74" s="195"/>
      <c r="U74" s="149"/>
      <c r="V74" s="149"/>
      <c r="W74" s="149"/>
      <c r="X74" s="149"/>
      <c r="Y74" s="149"/>
    </row>
    <row r="75" spans="2:25" s="222" customFormat="1" x14ac:dyDescent="0.35">
      <c r="B75" s="57"/>
      <c r="F75" s="238"/>
      <c r="I75" s="239"/>
      <c r="J75" s="239"/>
      <c r="P75" s="149"/>
      <c r="Q75" s="195"/>
      <c r="U75" s="149"/>
      <c r="V75" s="149"/>
      <c r="W75" s="149"/>
      <c r="X75" s="149"/>
      <c r="Y75" s="149"/>
    </row>
    <row r="76" spans="2:25" s="222" customFormat="1" x14ac:dyDescent="0.35">
      <c r="B76" s="57"/>
      <c r="F76" s="238"/>
      <c r="I76" s="239"/>
      <c r="J76" s="239"/>
      <c r="P76" s="149"/>
      <c r="Q76" s="195"/>
      <c r="U76" s="149"/>
      <c r="V76" s="149"/>
      <c r="W76" s="149"/>
      <c r="X76" s="149"/>
      <c r="Y76" s="149"/>
    </row>
    <row r="77" spans="2:25" s="222" customFormat="1" x14ac:dyDescent="0.35">
      <c r="B77" s="57"/>
      <c r="F77" s="238"/>
      <c r="I77" s="239"/>
      <c r="J77" s="239"/>
      <c r="P77" s="149"/>
      <c r="Q77" s="195"/>
      <c r="U77" s="149"/>
      <c r="V77" s="149"/>
      <c r="W77" s="149"/>
      <c r="X77" s="149"/>
      <c r="Y77" s="149"/>
    </row>
    <row r="78" spans="2:25" s="222" customFormat="1" x14ac:dyDescent="0.35">
      <c r="B78" s="57"/>
      <c r="F78" s="238"/>
      <c r="I78" s="239"/>
      <c r="J78" s="239"/>
      <c r="P78" s="149"/>
      <c r="Q78" s="195"/>
      <c r="U78" s="149"/>
      <c r="V78" s="149"/>
      <c r="W78" s="149"/>
      <c r="X78" s="149"/>
      <c r="Y78" s="149"/>
    </row>
    <row r="79" spans="2:25" s="222" customFormat="1" x14ac:dyDescent="0.35">
      <c r="B79" s="57"/>
      <c r="F79" s="238"/>
      <c r="I79" s="239"/>
      <c r="J79" s="239"/>
      <c r="P79" s="149"/>
      <c r="Q79" s="195"/>
      <c r="U79" s="149"/>
      <c r="V79" s="149"/>
      <c r="W79" s="149"/>
      <c r="X79" s="149"/>
      <c r="Y79" s="149"/>
    </row>
    <row r="80" spans="2:25" s="222" customFormat="1" x14ac:dyDescent="0.35">
      <c r="B80" s="57"/>
      <c r="F80" s="238"/>
      <c r="I80" s="239"/>
      <c r="J80" s="239"/>
      <c r="P80" s="149"/>
      <c r="Q80" s="195"/>
      <c r="U80" s="149"/>
      <c r="V80" s="149"/>
      <c r="W80" s="149"/>
      <c r="X80" s="149"/>
      <c r="Y80" s="149"/>
    </row>
    <row r="81" spans="2:25" s="222" customFormat="1" x14ac:dyDescent="0.35">
      <c r="B81" s="57"/>
      <c r="F81" s="238"/>
      <c r="I81" s="239"/>
      <c r="J81" s="239"/>
      <c r="P81" s="149"/>
      <c r="Q81" s="195"/>
      <c r="U81" s="149"/>
      <c r="V81" s="149"/>
      <c r="W81" s="149"/>
      <c r="X81" s="149"/>
      <c r="Y81" s="149"/>
    </row>
    <row r="82" spans="2:25" s="222" customFormat="1" x14ac:dyDescent="0.35">
      <c r="B82" s="57"/>
      <c r="F82" s="238"/>
      <c r="I82" s="239"/>
      <c r="J82" s="239"/>
      <c r="P82" s="149"/>
      <c r="Q82" s="195"/>
      <c r="U82" s="149"/>
      <c r="V82" s="149"/>
      <c r="W82" s="149"/>
      <c r="X82" s="149"/>
      <c r="Y82" s="149"/>
    </row>
    <row r="83" spans="2:25" s="222" customFormat="1" x14ac:dyDescent="0.35">
      <c r="B83" s="57"/>
      <c r="F83" s="238"/>
      <c r="I83" s="239"/>
      <c r="J83" s="239"/>
      <c r="P83" s="149"/>
      <c r="Q83" s="195"/>
      <c r="U83" s="149"/>
      <c r="V83" s="149"/>
      <c r="W83" s="149"/>
      <c r="X83" s="149"/>
      <c r="Y83" s="149"/>
    </row>
    <row r="84" spans="2:25" s="222" customFormat="1" x14ac:dyDescent="0.35">
      <c r="B84" s="57"/>
      <c r="F84" s="238"/>
      <c r="I84" s="239"/>
      <c r="J84" s="239"/>
      <c r="P84" s="149"/>
      <c r="Q84" s="195"/>
      <c r="U84" s="149"/>
      <c r="V84" s="149"/>
      <c r="W84" s="149"/>
      <c r="X84" s="149"/>
      <c r="Y84" s="149"/>
    </row>
    <row r="85" spans="2:25" s="222" customFormat="1" x14ac:dyDescent="0.35">
      <c r="B85" s="57"/>
      <c r="F85" s="238"/>
      <c r="I85" s="239"/>
      <c r="J85" s="239"/>
      <c r="P85" s="149"/>
      <c r="Q85" s="195"/>
      <c r="U85" s="149"/>
      <c r="V85" s="149"/>
      <c r="W85" s="149"/>
      <c r="X85" s="149"/>
      <c r="Y85" s="149"/>
    </row>
    <row r="86" spans="2:25" s="222" customFormat="1" x14ac:dyDescent="0.35">
      <c r="B86" s="57"/>
      <c r="F86" s="238"/>
      <c r="I86" s="239"/>
      <c r="J86" s="239"/>
      <c r="P86" s="149"/>
      <c r="Q86" s="195"/>
      <c r="U86" s="149"/>
      <c r="V86" s="149"/>
      <c r="W86" s="149"/>
      <c r="X86" s="149"/>
      <c r="Y86" s="149"/>
    </row>
    <row r="87" spans="2:25" s="222" customFormat="1" x14ac:dyDescent="0.35">
      <c r="B87" s="57"/>
      <c r="F87" s="238"/>
      <c r="I87" s="239"/>
      <c r="J87" s="239"/>
      <c r="P87" s="149"/>
      <c r="Q87" s="195"/>
      <c r="U87" s="149"/>
      <c r="V87" s="149"/>
      <c r="W87" s="149"/>
      <c r="X87" s="149"/>
      <c r="Y87" s="149"/>
    </row>
    <row r="88" spans="2:25" s="222" customFormat="1" x14ac:dyDescent="0.35">
      <c r="B88" s="57"/>
      <c r="F88" s="238"/>
      <c r="I88" s="239"/>
      <c r="J88" s="239"/>
      <c r="P88" s="149"/>
      <c r="Q88" s="195"/>
      <c r="U88" s="149"/>
      <c r="V88" s="149"/>
      <c r="W88" s="149"/>
      <c r="X88" s="149"/>
      <c r="Y88" s="149"/>
    </row>
    <row r="89" spans="2:25" s="222" customFormat="1" x14ac:dyDescent="0.35">
      <c r="B89" s="57"/>
      <c r="F89" s="238"/>
      <c r="I89" s="239"/>
      <c r="J89" s="239"/>
      <c r="P89" s="149"/>
      <c r="Q89" s="195"/>
      <c r="U89" s="149"/>
      <c r="V89" s="149"/>
      <c r="W89" s="149"/>
      <c r="X89" s="149"/>
      <c r="Y89" s="149"/>
    </row>
    <row r="90" spans="2:25" s="222" customFormat="1" x14ac:dyDescent="0.35">
      <c r="B90" s="57"/>
      <c r="F90" s="238"/>
      <c r="I90" s="239"/>
      <c r="J90" s="239"/>
      <c r="P90" s="149"/>
      <c r="Q90" s="195"/>
      <c r="U90" s="149"/>
      <c r="V90" s="149"/>
      <c r="W90" s="149"/>
      <c r="X90" s="149"/>
      <c r="Y90" s="149"/>
    </row>
    <row r="91" spans="2:25" s="222" customFormat="1" x14ac:dyDescent="0.35">
      <c r="B91" s="57"/>
      <c r="F91" s="238"/>
      <c r="I91" s="239"/>
      <c r="J91" s="239"/>
      <c r="P91" s="149"/>
      <c r="Q91" s="195"/>
      <c r="U91" s="149"/>
      <c r="V91" s="149"/>
      <c r="W91" s="149"/>
      <c r="X91" s="149"/>
      <c r="Y91" s="149"/>
    </row>
    <row r="92" spans="2:25" s="222" customFormat="1" x14ac:dyDescent="0.35">
      <c r="B92" s="57"/>
      <c r="F92" s="238"/>
      <c r="I92" s="239"/>
      <c r="J92" s="239"/>
      <c r="P92" s="149"/>
      <c r="Q92" s="195"/>
      <c r="U92" s="149"/>
      <c r="V92" s="149"/>
      <c r="W92" s="149"/>
      <c r="X92" s="149"/>
      <c r="Y92" s="149"/>
    </row>
    <row r="93" spans="2:25" s="222" customFormat="1" x14ac:dyDescent="0.35">
      <c r="B93" s="57"/>
      <c r="F93" s="238"/>
      <c r="I93" s="239"/>
      <c r="J93" s="239"/>
      <c r="P93" s="149"/>
      <c r="Q93" s="195"/>
      <c r="U93" s="149"/>
      <c r="V93" s="149"/>
      <c r="W93" s="149"/>
      <c r="X93" s="149"/>
      <c r="Y93" s="149"/>
    </row>
    <row r="94" spans="2:25" s="222" customFormat="1" x14ac:dyDescent="0.35">
      <c r="B94" s="57"/>
      <c r="F94" s="238"/>
      <c r="I94" s="239"/>
      <c r="J94" s="239"/>
      <c r="P94" s="149"/>
      <c r="Q94" s="195"/>
      <c r="U94" s="149"/>
      <c r="V94" s="149"/>
      <c r="W94" s="149"/>
      <c r="X94" s="149"/>
      <c r="Y94" s="149"/>
    </row>
    <row r="95" spans="2:25" s="222" customFormat="1" x14ac:dyDescent="0.35">
      <c r="B95" s="57"/>
      <c r="F95" s="238"/>
      <c r="I95" s="239"/>
      <c r="J95" s="239"/>
      <c r="P95" s="149"/>
      <c r="Q95" s="195"/>
      <c r="U95" s="149"/>
      <c r="V95" s="149"/>
      <c r="W95" s="149"/>
      <c r="X95" s="149"/>
      <c r="Y95" s="149"/>
    </row>
    <row r="96" spans="2:25" s="222" customFormat="1" x14ac:dyDescent="0.35">
      <c r="B96" s="57"/>
      <c r="F96" s="238"/>
      <c r="I96" s="239"/>
      <c r="J96" s="239"/>
      <c r="P96" s="149"/>
      <c r="Q96" s="195"/>
      <c r="U96" s="149"/>
      <c r="V96" s="149"/>
      <c r="W96" s="149"/>
      <c r="X96" s="149"/>
      <c r="Y96" s="149"/>
    </row>
    <row r="97" spans="2:25" s="222" customFormat="1" x14ac:dyDescent="0.35">
      <c r="B97" s="57"/>
      <c r="F97" s="238"/>
      <c r="I97" s="239"/>
      <c r="J97" s="239"/>
      <c r="P97" s="149"/>
      <c r="Q97" s="195"/>
      <c r="U97" s="149"/>
      <c r="V97" s="149"/>
      <c r="W97" s="149"/>
      <c r="X97" s="149"/>
      <c r="Y97" s="149"/>
    </row>
    <row r="98" spans="2:25" s="222" customFormat="1" x14ac:dyDescent="0.35">
      <c r="B98" s="57"/>
      <c r="F98" s="238"/>
      <c r="I98" s="239"/>
      <c r="J98" s="239"/>
      <c r="P98" s="149"/>
      <c r="Q98" s="195"/>
      <c r="U98" s="149"/>
      <c r="V98" s="149"/>
      <c r="W98" s="149"/>
      <c r="X98" s="149"/>
      <c r="Y98" s="149"/>
    </row>
    <row r="99" spans="2:25" s="222" customFormat="1" x14ac:dyDescent="0.35">
      <c r="B99" s="57"/>
      <c r="F99" s="238"/>
      <c r="I99" s="239"/>
      <c r="J99" s="239"/>
      <c r="P99" s="149"/>
      <c r="Q99" s="195"/>
      <c r="U99" s="149"/>
      <c r="V99" s="149"/>
      <c r="W99" s="149"/>
      <c r="X99" s="149"/>
      <c r="Y99" s="149"/>
    </row>
    <row r="100" spans="2:25" s="222" customFormat="1" x14ac:dyDescent="0.35">
      <c r="B100" s="57"/>
      <c r="F100" s="238"/>
      <c r="I100" s="239"/>
      <c r="J100" s="239"/>
      <c r="P100" s="149"/>
      <c r="Q100" s="195"/>
      <c r="U100" s="149"/>
      <c r="V100" s="149"/>
      <c r="W100" s="149"/>
      <c r="X100" s="149"/>
      <c r="Y100" s="149"/>
    </row>
    <row r="101" spans="2:25" s="222" customFormat="1" x14ac:dyDescent="0.35">
      <c r="B101" s="57"/>
      <c r="F101" s="238"/>
      <c r="I101" s="239"/>
      <c r="J101" s="239"/>
      <c r="P101" s="149"/>
      <c r="Q101" s="195"/>
      <c r="U101" s="149"/>
      <c r="V101" s="149"/>
      <c r="W101" s="149"/>
      <c r="X101" s="149"/>
      <c r="Y101" s="149"/>
    </row>
    <row r="102" spans="2:25" s="222" customFormat="1" x14ac:dyDescent="0.35">
      <c r="B102" s="57"/>
      <c r="F102" s="238"/>
      <c r="I102" s="239"/>
      <c r="J102" s="239"/>
      <c r="P102" s="149"/>
      <c r="Q102" s="195"/>
      <c r="U102" s="149"/>
      <c r="V102" s="149"/>
      <c r="W102" s="149"/>
      <c r="X102" s="149"/>
      <c r="Y102" s="149"/>
    </row>
    <row r="103" spans="2:25" s="222" customFormat="1" x14ac:dyDescent="0.35">
      <c r="B103" s="57"/>
      <c r="F103" s="238"/>
      <c r="I103" s="239"/>
      <c r="J103" s="239"/>
      <c r="P103" s="149"/>
      <c r="Q103" s="195"/>
      <c r="U103" s="149"/>
      <c r="V103" s="149"/>
      <c r="W103" s="149"/>
      <c r="X103" s="149"/>
      <c r="Y103" s="149"/>
    </row>
    <row r="104" spans="2:25" s="222" customFormat="1" x14ac:dyDescent="0.35">
      <c r="B104" s="57"/>
      <c r="F104" s="238"/>
      <c r="I104" s="239"/>
      <c r="J104" s="239"/>
      <c r="P104" s="149"/>
      <c r="Q104" s="195"/>
      <c r="U104" s="149"/>
      <c r="V104" s="149"/>
      <c r="W104" s="149"/>
      <c r="X104" s="149"/>
      <c r="Y104" s="149"/>
    </row>
    <row r="105" spans="2:25" s="222" customFormat="1" x14ac:dyDescent="0.35">
      <c r="B105" s="57"/>
      <c r="F105" s="238"/>
      <c r="I105" s="239"/>
      <c r="J105" s="239"/>
      <c r="P105" s="149"/>
      <c r="Q105" s="195"/>
      <c r="U105" s="149"/>
      <c r="V105" s="149"/>
      <c r="W105" s="149"/>
      <c r="X105" s="149"/>
      <c r="Y105" s="149"/>
    </row>
    <row r="106" spans="2:25" s="222" customFormat="1" x14ac:dyDescent="0.35">
      <c r="B106" s="57"/>
      <c r="F106" s="238"/>
      <c r="I106" s="239"/>
      <c r="J106" s="239"/>
      <c r="P106" s="149"/>
      <c r="Q106" s="195"/>
      <c r="U106" s="149"/>
      <c r="V106" s="149"/>
      <c r="W106" s="149"/>
      <c r="X106" s="149"/>
      <c r="Y106" s="149"/>
    </row>
    <row r="107" spans="2:25" s="222" customFormat="1" x14ac:dyDescent="0.35">
      <c r="B107" s="57"/>
      <c r="F107" s="238"/>
      <c r="I107" s="239"/>
      <c r="J107" s="239"/>
      <c r="P107" s="149"/>
      <c r="Q107" s="195"/>
      <c r="U107" s="149"/>
      <c r="V107" s="149"/>
      <c r="W107" s="149"/>
      <c r="X107" s="149"/>
      <c r="Y107" s="149"/>
    </row>
    <row r="108" spans="2:25" s="222" customFormat="1" x14ac:dyDescent="0.35">
      <c r="B108" s="57"/>
      <c r="F108" s="238"/>
      <c r="I108" s="239"/>
      <c r="J108" s="239"/>
      <c r="P108" s="149"/>
      <c r="Q108" s="195"/>
      <c r="U108" s="149"/>
      <c r="V108" s="149"/>
      <c r="W108" s="149"/>
      <c r="X108" s="149"/>
      <c r="Y108" s="149"/>
    </row>
    <row r="109" spans="2:25" s="222" customFormat="1" x14ac:dyDescent="0.35">
      <c r="B109" s="57"/>
      <c r="F109" s="238"/>
      <c r="I109" s="239"/>
      <c r="J109" s="239"/>
      <c r="P109" s="149"/>
      <c r="Q109" s="195"/>
      <c r="U109" s="149"/>
      <c r="V109" s="149"/>
      <c r="W109" s="149"/>
      <c r="X109" s="149"/>
      <c r="Y109" s="149"/>
    </row>
    <row r="110" spans="2:25" s="222" customFormat="1" x14ac:dyDescent="0.35">
      <c r="B110" s="57"/>
      <c r="F110" s="238"/>
      <c r="I110" s="239"/>
      <c r="J110" s="239"/>
      <c r="P110" s="149"/>
      <c r="Q110" s="195"/>
      <c r="U110" s="149"/>
      <c r="V110" s="149"/>
      <c r="W110" s="149"/>
      <c r="X110" s="149"/>
      <c r="Y110" s="149"/>
    </row>
    <row r="111" spans="2:25" s="222" customFormat="1" x14ac:dyDescent="0.35">
      <c r="B111" s="57"/>
      <c r="F111" s="238"/>
      <c r="I111" s="239"/>
      <c r="J111" s="239"/>
      <c r="P111" s="149"/>
      <c r="Q111" s="195"/>
      <c r="U111" s="149"/>
      <c r="V111" s="149"/>
      <c r="W111" s="149"/>
      <c r="X111" s="149"/>
      <c r="Y111" s="149"/>
    </row>
    <row r="112" spans="2:25" s="222" customFormat="1" x14ac:dyDescent="0.35">
      <c r="B112" s="57"/>
      <c r="F112" s="238"/>
      <c r="I112" s="239"/>
      <c r="J112" s="239"/>
      <c r="P112" s="149"/>
      <c r="Q112" s="195"/>
      <c r="U112" s="149"/>
      <c r="V112" s="149"/>
      <c r="W112" s="149"/>
      <c r="X112" s="149"/>
      <c r="Y112" s="149"/>
    </row>
    <row r="113" spans="2:25" s="222" customFormat="1" x14ac:dyDescent="0.35">
      <c r="B113" s="57"/>
      <c r="F113" s="238"/>
      <c r="I113" s="239"/>
      <c r="J113" s="239"/>
      <c r="P113" s="149"/>
      <c r="Q113" s="195"/>
      <c r="U113" s="149"/>
      <c r="V113" s="149"/>
      <c r="W113" s="149"/>
      <c r="X113" s="149"/>
      <c r="Y113" s="149"/>
    </row>
    <row r="114" spans="2:25" s="222" customFormat="1" x14ac:dyDescent="0.35">
      <c r="B114" s="57"/>
      <c r="F114" s="238"/>
      <c r="I114" s="239"/>
      <c r="J114" s="239"/>
      <c r="P114" s="149"/>
      <c r="Q114" s="195"/>
      <c r="U114" s="149"/>
      <c r="V114" s="149"/>
      <c r="W114" s="149"/>
      <c r="X114" s="149"/>
      <c r="Y114" s="149"/>
    </row>
    <row r="115" spans="2:25" s="222" customFormat="1" x14ac:dyDescent="0.35">
      <c r="B115" s="57"/>
      <c r="F115" s="238"/>
      <c r="I115" s="239"/>
      <c r="J115" s="239"/>
      <c r="P115" s="149"/>
      <c r="Q115" s="195"/>
      <c r="U115" s="149"/>
      <c r="V115" s="149"/>
      <c r="W115" s="149"/>
      <c r="X115" s="149"/>
      <c r="Y115" s="149"/>
    </row>
    <row r="116" spans="2:25" s="222" customFormat="1" x14ac:dyDescent="0.35">
      <c r="B116" s="57"/>
      <c r="F116" s="238"/>
      <c r="I116" s="239"/>
      <c r="J116" s="239"/>
      <c r="P116" s="149"/>
      <c r="Q116" s="195"/>
      <c r="U116" s="149"/>
      <c r="V116" s="149"/>
      <c r="W116" s="149"/>
      <c r="X116" s="149"/>
      <c r="Y116" s="149"/>
    </row>
    <row r="117" spans="2:25" s="222" customFormat="1" x14ac:dyDescent="0.35">
      <c r="B117" s="57"/>
      <c r="F117" s="238"/>
      <c r="I117" s="239"/>
      <c r="J117" s="239"/>
      <c r="P117" s="149"/>
      <c r="Q117" s="195"/>
      <c r="U117" s="149"/>
      <c r="V117" s="149"/>
      <c r="W117" s="149"/>
      <c r="X117" s="149"/>
      <c r="Y117" s="149"/>
    </row>
    <row r="118" spans="2:25" s="222" customFormat="1" x14ac:dyDescent="0.35">
      <c r="B118" s="57"/>
      <c r="F118" s="238"/>
      <c r="I118" s="239"/>
      <c r="J118" s="239"/>
      <c r="P118" s="149"/>
      <c r="Q118" s="195"/>
      <c r="U118" s="149"/>
      <c r="V118" s="149"/>
      <c r="W118" s="149"/>
      <c r="X118" s="149"/>
      <c r="Y118" s="149"/>
    </row>
    <row r="119" spans="2:25" s="222" customFormat="1" x14ac:dyDescent="0.35">
      <c r="B119" s="57"/>
      <c r="F119" s="238"/>
      <c r="I119" s="239"/>
      <c r="J119" s="239"/>
      <c r="P119" s="149"/>
      <c r="Q119" s="195"/>
      <c r="U119" s="149"/>
      <c r="V119" s="149"/>
      <c r="W119" s="149"/>
      <c r="X119" s="149"/>
      <c r="Y119" s="149"/>
    </row>
    <row r="120" spans="2:25" s="222" customFormat="1" x14ac:dyDescent="0.35">
      <c r="B120" s="57"/>
      <c r="F120" s="238"/>
      <c r="I120" s="239"/>
      <c r="J120" s="239"/>
      <c r="P120" s="149"/>
      <c r="Q120" s="195"/>
      <c r="U120" s="149"/>
      <c r="V120" s="149"/>
      <c r="W120" s="149"/>
      <c r="X120" s="149"/>
      <c r="Y120" s="149"/>
    </row>
    <row r="121" spans="2:25" s="222" customFormat="1" x14ac:dyDescent="0.35">
      <c r="B121" s="57"/>
      <c r="F121" s="238"/>
      <c r="I121" s="239"/>
      <c r="J121" s="239"/>
      <c r="P121" s="149"/>
      <c r="Q121" s="195"/>
      <c r="U121" s="149"/>
      <c r="V121" s="149"/>
      <c r="W121" s="149"/>
      <c r="X121" s="149"/>
      <c r="Y121" s="149"/>
    </row>
    <row r="122" spans="2:25" s="222" customFormat="1" x14ac:dyDescent="0.35">
      <c r="B122" s="57"/>
      <c r="F122" s="238"/>
      <c r="I122" s="239"/>
      <c r="J122" s="239"/>
      <c r="P122" s="149"/>
      <c r="Q122" s="195"/>
      <c r="U122" s="149"/>
      <c r="V122" s="149"/>
      <c r="W122" s="149"/>
      <c r="X122" s="149"/>
      <c r="Y122" s="149"/>
    </row>
    <row r="123" spans="2:25" s="222" customFormat="1" x14ac:dyDescent="0.35">
      <c r="B123" s="57"/>
      <c r="F123" s="238"/>
      <c r="I123" s="239"/>
      <c r="J123" s="239"/>
      <c r="P123" s="149"/>
      <c r="Q123" s="195"/>
      <c r="U123" s="149"/>
      <c r="V123" s="149"/>
      <c r="W123" s="149"/>
      <c r="X123" s="149"/>
      <c r="Y123" s="149"/>
    </row>
    <row r="124" spans="2:25" s="222" customFormat="1" x14ac:dyDescent="0.35">
      <c r="B124" s="57"/>
      <c r="F124" s="238"/>
      <c r="I124" s="239"/>
      <c r="J124" s="239"/>
      <c r="P124" s="149"/>
      <c r="Q124" s="195"/>
      <c r="U124" s="149"/>
      <c r="V124" s="149"/>
      <c r="W124" s="149"/>
      <c r="X124" s="149"/>
      <c r="Y124" s="149"/>
    </row>
    <row r="125" spans="2:25" s="222" customFormat="1" x14ac:dyDescent="0.35">
      <c r="B125" s="57"/>
      <c r="F125" s="238"/>
      <c r="I125" s="239"/>
      <c r="J125" s="239"/>
      <c r="P125" s="149"/>
      <c r="Q125" s="195"/>
      <c r="U125" s="149"/>
      <c r="V125" s="149"/>
      <c r="W125" s="149"/>
      <c r="X125" s="149"/>
      <c r="Y125" s="149"/>
    </row>
    <row r="126" spans="2:25" s="222" customFormat="1" x14ac:dyDescent="0.35">
      <c r="B126" s="57"/>
      <c r="F126" s="238"/>
      <c r="I126" s="239"/>
      <c r="J126" s="239"/>
      <c r="P126" s="149"/>
      <c r="Q126" s="195"/>
      <c r="U126" s="149"/>
      <c r="V126" s="149"/>
      <c r="W126" s="149"/>
      <c r="X126" s="149"/>
      <c r="Y126" s="149"/>
    </row>
    <row r="127" spans="2:25" s="222" customFormat="1" x14ac:dyDescent="0.35">
      <c r="B127" s="57"/>
      <c r="F127" s="238"/>
      <c r="I127" s="239"/>
      <c r="J127" s="239"/>
      <c r="P127" s="149"/>
      <c r="Q127" s="195"/>
      <c r="U127" s="149"/>
      <c r="V127" s="149"/>
      <c r="W127" s="149"/>
      <c r="X127" s="149"/>
      <c r="Y127" s="149"/>
    </row>
    <row r="128" spans="2:25" s="222" customFormat="1" x14ac:dyDescent="0.35">
      <c r="B128" s="57"/>
      <c r="F128" s="238"/>
      <c r="I128" s="239"/>
      <c r="J128" s="239"/>
      <c r="P128" s="149"/>
      <c r="Q128" s="195"/>
      <c r="U128" s="149"/>
      <c r="V128" s="149"/>
      <c r="W128" s="149"/>
      <c r="X128" s="149"/>
      <c r="Y128" s="149"/>
    </row>
    <row r="129" spans="2:25" s="222" customFormat="1" x14ac:dyDescent="0.35">
      <c r="B129" s="57"/>
      <c r="F129" s="238"/>
      <c r="I129" s="239"/>
      <c r="J129" s="239"/>
      <c r="P129" s="149"/>
      <c r="Q129" s="195"/>
      <c r="U129" s="149"/>
      <c r="V129" s="149"/>
      <c r="W129" s="149"/>
      <c r="X129" s="149"/>
      <c r="Y129" s="149"/>
    </row>
    <row r="130" spans="2:25" s="222" customFormat="1" x14ac:dyDescent="0.35">
      <c r="B130" s="57"/>
      <c r="F130" s="238"/>
      <c r="I130" s="239"/>
      <c r="J130" s="239"/>
      <c r="P130" s="149"/>
      <c r="Q130" s="195"/>
      <c r="U130" s="149"/>
      <c r="V130" s="149"/>
      <c r="W130" s="149"/>
      <c r="X130" s="149"/>
      <c r="Y130" s="149"/>
    </row>
    <row r="131" spans="2:25" s="222" customFormat="1" x14ac:dyDescent="0.35">
      <c r="B131" s="57"/>
      <c r="F131" s="238"/>
      <c r="I131" s="239"/>
      <c r="J131" s="239"/>
      <c r="P131" s="149"/>
      <c r="Q131" s="195"/>
      <c r="U131" s="149"/>
      <c r="V131" s="149"/>
      <c r="W131" s="149"/>
      <c r="X131" s="149"/>
      <c r="Y131" s="149"/>
    </row>
    <row r="132" spans="2:25" s="222" customFormat="1" x14ac:dyDescent="0.35">
      <c r="B132" s="57"/>
      <c r="F132" s="238"/>
      <c r="I132" s="239"/>
      <c r="J132" s="239"/>
      <c r="P132" s="149"/>
      <c r="Q132" s="195"/>
      <c r="U132" s="149"/>
      <c r="V132" s="149"/>
      <c r="W132" s="149"/>
      <c r="X132" s="149"/>
      <c r="Y132" s="149"/>
    </row>
    <row r="133" spans="2:25" s="222" customFormat="1" x14ac:dyDescent="0.35">
      <c r="B133" s="57"/>
      <c r="F133" s="238"/>
      <c r="I133" s="239"/>
      <c r="J133" s="239"/>
      <c r="P133" s="149"/>
      <c r="Q133" s="195"/>
      <c r="U133" s="149"/>
      <c r="V133" s="149"/>
      <c r="W133" s="149"/>
      <c r="X133" s="149"/>
      <c r="Y133" s="149"/>
    </row>
    <row r="134" spans="2:25" s="222" customFormat="1" x14ac:dyDescent="0.35">
      <c r="B134" s="57"/>
      <c r="F134" s="238"/>
      <c r="I134" s="239"/>
      <c r="J134" s="239"/>
      <c r="P134" s="149"/>
      <c r="Q134" s="195"/>
      <c r="U134" s="149"/>
      <c r="V134" s="149"/>
      <c r="W134" s="149"/>
      <c r="X134" s="149"/>
      <c r="Y134" s="149"/>
    </row>
    <row r="135" spans="2:25" s="222" customFormat="1" x14ac:dyDescent="0.35">
      <c r="B135" s="57"/>
      <c r="F135" s="238"/>
      <c r="I135" s="239"/>
      <c r="J135" s="239"/>
      <c r="P135" s="149"/>
      <c r="Q135" s="195"/>
      <c r="U135" s="149"/>
      <c r="V135" s="149"/>
      <c r="W135" s="149"/>
      <c r="X135" s="149"/>
      <c r="Y135" s="149"/>
    </row>
    <row r="136" spans="2:25" s="222" customFormat="1" x14ac:dyDescent="0.35">
      <c r="B136" s="57"/>
      <c r="F136" s="238"/>
      <c r="I136" s="239"/>
      <c r="J136" s="239"/>
      <c r="P136" s="149"/>
      <c r="Q136" s="195"/>
      <c r="U136" s="149"/>
      <c r="V136" s="149"/>
      <c r="W136" s="149"/>
      <c r="X136" s="149"/>
      <c r="Y136" s="149"/>
    </row>
    <row r="137" spans="2:25" s="222" customFormat="1" x14ac:dyDescent="0.35">
      <c r="B137" s="57"/>
      <c r="F137" s="238"/>
      <c r="I137" s="239"/>
      <c r="J137" s="239"/>
      <c r="P137" s="149"/>
      <c r="Q137" s="195"/>
      <c r="U137" s="149"/>
      <c r="V137" s="149"/>
      <c r="W137" s="149"/>
      <c r="X137" s="149"/>
      <c r="Y137" s="149"/>
    </row>
    <row r="138" spans="2:25" s="222" customFormat="1" x14ac:dyDescent="0.35">
      <c r="B138" s="57"/>
      <c r="F138" s="238"/>
      <c r="I138" s="239"/>
      <c r="J138" s="239"/>
      <c r="P138" s="149"/>
      <c r="Q138" s="195"/>
      <c r="U138" s="149"/>
      <c r="V138" s="149"/>
      <c r="W138" s="149"/>
      <c r="X138" s="149"/>
      <c r="Y138" s="149"/>
    </row>
    <row r="139" spans="2:25" s="222" customFormat="1" x14ac:dyDescent="0.35">
      <c r="B139" s="57"/>
      <c r="F139" s="238"/>
      <c r="I139" s="239"/>
      <c r="J139" s="239"/>
      <c r="P139" s="149"/>
      <c r="Q139" s="195"/>
      <c r="U139" s="149"/>
      <c r="V139" s="149"/>
      <c r="W139" s="149"/>
      <c r="X139" s="149"/>
      <c r="Y139" s="149"/>
    </row>
    <row r="140" spans="2:25" s="222" customFormat="1" x14ac:dyDescent="0.35">
      <c r="B140" s="57"/>
      <c r="F140" s="238"/>
      <c r="I140" s="239"/>
      <c r="J140" s="239"/>
      <c r="P140" s="149"/>
      <c r="Q140" s="195"/>
      <c r="U140" s="149"/>
      <c r="V140" s="149"/>
      <c r="W140" s="149"/>
      <c r="X140" s="149"/>
      <c r="Y140" s="149"/>
    </row>
    <row r="141" spans="2:25" s="222" customFormat="1" x14ac:dyDescent="0.35">
      <c r="B141" s="57"/>
      <c r="F141" s="238"/>
      <c r="I141" s="239"/>
      <c r="J141" s="239"/>
      <c r="P141" s="149"/>
      <c r="Q141" s="195"/>
      <c r="U141" s="149"/>
      <c r="V141" s="149"/>
      <c r="W141" s="149"/>
      <c r="X141" s="149"/>
      <c r="Y141" s="149"/>
    </row>
    <row r="142" spans="2:25" s="222" customFormat="1" x14ac:dyDescent="0.35">
      <c r="B142" s="57"/>
      <c r="F142" s="238"/>
      <c r="I142" s="239"/>
      <c r="J142" s="239"/>
      <c r="P142" s="149"/>
      <c r="Q142" s="195"/>
      <c r="U142" s="149"/>
      <c r="V142" s="149"/>
      <c r="W142" s="149"/>
      <c r="X142" s="149"/>
      <c r="Y142" s="149"/>
    </row>
    <row r="143" spans="2:25" s="222" customFormat="1" x14ac:dyDescent="0.35">
      <c r="B143" s="57"/>
      <c r="F143" s="238"/>
      <c r="I143" s="239"/>
      <c r="J143" s="239"/>
      <c r="P143" s="149"/>
      <c r="Q143" s="195"/>
      <c r="U143" s="149"/>
      <c r="V143" s="149"/>
      <c r="W143" s="149"/>
      <c r="X143" s="149"/>
      <c r="Y143" s="149"/>
    </row>
    <row r="144" spans="2:25" s="222" customFormat="1" x14ac:dyDescent="0.35">
      <c r="B144" s="57"/>
      <c r="F144" s="238"/>
      <c r="I144" s="239"/>
      <c r="J144" s="239"/>
      <c r="P144" s="149"/>
      <c r="Q144" s="195"/>
      <c r="U144" s="149"/>
      <c r="V144" s="149"/>
      <c r="W144" s="149"/>
      <c r="X144" s="149"/>
      <c r="Y144" s="149"/>
    </row>
    <row r="145" spans="2:25" s="222" customFormat="1" x14ac:dyDescent="0.35">
      <c r="B145" s="57"/>
      <c r="F145" s="238"/>
      <c r="I145" s="239"/>
      <c r="J145" s="239"/>
      <c r="P145" s="149"/>
      <c r="Q145" s="195"/>
      <c r="U145" s="149"/>
      <c r="V145" s="149"/>
      <c r="W145" s="149"/>
      <c r="X145" s="149"/>
      <c r="Y145" s="149"/>
    </row>
    <row r="146" spans="2:25" s="222" customFormat="1" x14ac:dyDescent="0.35">
      <c r="B146" s="57"/>
      <c r="F146" s="238"/>
      <c r="I146" s="239"/>
      <c r="J146" s="239"/>
      <c r="P146" s="149"/>
      <c r="Q146" s="195"/>
      <c r="U146" s="149"/>
      <c r="V146" s="149"/>
      <c r="W146" s="149"/>
      <c r="X146" s="149"/>
      <c r="Y146" s="149"/>
    </row>
    <row r="147" spans="2:25" s="222" customFormat="1" x14ac:dyDescent="0.35">
      <c r="B147" s="57"/>
      <c r="F147" s="238"/>
      <c r="I147" s="239"/>
      <c r="J147" s="239"/>
      <c r="P147" s="149"/>
      <c r="Q147" s="195"/>
      <c r="U147" s="149"/>
      <c r="V147" s="149"/>
      <c r="W147" s="149"/>
      <c r="X147" s="149"/>
      <c r="Y147" s="149"/>
    </row>
    <row r="148" spans="2:25" s="222" customFormat="1" x14ac:dyDescent="0.35">
      <c r="B148" s="57"/>
      <c r="F148" s="238"/>
      <c r="I148" s="239"/>
      <c r="J148" s="239"/>
      <c r="P148" s="149"/>
      <c r="Q148" s="195"/>
      <c r="U148" s="149"/>
      <c r="V148" s="149"/>
      <c r="W148" s="149"/>
      <c r="X148" s="149"/>
      <c r="Y148" s="149"/>
    </row>
    <row r="149" spans="2:25" s="222" customFormat="1" x14ac:dyDescent="0.35">
      <c r="B149" s="57"/>
      <c r="F149" s="238"/>
      <c r="I149" s="239"/>
      <c r="J149" s="239"/>
      <c r="P149" s="149"/>
      <c r="Q149" s="195"/>
      <c r="U149" s="149"/>
      <c r="V149" s="149"/>
      <c r="W149" s="149"/>
      <c r="X149" s="149"/>
      <c r="Y149" s="149"/>
    </row>
    <row r="150" spans="2:25" s="222" customFormat="1" x14ac:dyDescent="0.35">
      <c r="B150" s="57"/>
      <c r="F150" s="238"/>
      <c r="I150" s="239"/>
      <c r="J150" s="239"/>
      <c r="P150" s="149"/>
      <c r="Q150" s="195"/>
      <c r="U150" s="149"/>
      <c r="V150" s="149"/>
      <c r="W150" s="149"/>
      <c r="X150" s="149"/>
      <c r="Y150" s="149"/>
    </row>
    <row r="151" spans="2:25" s="222" customFormat="1" x14ac:dyDescent="0.35">
      <c r="B151" s="57"/>
      <c r="F151" s="238"/>
      <c r="I151" s="239"/>
      <c r="J151" s="239"/>
      <c r="P151" s="149"/>
      <c r="Q151" s="195"/>
      <c r="U151" s="149"/>
      <c r="V151" s="149"/>
      <c r="W151" s="149"/>
      <c r="X151" s="149"/>
      <c r="Y151" s="149"/>
    </row>
    <row r="152" spans="2:25" s="222" customFormat="1" x14ac:dyDescent="0.35">
      <c r="B152" s="57"/>
      <c r="F152" s="238"/>
      <c r="I152" s="239"/>
      <c r="J152" s="239"/>
      <c r="P152" s="149"/>
      <c r="Q152" s="195"/>
      <c r="U152" s="149"/>
      <c r="V152" s="149"/>
      <c r="W152" s="149"/>
      <c r="X152" s="149"/>
      <c r="Y152" s="149"/>
    </row>
    <row r="153" spans="2:25" s="222" customFormat="1" x14ac:dyDescent="0.35">
      <c r="B153" s="57"/>
      <c r="F153" s="238"/>
      <c r="I153" s="239"/>
      <c r="J153" s="239"/>
      <c r="P153" s="149"/>
      <c r="Q153" s="195"/>
      <c r="U153" s="149"/>
      <c r="V153" s="149"/>
      <c r="W153" s="149"/>
      <c r="X153" s="149"/>
      <c r="Y153" s="149"/>
    </row>
    <row r="154" spans="2:25" s="222" customFormat="1" x14ac:dyDescent="0.35">
      <c r="B154" s="57"/>
      <c r="F154" s="238"/>
      <c r="I154" s="239"/>
      <c r="J154" s="239"/>
      <c r="P154" s="149"/>
      <c r="Q154" s="195"/>
      <c r="U154" s="149"/>
      <c r="V154" s="149"/>
      <c r="W154" s="149"/>
      <c r="X154" s="149"/>
      <c r="Y154" s="149"/>
    </row>
    <row r="155" spans="2:25" s="222" customFormat="1" x14ac:dyDescent="0.35">
      <c r="B155" s="57"/>
      <c r="F155" s="238"/>
      <c r="I155" s="239"/>
      <c r="J155" s="239"/>
      <c r="P155" s="149"/>
      <c r="Q155" s="195"/>
      <c r="U155" s="149"/>
      <c r="V155" s="149"/>
      <c r="W155" s="149"/>
      <c r="X155" s="149"/>
      <c r="Y155" s="149"/>
    </row>
    <row r="156" spans="2:25" s="222" customFormat="1" x14ac:dyDescent="0.35">
      <c r="B156" s="57"/>
      <c r="F156" s="238"/>
      <c r="I156" s="239"/>
      <c r="J156" s="239"/>
      <c r="P156" s="149"/>
      <c r="Q156" s="195"/>
      <c r="U156" s="149"/>
      <c r="V156" s="149"/>
      <c r="W156" s="149"/>
      <c r="X156" s="149"/>
      <c r="Y156" s="149"/>
    </row>
    <row r="157" spans="2:25" s="222" customFormat="1" x14ac:dyDescent="0.35">
      <c r="B157" s="57"/>
      <c r="F157" s="238"/>
      <c r="I157" s="239"/>
      <c r="J157" s="239"/>
      <c r="P157" s="149"/>
      <c r="Q157" s="195"/>
      <c r="U157" s="149"/>
      <c r="V157" s="149"/>
      <c r="W157" s="149"/>
      <c r="X157" s="149"/>
      <c r="Y157" s="149"/>
    </row>
    <row r="158" spans="2:25" s="222" customFormat="1" x14ac:dyDescent="0.35">
      <c r="B158" s="57"/>
      <c r="F158" s="238"/>
      <c r="I158" s="239"/>
      <c r="J158" s="239"/>
      <c r="P158" s="149"/>
      <c r="Q158" s="195"/>
      <c r="U158" s="149"/>
      <c r="V158" s="149"/>
      <c r="W158" s="149"/>
      <c r="X158" s="149"/>
      <c r="Y158" s="149"/>
    </row>
    <row r="159" spans="2:25" s="222" customFormat="1" x14ac:dyDescent="0.35">
      <c r="B159" s="57"/>
      <c r="F159" s="238"/>
      <c r="I159" s="239"/>
      <c r="J159" s="239"/>
      <c r="P159" s="149"/>
      <c r="Q159" s="195"/>
      <c r="U159" s="149"/>
      <c r="V159" s="149"/>
      <c r="W159" s="149"/>
      <c r="X159" s="149"/>
      <c r="Y159" s="149"/>
    </row>
    <row r="160" spans="2:25" s="222" customFormat="1" x14ac:dyDescent="0.35">
      <c r="B160" s="57"/>
      <c r="F160" s="238"/>
      <c r="I160" s="239"/>
      <c r="J160" s="239"/>
      <c r="P160" s="149"/>
      <c r="Q160" s="195"/>
      <c r="U160" s="149"/>
      <c r="V160" s="149"/>
      <c r="W160" s="149"/>
      <c r="X160" s="149"/>
      <c r="Y160" s="149"/>
    </row>
    <row r="161" spans="2:25" s="222" customFormat="1" x14ac:dyDescent="0.35">
      <c r="B161" s="57"/>
      <c r="F161" s="238"/>
      <c r="I161" s="239"/>
      <c r="J161" s="239"/>
      <c r="P161" s="149"/>
      <c r="Q161" s="195"/>
      <c r="U161" s="149"/>
      <c r="V161" s="149"/>
      <c r="W161" s="149"/>
      <c r="X161" s="149"/>
      <c r="Y161" s="149"/>
    </row>
    <row r="162" spans="2:25" s="222" customFormat="1" x14ac:dyDescent="0.35">
      <c r="B162" s="57"/>
      <c r="F162" s="238"/>
      <c r="I162" s="239"/>
      <c r="J162" s="239"/>
      <c r="P162" s="149"/>
      <c r="Q162" s="195"/>
      <c r="U162" s="149"/>
      <c r="V162" s="149"/>
      <c r="W162" s="149"/>
      <c r="X162" s="149"/>
      <c r="Y162" s="149"/>
    </row>
    <row r="163" spans="2:25" s="222" customFormat="1" x14ac:dyDescent="0.35">
      <c r="B163" s="57"/>
      <c r="F163" s="238"/>
      <c r="I163" s="239"/>
      <c r="J163" s="239"/>
      <c r="P163" s="149"/>
      <c r="Q163" s="195"/>
      <c r="U163" s="149"/>
      <c r="V163" s="149"/>
      <c r="W163" s="149"/>
      <c r="X163" s="149"/>
      <c r="Y163" s="149"/>
    </row>
    <row r="164" spans="2:25" s="222" customFormat="1" x14ac:dyDescent="0.35">
      <c r="B164" s="57"/>
      <c r="F164" s="238"/>
      <c r="I164" s="239"/>
      <c r="J164" s="239"/>
      <c r="P164" s="149"/>
      <c r="Q164" s="195"/>
      <c r="U164" s="149"/>
      <c r="V164" s="149"/>
      <c r="W164" s="149"/>
      <c r="X164" s="149"/>
      <c r="Y164" s="149"/>
    </row>
    <row r="165" spans="2:25" s="222" customFormat="1" x14ac:dyDescent="0.35">
      <c r="B165" s="57"/>
      <c r="F165" s="238"/>
      <c r="I165" s="239"/>
      <c r="J165" s="239"/>
      <c r="P165" s="149"/>
      <c r="Q165" s="195"/>
      <c r="U165" s="149"/>
      <c r="V165" s="149"/>
      <c r="W165" s="149"/>
      <c r="X165" s="149"/>
      <c r="Y165" s="149"/>
    </row>
    <row r="166" spans="2:25" s="222" customFormat="1" x14ac:dyDescent="0.35">
      <c r="B166" s="57"/>
      <c r="F166" s="238"/>
      <c r="I166" s="239"/>
      <c r="J166" s="239"/>
      <c r="P166" s="149"/>
      <c r="Q166" s="195"/>
      <c r="U166" s="149"/>
      <c r="V166" s="149"/>
      <c r="W166" s="149"/>
      <c r="X166" s="149"/>
      <c r="Y166" s="149"/>
    </row>
    <row r="167" spans="2:25" s="222" customFormat="1" x14ac:dyDescent="0.35">
      <c r="B167" s="57"/>
      <c r="F167" s="238"/>
      <c r="I167" s="239"/>
      <c r="J167" s="239"/>
      <c r="P167" s="149"/>
      <c r="Q167" s="195"/>
      <c r="U167" s="149"/>
      <c r="V167" s="149"/>
      <c r="W167" s="149"/>
      <c r="X167" s="149"/>
      <c r="Y167" s="149"/>
    </row>
    <row r="168" spans="2:25" s="222" customFormat="1" x14ac:dyDescent="0.35">
      <c r="B168" s="57"/>
      <c r="F168" s="238"/>
      <c r="I168" s="239"/>
      <c r="J168" s="239"/>
      <c r="P168" s="149"/>
      <c r="Q168" s="195"/>
      <c r="U168" s="149"/>
      <c r="V168" s="149"/>
      <c r="W168" s="149"/>
      <c r="X168" s="149"/>
      <c r="Y168" s="149"/>
    </row>
    <row r="169" spans="2:25" s="222" customFormat="1" x14ac:dyDescent="0.35">
      <c r="B169" s="57"/>
      <c r="F169" s="238"/>
      <c r="I169" s="239"/>
      <c r="J169" s="239"/>
      <c r="P169" s="149"/>
      <c r="Q169" s="195"/>
      <c r="U169" s="149"/>
      <c r="V169" s="149"/>
      <c r="W169" s="149"/>
      <c r="X169" s="149"/>
      <c r="Y169" s="149"/>
    </row>
    <row r="170" spans="2:25" s="222" customFormat="1" x14ac:dyDescent="0.35">
      <c r="B170" s="57"/>
      <c r="F170" s="238"/>
      <c r="I170" s="239"/>
      <c r="J170" s="239"/>
      <c r="P170" s="149"/>
      <c r="Q170" s="195"/>
      <c r="U170" s="149"/>
      <c r="V170" s="149"/>
      <c r="W170" s="149"/>
      <c r="X170" s="149"/>
      <c r="Y170" s="149"/>
    </row>
    <row r="171" spans="2:25" s="222" customFormat="1" x14ac:dyDescent="0.35">
      <c r="B171" s="57"/>
      <c r="F171" s="238"/>
      <c r="I171" s="239"/>
      <c r="J171" s="239"/>
      <c r="P171" s="149"/>
      <c r="Q171" s="195"/>
      <c r="U171" s="149"/>
      <c r="V171" s="149"/>
      <c r="W171" s="149"/>
      <c r="X171" s="149"/>
      <c r="Y171" s="149"/>
    </row>
    <row r="172" spans="2:25" s="222" customFormat="1" x14ac:dyDescent="0.35">
      <c r="B172" s="57"/>
      <c r="F172" s="238"/>
      <c r="I172" s="239"/>
      <c r="J172" s="239"/>
      <c r="P172" s="149"/>
      <c r="Q172" s="195"/>
      <c r="U172" s="149"/>
      <c r="V172" s="149"/>
      <c r="W172" s="149"/>
      <c r="X172" s="149"/>
      <c r="Y172" s="149"/>
    </row>
    <row r="173" spans="2:25" s="222" customFormat="1" x14ac:dyDescent="0.35">
      <c r="B173" s="57"/>
      <c r="F173" s="238"/>
      <c r="I173" s="239"/>
      <c r="J173" s="239"/>
      <c r="P173" s="149"/>
      <c r="Q173" s="195"/>
      <c r="U173" s="149"/>
      <c r="V173" s="149"/>
      <c r="W173" s="149"/>
      <c r="X173" s="149"/>
      <c r="Y173" s="149"/>
    </row>
    <row r="174" spans="2:25" s="222" customFormat="1" x14ac:dyDescent="0.35">
      <c r="B174" s="57"/>
      <c r="F174" s="238"/>
      <c r="I174" s="239"/>
      <c r="J174" s="239"/>
      <c r="P174" s="149"/>
      <c r="Q174" s="195"/>
      <c r="U174" s="149"/>
      <c r="V174" s="149"/>
      <c r="W174" s="149"/>
      <c r="X174" s="149"/>
      <c r="Y174" s="149"/>
    </row>
    <row r="175" spans="2:25" s="222" customFormat="1" x14ac:dyDescent="0.35">
      <c r="B175" s="57"/>
      <c r="F175" s="238"/>
      <c r="I175" s="239"/>
      <c r="J175" s="239"/>
      <c r="P175" s="149"/>
      <c r="Q175" s="195"/>
      <c r="U175" s="149"/>
      <c r="V175" s="149"/>
      <c r="W175" s="149"/>
      <c r="X175" s="149"/>
      <c r="Y175" s="149"/>
    </row>
    <row r="176" spans="2:25" s="222" customFormat="1" x14ac:dyDescent="0.35">
      <c r="B176" s="57"/>
      <c r="F176" s="238"/>
      <c r="I176" s="239"/>
      <c r="J176" s="239"/>
      <c r="P176" s="149"/>
      <c r="Q176" s="195"/>
      <c r="U176" s="149"/>
      <c r="V176" s="149"/>
      <c r="W176" s="149"/>
      <c r="X176" s="149"/>
      <c r="Y176" s="149"/>
    </row>
    <row r="177" spans="2:25" s="222" customFormat="1" x14ac:dyDescent="0.35">
      <c r="B177" s="57"/>
      <c r="F177" s="238"/>
      <c r="I177" s="239"/>
      <c r="J177" s="239"/>
      <c r="P177" s="149"/>
      <c r="Q177" s="195"/>
      <c r="U177" s="149"/>
      <c r="V177" s="149"/>
      <c r="W177" s="149"/>
      <c r="X177" s="149"/>
      <c r="Y177" s="149"/>
    </row>
    <row r="178" spans="2:25" s="222" customFormat="1" x14ac:dyDescent="0.35">
      <c r="B178" s="57"/>
      <c r="F178" s="238"/>
      <c r="I178" s="239"/>
      <c r="J178" s="239"/>
      <c r="P178" s="149"/>
      <c r="Q178" s="195"/>
      <c r="U178" s="149"/>
      <c r="V178" s="149"/>
      <c r="W178" s="149"/>
      <c r="X178" s="149"/>
      <c r="Y178" s="149"/>
    </row>
    <row r="179" spans="2:25" s="222" customFormat="1" x14ac:dyDescent="0.35">
      <c r="B179" s="57"/>
      <c r="F179" s="238"/>
      <c r="I179" s="239"/>
      <c r="J179" s="239"/>
      <c r="P179" s="149"/>
      <c r="Q179" s="195"/>
      <c r="U179" s="149"/>
      <c r="V179" s="149"/>
      <c r="W179" s="149"/>
      <c r="X179" s="149"/>
      <c r="Y179" s="149"/>
    </row>
    <row r="180" spans="2:25" s="222" customFormat="1" x14ac:dyDescent="0.35">
      <c r="B180" s="57"/>
      <c r="F180" s="238"/>
      <c r="I180" s="239"/>
      <c r="J180" s="239"/>
      <c r="P180" s="149"/>
      <c r="Q180" s="195"/>
      <c r="U180" s="149"/>
      <c r="V180" s="149"/>
      <c r="W180" s="149"/>
      <c r="X180" s="149"/>
      <c r="Y180" s="149"/>
    </row>
    <row r="181" spans="2:25" s="222" customFormat="1" x14ac:dyDescent="0.35">
      <c r="B181" s="57"/>
      <c r="F181" s="238"/>
      <c r="I181" s="239"/>
      <c r="J181" s="239"/>
      <c r="P181" s="149"/>
      <c r="Q181" s="195"/>
      <c r="U181" s="149"/>
      <c r="V181" s="149"/>
      <c r="W181" s="149"/>
      <c r="X181" s="149"/>
      <c r="Y181" s="149"/>
    </row>
    <row r="182" spans="2:25" s="222" customFormat="1" x14ac:dyDescent="0.35">
      <c r="B182" s="57"/>
      <c r="F182" s="238"/>
      <c r="I182" s="239"/>
      <c r="J182" s="239"/>
      <c r="P182" s="149"/>
      <c r="Q182" s="195"/>
      <c r="U182" s="149"/>
      <c r="V182" s="149"/>
      <c r="W182" s="149"/>
      <c r="X182" s="149"/>
      <c r="Y182" s="149"/>
    </row>
    <row r="183" spans="2:25" s="222" customFormat="1" x14ac:dyDescent="0.35">
      <c r="B183" s="57"/>
      <c r="F183" s="238"/>
      <c r="I183" s="239"/>
      <c r="J183" s="239"/>
      <c r="P183" s="149"/>
      <c r="Q183" s="195"/>
      <c r="U183" s="149"/>
      <c r="V183" s="149"/>
      <c r="W183" s="149"/>
      <c r="X183" s="149"/>
      <c r="Y183" s="149"/>
    </row>
    <row r="184" spans="2:25" s="222" customFormat="1" x14ac:dyDescent="0.35">
      <c r="B184" s="57"/>
      <c r="F184" s="238"/>
      <c r="I184" s="239"/>
      <c r="J184" s="239"/>
      <c r="P184" s="149"/>
      <c r="Q184" s="195"/>
      <c r="U184" s="149"/>
      <c r="V184" s="149"/>
      <c r="W184" s="149"/>
      <c r="X184" s="149"/>
      <c r="Y184" s="149"/>
    </row>
    <row r="185" spans="2:25" s="222" customFormat="1" x14ac:dyDescent="0.35">
      <c r="B185" s="57"/>
      <c r="F185" s="238"/>
      <c r="I185" s="239"/>
      <c r="J185" s="239"/>
      <c r="P185" s="149"/>
      <c r="Q185" s="195"/>
      <c r="U185" s="149"/>
      <c r="V185" s="149"/>
      <c r="W185" s="149"/>
      <c r="X185" s="149"/>
      <c r="Y185" s="149"/>
    </row>
    <row r="186" spans="2:25" s="222" customFormat="1" x14ac:dyDescent="0.35">
      <c r="B186" s="57"/>
      <c r="F186" s="238"/>
      <c r="I186" s="239"/>
      <c r="J186" s="239"/>
      <c r="P186" s="149"/>
      <c r="Q186" s="195"/>
      <c r="U186" s="149"/>
      <c r="V186" s="149"/>
      <c r="W186" s="149"/>
      <c r="X186" s="149"/>
      <c r="Y186" s="149"/>
    </row>
    <row r="187" spans="2:25" s="222" customFormat="1" x14ac:dyDescent="0.35">
      <c r="B187" s="57"/>
      <c r="F187" s="238"/>
      <c r="I187" s="239"/>
      <c r="J187" s="239"/>
      <c r="P187" s="149"/>
      <c r="Q187" s="195"/>
      <c r="U187" s="149"/>
      <c r="V187" s="149"/>
      <c r="W187" s="149"/>
      <c r="X187" s="149"/>
      <c r="Y187" s="149"/>
    </row>
    <row r="188" spans="2:25" s="222" customFormat="1" x14ac:dyDescent="0.35">
      <c r="B188" s="57"/>
      <c r="F188" s="238"/>
      <c r="I188" s="239"/>
      <c r="J188" s="239"/>
      <c r="P188" s="149"/>
      <c r="Q188" s="195"/>
      <c r="U188" s="149"/>
      <c r="V188" s="149"/>
      <c r="W188" s="149"/>
      <c r="X188" s="149"/>
      <c r="Y188" s="149"/>
    </row>
    <row r="189" spans="2:25" s="222" customFormat="1" x14ac:dyDescent="0.35">
      <c r="B189" s="57"/>
      <c r="F189" s="238"/>
      <c r="I189" s="239"/>
      <c r="J189" s="239"/>
      <c r="P189" s="149"/>
      <c r="Q189" s="195"/>
      <c r="U189" s="149"/>
      <c r="V189" s="149"/>
      <c r="W189" s="149"/>
      <c r="X189" s="149"/>
      <c r="Y189" s="149"/>
    </row>
    <row r="190" spans="2:25" s="222" customFormat="1" x14ac:dyDescent="0.35">
      <c r="B190" s="57"/>
      <c r="F190" s="238"/>
      <c r="I190" s="239"/>
      <c r="J190" s="239"/>
      <c r="P190" s="149"/>
      <c r="Q190" s="195"/>
      <c r="U190" s="149"/>
      <c r="V190" s="149"/>
      <c r="W190" s="149"/>
      <c r="X190" s="149"/>
      <c r="Y190" s="149"/>
    </row>
    <row r="191" spans="2:25" s="222" customFormat="1" x14ac:dyDescent="0.35">
      <c r="B191" s="57"/>
      <c r="F191" s="238"/>
      <c r="I191" s="239"/>
      <c r="J191" s="239"/>
      <c r="P191" s="149"/>
      <c r="Q191" s="195"/>
      <c r="U191" s="149"/>
      <c r="V191" s="149"/>
      <c r="W191" s="149"/>
      <c r="X191" s="149"/>
      <c r="Y191" s="149"/>
    </row>
    <row r="192" spans="2:25" s="222" customFormat="1" x14ac:dyDescent="0.35">
      <c r="B192" s="57"/>
      <c r="F192" s="238"/>
      <c r="I192" s="239"/>
      <c r="J192" s="239"/>
      <c r="P192" s="149"/>
      <c r="Q192" s="195"/>
      <c r="U192" s="149"/>
      <c r="V192" s="149"/>
      <c r="W192" s="149"/>
      <c r="X192" s="149"/>
      <c r="Y192" s="149"/>
    </row>
    <row r="193" spans="2:25" s="222" customFormat="1" x14ac:dyDescent="0.35">
      <c r="B193" s="57"/>
      <c r="F193" s="238"/>
      <c r="I193" s="239"/>
      <c r="J193" s="239"/>
      <c r="P193" s="149"/>
      <c r="Q193" s="195"/>
      <c r="U193" s="149"/>
      <c r="V193" s="149"/>
      <c r="W193" s="149"/>
      <c r="X193" s="149"/>
      <c r="Y193" s="149"/>
    </row>
    <row r="194" spans="2:25" s="222" customFormat="1" x14ac:dyDescent="0.35">
      <c r="B194" s="57"/>
      <c r="F194" s="238"/>
      <c r="I194" s="239"/>
      <c r="J194" s="239"/>
      <c r="P194" s="149"/>
      <c r="Q194" s="195"/>
      <c r="U194" s="149"/>
      <c r="V194" s="149"/>
      <c r="W194" s="149"/>
      <c r="X194" s="149"/>
      <c r="Y194" s="149"/>
    </row>
    <row r="195" spans="2:25" s="222" customFormat="1" x14ac:dyDescent="0.35">
      <c r="B195" s="57"/>
      <c r="F195" s="238"/>
      <c r="I195" s="239"/>
      <c r="J195" s="239"/>
      <c r="P195" s="149"/>
      <c r="Q195" s="195"/>
      <c r="U195" s="149"/>
      <c r="V195" s="149"/>
      <c r="W195" s="149"/>
      <c r="X195" s="149"/>
      <c r="Y195" s="149"/>
    </row>
    <row r="196" spans="2:25" s="222" customFormat="1" x14ac:dyDescent="0.35">
      <c r="B196" s="57"/>
      <c r="F196" s="238"/>
      <c r="I196" s="239"/>
      <c r="J196" s="239"/>
      <c r="P196" s="149"/>
      <c r="Q196" s="195"/>
      <c r="U196" s="149"/>
      <c r="V196" s="149"/>
      <c r="W196" s="149"/>
      <c r="X196" s="149"/>
      <c r="Y196" s="149"/>
    </row>
    <row r="197" spans="2:25" s="222" customFormat="1" x14ac:dyDescent="0.35">
      <c r="B197" s="57"/>
      <c r="F197" s="238"/>
      <c r="I197" s="239"/>
      <c r="J197" s="239"/>
      <c r="P197" s="149"/>
      <c r="Q197" s="195"/>
      <c r="U197" s="149"/>
      <c r="V197" s="149"/>
      <c r="W197" s="149"/>
      <c r="X197" s="149"/>
      <c r="Y197" s="149"/>
    </row>
    <row r="198" spans="2:25" s="222" customFormat="1" x14ac:dyDescent="0.35">
      <c r="B198" s="57"/>
      <c r="F198" s="238"/>
      <c r="I198" s="239"/>
      <c r="J198" s="239"/>
      <c r="P198" s="149"/>
      <c r="Q198" s="195"/>
      <c r="U198" s="149"/>
      <c r="V198" s="149"/>
      <c r="W198" s="149"/>
      <c r="X198" s="149"/>
      <c r="Y198" s="149"/>
    </row>
    <row r="199" spans="2:25" s="222" customFormat="1" x14ac:dyDescent="0.35">
      <c r="B199" s="57"/>
      <c r="F199" s="238"/>
      <c r="I199" s="239"/>
      <c r="J199" s="239"/>
      <c r="P199" s="149"/>
      <c r="Q199" s="195"/>
      <c r="U199" s="149"/>
      <c r="V199" s="149"/>
      <c r="W199" s="149"/>
      <c r="X199" s="149"/>
      <c r="Y199" s="149"/>
    </row>
    <row r="200" spans="2:25" s="222" customFormat="1" x14ac:dyDescent="0.35">
      <c r="B200" s="57"/>
      <c r="F200" s="238"/>
      <c r="I200" s="239"/>
      <c r="J200" s="239"/>
      <c r="P200" s="149"/>
      <c r="Q200" s="195"/>
      <c r="U200" s="149"/>
      <c r="V200" s="149"/>
      <c r="W200" s="149"/>
      <c r="X200" s="149"/>
      <c r="Y200" s="149"/>
    </row>
    <row r="201" spans="2:25" s="222" customFormat="1" x14ac:dyDescent="0.35">
      <c r="B201" s="57"/>
      <c r="F201" s="238"/>
      <c r="I201" s="239"/>
      <c r="J201" s="239"/>
      <c r="P201" s="149"/>
      <c r="Q201" s="195"/>
      <c r="U201" s="149"/>
      <c r="V201" s="149"/>
      <c r="W201" s="149"/>
      <c r="X201" s="149"/>
      <c r="Y201" s="149"/>
    </row>
    <row r="202" spans="2:25" s="222" customFormat="1" x14ac:dyDescent="0.35">
      <c r="B202" s="57"/>
      <c r="F202" s="238"/>
      <c r="I202" s="239"/>
      <c r="J202" s="239"/>
      <c r="P202" s="149"/>
      <c r="Q202" s="195"/>
      <c r="U202" s="149"/>
      <c r="V202" s="149"/>
      <c r="W202" s="149"/>
      <c r="X202" s="149"/>
      <c r="Y202" s="149"/>
    </row>
    <row r="203" spans="2:25" s="222" customFormat="1" x14ac:dyDescent="0.35">
      <c r="B203" s="57"/>
      <c r="F203" s="238"/>
      <c r="I203" s="239"/>
      <c r="J203" s="239"/>
      <c r="P203" s="149"/>
      <c r="Q203" s="195"/>
      <c r="U203" s="149"/>
      <c r="V203" s="149"/>
      <c r="W203" s="149"/>
      <c r="X203" s="149"/>
      <c r="Y203" s="149"/>
    </row>
    <row r="204" spans="2:25" s="222" customFormat="1" x14ac:dyDescent="0.35">
      <c r="B204" s="57"/>
      <c r="F204" s="238"/>
      <c r="I204" s="239"/>
      <c r="J204" s="239"/>
      <c r="P204" s="149"/>
      <c r="Q204" s="195"/>
      <c r="U204" s="149"/>
      <c r="V204" s="149"/>
      <c r="W204" s="149"/>
      <c r="X204" s="149"/>
      <c r="Y204" s="149"/>
    </row>
    <row r="205" spans="2:25" s="222" customFormat="1" x14ac:dyDescent="0.35">
      <c r="B205" s="57"/>
      <c r="F205" s="238"/>
      <c r="I205" s="239"/>
      <c r="J205" s="239"/>
      <c r="P205" s="149"/>
      <c r="Q205" s="195"/>
      <c r="U205" s="149"/>
      <c r="V205" s="149"/>
      <c r="W205" s="149"/>
      <c r="X205" s="149"/>
      <c r="Y205" s="149"/>
    </row>
    <row r="206" spans="2:25" s="222" customFormat="1" x14ac:dyDescent="0.35">
      <c r="B206" s="57"/>
      <c r="F206" s="238"/>
      <c r="I206" s="239"/>
      <c r="J206" s="239"/>
      <c r="P206" s="149"/>
      <c r="Q206" s="195"/>
      <c r="U206" s="149"/>
      <c r="V206" s="149"/>
      <c r="W206" s="149"/>
      <c r="X206" s="149"/>
      <c r="Y206" s="149"/>
    </row>
    <row r="207" spans="2:25" s="222" customFormat="1" x14ac:dyDescent="0.35">
      <c r="B207" s="57"/>
      <c r="F207" s="238"/>
      <c r="I207" s="239"/>
      <c r="J207" s="239"/>
      <c r="P207" s="149"/>
      <c r="Q207" s="195"/>
      <c r="U207" s="149"/>
      <c r="V207" s="149"/>
      <c r="W207" s="149"/>
      <c r="X207" s="149"/>
      <c r="Y207" s="149"/>
    </row>
    <row r="208" spans="2:25" s="222" customFormat="1" x14ac:dyDescent="0.35">
      <c r="B208" s="57"/>
      <c r="F208" s="238"/>
      <c r="I208" s="239"/>
      <c r="J208" s="239"/>
      <c r="P208" s="149"/>
      <c r="Q208" s="195"/>
      <c r="U208" s="149"/>
      <c r="V208" s="149"/>
      <c r="W208" s="149"/>
      <c r="X208" s="149"/>
      <c r="Y208" s="149"/>
    </row>
    <row r="209" spans="2:25" s="222" customFormat="1" x14ac:dyDescent="0.35">
      <c r="B209" s="57"/>
      <c r="F209" s="238"/>
      <c r="I209" s="239"/>
      <c r="J209" s="239"/>
      <c r="P209" s="149"/>
      <c r="Q209" s="195"/>
      <c r="U209" s="149"/>
      <c r="V209" s="149"/>
      <c r="W209" s="149"/>
      <c r="X209" s="149"/>
      <c r="Y209" s="149"/>
    </row>
    <row r="210" spans="2:25" s="222" customFormat="1" x14ac:dyDescent="0.35">
      <c r="B210" s="57"/>
      <c r="F210" s="238"/>
      <c r="I210" s="239"/>
      <c r="J210" s="239"/>
      <c r="P210" s="149"/>
      <c r="Q210" s="195"/>
      <c r="U210" s="149"/>
      <c r="V210" s="149"/>
      <c r="W210" s="149"/>
      <c r="X210" s="149"/>
      <c r="Y210" s="149"/>
    </row>
    <row r="211" spans="2:25" s="222" customFormat="1" x14ac:dyDescent="0.35">
      <c r="B211" s="57"/>
      <c r="F211" s="238"/>
      <c r="I211" s="239"/>
      <c r="J211" s="239"/>
      <c r="P211" s="149"/>
      <c r="Q211" s="195"/>
      <c r="U211" s="149"/>
      <c r="V211" s="149"/>
      <c r="W211" s="149"/>
      <c r="X211" s="149"/>
      <c r="Y211" s="149"/>
    </row>
    <row r="212" spans="2:25" s="222" customFormat="1" x14ac:dyDescent="0.35">
      <c r="B212" s="57"/>
      <c r="F212" s="238"/>
      <c r="I212" s="239"/>
      <c r="J212" s="239"/>
      <c r="P212" s="149"/>
      <c r="Q212" s="195"/>
      <c r="U212" s="149"/>
      <c r="V212" s="149"/>
      <c r="W212" s="149"/>
      <c r="X212" s="149"/>
      <c r="Y212" s="149"/>
    </row>
    <row r="213" spans="2:25" s="222" customFormat="1" x14ac:dyDescent="0.35">
      <c r="B213" s="57"/>
      <c r="F213" s="238"/>
      <c r="I213" s="239"/>
      <c r="J213" s="239"/>
      <c r="P213" s="149"/>
      <c r="Q213" s="195"/>
      <c r="U213" s="149"/>
      <c r="V213" s="149"/>
      <c r="W213" s="149"/>
      <c r="X213" s="149"/>
      <c r="Y213" s="149"/>
    </row>
    <row r="214" spans="2:25" s="222" customFormat="1" x14ac:dyDescent="0.35">
      <c r="B214" s="57"/>
      <c r="F214" s="238"/>
      <c r="I214" s="239"/>
      <c r="J214" s="239"/>
      <c r="P214" s="149"/>
      <c r="Q214" s="195"/>
      <c r="U214" s="149"/>
      <c r="V214" s="149"/>
      <c r="W214" s="149"/>
      <c r="X214" s="149"/>
      <c r="Y214" s="149"/>
    </row>
    <row r="215" spans="2:25" s="222" customFormat="1" x14ac:dyDescent="0.35">
      <c r="B215" s="57"/>
      <c r="F215" s="238"/>
      <c r="I215" s="239"/>
      <c r="J215" s="239"/>
      <c r="P215" s="149"/>
      <c r="Q215" s="195"/>
      <c r="U215" s="149"/>
      <c r="V215" s="149"/>
      <c r="W215" s="149"/>
      <c r="X215" s="149"/>
      <c r="Y215" s="149"/>
    </row>
    <row r="216" spans="2:25" s="222" customFormat="1" x14ac:dyDescent="0.35">
      <c r="B216" s="57"/>
      <c r="F216" s="238"/>
      <c r="I216" s="239"/>
      <c r="J216" s="239"/>
      <c r="P216" s="149"/>
      <c r="Q216" s="195"/>
      <c r="U216" s="149"/>
      <c r="V216" s="149"/>
      <c r="W216" s="149"/>
      <c r="X216" s="149"/>
      <c r="Y216" s="149"/>
    </row>
    <row r="217" spans="2:25" s="222" customFormat="1" x14ac:dyDescent="0.35">
      <c r="B217" s="57"/>
      <c r="F217" s="238"/>
      <c r="I217" s="239"/>
      <c r="J217" s="239"/>
      <c r="P217" s="149"/>
      <c r="Q217" s="195"/>
      <c r="U217" s="149"/>
      <c r="V217" s="149"/>
      <c r="W217" s="149"/>
      <c r="X217" s="149"/>
      <c r="Y217" s="149"/>
    </row>
    <row r="218" spans="2:25" s="222" customFormat="1" x14ac:dyDescent="0.35">
      <c r="B218" s="57"/>
      <c r="F218" s="238"/>
      <c r="I218" s="239"/>
      <c r="J218" s="239"/>
      <c r="P218" s="149"/>
      <c r="Q218" s="195"/>
      <c r="U218" s="149"/>
      <c r="V218" s="149"/>
      <c r="W218" s="149"/>
      <c r="X218" s="149"/>
      <c r="Y218" s="149"/>
    </row>
    <row r="219" spans="2:25" s="222" customFormat="1" x14ac:dyDescent="0.35">
      <c r="B219" s="57"/>
      <c r="F219" s="238"/>
      <c r="I219" s="239"/>
      <c r="J219" s="239"/>
      <c r="P219" s="149"/>
      <c r="Q219" s="195"/>
      <c r="U219" s="149"/>
      <c r="V219" s="149"/>
      <c r="W219" s="149"/>
      <c r="X219" s="149"/>
      <c r="Y219" s="149"/>
    </row>
    <row r="220" spans="2:25" s="222" customFormat="1" x14ac:dyDescent="0.35">
      <c r="B220" s="57"/>
      <c r="F220" s="238"/>
      <c r="I220" s="239"/>
      <c r="J220" s="239"/>
      <c r="P220" s="149"/>
      <c r="Q220" s="195"/>
      <c r="U220" s="149"/>
      <c r="V220" s="149"/>
      <c r="W220" s="149"/>
      <c r="X220" s="149"/>
      <c r="Y220" s="149"/>
    </row>
    <row r="221" spans="2:25" s="222" customFormat="1" x14ac:dyDescent="0.35">
      <c r="B221" s="57"/>
      <c r="F221" s="238"/>
      <c r="I221" s="239"/>
      <c r="J221" s="239"/>
      <c r="P221" s="149"/>
      <c r="Q221" s="195"/>
      <c r="U221" s="149"/>
      <c r="V221" s="149"/>
      <c r="W221" s="149"/>
      <c r="X221" s="149"/>
      <c r="Y221" s="149"/>
    </row>
    <row r="222" spans="2:25" s="222" customFormat="1" x14ac:dyDescent="0.35">
      <c r="B222" s="57"/>
      <c r="F222" s="238"/>
      <c r="I222" s="239"/>
      <c r="J222" s="239"/>
      <c r="P222" s="149"/>
      <c r="Q222" s="195"/>
      <c r="U222" s="149"/>
      <c r="V222" s="149"/>
      <c r="W222" s="149"/>
      <c r="X222" s="149"/>
      <c r="Y222" s="149"/>
    </row>
    <row r="223" spans="2:25" s="222" customFormat="1" x14ac:dyDescent="0.35">
      <c r="B223" s="57"/>
      <c r="F223" s="238"/>
      <c r="I223" s="239"/>
      <c r="J223" s="239"/>
      <c r="P223" s="149"/>
      <c r="Q223" s="195"/>
      <c r="U223" s="149"/>
      <c r="V223" s="149"/>
      <c r="W223" s="149"/>
      <c r="X223" s="149"/>
      <c r="Y223" s="149"/>
    </row>
    <row r="224" spans="2:25" s="222" customFormat="1" x14ac:dyDescent="0.35">
      <c r="B224" s="57"/>
      <c r="F224" s="238"/>
      <c r="I224" s="239"/>
      <c r="J224" s="239"/>
      <c r="P224" s="149"/>
      <c r="Q224" s="195"/>
      <c r="U224" s="149"/>
      <c r="V224" s="149"/>
      <c r="W224" s="149"/>
      <c r="X224" s="149"/>
      <c r="Y224" s="149"/>
    </row>
    <row r="225" spans="2:25" s="222" customFormat="1" x14ac:dyDescent="0.35">
      <c r="B225" s="57"/>
      <c r="F225" s="238"/>
      <c r="I225" s="239"/>
      <c r="J225" s="239"/>
      <c r="P225" s="149"/>
      <c r="Q225" s="195"/>
      <c r="U225" s="149"/>
      <c r="V225" s="149"/>
      <c r="W225" s="149"/>
      <c r="X225" s="149"/>
      <c r="Y225" s="149"/>
    </row>
    <row r="226" spans="2:25" s="222" customFormat="1" x14ac:dyDescent="0.35">
      <c r="B226" s="57"/>
      <c r="F226" s="238"/>
      <c r="I226" s="239"/>
      <c r="J226" s="239"/>
      <c r="P226" s="149"/>
      <c r="Q226" s="195"/>
      <c r="U226" s="149"/>
      <c r="V226" s="149"/>
      <c r="W226" s="149"/>
      <c r="X226" s="149"/>
      <c r="Y226" s="149"/>
    </row>
    <row r="227" spans="2:25" s="222" customFormat="1" x14ac:dyDescent="0.35">
      <c r="B227" s="57"/>
      <c r="F227" s="238"/>
      <c r="I227" s="239"/>
      <c r="J227" s="239"/>
      <c r="P227" s="149"/>
      <c r="Q227" s="195"/>
      <c r="U227" s="149"/>
      <c r="V227" s="149"/>
      <c r="W227" s="149"/>
      <c r="X227" s="149"/>
      <c r="Y227" s="149"/>
    </row>
    <row r="228" spans="2:25" s="222" customFormat="1" x14ac:dyDescent="0.35">
      <c r="B228" s="57"/>
      <c r="F228" s="238"/>
      <c r="I228" s="239"/>
      <c r="J228" s="239"/>
      <c r="P228" s="149"/>
      <c r="Q228" s="195"/>
      <c r="U228" s="149"/>
      <c r="V228" s="149"/>
      <c r="W228" s="149"/>
      <c r="X228" s="149"/>
      <c r="Y228" s="149"/>
    </row>
    <row r="229" spans="2:25" s="222" customFormat="1" x14ac:dyDescent="0.35">
      <c r="B229" s="57"/>
      <c r="F229" s="238"/>
      <c r="I229" s="239"/>
      <c r="J229" s="239"/>
      <c r="P229" s="149"/>
      <c r="Q229" s="195"/>
      <c r="U229" s="149"/>
      <c r="V229" s="149"/>
      <c r="W229" s="149"/>
      <c r="X229" s="149"/>
      <c r="Y229" s="149"/>
    </row>
    <row r="230" spans="2:25" s="222" customFormat="1" x14ac:dyDescent="0.35">
      <c r="B230" s="57"/>
      <c r="F230" s="238"/>
      <c r="I230" s="239"/>
      <c r="J230" s="239"/>
      <c r="P230" s="149"/>
      <c r="Q230" s="195"/>
      <c r="U230" s="149"/>
      <c r="V230" s="149"/>
      <c r="W230" s="149"/>
      <c r="X230" s="149"/>
      <c r="Y230" s="149"/>
    </row>
    <row r="231" spans="2:25" s="222" customFormat="1" x14ac:dyDescent="0.35">
      <c r="B231" s="57"/>
      <c r="F231" s="238"/>
      <c r="I231" s="239"/>
      <c r="J231" s="239"/>
      <c r="P231" s="149"/>
      <c r="Q231" s="195"/>
      <c r="U231" s="149"/>
      <c r="V231" s="149"/>
      <c r="W231" s="149"/>
      <c r="X231" s="149"/>
      <c r="Y231" s="149"/>
    </row>
    <row r="232" spans="2:25" s="222" customFormat="1" x14ac:dyDescent="0.35">
      <c r="B232" s="57"/>
      <c r="F232" s="238"/>
      <c r="I232" s="239"/>
      <c r="J232" s="239"/>
      <c r="P232" s="149"/>
      <c r="Q232" s="195"/>
      <c r="U232" s="149"/>
      <c r="V232" s="149"/>
      <c r="W232" s="149"/>
      <c r="X232" s="149"/>
      <c r="Y232" s="149"/>
    </row>
    <row r="233" spans="2:25" s="222" customFormat="1" x14ac:dyDescent="0.35">
      <c r="B233" s="57"/>
      <c r="F233" s="238"/>
      <c r="I233" s="239"/>
      <c r="J233" s="239"/>
      <c r="P233" s="149"/>
      <c r="Q233" s="195"/>
      <c r="U233" s="149"/>
      <c r="V233" s="149"/>
      <c r="W233" s="149"/>
      <c r="X233" s="149"/>
      <c r="Y233" s="149"/>
    </row>
    <row r="234" spans="2:25" s="222" customFormat="1" x14ac:dyDescent="0.35">
      <c r="B234" s="57"/>
      <c r="F234" s="238"/>
      <c r="I234" s="239"/>
      <c r="J234" s="239"/>
      <c r="P234" s="149"/>
      <c r="Q234" s="195"/>
      <c r="U234" s="149"/>
      <c r="V234" s="149"/>
      <c r="W234" s="149"/>
      <c r="X234" s="149"/>
      <c r="Y234" s="149"/>
    </row>
    <row r="235" spans="2:25" s="222" customFormat="1" x14ac:dyDescent="0.35">
      <c r="B235" s="57"/>
      <c r="F235" s="238"/>
      <c r="I235" s="239"/>
      <c r="J235" s="239"/>
      <c r="P235" s="149"/>
      <c r="Q235" s="195"/>
      <c r="U235" s="149"/>
      <c r="V235" s="149"/>
      <c r="W235" s="149"/>
      <c r="X235" s="149"/>
      <c r="Y235" s="149"/>
    </row>
    <row r="236" spans="2:25" s="222" customFormat="1" x14ac:dyDescent="0.35">
      <c r="B236" s="57"/>
      <c r="F236" s="238"/>
      <c r="I236" s="239"/>
      <c r="J236" s="239"/>
      <c r="P236" s="149"/>
      <c r="Q236" s="195"/>
      <c r="U236" s="149"/>
      <c r="V236" s="149"/>
      <c r="W236" s="149"/>
      <c r="X236" s="149"/>
      <c r="Y236" s="149"/>
    </row>
    <row r="237" spans="2:25" s="222" customFormat="1" x14ac:dyDescent="0.35">
      <c r="B237" s="57"/>
      <c r="F237" s="238"/>
      <c r="I237" s="239"/>
      <c r="J237" s="239"/>
      <c r="P237" s="149"/>
      <c r="Q237" s="195"/>
      <c r="U237" s="149"/>
      <c r="V237" s="149"/>
      <c r="W237" s="149"/>
      <c r="X237" s="149"/>
      <c r="Y237" s="149"/>
    </row>
    <row r="238" spans="2:25" s="222" customFormat="1" x14ac:dyDescent="0.35">
      <c r="B238" s="57"/>
      <c r="F238" s="238"/>
      <c r="I238" s="239"/>
      <c r="J238" s="239"/>
      <c r="P238" s="149"/>
      <c r="Q238" s="195"/>
      <c r="U238" s="149"/>
      <c r="V238" s="149"/>
      <c r="W238" s="149"/>
      <c r="X238" s="149"/>
      <c r="Y238" s="149"/>
    </row>
    <row r="239" spans="2:25" s="222" customFormat="1" x14ac:dyDescent="0.35">
      <c r="B239" s="57"/>
      <c r="F239" s="238"/>
      <c r="I239" s="239"/>
      <c r="J239" s="239"/>
      <c r="P239" s="149"/>
      <c r="Q239" s="195"/>
      <c r="U239" s="149"/>
      <c r="V239" s="149"/>
      <c r="W239" s="149"/>
      <c r="X239" s="149"/>
      <c r="Y239" s="149"/>
    </row>
    <row r="240" spans="2:25" s="222" customFormat="1" x14ac:dyDescent="0.35">
      <c r="B240" s="57"/>
      <c r="F240" s="238"/>
      <c r="I240" s="239"/>
      <c r="J240" s="239"/>
      <c r="P240" s="149"/>
      <c r="Q240" s="195"/>
      <c r="U240" s="149"/>
      <c r="V240" s="149"/>
      <c r="W240" s="149"/>
      <c r="X240" s="149"/>
      <c r="Y240" s="149"/>
    </row>
    <row r="241" spans="2:25" s="222" customFormat="1" x14ac:dyDescent="0.35">
      <c r="B241" s="57"/>
      <c r="F241" s="238"/>
      <c r="I241" s="239"/>
      <c r="J241" s="239"/>
      <c r="P241" s="149"/>
      <c r="Q241" s="195"/>
      <c r="U241" s="149"/>
      <c r="V241" s="149"/>
      <c r="W241" s="149"/>
      <c r="X241" s="149"/>
      <c r="Y241" s="149"/>
    </row>
    <row r="242" spans="2:25" s="222" customFormat="1" x14ac:dyDescent="0.35">
      <c r="B242" s="57"/>
      <c r="F242" s="238"/>
      <c r="I242" s="239"/>
      <c r="J242" s="239"/>
      <c r="P242" s="149"/>
      <c r="Q242" s="195"/>
      <c r="U242" s="149"/>
      <c r="V242" s="149"/>
      <c r="W242" s="149"/>
      <c r="X242" s="149"/>
      <c r="Y242" s="149"/>
    </row>
    <row r="243" spans="2:25" s="222" customFormat="1" x14ac:dyDescent="0.35">
      <c r="B243" s="57"/>
      <c r="F243" s="238"/>
      <c r="I243" s="239"/>
      <c r="J243" s="239"/>
      <c r="P243" s="149"/>
      <c r="Q243" s="195"/>
      <c r="U243" s="149"/>
      <c r="V243" s="149"/>
      <c r="W243" s="149"/>
      <c r="X243" s="149"/>
      <c r="Y243" s="149"/>
    </row>
    <row r="244" spans="2:25" s="222" customFormat="1" x14ac:dyDescent="0.35">
      <c r="B244" s="57"/>
      <c r="F244" s="238"/>
      <c r="I244" s="239"/>
      <c r="J244" s="239"/>
      <c r="P244" s="149"/>
      <c r="Q244" s="195"/>
      <c r="U244" s="149"/>
      <c r="V244" s="149"/>
      <c r="W244" s="149"/>
      <c r="X244" s="149"/>
      <c r="Y244" s="149"/>
    </row>
    <row r="245" spans="2:25" s="222" customFormat="1" x14ac:dyDescent="0.35">
      <c r="B245" s="57"/>
      <c r="F245" s="238"/>
      <c r="I245" s="239"/>
      <c r="J245" s="239"/>
      <c r="P245" s="149"/>
      <c r="Q245" s="195"/>
      <c r="U245" s="149"/>
      <c r="V245" s="149"/>
      <c r="W245" s="149"/>
      <c r="X245" s="149"/>
      <c r="Y245" s="149"/>
    </row>
    <row r="246" spans="2:25" s="222" customFormat="1" x14ac:dyDescent="0.35">
      <c r="B246" s="57"/>
      <c r="F246" s="238"/>
      <c r="I246" s="239"/>
      <c r="J246" s="239"/>
      <c r="P246" s="149"/>
      <c r="Q246" s="195"/>
      <c r="U246" s="149"/>
      <c r="V246" s="149"/>
      <c r="W246" s="149"/>
      <c r="X246" s="149"/>
      <c r="Y246" s="149"/>
    </row>
    <row r="247" spans="2:25" s="222" customFormat="1" x14ac:dyDescent="0.35">
      <c r="B247" s="57"/>
      <c r="F247" s="238"/>
      <c r="I247" s="239"/>
      <c r="J247" s="239"/>
      <c r="P247" s="149"/>
      <c r="Q247" s="195"/>
      <c r="U247" s="149"/>
      <c r="V247" s="149"/>
      <c r="W247" s="149"/>
      <c r="X247" s="149"/>
      <c r="Y247" s="149"/>
    </row>
    <row r="248" spans="2:25" s="222" customFormat="1" x14ac:dyDescent="0.35">
      <c r="B248" s="57"/>
      <c r="F248" s="238"/>
      <c r="I248" s="239"/>
      <c r="J248" s="239"/>
      <c r="P248" s="149"/>
      <c r="Q248" s="195"/>
      <c r="U248" s="149"/>
      <c r="V248" s="149"/>
      <c r="W248" s="149"/>
      <c r="X248" s="149"/>
      <c r="Y248" s="149"/>
    </row>
    <row r="249" spans="2:25" s="222" customFormat="1" x14ac:dyDescent="0.35">
      <c r="B249" s="57"/>
      <c r="F249" s="238"/>
      <c r="I249" s="239"/>
      <c r="J249" s="239"/>
      <c r="P249" s="149"/>
      <c r="Q249" s="195"/>
      <c r="U249" s="149"/>
      <c r="V249" s="149"/>
      <c r="W249" s="149"/>
      <c r="X249" s="149"/>
      <c r="Y249" s="149"/>
    </row>
    <row r="250" spans="2:25" s="222" customFormat="1" x14ac:dyDescent="0.35">
      <c r="B250" s="57"/>
      <c r="F250" s="238"/>
      <c r="I250" s="239"/>
      <c r="J250" s="239"/>
      <c r="P250" s="149"/>
      <c r="Q250" s="195"/>
      <c r="U250" s="149"/>
      <c r="V250" s="149"/>
      <c r="W250" s="149"/>
      <c r="X250" s="149"/>
      <c r="Y250" s="149"/>
    </row>
    <row r="251" spans="2:25" s="222" customFormat="1" x14ac:dyDescent="0.35">
      <c r="B251" s="57"/>
      <c r="F251" s="238"/>
      <c r="I251" s="239"/>
      <c r="J251" s="239"/>
      <c r="P251" s="149"/>
      <c r="Q251" s="195"/>
      <c r="U251" s="149"/>
      <c r="V251" s="149"/>
      <c r="W251" s="149"/>
      <c r="X251" s="149"/>
      <c r="Y251" s="149"/>
    </row>
    <row r="252" spans="2:25" s="222" customFormat="1" x14ac:dyDescent="0.35">
      <c r="B252" s="57"/>
      <c r="F252" s="238"/>
      <c r="I252" s="239"/>
      <c r="J252" s="239"/>
      <c r="P252" s="149"/>
      <c r="Q252" s="195"/>
      <c r="U252" s="149"/>
      <c r="V252" s="149"/>
      <c r="W252" s="149"/>
      <c r="X252" s="149"/>
      <c r="Y252" s="149"/>
    </row>
    <row r="253" spans="2:25" s="222" customFormat="1" x14ac:dyDescent="0.35">
      <c r="B253" s="57"/>
      <c r="F253" s="238"/>
      <c r="I253" s="239"/>
      <c r="J253" s="239"/>
      <c r="P253" s="149"/>
      <c r="Q253" s="195"/>
      <c r="U253" s="149"/>
      <c r="V253" s="149"/>
      <c r="W253" s="149"/>
      <c r="X253" s="149"/>
      <c r="Y253" s="149"/>
    </row>
    <row r="254" spans="2:25" s="222" customFormat="1" x14ac:dyDescent="0.35">
      <c r="B254" s="57"/>
      <c r="F254" s="238"/>
      <c r="I254" s="239"/>
      <c r="J254" s="239"/>
      <c r="P254" s="149"/>
      <c r="Q254" s="195"/>
      <c r="U254" s="149"/>
      <c r="V254" s="149"/>
      <c r="W254" s="149"/>
      <c r="X254" s="149"/>
      <c r="Y254" s="149"/>
    </row>
    <row r="255" spans="2:25" s="222" customFormat="1" x14ac:dyDescent="0.35">
      <c r="B255" s="57"/>
      <c r="F255" s="238"/>
      <c r="I255" s="239"/>
      <c r="J255" s="239"/>
      <c r="P255" s="149"/>
      <c r="Q255" s="195"/>
      <c r="U255" s="149"/>
      <c r="V255" s="149"/>
      <c r="W255" s="149"/>
      <c r="X255" s="149"/>
      <c r="Y255" s="149"/>
    </row>
    <row r="256" spans="2:25" s="222" customFormat="1" x14ac:dyDescent="0.35">
      <c r="B256" s="57"/>
      <c r="F256" s="238"/>
      <c r="I256" s="239"/>
      <c r="J256" s="239"/>
      <c r="P256" s="149"/>
      <c r="Q256" s="195"/>
      <c r="U256" s="149"/>
      <c r="V256" s="149"/>
      <c r="W256" s="149"/>
      <c r="X256" s="149"/>
      <c r="Y256" s="149"/>
    </row>
    <row r="257" spans="2:25" s="222" customFormat="1" x14ac:dyDescent="0.35">
      <c r="B257" s="57"/>
      <c r="F257" s="238"/>
      <c r="I257" s="239"/>
      <c r="J257" s="239"/>
      <c r="P257" s="149"/>
      <c r="Q257" s="195"/>
      <c r="U257" s="149"/>
      <c r="V257" s="149"/>
      <c r="W257" s="149"/>
      <c r="X257" s="149"/>
      <c r="Y257" s="149"/>
    </row>
    <row r="258" spans="2:25" s="222" customFormat="1" x14ac:dyDescent="0.35">
      <c r="B258" s="57"/>
      <c r="F258" s="238"/>
      <c r="I258" s="239"/>
      <c r="J258" s="239"/>
      <c r="P258" s="149"/>
      <c r="Q258" s="195"/>
      <c r="U258" s="149"/>
      <c r="V258" s="149"/>
      <c r="W258" s="149"/>
      <c r="X258" s="149"/>
      <c r="Y258" s="149"/>
    </row>
    <row r="259" spans="2:25" s="222" customFormat="1" x14ac:dyDescent="0.35">
      <c r="B259" s="57"/>
      <c r="F259" s="238"/>
      <c r="I259" s="239"/>
      <c r="J259" s="239"/>
      <c r="P259" s="149"/>
      <c r="Q259" s="195"/>
      <c r="U259" s="149"/>
      <c r="V259" s="149"/>
      <c r="W259" s="149"/>
      <c r="X259" s="149"/>
      <c r="Y259" s="149"/>
    </row>
    <row r="260" spans="2:25" s="222" customFormat="1" x14ac:dyDescent="0.35">
      <c r="B260" s="57"/>
      <c r="F260" s="238"/>
      <c r="I260" s="239"/>
      <c r="J260" s="239"/>
      <c r="P260" s="149"/>
      <c r="Q260" s="195"/>
      <c r="U260" s="149"/>
      <c r="V260" s="149"/>
      <c r="W260" s="149"/>
      <c r="X260" s="149"/>
      <c r="Y260" s="149"/>
    </row>
    <row r="261" spans="2:25" s="222" customFormat="1" x14ac:dyDescent="0.35">
      <c r="B261" s="57"/>
      <c r="F261" s="238"/>
      <c r="I261" s="239"/>
      <c r="J261" s="239"/>
      <c r="P261" s="149"/>
      <c r="Q261" s="195"/>
      <c r="U261" s="149"/>
      <c r="V261" s="149"/>
      <c r="W261" s="149"/>
      <c r="X261" s="149"/>
      <c r="Y261" s="149"/>
    </row>
    <row r="262" spans="2:25" s="222" customFormat="1" x14ac:dyDescent="0.35">
      <c r="B262" s="57"/>
      <c r="F262" s="238"/>
      <c r="I262" s="239"/>
      <c r="J262" s="239"/>
      <c r="P262" s="149"/>
      <c r="Q262" s="195"/>
      <c r="U262" s="149"/>
      <c r="V262" s="149"/>
      <c r="W262" s="149"/>
      <c r="X262" s="149"/>
      <c r="Y262" s="149"/>
    </row>
    <row r="263" spans="2:25" s="222" customFormat="1" x14ac:dyDescent="0.35">
      <c r="B263" s="57"/>
      <c r="F263" s="238"/>
      <c r="I263" s="239"/>
      <c r="J263" s="239"/>
      <c r="P263" s="149"/>
      <c r="Q263" s="195"/>
      <c r="U263" s="149"/>
      <c r="V263" s="149"/>
      <c r="W263" s="149"/>
      <c r="X263" s="149"/>
      <c r="Y263" s="149"/>
    </row>
    <row r="264" spans="2:25" s="222" customFormat="1" x14ac:dyDescent="0.35">
      <c r="B264" s="57"/>
      <c r="F264" s="238"/>
      <c r="I264" s="239"/>
      <c r="J264" s="239"/>
      <c r="P264" s="149"/>
      <c r="Q264" s="195"/>
      <c r="U264" s="149"/>
      <c r="V264" s="149"/>
      <c r="W264" s="149"/>
      <c r="X264" s="149"/>
      <c r="Y264" s="149"/>
    </row>
    <row r="265" spans="2:25" s="222" customFormat="1" x14ac:dyDescent="0.35">
      <c r="B265" s="57"/>
      <c r="F265" s="238"/>
      <c r="I265" s="239"/>
      <c r="J265" s="239"/>
      <c r="P265" s="149"/>
      <c r="Q265" s="195"/>
      <c r="U265" s="149"/>
      <c r="V265" s="149"/>
      <c r="W265" s="149"/>
      <c r="X265" s="149"/>
      <c r="Y265" s="149"/>
    </row>
    <row r="266" spans="2:25" s="222" customFormat="1" x14ac:dyDescent="0.35">
      <c r="B266" s="57"/>
      <c r="F266" s="238"/>
      <c r="I266" s="239"/>
      <c r="J266" s="239"/>
      <c r="P266" s="149"/>
      <c r="Q266" s="195"/>
      <c r="U266" s="149"/>
      <c r="V266" s="149"/>
      <c r="W266" s="149"/>
      <c r="X266" s="149"/>
      <c r="Y266" s="149"/>
    </row>
    <row r="267" spans="2:25" s="222" customFormat="1" x14ac:dyDescent="0.35">
      <c r="B267" s="57"/>
      <c r="F267" s="238"/>
      <c r="I267" s="239"/>
      <c r="J267" s="239"/>
      <c r="P267" s="149"/>
      <c r="Q267" s="195"/>
      <c r="U267" s="149"/>
      <c r="V267" s="149"/>
      <c r="W267" s="149"/>
      <c r="X267" s="149"/>
      <c r="Y267" s="149"/>
    </row>
    <row r="268" spans="2:25" s="222" customFormat="1" x14ac:dyDescent="0.35">
      <c r="B268" s="57"/>
      <c r="F268" s="238"/>
      <c r="I268" s="239"/>
      <c r="J268" s="239"/>
      <c r="P268" s="149"/>
      <c r="Q268" s="195"/>
      <c r="U268" s="149"/>
      <c r="V268" s="149"/>
      <c r="W268" s="149"/>
      <c r="X268" s="149"/>
      <c r="Y268" s="149"/>
    </row>
    <row r="269" spans="2:25" s="222" customFormat="1" x14ac:dyDescent="0.35">
      <c r="B269" s="57"/>
      <c r="F269" s="238"/>
      <c r="I269" s="239"/>
      <c r="J269" s="239"/>
      <c r="P269" s="149"/>
      <c r="Q269" s="195"/>
      <c r="U269" s="149"/>
      <c r="V269" s="149"/>
      <c r="W269" s="149"/>
      <c r="X269" s="149"/>
      <c r="Y269" s="149"/>
    </row>
    <row r="270" spans="2:25" s="222" customFormat="1" x14ac:dyDescent="0.35">
      <c r="B270" s="57"/>
      <c r="F270" s="238"/>
      <c r="I270" s="239"/>
      <c r="J270" s="239"/>
      <c r="P270" s="149"/>
      <c r="Q270" s="195"/>
      <c r="U270" s="149"/>
      <c r="V270" s="149"/>
      <c r="W270" s="149"/>
      <c r="X270" s="149"/>
      <c r="Y270" s="149"/>
    </row>
    <row r="271" spans="2:25" s="222" customFormat="1" x14ac:dyDescent="0.35">
      <c r="B271" s="57"/>
      <c r="F271" s="238"/>
      <c r="I271" s="239"/>
      <c r="J271" s="239"/>
      <c r="P271" s="149"/>
      <c r="Q271" s="195"/>
      <c r="U271" s="149"/>
      <c r="V271" s="149"/>
      <c r="W271" s="149"/>
      <c r="X271" s="149"/>
      <c r="Y271" s="149"/>
    </row>
    <row r="272" spans="2:25" s="222" customFormat="1" x14ac:dyDescent="0.35">
      <c r="B272" s="57"/>
      <c r="F272" s="238"/>
      <c r="I272" s="239"/>
      <c r="J272" s="239"/>
      <c r="P272" s="149"/>
      <c r="Q272" s="195"/>
      <c r="U272" s="149"/>
      <c r="V272" s="149"/>
      <c r="W272" s="149"/>
      <c r="X272" s="149"/>
      <c r="Y272" s="149"/>
    </row>
    <row r="273" spans="2:25" s="222" customFormat="1" x14ac:dyDescent="0.35">
      <c r="B273" s="57"/>
      <c r="F273" s="238"/>
      <c r="I273" s="239"/>
      <c r="J273" s="239"/>
      <c r="P273" s="149"/>
      <c r="Q273" s="195"/>
      <c r="U273" s="149"/>
      <c r="V273" s="149"/>
      <c r="W273" s="149"/>
      <c r="X273" s="149"/>
      <c r="Y273" s="149"/>
    </row>
    <row r="274" spans="2:25" s="222" customFormat="1" x14ac:dyDescent="0.35">
      <c r="B274" s="57"/>
      <c r="F274" s="238"/>
      <c r="I274" s="239"/>
      <c r="J274" s="239"/>
      <c r="P274" s="149"/>
      <c r="Q274" s="195"/>
      <c r="U274" s="149"/>
      <c r="V274" s="149"/>
      <c r="W274" s="149"/>
      <c r="X274" s="149"/>
      <c r="Y274" s="149"/>
    </row>
    <row r="275" spans="2:25" s="222" customFormat="1" x14ac:dyDescent="0.35">
      <c r="B275" s="57"/>
      <c r="F275" s="238"/>
      <c r="I275" s="239"/>
      <c r="J275" s="239"/>
      <c r="P275" s="149"/>
      <c r="Q275" s="195"/>
      <c r="U275" s="149"/>
      <c r="V275" s="149"/>
      <c r="W275" s="149"/>
      <c r="X275" s="149"/>
      <c r="Y275" s="149"/>
    </row>
    <row r="276" spans="2:25" s="222" customFormat="1" x14ac:dyDescent="0.35">
      <c r="B276" s="57"/>
      <c r="F276" s="238"/>
      <c r="I276" s="239"/>
      <c r="J276" s="239"/>
      <c r="P276" s="149"/>
      <c r="Q276" s="195"/>
      <c r="U276" s="149"/>
      <c r="V276" s="149"/>
      <c r="W276" s="149"/>
      <c r="X276" s="149"/>
      <c r="Y276" s="149"/>
    </row>
    <row r="277" spans="2:25" s="222" customFormat="1" x14ac:dyDescent="0.35">
      <c r="B277" s="57"/>
      <c r="F277" s="238"/>
      <c r="I277" s="239"/>
      <c r="J277" s="239"/>
      <c r="P277" s="149"/>
      <c r="Q277" s="195"/>
      <c r="U277" s="149"/>
      <c r="V277" s="149"/>
      <c r="W277" s="149"/>
      <c r="X277" s="149"/>
      <c r="Y277" s="149"/>
    </row>
    <row r="278" spans="2:25" s="222" customFormat="1" x14ac:dyDescent="0.35">
      <c r="B278" s="57"/>
      <c r="F278" s="238"/>
      <c r="I278" s="239"/>
      <c r="J278" s="239"/>
      <c r="P278" s="149"/>
      <c r="Q278" s="195"/>
      <c r="U278" s="149"/>
      <c r="V278" s="149"/>
      <c r="W278" s="149"/>
      <c r="X278" s="149"/>
      <c r="Y278" s="149"/>
    </row>
    <row r="279" spans="2:25" s="222" customFormat="1" x14ac:dyDescent="0.35">
      <c r="B279" s="57"/>
      <c r="F279" s="238"/>
      <c r="I279" s="239"/>
      <c r="J279" s="239"/>
      <c r="P279" s="149"/>
      <c r="Q279" s="195"/>
      <c r="U279" s="149"/>
      <c r="V279" s="149"/>
      <c r="W279" s="149"/>
      <c r="X279" s="149"/>
      <c r="Y279" s="149"/>
    </row>
    <row r="280" spans="2:25" s="222" customFormat="1" x14ac:dyDescent="0.35">
      <c r="B280" s="57"/>
      <c r="F280" s="238"/>
      <c r="I280" s="239"/>
      <c r="J280" s="239"/>
      <c r="P280" s="149"/>
      <c r="Q280" s="195"/>
      <c r="U280" s="149"/>
      <c r="V280" s="149"/>
      <c r="W280" s="149"/>
      <c r="X280" s="149"/>
      <c r="Y280" s="149"/>
    </row>
    <row r="281" spans="2:25" s="222" customFormat="1" x14ac:dyDescent="0.35">
      <c r="B281" s="57"/>
      <c r="F281" s="238"/>
      <c r="I281" s="239"/>
      <c r="J281" s="239"/>
      <c r="P281" s="149"/>
      <c r="Q281" s="195"/>
      <c r="U281" s="149"/>
      <c r="V281" s="149"/>
      <c r="W281" s="149"/>
      <c r="X281" s="149"/>
      <c r="Y281" s="149"/>
    </row>
    <row r="282" spans="2:25" s="222" customFormat="1" x14ac:dyDescent="0.35">
      <c r="B282" s="57"/>
      <c r="F282" s="238"/>
      <c r="I282" s="239"/>
      <c r="J282" s="239"/>
      <c r="P282" s="149"/>
      <c r="Q282" s="195"/>
      <c r="U282" s="149"/>
      <c r="V282" s="149"/>
      <c r="W282" s="149"/>
      <c r="X282" s="149"/>
      <c r="Y282" s="149"/>
    </row>
    <row r="283" spans="2:25" s="222" customFormat="1" x14ac:dyDescent="0.35">
      <c r="B283" s="57"/>
      <c r="F283" s="238"/>
      <c r="I283" s="239"/>
      <c r="J283" s="239"/>
      <c r="P283" s="149"/>
      <c r="Q283" s="195"/>
      <c r="U283" s="149"/>
      <c r="V283" s="149"/>
      <c r="W283" s="149"/>
      <c r="X283" s="149"/>
      <c r="Y283" s="149"/>
    </row>
    <row r="284" spans="2:25" s="222" customFormat="1" x14ac:dyDescent="0.35">
      <c r="B284" s="57"/>
      <c r="F284" s="238"/>
      <c r="I284" s="239"/>
      <c r="J284" s="239"/>
      <c r="P284" s="149"/>
      <c r="Q284" s="195"/>
      <c r="U284" s="149"/>
      <c r="V284" s="149"/>
      <c r="W284" s="149"/>
      <c r="X284" s="149"/>
      <c r="Y284" s="149"/>
    </row>
    <row r="285" spans="2:25" s="222" customFormat="1" x14ac:dyDescent="0.35">
      <c r="B285" s="57"/>
      <c r="F285" s="238"/>
      <c r="I285" s="239"/>
      <c r="J285" s="239"/>
      <c r="P285" s="149"/>
      <c r="Q285" s="195"/>
      <c r="U285" s="149"/>
      <c r="V285" s="149"/>
      <c r="W285" s="149"/>
      <c r="X285" s="149"/>
      <c r="Y285" s="149"/>
    </row>
    <row r="286" spans="2:25" s="222" customFormat="1" x14ac:dyDescent="0.35">
      <c r="B286" s="57"/>
      <c r="F286" s="238"/>
      <c r="I286" s="239"/>
      <c r="J286" s="239"/>
      <c r="P286" s="149"/>
      <c r="Q286" s="195"/>
      <c r="U286" s="149"/>
      <c r="V286" s="149"/>
      <c r="W286" s="149"/>
      <c r="X286" s="149"/>
      <c r="Y286" s="149"/>
    </row>
    <row r="287" spans="2:25" s="222" customFormat="1" x14ac:dyDescent="0.35">
      <c r="B287" s="57"/>
      <c r="F287" s="238"/>
      <c r="I287" s="239"/>
      <c r="J287" s="239"/>
      <c r="P287" s="149"/>
      <c r="Q287" s="195"/>
      <c r="U287" s="149"/>
      <c r="V287" s="149"/>
      <c r="W287" s="149"/>
      <c r="X287" s="149"/>
      <c r="Y287" s="149"/>
    </row>
    <row r="288" spans="2:25" s="222" customFormat="1" x14ac:dyDescent="0.35">
      <c r="B288" s="57"/>
      <c r="F288" s="238"/>
      <c r="I288" s="239"/>
      <c r="J288" s="239"/>
      <c r="P288" s="149"/>
      <c r="Q288" s="195"/>
      <c r="U288" s="149"/>
      <c r="V288" s="149"/>
      <c r="W288" s="149"/>
      <c r="X288" s="149"/>
      <c r="Y288" s="149"/>
    </row>
    <row r="289" spans="2:25" s="222" customFormat="1" x14ac:dyDescent="0.35">
      <c r="B289" s="57"/>
      <c r="F289" s="238"/>
      <c r="I289" s="239"/>
      <c r="J289" s="239"/>
      <c r="P289" s="149"/>
      <c r="Q289" s="195"/>
      <c r="U289" s="149"/>
      <c r="V289" s="149"/>
      <c r="W289" s="149"/>
      <c r="X289" s="149"/>
      <c r="Y289" s="149"/>
    </row>
    <row r="290" spans="2:25" s="222" customFormat="1" x14ac:dyDescent="0.35">
      <c r="B290" s="57"/>
      <c r="F290" s="238"/>
      <c r="I290" s="239"/>
      <c r="J290" s="239"/>
      <c r="P290" s="149"/>
      <c r="Q290" s="195"/>
      <c r="U290" s="149"/>
      <c r="V290" s="149"/>
      <c r="W290" s="149"/>
      <c r="X290" s="149"/>
      <c r="Y290" s="149"/>
    </row>
    <row r="291" spans="2:25" s="222" customFormat="1" x14ac:dyDescent="0.35">
      <c r="B291" s="57"/>
      <c r="F291" s="238"/>
      <c r="I291" s="239"/>
      <c r="J291" s="239"/>
      <c r="P291" s="149"/>
      <c r="Q291" s="195"/>
      <c r="U291" s="149"/>
      <c r="V291" s="149"/>
      <c r="W291" s="149"/>
      <c r="X291" s="149"/>
      <c r="Y291" s="149"/>
    </row>
    <row r="292" spans="2:25" s="222" customFormat="1" x14ac:dyDescent="0.35">
      <c r="B292" s="57"/>
      <c r="F292" s="238"/>
      <c r="I292" s="239"/>
      <c r="J292" s="239"/>
      <c r="P292" s="149"/>
      <c r="Q292" s="195"/>
      <c r="U292" s="149"/>
      <c r="V292" s="149"/>
      <c r="W292" s="149"/>
      <c r="X292" s="149"/>
      <c r="Y292" s="149"/>
    </row>
    <row r="293" spans="2:25" s="222" customFormat="1" x14ac:dyDescent="0.35">
      <c r="B293" s="57"/>
      <c r="F293" s="238"/>
      <c r="I293" s="239"/>
      <c r="J293" s="239"/>
      <c r="P293" s="149"/>
      <c r="Q293" s="195"/>
      <c r="U293" s="149"/>
      <c r="V293" s="149"/>
      <c r="W293" s="149"/>
      <c r="X293" s="149"/>
      <c r="Y293" s="149"/>
    </row>
    <row r="294" spans="2:25" s="222" customFormat="1" x14ac:dyDescent="0.35">
      <c r="B294" s="57"/>
      <c r="F294" s="238"/>
      <c r="I294" s="239"/>
      <c r="J294" s="239"/>
      <c r="P294" s="149"/>
      <c r="Q294" s="195"/>
      <c r="U294" s="149"/>
      <c r="V294" s="149"/>
      <c r="W294" s="149"/>
      <c r="X294" s="149"/>
      <c r="Y294" s="149"/>
    </row>
    <row r="295" spans="2:25" s="222" customFormat="1" x14ac:dyDescent="0.35">
      <c r="B295" s="57"/>
      <c r="F295" s="238"/>
      <c r="I295" s="239"/>
      <c r="J295" s="239"/>
      <c r="P295" s="149"/>
      <c r="Q295" s="195"/>
      <c r="U295" s="149"/>
      <c r="V295" s="149"/>
      <c r="W295" s="149"/>
      <c r="X295" s="149"/>
      <c r="Y295" s="149"/>
    </row>
    <row r="296" spans="2:25" s="222" customFormat="1" x14ac:dyDescent="0.35">
      <c r="B296" s="57"/>
      <c r="F296" s="238"/>
      <c r="I296" s="239"/>
      <c r="J296" s="239"/>
      <c r="P296" s="149"/>
      <c r="Q296" s="195"/>
      <c r="U296" s="149"/>
      <c r="V296" s="149"/>
      <c r="W296" s="149"/>
      <c r="X296" s="149"/>
      <c r="Y296" s="149"/>
    </row>
    <row r="297" spans="2:25" s="222" customFormat="1" x14ac:dyDescent="0.35">
      <c r="B297" s="57"/>
      <c r="F297" s="238"/>
      <c r="I297" s="239"/>
      <c r="J297" s="239"/>
      <c r="P297" s="149"/>
      <c r="Q297" s="195"/>
      <c r="U297" s="149"/>
      <c r="V297" s="149"/>
      <c r="W297" s="149"/>
      <c r="X297" s="149"/>
      <c r="Y297" s="149"/>
    </row>
    <row r="298" spans="2:25" s="222" customFormat="1" x14ac:dyDescent="0.35">
      <c r="B298" s="57"/>
      <c r="F298" s="238"/>
      <c r="I298" s="239"/>
      <c r="J298" s="239"/>
      <c r="P298" s="149"/>
      <c r="Q298" s="195"/>
      <c r="U298" s="149"/>
      <c r="V298" s="149"/>
      <c r="W298" s="149"/>
      <c r="X298" s="149"/>
      <c r="Y298" s="149"/>
    </row>
    <row r="299" spans="2:25" s="222" customFormat="1" x14ac:dyDescent="0.35">
      <c r="B299" s="57"/>
      <c r="F299" s="238"/>
      <c r="I299" s="239"/>
      <c r="J299" s="239"/>
      <c r="P299" s="149"/>
      <c r="Q299" s="195"/>
      <c r="U299" s="149"/>
      <c r="V299" s="149"/>
      <c r="W299" s="149"/>
      <c r="X299" s="149"/>
      <c r="Y299" s="149"/>
    </row>
    <row r="300" spans="2:25" s="222" customFormat="1" x14ac:dyDescent="0.35">
      <c r="B300" s="57"/>
      <c r="F300" s="238"/>
      <c r="I300" s="239"/>
      <c r="J300" s="239"/>
      <c r="P300" s="149"/>
      <c r="Q300" s="195"/>
      <c r="U300" s="149"/>
      <c r="V300" s="149"/>
      <c r="W300" s="149"/>
      <c r="X300" s="149"/>
      <c r="Y300" s="149"/>
    </row>
    <row r="301" spans="2:25" s="222" customFormat="1" x14ac:dyDescent="0.35">
      <c r="B301" s="57"/>
      <c r="F301" s="238"/>
      <c r="I301" s="239"/>
      <c r="J301" s="239"/>
      <c r="P301" s="149"/>
      <c r="Q301" s="195"/>
      <c r="U301" s="149"/>
      <c r="V301" s="149"/>
      <c r="W301" s="149"/>
      <c r="X301" s="149"/>
      <c r="Y301" s="149"/>
    </row>
    <row r="302" spans="2:25" s="222" customFormat="1" x14ac:dyDescent="0.35">
      <c r="B302" s="57"/>
      <c r="F302" s="238"/>
      <c r="I302" s="239"/>
      <c r="J302" s="239"/>
      <c r="P302" s="149"/>
      <c r="Q302" s="195"/>
      <c r="U302" s="149"/>
      <c r="V302" s="149"/>
      <c r="W302" s="149"/>
      <c r="X302" s="149"/>
      <c r="Y302" s="149"/>
    </row>
    <row r="303" spans="2:25" s="222" customFormat="1" x14ac:dyDescent="0.35">
      <c r="B303" s="57"/>
      <c r="F303" s="238"/>
      <c r="I303" s="239"/>
      <c r="J303" s="239"/>
      <c r="P303" s="149"/>
      <c r="Q303" s="195"/>
      <c r="U303" s="149"/>
      <c r="V303" s="149"/>
      <c r="W303" s="149"/>
      <c r="X303" s="149"/>
      <c r="Y303" s="149"/>
    </row>
    <row r="304" spans="2:25" s="222" customFormat="1" x14ac:dyDescent="0.35">
      <c r="B304" s="57"/>
      <c r="F304" s="238"/>
      <c r="I304" s="239"/>
      <c r="J304" s="239"/>
      <c r="P304" s="149"/>
      <c r="Q304" s="195"/>
      <c r="U304" s="149"/>
      <c r="V304" s="149"/>
      <c r="W304" s="149"/>
      <c r="X304" s="149"/>
      <c r="Y304" s="149"/>
    </row>
    <row r="305" spans="2:25" s="222" customFormat="1" x14ac:dyDescent="0.35">
      <c r="B305" s="57"/>
      <c r="F305" s="238"/>
      <c r="I305" s="239"/>
      <c r="J305" s="239"/>
      <c r="P305" s="149"/>
      <c r="Q305" s="195"/>
      <c r="U305" s="149"/>
      <c r="V305" s="149"/>
      <c r="W305" s="149"/>
      <c r="X305" s="149"/>
      <c r="Y305" s="149"/>
    </row>
    <row r="306" spans="2:25" s="222" customFormat="1" x14ac:dyDescent="0.35">
      <c r="B306" s="57"/>
      <c r="F306" s="238"/>
      <c r="I306" s="239"/>
      <c r="J306" s="239"/>
      <c r="P306" s="149"/>
      <c r="Q306" s="195"/>
      <c r="U306" s="149"/>
      <c r="V306" s="149"/>
      <c r="W306" s="149"/>
      <c r="X306" s="149"/>
      <c r="Y306" s="149"/>
    </row>
    <row r="307" spans="2:25" s="222" customFormat="1" x14ac:dyDescent="0.35">
      <c r="B307" s="57"/>
      <c r="F307" s="238"/>
      <c r="I307" s="239"/>
      <c r="J307" s="239"/>
      <c r="P307" s="149"/>
      <c r="Q307" s="195"/>
      <c r="U307" s="149"/>
      <c r="V307" s="149"/>
      <c r="W307" s="149"/>
      <c r="X307" s="149"/>
      <c r="Y307" s="149"/>
    </row>
    <row r="308" spans="2:25" s="222" customFormat="1" x14ac:dyDescent="0.35">
      <c r="B308" s="57"/>
      <c r="F308" s="238"/>
      <c r="I308" s="239"/>
      <c r="J308" s="239"/>
      <c r="P308" s="149"/>
      <c r="Q308" s="195"/>
      <c r="U308" s="149"/>
      <c r="V308" s="149"/>
      <c r="W308" s="149"/>
      <c r="X308" s="149"/>
      <c r="Y308" s="149"/>
    </row>
    <row r="309" spans="2:25" s="222" customFormat="1" x14ac:dyDescent="0.35">
      <c r="B309" s="57"/>
      <c r="F309" s="238"/>
      <c r="I309" s="239"/>
      <c r="J309" s="239"/>
      <c r="P309" s="149"/>
      <c r="Q309" s="195"/>
      <c r="U309" s="149"/>
      <c r="V309" s="149"/>
      <c r="W309" s="149"/>
      <c r="X309" s="149"/>
      <c r="Y309" s="149"/>
    </row>
    <row r="310" spans="2:25" s="222" customFormat="1" x14ac:dyDescent="0.35">
      <c r="B310" s="57"/>
      <c r="F310" s="238"/>
      <c r="I310" s="239"/>
      <c r="J310" s="239"/>
      <c r="P310" s="149"/>
      <c r="Q310" s="195"/>
      <c r="U310" s="149"/>
      <c r="V310" s="149"/>
      <c r="W310" s="149"/>
      <c r="X310" s="149"/>
      <c r="Y310" s="149"/>
    </row>
    <row r="311" spans="2:25" s="222" customFormat="1" x14ac:dyDescent="0.35">
      <c r="B311" s="57"/>
      <c r="F311" s="238"/>
      <c r="I311" s="239"/>
      <c r="J311" s="239"/>
      <c r="P311" s="149"/>
      <c r="Q311" s="195"/>
      <c r="U311" s="149"/>
      <c r="V311" s="149"/>
      <c r="W311" s="149"/>
      <c r="X311" s="149"/>
      <c r="Y311" s="149"/>
    </row>
    <row r="312" spans="2:25" s="222" customFormat="1" x14ac:dyDescent="0.35">
      <c r="B312" s="57"/>
      <c r="F312" s="238"/>
      <c r="I312" s="239"/>
      <c r="J312" s="239"/>
      <c r="P312" s="149"/>
      <c r="Q312" s="195"/>
      <c r="U312" s="149"/>
      <c r="V312" s="149"/>
      <c r="W312" s="149"/>
      <c r="X312" s="149"/>
      <c r="Y312" s="149"/>
    </row>
    <row r="313" spans="2:25" s="222" customFormat="1" x14ac:dyDescent="0.35">
      <c r="B313" s="57"/>
      <c r="F313" s="238"/>
      <c r="I313" s="239"/>
      <c r="J313" s="239"/>
      <c r="P313" s="149"/>
      <c r="Q313" s="195"/>
      <c r="U313" s="149"/>
      <c r="V313" s="149"/>
      <c r="W313" s="149"/>
      <c r="X313" s="149"/>
      <c r="Y313" s="149"/>
    </row>
    <row r="314" spans="2:25" s="222" customFormat="1" x14ac:dyDescent="0.35">
      <c r="B314" s="57"/>
      <c r="F314" s="238"/>
      <c r="I314" s="239"/>
      <c r="J314" s="239"/>
      <c r="P314" s="149"/>
      <c r="Q314" s="195"/>
      <c r="U314" s="149"/>
      <c r="V314" s="149"/>
      <c r="W314" s="149"/>
      <c r="X314" s="149"/>
      <c r="Y314" s="149"/>
    </row>
    <row r="315" spans="2:25" s="222" customFormat="1" x14ac:dyDescent="0.35">
      <c r="B315" s="57"/>
      <c r="F315" s="238"/>
      <c r="I315" s="239"/>
      <c r="J315" s="239"/>
      <c r="P315" s="149"/>
      <c r="Q315" s="195"/>
      <c r="U315" s="149"/>
      <c r="V315" s="149"/>
      <c r="W315" s="149"/>
      <c r="X315" s="149"/>
      <c r="Y315" s="149"/>
    </row>
    <row r="316" spans="2:25" s="222" customFormat="1" x14ac:dyDescent="0.35">
      <c r="B316" s="57"/>
      <c r="F316" s="238"/>
      <c r="I316" s="239"/>
      <c r="J316" s="239"/>
      <c r="P316" s="149"/>
      <c r="Q316" s="195"/>
      <c r="U316" s="149"/>
      <c r="V316" s="149"/>
      <c r="W316" s="149"/>
      <c r="X316" s="149"/>
      <c r="Y316" s="149"/>
    </row>
    <row r="317" spans="2:25" s="222" customFormat="1" x14ac:dyDescent="0.35">
      <c r="B317" s="57"/>
      <c r="F317" s="238"/>
      <c r="I317" s="239"/>
      <c r="J317" s="239"/>
      <c r="P317" s="149"/>
      <c r="Q317" s="195"/>
      <c r="U317" s="149"/>
      <c r="V317" s="149"/>
      <c r="W317" s="149"/>
      <c r="X317" s="149"/>
      <c r="Y317" s="149"/>
    </row>
    <row r="318" spans="2:25" s="222" customFormat="1" x14ac:dyDescent="0.35">
      <c r="B318" s="57"/>
      <c r="F318" s="238"/>
      <c r="I318" s="239"/>
      <c r="J318" s="239"/>
      <c r="P318" s="149"/>
      <c r="Q318" s="195"/>
      <c r="U318" s="149"/>
      <c r="V318" s="149"/>
      <c r="W318" s="149"/>
      <c r="X318" s="149"/>
      <c r="Y318" s="149"/>
    </row>
    <row r="319" spans="2:25" s="222" customFormat="1" x14ac:dyDescent="0.35">
      <c r="B319" s="57"/>
      <c r="F319" s="238"/>
      <c r="I319" s="239"/>
      <c r="J319" s="239"/>
      <c r="P319" s="149"/>
      <c r="Q319" s="195"/>
      <c r="U319" s="149"/>
      <c r="V319" s="149"/>
      <c r="W319" s="149"/>
      <c r="X319" s="149"/>
      <c r="Y319" s="149"/>
    </row>
    <row r="320" spans="2:25" s="222" customFormat="1" x14ac:dyDescent="0.35">
      <c r="B320" s="57"/>
      <c r="F320" s="238"/>
      <c r="I320" s="239"/>
      <c r="J320" s="239"/>
      <c r="P320" s="149"/>
      <c r="Q320" s="195"/>
      <c r="U320" s="149"/>
      <c r="V320" s="149"/>
      <c r="W320" s="149"/>
      <c r="X320" s="149"/>
      <c r="Y320" s="149"/>
    </row>
    <row r="321" spans="2:25" s="222" customFormat="1" x14ac:dyDescent="0.35">
      <c r="B321" s="57"/>
      <c r="F321" s="238"/>
      <c r="I321" s="239"/>
      <c r="J321" s="239"/>
      <c r="P321" s="149"/>
      <c r="Q321" s="195"/>
      <c r="U321" s="149"/>
      <c r="V321" s="149"/>
      <c r="W321" s="149"/>
      <c r="X321" s="149"/>
      <c r="Y321" s="149"/>
    </row>
    <row r="322" spans="2:25" s="222" customFormat="1" x14ac:dyDescent="0.35">
      <c r="B322" s="57"/>
      <c r="F322" s="238"/>
      <c r="I322" s="239"/>
      <c r="J322" s="239"/>
      <c r="P322" s="149"/>
      <c r="Q322" s="195"/>
      <c r="U322" s="149"/>
      <c r="V322" s="149"/>
      <c r="W322" s="149"/>
      <c r="X322" s="149"/>
      <c r="Y322" s="149"/>
    </row>
    <row r="323" spans="2:25" s="222" customFormat="1" x14ac:dyDescent="0.35">
      <c r="B323" s="57"/>
      <c r="F323" s="238"/>
      <c r="I323" s="239"/>
      <c r="J323" s="239"/>
      <c r="P323" s="149"/>
      <c r="Q323" s="195"/>
      <c r="U323" s="149"/>
      <c r="V323" s="149"/>
      <c r="W323" s="149"/>
      <c r="X323" s="149"/>
      <c r="Y323" s="149"/>
    </row>
    <row r="324" spans="2:25" s="222" customFormat="1" x14ac:dyDescent="0.35">
      <c r="B324" s="57"/>
      <c r="F324" s="238"/>
      <c r="I324" s="239"/>
      <c r="J324" s="239"/>
      <c r="P324" s="149"/>
      <c r="Q324" s="195"/>
      <c r="U324" s="149"/>
      <c r="V324" s="149"/>
      <c r="W324" s="149"/>
      <c r="X324" s="149"/>
      <c r="Y324" s="149"/>
    </row>
    <row r="325" spans="2:25" s="222" customFormat="1" x14ac:dyDescent="0.35">
      <c r="B325" s="57"/>
      <c r="F325" s="238"/>
      <c r="I325" s="239"/>
      <c r="J325" s="239"/>
      <c r="P325" s="149"/>
      <c r="Q325" s="195"/>
      <c r="U325" s="149"/>
      <c r="V325" s="149"/>
      <c r="W325" s="149"/>
      <c r="X325" s="149"/>
      <c r="Y325" s="149"/>
    </row>
    <row r="326" spans="2:25" s="222" customFormat="1" x14ac:dyDescent="0.35">
      <c r="B326" s="57"/>
      <c r="F326" s="238"/>
      <c r="I326" s="239"/>
      <c r="J326" s="239"/>
      <c r="P326" s="149"/>
      <c r="Q326" s="195"/>
      <c r="U326" s="149"/>
      <c r="V326" s="149"/>
      <c r="W326" s="149"/>
      <c r="X326" s="149"/>
      <c r="Y326" s="149"/>
    </row>
    <row r="327" spans="2:25" s="222" customFormat="1" x14ac:dyDescent="0.35">
      <c r="B327" s="57"/>
      <c r="F327" s="238"/>
      <c r="I327" s="239"/>
      <c r="J327" s="239"/>
      <c r="P327" s="149"/>
      <c r="Q327" s="195"/>
      <c r="U327" s="149"/>
      <c r="V327" s="149"/>
      <c r="W327" s="149"/>
      <c r="X327" s="149"/>
      <c r="Y327" s="149"/>
    </row>
    <row r="328" spans="2:25" s="222" customFormat="1" x14ac:dyDescent="0.35">
      <c r="B328" s="57"/>
      <c r="F328" s="238"/>
      <c r="I328" s="239"/>
      <c r="J328" s="239"/>
      <c r="P328" s="149"/>
      <c r="Q328" s="195"/>
      <c r="U328" s="149"/>
      <c r="V328" s="149"/>
      <c r="W328" s="149"/>
      <c r="X328" s="149"/>
      <c r="Y328" s="149"/>
    </row>
    <row r="329" spans="2:25" s="222" customFormat="1" x14ac:dyDescent="0.35">
      <c r="B329" s="57"/>
      <c r="F329" s="238"/>
      <c r="I329" s="239"/>
      <c r="J329" s="239"/>
      <c r="P329" s="149"/>
      <c r="Q329" s="195"/>
      <c r="U329" s="149"/>
      <c r="V329" s="149"/>
      <c r="W329" s="149"/>
      <c r="X329" s="149"/>
      <c r="Y329" s="149"/>
    </row>
    <row r="330" spans="2:25" s="222" customFormat="1" x14ac:dyDescent="0.35">
      <c r="B330" s="57"/>
      <c r="F330" s="238"/>
      <c r="I330" s="239"/>
      <c r="J330" s="239"/>
      <c r="P330" s="149"/>
      <c r="Q330" s="195"/>
      <c r="U330" s="149"/>
      <c r="V330" s="149"/>
      <c r="W330" s="149"/>
      <c r="X330" s="149"/>
      <c r="Y330" s="149"/>
    </row>
    <row r="331" spans="2:25" s="222" customFormat="1" x14ac:dyDescent="0.35">
      <c r="B331" s="57"/>
      <c r="F331" s="238"/>
      <c r="I331" s="239"/>
      <c r="J331" s="239"/>
      <c r="P331" s="149"/>
      <c r="Q331" s="195"/>
      <c r="U331" s="149"/>
      <c r="V331" s="149"/>
      <c r="W331" s="149"/>
      <c r="X331" s="149"/>
      <c r="Y331" s="149"/>
    </row>
    <row r="332" spans="2:25" s="222" customFormat="1" x14ac:dyDescent="0.35">
      <c r="B332" s="57"/>
      <c r="F332" s="238"/>
      <c r="I332" s="239"/>
      <c r="J332" s="239"/>
      <c r="P332" s="149"/>
      <c r="Q332" s="195"/>
      <c r="U332" s="149"/>
      <c r="V332" s="149"/>
      <c r="W332" s="149"/>
      <c r="X332" s="149"/>
      <c r="Y332" s="149"/>
    </row>
    <row r="333" spans="2:25" s="222" customFormat="1" x14ac:dyDescent="0.35">
      <c r="B333" s="57"/>
      <c r="F333" s="238"/>
      <c r="I333" s="239"/>
      <c r="J333" s="239"/>
      <c r="P333" s="149"/>
      <c r="Q333" s="195"/>
      <c r="U333" s="149"/>
      <c r="V333" s="149"/>
      <c r="W333" s="149"/>
      <c r="X333" s="149"/>
      <c r="Y333" s="149"/>
    </row>
    <row r="334" spans="2:25" s="222" customFormat="1" x14ac:dyDescent="0.35">
      <c r="B334" s="57"/>
      <c r="F334" s="238"/>
      <c r="I334" s="239"/>
      <c r="J334" s="239"/>
      <c r="P334" s="149"/>
      <c r="Q334" s="195"/>
      <c r="U334" s="149"/>
      <c r="V334" s="149"/>
      <c r="W334" s="149"/>
      <c r="X334" s="149"/>
      <c r="Y334" s="149"/>
    </row>
    <row r="335" spans="2:25" s="222" customFormat="1" x14ac:dyDescent="0.35">
      <c r="B335" s="57"/>
      <c r="F335" s="238"/>
      <c r="I335" s="239"/>
      <c r="J335" s="239"/>
      <c r="P335" s="149"/>
      <c r="Q335" s="195"/>
      <c r="U335" s="149"/>
      <c r="V335" s="149"/>
      <c r="W335" s="149"/>
      <c r="X335" s="149"/>
      <c r="Y335" s="149"/>
    </row>
    <row r="336" spans="2:25" s="222" customFormat="1" x14ac:dyDescent="0.35">
      <c r="B336" s="57"/>
      <c r="F336" s="238"/>
      <c r="I336" s="239"/>
      <c r="J336" s="239"/>
      <c r="P336" s="149"/>
      <c r="Q336" s="195"/>
      <c r="U336" s="149"/>
      <c r="V336" s="149"/>
      <c r="W336" s="149"/>
      <c r="X336" s="149"/>
      <c r="Y336" s="149"/>
    </row>
  </sheetData>
  <sortState ref="A7:AB63">
    <sortCondition ref="B7:B63"/>
  </sortState>
  <mergeCells count="1">
    <mergeCell ref="R5:T5"/>
  </mergeCells>
  <conditionalFormatting sqref="B7:B63">
    <cfRule type="colorScale" priority="1822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P7:Q63">
    <cfRule type="colorScale" priority="1824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T7:T63">
    <cfRule type="colorScale" priority="1826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C7:C63">
    <cfRule type="colorScale" priority="1828">
      <colorScale>
        <cfvo type="min"/>
        <cfvo type="percentile" val="50"/>
        <cfvo type="max"/>
        <color rgb="FFF97B7E"/>
        <color rgb="FFFFEB84"/>
        <color rgb="FF6AC281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0"/>
  </sheetPr>
  <dimension ref="A1:O74"/>
  <sheetViews>
    <sheetView zoomScaleNormal="100" workbookViewId="0">
      <pane xSplit="1" ySplit="6" topLeftCell="B37" activePane="bottomRight" state="frozen"/>
      <selection activeCell="A22" sqref="A22"/>
      <selection pane="topRight" activeCell="A22" sqref="A22"/>
      <selection pane="bottomLeft" activeCell="A22" sqref="A22"/>
      <selection pane="bottomRight" activeCell="B2" sqref="B1:B1048576"/>
    </sheetView>
  </sheetViews>
  <sheetFormatPr defaultColWidth="8.88671875" defaultRowHeight="18" x14ac:dyDescent="0.35"/>
  <cols>
    <col min="1" max="1" width="39.109375" style="2" customWidth="1"/>
    <col min="2" max="2" width="16.33203125" style="3" customWidth="1"/>
    <col min="3" max="3" width="16.33203125" style="3" bestFit="1" customWidth="1"/>
    <col min="4" max="4" width="15.33203125" style="3" customWidth="1"/>
    <col min="5" max="5" width="17" style="3" customWidth="1"/>
    <col min="6" max="6" width="15.6640625" style="3" bestFit="1" customWidth="1"/>
    <col min="7" max="7" width="9.33203125" style="2" customWidth="1"/>
    <col min="8" max="8" width="8.88671875" style="1"/>
    <col min="9" max="9" width="71.109375" style="1" customWidth="1"/>
    <col min="10" max="16384" width="8.88671875" style="1"/>
  </cols>
  <sheetData>
    <row r="1" spans="1:15" ht="21" x14ac:dyDescent="0.4">
      <c r="A1" s="1350" t="s">
        <v>182</v>
      </c>
      <c r="B1" s="1350"/>
      <c r="C1" s="1350"/>
      <c r="D1" s="1350"/>
      <c r="E1" s="1350"/>
      <c r="F1" s="32"/>
      <c r="G1" s="416"/>
      <c r="H1" s="33"/>
      <c r="I1" s="33"/>
      <c r="J1" s="33"/>
      <c r="K1" s="33"/>
      <c r="L1" s="33"/>
      <c r="M1" s="33"/>
      <c r="N1" s="33"/>
      <c r="O1" s="33"/>
    </row>
    <row r="2" spans="1:15" ht="21" x14ac:dyDescent="0.4">
      <c r="A2" s="114"/>
      <c r="B2" s="36"/>
      <c r="C2" s="32"/>
      <c r="D2" s="36"/>
      <c r="E2" s="220" t="s">
        <v>114</v>
      </c>
      <c r="F2" s="36"/>
      <c r="G2" s="416"/>
      <c r="H2" s="538"/>
      <c r="I2" s="538"/>
      <c r="J2" s="33"/>
      <c r="K2" s="33"/>
      <c r="L2" s="33"/>
      <c r="M2" s="33"/>
      <c r="N2" s="33"/>
      <c r="O2" s="33"/>
    </row>
    <row r="3" spans="1:15" ht="21" x14ac:dyDescent="0.4">
      <c r="A3" s="114"/>
      <c r="B3" s="505"/>
      <c r="C3" s="220" t="s">
        <v>387</v>
      </c>
      <c r="D3" s="220" t="s">
        <v>66</v>
      </c>
      <c r="E3" s="220" t="s">
        <v>178</v>
      </c>
      <c r="F3" s="220" t="s">
        <v>115</v>
      </c>
      <c r="G3" s="1304"/>
      <c r="H3" s="668"/>
      <c r="I3" s="668"/>
      <c r="J3" s="33"/>
      <c r="K3" s="33"/>
      <c r="L3" s="33"/>
      <c r="M3" s="33"/>
      <c r="N3" s="33"/>
      <c r="O3" s="33"/>
    </row>
    <row r="4" spans="1:15" x14ac:dyDescent="0.35">
      <c r="A4" s="97"/>
      <c r="B4" s="505" t="s">
        <v>386</v>
      </c>
      <c r="C4" s="220" t="s">
        <v>388</v>
      </c>
      <c r="D4" s="220" t="s">
        <v>176</v>
      </c>
      <c r="E4" s="220" t="s">
        <v>179</v>
      </c>
      <c r="F4" s="220" t="s">
        <v>174</v>
      </c>
      <c r="G4" s="1304"/>
      <c r="H4" s="668"/>
      <c r="I4" s="668"/>
      <c r="J4" s="33"/>
      <c r="K4" s="33"/>
      <c r="L4" s="33"/>
      <c r="M4" s="33"/>
      <c r="N4" s="33"/>
      <c r="O4" s="33"/>
    </row>
    <row r="5" spans="1:15" x14ac:dyDescent="0.35">
      <c r="A5" s="97"/>
      <c r="B5" s="916" t="s">
        <v>385</v>
      </c>
      <c r="C5" s="220" t="s">
        <v>161</v>
      </c>
      <c r="D5" s="220" t="s">
        <v>177</v>
      </c>
      <c r="E5" s="220" t="s">
        <v>180</v>
      </c>
      <c r="F5" s="220" t="s">
        <v>175</v>
      </c>
      <c r="G5" s="35" t="s">
        <v>69</v>
      </c>
      <c r="H5" s="668"/>
      <c r="I5" s="668"/>
      <c r="J5" s="33"/>
      <c r="K5" s="33"/>
      <c r="L5" s="33"/>
      <c r="M5" s="33"/>
      <c r="N5" s="33"/>
      <c r="O5" s="33"/>
    </row>
    <row r="6" spans="1:15" ht="18.600000000000001" thickBot="1" x14ac:dyDescent="0.4">
      <c r="A6" s="539" t="s">
        <v>4</v>
      </c>
      <c r="B6" s="38" t="s">
        <v>72</v>
      </c>
      <c r="C6" s="39" t="s">
        <v>115</v>
      </c>
      <c r="D6" s="39" t="s">
        <v>178</v>
      </c>
      <c r="E6" s="39" t="s">
        <v>181</v>
      </c>
      <c r="F6" s="39" t="s">
        <v>116</v>
      </c>
      <c r="G6" s="78" t="s">
        <v>2</v>
      </c>
      <c r="H6" s="1200" t="s">
        <v>3</v>
      </c>
      <c r="I6" s="39" t="s">
        <v>325</v>
      </c>
      <c r="J6" s="33"/>
      <c r="K6" s="33"/>
      <c r="L6" s="33"/>
      <c r="M6" s="33"/>
      <c r="N6" s="33"/>
      <c r="O6" s="33"/>
    </row>
    <row r="7" spans="1:15" x14ac:dyDescent="0.35">
      <c r="A7" s="164" t="s">
        <v>10</v>
      </c>
      <c r="B7" s="141">
        <v>2007</v>
      </c>
      <c r="C7" s="142"/>
      <c r="D7" s="142"/>
      <c r="E7" s="142"/>
      <c r="F7" s="391"/>
      <c r="G7" s="919">
        <f t="shared" ref="G7:G53" si="0">SUM(C7:F7)</f>
        <v>0</v>
      </c>
      <c r="H7" s="256">
        <f t="shared" ref="H7:H63" si="1">RANK(G7,G$7:G$63,0)</f>
        <v>27</v>
      </c>
      <c r="I7" s="142"/>
      <c r="J7" s="33"/>
      <c r="K7" s="33"/>
      <c r="L7" s="33"/>
      <c r="M7" s="33"/>
      <c r="N7" s="33"/>
      <c r="O7" s="33"/>
    </row>
    <row r="8" spans="1:15" x14ac:dyDescent="0.35">
      <c r="A8" s="214" t="s">
        <v>209</v>
      </c>
      <c r="B8" s="141">
        <v>2013</v>
      </c>
      <c r="C8" s="144"/>
      <c r="D8" s="144"/>
      <c r="E8" s="144"/>
      <c r="F8" s="395"/>
      <c r="G8" s="919">
        <f t="shared" si="0"/>
        <v>0</v>
      </c>
      <c r="H8" s="256">
        <f t="shared" si="1"/>
        <v>27</v>
      </c>
      <c r="I8" s="144"/>
      <c r="J8" s="33"/>
      <c r="K8" s="33"/>
      <c r="L8" s="33"/>
      <c r="M8" s="33"/>
      <c r="N8" s="33"/>
      <c r="O8" s="33"/>
    </row>
    <row r="9" spans="1:15" x14ac:dyDescent="0.35">
      <c r="A9" s="214" t="s">
        <v>146</v>
      </c>
      <c r="B9" s="1268"/>
      <c r="C9" s="409">
        <v>3</v>
      </c>
      <c r="D9" s="144"/>
      <c r="E9" s="144">
        <v>2</v>
      </c>
      <c r="F9" s="395"/>
      <c r="G9" s="918">
        <f t="shared" si="0"/>
        <v>5</v>
      </c>
      <c r="H9" s="256">
        <f>RANK(G9,G$7:G$63,0)</f>
        <v>2</v>
      </c>
      <c r="I9" s="144" t="s">
        <v>399</v>
      </c>
      <c r="J9" s="33"/>
      <c r="K9" s="33"/>
      <c r="L9" s="33"/>
      <c r="M9" s="33"/>
      <c r="N9" s="33"/>
      <c r="O9" s="33"/>
    </row>
    <row r="10" spans="1:15" x14ac:dyDescent="0.35">
      <c r="A10" s="214" t="s">
        <v>147</v>
      </c>
      <c r="B10" s="143">
        <v>2019</v>
      </c>
      <c r="C10" s="409"/>
      <c r="D10" s="144"/>
      <c r="E10" s="144"/>
      <c r="F10" s="395"/>
      <c r="G10" s="919">
        <f t="shared" si="0"/>
        <v>0</v>
      </c>
      <c r="H10" s="256">
        <f t="shared" si="1"/>
        <v>27</v>
      </c>
      <c r="I10" s="144"/>
      <c r="J10" s="33"/>
      <c r="K10" s="33"/>
      <c r="L10" s="33"/>
      <c r="M10" s="33"/>
      <c r="N10" s="33"/>
      <c r="O10" s="33"/>
    </row>
    <row r="11" spans="1:15" x14ac:dyDescent="0.35">
      <c r="A11" s="95" t="s">
        <v>5</v>
      </c>
      <c r="B11" s="141">
        <v>2015</v>
      </c>
      <c r="C11" s="144"/>
      <c r="D11" s="144"/>
      <c r="E11" s="144"/>
      <c r="F11" s="395"/>
      <c r="G11" s="919">
        <f t="shared" si="0"/>
        <v>0</v>
      </c>
      <c r="H11" s="256">
        <f t="shared" si="1"/>
        <v>27</v>
      </c>
      <c r="I11" s="144"/>
      <c r="J11" s="33"/>
      <c r="K11" s="33"/>
      <c r="L11" s="33"/>
      <c r="M11" s="33"/>
      <c r="N11" s="33"/>
      <c r="O11" s="33"/>
    </row>
    <row r="12" spans="1:15" x14ac:dyDescent="0.35">
      <c r="A12" s="214" t="s">
        <v>210</v>
      </c>
      <c r="B12" s="143">
        <v>2017</v>
      </c>
      <c r="C12" s="144"/>
      <c r="D12" s="144"/>
      <c r="E12" s="144"/>
      <c r="F12" s="395"/>
      <c r="G12" s="919">
        <f t="shared" si="0"/>
        <v>0</v>
      </c>
      <c r="H12" s="256">
        <f t="shared" si="1"/>
        <v>27</v>
      </c>
      <c r="I12" s="144"/>
      <c r="J12" s="33"/>
      <c r="K12" s="33"/>
      <c r="L12" s="33"/>
      <c r="M12" s="33"/>
      <c r="N12" s="33"/>
      <c r="O12" s="33"/>
    </row>
    <row r="13" spans="1:15" x14ac:dyDescent="0.35">
      <c r="A13" s="214" t="s">
        <v>339</v>
      </c>
      <c r="B13" s="143">
        <v>2017</v>
      </c>
      <c r="C13" s="144"/>
      <c r="D13" s="144"/>
      <c r="E13" s="144"/>
      <c r="F13" s="395"/>
      <c r="G13" s="919">
        <f t="shared" si="0"/>
        <v>0</v>
      </c>
      <c r="H13" s="256">
        <f t="shared" si="1"/>
        <v>27</v>
      </c>
      <c r="I13" s="144"/>
      <c r="J13" s="33"/>
      <c r="K13" s="33"/>
      <c r="L13" s="33"/>
      <c r="M13" s="33"/>
      <c r="N13" s="33"/>
      <c r="O13" s="33"/>
    </row>
    <row r="14" spans="1:15" x14ac:dyDescent="0.35">
      <c r="A14" s="95" t="s">
        <v>134</v>
      </c>
      <c r="B14" s="141">
        <v>2017</v>
      </c>
      <c r="C14" s="144"/>
      <c r="D14" s="144"/>
      <c r="E14" s="144"/>
      <c r="F14" s="395"/>
      <c r="G14" s="919">
        <f t="shared" si="0"/>
        <v>0</v>
      </c>
      <c r="H14" s="256">
        <f t="shared" si="1"/>
        <v>27</v>
      </c>
      <c r="I14" s="144"/>
      <c r="J14" s="33"/>
      <c r="K14" s="33"/>
      <c r="L14" s="33"/>
      <c r="M14" s="33"/>
      <c r="N14" s="33"/>
      <c r="O14" s="33"/>
    </row>
    <row r="15" spans="1:15" x14ac:dyDescent="0.35">
      <c r="A15" s="214" t="s">
        <v>148</v>
      </c>
      <c r="B15" s="141">
        <v>2013</v>
      </c>
      <c r="C15" s="409">
        <v>3</v>
      </c>
      <c r="D15" s="144">
        <v>1</v>
      </c>
      <c r="E15" s="144">
        <v>1</v>
      </c>
      <c r="F15" s="395"/>
      <c r="G15" s="918">
        <f t="shared" si="0"/>
        <v>5</v>
      </c>
      <c r="H15" s="256">
        <f t="shared" si="1"/>
        <v>2</v>
      </c>
      <c r="I15" s="144" t="s">
        <v>395</v>
      </c>
      <c r="J15" s="33"/>
      <c r="K15" s="33"/>
      <c r="L15" s="33"/>
      <c r="M15" s="33"/>
      <c r="N15" s="33"/>
      <c r="O15" s="33"/>
    </row>
    <row r="16" spans="1:15" x14ac:dyDescent="0.35">
      <c r="A16" s="214" t="s">
        <v>9</v>
      </c>
      <c r="B16" s="141">
        <v>2019</v>
      </c>
      <c r="C16" s="144"/>
      <c r="D16" s="144"/>
      <c r="E16" s="144"/>
      <c r="F16" s="395"/>
      <c r="G16" s="919">
        <f t="shared" si="0"/>
        <v>0</v>
      </c>
      <c r="H16" s="256">
        <f t="shared" si="1"/>
        <v>27</v>
      </c>
      <c r="I16" s="144"/>
      <c r="J16" s="33"/>
      <c r="K16" s="33"/>
      <c r="L16" s="33"/>
      <c r="M16" s="33"/>
      <c r="N16" s="33"/>
      <c r="O16" s="33"/>
    </row>
    <row r="17" spans="1:15" x14ac:dyDescent="0.35">
      <c r="A17" s="95" t="s">
        <v>129</v>
      </c>
      <c r="B17" s="143">
        <v>2017</v>
      </c>
      <c r="C17" s="144"/>
      <c r="D17" s="144"/>
      <c r="E17" s="144"/>
      <c r="F17" s="395"/>
      <c r="G17" s="919">
        <f t="shared" si="0"/>
        <v>0</v>
      </c>
      <c r="H17" s="256">
        <f t="shared" si="1"/>
        <v>27</v>
      </c>
      <c r="I17" s="144"/>
      <c r="J17" s="33"/>
      <c r="K17" s="33"/>
      <c r="L17" s="33"/>
      <c r="M17" s="33"/>
      <c r="N17" s="33"/>
      <c r="O17" s="33"/>
    </row>
    <row r="18" spans="1:15" x14ac:dyDescent="0.35">
      <c r="A18" s="95" t="s">
        <v>18</v>
      </c>
      <c r="B18" s="145">
        <v>2015</v>
      </c>
      <c r="C18" s="144"/>
      <c r="D18" s="144"/>
      <c r="E18" s="144"/>
      <c r="F18" s="395"/>
      <c r="G18" s="919">
        <f t="shared" si="0"/>
        <v>0</v>
      </c>
      <c r="H18" s="256">
        <f t="shared" si="1"/>
        <v>27</v>
      </c>
      <c r="I18" s="144"/>
      <c r="J18" s="33"/>
      <c r="K18" s="33"/>
      <c r="L18" s="33"/>
      <c r="M18" s="33"/>
      <c r="N18" s="33"/>
      <c r="O18" s="33"/>
    </row>
    <row r="19" spans="1:15" x14ac:dyDescent="0.35">
      <c r="A19" s="95" t="s">
        <v>140</v>
      </c>
      <c r="B19" s="1303">
        <v>2015</v>
      </c>
      <c r="C19" s="144"/>
      <c r="D19" s="144"/>
      <c r="E19" s="144"/>
      <c r="F19" s="395"/>
      <c r="G19" s="919">
        <f t="shared" si="0"/>
        <v>0</v>
      </c>
      <c r="H19" s="256">
        <f t="shared" si="1"/>
        <v>27</v>
      </c>
      <c r="I19" s="144"/>
      <c r="J19" s="33"/>
      <c r="K19" s="33"/>
      <c r="L19" s="33"/>
      <c r="M19" s="33"/>
      <c r="N19" s="33"/>
      <c r="O19" s="33"/>
    </row>
    <row r="20" spans="1:15" x14ac:dyDescent="0.35">
      <c r="A20" s="214" t="s">
        <v>143</v>
      </c>
      <c r="B20" s="1302">
        <v>2015</v>
      </c>
      <c r="C20" s="144"/>
      <c r="D20" s="144"/>
      <c r="E20" s="144"/>
      <c r="F20" s="395"/>
      <c r="G20" s="919">
        <f t="shared" si="0"/>
        <v>0</v>
      </c>
      <c r="H20" s="256">
        <f t="shared" si="1"/>
        <v>27</v>
      </c>
      <c r="I20" s="144"/>
      <c r="J20" s="33"/>
      <c r="K20" s="33"/>
      <c r="L20" s="33"/>
      <c r="M20" s="33"/>
      <c r="N20" s="33"/>
      <c r="O20" s="33"/>
    </row>
    <row r="21" spans="1:15" x14ac:dyDescent="0.35">
      <c r="A21" s="214" t="s">
        <v>149</v>
      </c>
      <c r="B21" s="143">
        <v>2021</v>
      </c>
      <c r="C21" s="409"/>
      <c r="D21" s="144"/>
      <c r="E21" s="144"/>
      <c r="F21" s="395"/>
      <c r="G21" s="918">
        <f t="shared" si="0"/>
        <v>0</v>
      </c>
      <c r="H21" s="256">
        <f t="shared" si="1"/>
        <v>27</v>
      </c>
      <c r="I21" s="144"/>
      <c r="J21" s="33"/>
      <c r="K21" s="33"/>
      <c r="L21" s="33"/>
      <c r="M21" s="33"/>
      <c r="N21" s="33"/>
      <c r="O21" s="33"/>
    </row>
    <row r="22" spans="1:15" x14ac:dyDescent="0.35">
      <c r="A22" s="95" t="s">
        <v>132</v>
      </c>
      <c r="B22" s="143">
        <v>2019</v>
      </c>
      <c r="C22" s="144"/>
      <c r="D22" s="144"/>
      <c r="E22" s="144"/>
      <c r="F22" s="395"/>
      <c r="G22" s="919">
        <f t="shared" si="0"/>
        <v>0</v>
      </c>
      <c r="H22" s="256">
        <f t="shared" si="1"/>
        <v>27</v>
      </c>
      <c r="I22" s="144"/>
      <c r="J22" s="33"/>
      <c r="K22" s="33"/>
      <c r="L22" s="33"/>
      <c r="M22" s="33"/>
      <c r="N22" s="33"/>
      <c r="O22" s="33"/>
    </row>
    <row r="23" spans="1:15" x14ac:dyDescent="0.35">
      <c r="A23" s="95" t="s">
        <v>16</v>
      </c>
      <c r="B23" s="143">
        <v>2017</v>
      </c>
      <c r="C23" s="144"/>
      <c r="D23" s="144"/>
      <c r="E23" s="144"/>
      <c r="F23" s="395"/>
      <c r="G23" s="919">
        <f t="shared" si="0"/>
        <v>0</v>
      </c>
      <c r="H23" s="256">
        <f t="shared" si="1"/>
        <v>27</v>
      </c>
      <c r="I23" s="144"/>
      <c r="J23" s="33"/>
      <c r="K23" s="33"/>
      <c r="L23" s="33"/>
      <c r="M23" s="33"/>
      <c r="N23" s="33"/>
      <c r="O23" s="33"/>
    </row>
    <row r="24" spans="1:15" x14ac:dyDescent="0.35">
      <c r="A24" s="95" t="s">
        <v>6</v>
      </c>
      <c r="B24" s="141">
        <v>2021</v>
      </c>
      <c r="C24" s="144"/>
      <c r="D24" s="144"/>
      <c r="E24" s="144"/>
      <c r="F24" s="395"/>
      <c r="G24" s="918">
        <f t="shared" si="0"/>
        <v>0</v>
      </c>
      <c r="H24" s="256">
        <f t="shared" si="1"/>
        <v>27</v>
      </c>
      <c r="I24" s="144"/>
      <c r="J24" s="33"/>
      <c r="K24" s="33"/>
      <c r="L24" s="33"/>
      <c r="M24" s="33"/>
      <c r="N24" s="33"/>
      <c r="O24" s="33"/>
    </row>
    <row r="25" spans="1:15" x14ac:dyDescent="0.35">
      <c r="A25" s="95" t="s">
        <v>20</v>
      </c>
      <c r="B25" s="143">
        <v>2013</v>
      </c>
      <c r="C25" s="144"/>
      <c r="D25" s="144">
        <v>2</v>
      </c>
      <c r="E25" s="144">
        <v>3</v>
      </c>
      <c r="F25" s="395"/>
      <c r="G25" s="918">
        <f t="shared" si="0"/>
        <v>5</v>
      </c>
      <c r="H25" s="256">
        <f t="shared" si="1"/>
        <v>2</v>
      </c>
      <c r="I25" s="144" t="s">
        <v>389</v>
      </c>
      <c r="J25" s="33"/>
      <c r="K25" s="33"/>
      <c r="L25" s="33"/>
      <c r="M25" s="33"/>
      <c r="N25" s="33"/>
      <c r="O25" s="33"/>
    </row>
    <row r="26" spans="1:15" x14ac:dyDescent="0.35">
      <c r="A26" s="214" t="s">
        <v>150</v>
      </c>
      <c r="B26" s="1268"/>
      <c r="C26" s="409">
        <v>3</v>
      </c>
      <c r="D26" s="144"/>
      <c r="E26" s="144">
        <v>1</v>
      </c>
      <c r="F26" s="395"/>
      <c r="G26" s="917">
        <f t="shared" si="0"/>
        <v>4</v>
      </c>
      <c r="H26" s="256">
        <f t="shared" si="1"/>
        <v>7</v>
      </c>
      <c r="I26" s="144"/>
      <c r="J26" s="33"/>
      <c r="K26" s="33"/>
      <c r="L26" s="33"/>
      <c r="M26" s="33"/>
      <c r="N26" s="33"/>
      <c r="O26" s="33"/>
    </row>
    <row r="27" spans="1:15" x14ac:dyDescent="0.35">
      <c r="A27" s="214" t="s">
        <v>33</v>
      </c>
      <c r="B27" s="1268"/>
      <c r="C27" s="144"/>
      <c r="D27" s="144">
        <v>1</v>
      </c>
      <c r="E27" s="144">
        <v>1</v>
      </c>
      <c r="F27" s="395"/>
      <c r="G27" s="917">
        <f t="shared" si="0"/>
        <v>2</v>
      </c>
      <c r="H27" s="256">
        <f t="shared" si="1"/>
        <v>19</v>
      </c>
      <c r="I27" s="144"/>
      <c r="J27" s="33"/>
      <c r="K27" s="33"/>
      <c r="L27" s="33"/>
      <c r="M27" s="33"/>
      <c r="N27" s="33"/>
      <c r="O27" s="33"/>
    </row>
    <row r="28" spans="1:15" x14ac:dyDescent="0.35">
      <c r="A28" s="214" t="s">
        <v>476</v>
      </c>
      <c r="B28" s="143">
        <v>2019</v>
      </c>
      <c r="C28" s="144"/>
      <c r="D28" s="144"/>
      <c r="E28" s="144"/>
      <c r="F28" s="395"/>
      <c r="G28" s="919">
        <f t="shared" si="0"/>
        <v>0</v>
      </c>
      <c r="H28" s="256">
        <f t="shared" si="1"/>
        <v>27</v>
      </c>
      <c r="I28" s="144"/>
      <c r="J28" s="33"/>
      <c r="K28" s="33"/>
      <c r="L28" s="33"/>
      <c r="M28" s="33"/>
      <c r="N28" s="33"/>
      <c r="O28" s="33"/>
    </row>
    <row r="29" spans="1:15" x14ac:dyDescent="0.35">
      <c r="A29" s="214" t="s">
        <v>151</v>
      </c>
      <c r="B29" s="1268"/>
      <c r="C29" s="409">
        <v>3</v>
      </c>
      <c r="D29" s="144"/>
      <c r="E29" s="144">
        <v>1</v>
      </c>
      <c r="F29" s="395"/>
      <c r="G29" s="917">
        <f t="shared" si="0"/>
        <v>4</v>
      </c>
      <c r="H29" s="256">
        <f t="shared" si="1"/>
        <v>7</v>
      </c>
      <c r="I29" s="144"/>
      <c r="J29" s="33"/>
      <c r="K29" s="33"/>
      <c r="L29" s="33"/>
      <c r="M29" s="33"/>
      <c r="N29" s="33"/>
      <c r="O29" s="33"/>
    </row>
    <row r="30" spans="1:15" x14ac:dyDescent="0.35">
      <c r="A30" s="214" t="s">
        <v>144</v>
      </c>
      <c r="B30" s="141">
        <v>2011</v>
      </c>
      <c r="C30" s="144"/>
      <c r="D30" s="144"/>
      <c r="E30" s="144"/>
      <c r="F30" s="395"/>
      <c r="G30" s="919">
        <f t="shared" si="0"/>
        <v>0</v>
      </c>
      <c r="H30" s="256">
        <f t="shared" si="1"/>
        <v>27</v>
      </c>
      <c r="I30" s="144"/>
      <c r="J30" s="33"/>
      <c r="K30" s="33"/>
      <c r="L30" s="33"/>
      <c r="M30" s="33"/>
      <c r="N30" s="33"/>
      <c r="O30" s="33"/>
    </row>
    <row r="31" spans="1:15" x14ac:dyDescent="0.35">
      <c r="A31" s="214" t="s">
        <v>145</v>
      </c>
      <c r="B31" s="143">
        <v>2009</v>
      </c>
      <c r="C31" s="144"/>
      <c r="D31" s="144">
        <v>1</v>
      </c>
      <c r="E31" s="144">
        <v>1</v>
      </c>
      <c r="F31" s="395"/>
      <c r="G31" s="488">
        <f t="shared" si="0"/>
        <v>2</v>
      </c>
      <c r="H31" s="256">
        <f t="shared" si="1"/>
        <v>19</v>
      </c>
      <c r="I31" s="144" t="s">
        <v>392</v>
      </c>
      <c r="J31" s="33"/>
      <c r="K31" s="33"/>
      <c r="L31" s="33"/>
      <c r="M31" s="33"/>
      <c r="N31" s="33"/>
      <c r="O31" s="33"/>
    </row>
    <row r="32" spans="1:15" x14ac:dyDescent="0.35">
      <c r="A32" s="214" t="s">
        <v>152</v>
      </c>
      <c r="B32" s="1268"/>
      <c r="C32" s="409">
        <v>3</v>
      </c>
      <c r="D32" s="144"/>
      <c r="E32" s="144">
        <v>1</v>
      </c>
      <c r="F32" s="395"/>
      <c r="G32" s="917">
        <f t="shared" si="0"/>
        <v>4</v>
      </c>
      <c r="H32" s="256">
        <f t="shared" si="1"/>
        <v>7</v>
      </c>
      <c r="I32" s="144"/>
      <c r="J32" s="33"/>
      <c r="K32" s="33"/>
      <c r="L32" s="33"/>
      <c r="M32" s="33"/>
      <c r="N32" s="33"/>
      <c r="O32" s="33"/>
    </row>
    <row r="33" spans="1:15" x14ac:dyDescent="0.35">
      <c r="A33" s="214" t="s">
        <v>356</v>
      </c>
      <c r="B33" s="145">
        <v>2015</v>
      </c>
      <c r="C33" s="144"/>
      <c r="D33" s="144"/>
      <c r="E33" s="144"/>
      <c r="F33" s="395"/>
      <c r="G33" s="919">
        <f t="shared" si="0"/>
        <v>0</v>
      </c>
      <c r="H33" s="256">
        <f t="shared" si="1"/>
        <v>27</v>
      </c>
      <c r="I33" s="144"/>
      <c r="J33" s="33"/>
      <c r="K33" s="33"/>
      <c r="L33" s="33"/>
      <c r="M33" s="33"/>
      <c r="N33" s="33"/>
      <c r="O33" s="33"/>
    </row>
    <row r="34" spans="1:15" x14ac:dyDescent="0.35">
      <c r="A34" s="214" t="s">
        <v>337</v>
      </c>
      <c r="B34" s="1268"/>
      <c r="C34" s="409">
        <v>3</v>
      </c>
      <c r="D34" s="144"/>
      <c r="E34" s="144">
        <v>1</v>
      </c>
      <c r="F34" s="395"/>
      <c r="G34" s="917">
        <f t="shared" si="0"/>
        <v>4</v>
      </c>
      <c r="H34" s="256">
        <f t="shared" si="1"/>
        <v>7</v>
      </c>
      <c r="I34" s="144"/>
      <c r="J34" s="33"/>
      <c r="K34" s="33"/>
      <c r="L34" s="33"/>
      <c r="M34" s="33"/>
      <c r="N34" s="33"/>
      <c r="O34" s="33"/>
    </row>
    <row r="35" spans="1:15" x14ac:dyDescent="0.35">
      <c r="A35" s="95" t="s">
        <v>128</v>
      </c>
      <c r="B35" s="143">
        <v>2021</v>
      </c>
      <c r="C35" s="144"/>
      <c r="D35" s="144"/>
      <c r="E35" s="144">
        <v>3</v>
      </c>
      <c r="F35" s="395"/>
      <c r="G35" s="918">
        <f t="shared" si="0"/>
        <v>3</v>
      </c>
      <c r="H35" s="256">
        <f t="shared" si="1"/>
        <v>13</v>
      </c>
      <c r="I35" s="144"/>
      <c r="J35" s="33"/>
      <c r="K35" s="33"/>
      <c r="L35" s="33"/>
      <c r="M35" s="33"/>
      <c r="N35" s="33"/>
      <c r="O35" s="33"/>
    </row>
    <row r="36" spans="1:15" x14ac:dyDescent="0.35">
      <c r="A36" s="96" t="s">
        <v>141</v>
      </c>
      <c r="B36" s="143">
        <v>2019</v>
      </c>
      <c r="C36" s="144"/>
      <c r="D36" s="144"/>
      <c r="E36" s="144"/>
      <c r="F36" s="395"/>
      <c r="G36" s="919">
        <f t="shared" si="0"/>
        <v>0</v>
      </c>
      <c r="H36" s="256">
        <f t="shared" si="1"/>
        <v>27</v>
      </c>
      <c r="I36" s="144"/>
      <c r="J36" s="33"/>
      <c r="K36" s="33"/>
      <c r="L36" s="33"/>
      <c r="M36" s="33"/>
      <c r="N36" s="33"/>
      <c r="O36" s="33"/>
    </row>
    <row r="37" spans="1:15" x14ac:dyDescent="0.35">
      <c r="A37" s="95" t="s">
        <v>125</v>
      </c>
      <c r="B37" s="143">
        <v>2013</v>
      </c>
      <c r="C37" s="144"/>
      <c r="D37" s="144"/>
      <c r="E37" s="144">
        <v>2</v>
      </c>
      <c r="F37" s="395"/>
      <c r="G37" s="918">
        <f t="shared" si="0"/>
        <v>2</v>
      </c>
      <c r="H37" s="256">
        <f t="shared" si="1"/>
        <v>19</v>
      </c>
      <c r="I37" s="144" t="s">
        <v>391</v>
      </c>
      <c r="J37" s="33"/>
      <c r="K37" s="33"/>
      <c r="L37" s="33"/>
      <c r="M37" s="33"/>
      <c r="N37" s="33"/>
      <c r="O37" s="33"/>
    </row>
    <row r="38" spans="1:15" x14ac:dyDescent="0.35">
      <c r="A38" s="214" t="s">
        <v>153</v>
      </c>
      <c r="B38" s="1268"/>
      <c r="C38" s="409">
        <v>3</v>
      </c>
      <c r="D38" s="144"/>
      <c r="E38" s="144"/>
      <c r="F38" s="395"/>
      <c r="G38" s="917">
        <f t="shared" si="0"/>
        <v>3</v>
      </c>
      <c r="H38" s="256">
        <f t="shared" si="1"/>
        <v>13</v>
      </c>
      <c r="I38" s="144"/>
      <c r="J38" s="33"/>
      <c r="K38" s="33"/>
      <c r="L38" s="33"/>
      <c r="M38" s="33"/>
      <c r="N38" s="33"/>
      <c r="O38" s="33"/>
    </row>
    <row r="39" spans="1:15" x14ac:dyDescent="0.35">
      <c r="A39" s="95" t="s">
        <v>133</v>
      </c>
      <c r="B39" s="1268"/>
      <c r="C39" s="409"/>
      <c r="D39" s="144">
        <v>1</v>
      </c>
      <c r="E39" s="144">
        <v>2</v>
      </c>
      <c r="F39" s="395"/>
      <c r="G39" s="917">
        <f t="shared" si="0"/>
        <v>3</v>
      </c>
      <c r="H39" s="256">
        <f t="shared" si="1"/>
        <v>13</v>
      </c>
      <c r="I39" s="144"/>
      <c r="J39" s="33"/>
      <c r="K39" s="33"/>
      <c r="L39" s="33"/>
      <c r="M39" s="33"/>
      <c r="N39" s="33"/>
      <c r="O39" s="33"/>
    </row>
    <row r="40" spans="1:15" x14ac:dyDescent="0.35">
      <c r="A40" s="95" t="s">
        <v>357</v>
      </c>
      <c r="B40" s="143">
        <v>2017</v>
      </c>
      <c r="C40" s="144"/>
      <c r="D40" s="144"/>
      <c r="E40" s="144"/>
      <c r="F40" s="395"/>
      <c r="G40" s="919">
        <f t="shared" si="0"/>
        <v>0</v>
      </c>
      <c r="H40" s="256">
        <f t="shared" si="1"/>
        <v>27</v>
      </c>
      <c r="I40" s="144"/>
      <c r="J40" s="33"/>
      <c r="K40" s="33"/>
      <c r="L40" s="33"/>
      <c r="M40" s="33"/>
      <c r="N40" s="33"/>
      <c r="O40" s="33"/>
    </row>
    <row r="41" spans="1:15" x14ac:dyDescent="0.35">
      <c r="A41" s="214" t="s">
        <v>154</v>
      </c>
      <c r="B41" s="1268"/>
      <c r="C41" s="144"/>
      <c r="D41" s="144"/>
      <c r="E41" s="144"/>
      <c r="F41" s="395"/>
      <c r="G41" s="919">
        <f t="shared" si="0"/>
        <v>0</v>
      </c>
      <c r="H41" s="256">
        <f t="shared" si="1"/>
        <v>27</v>
      </c>
      <c r="I41" s="144"/>
      <c r="J41" s="33"/>
      <c r="K41" s="33"/>
      <c r="L41" s="33"/>
      <c r="M41" s="33"/>
      <c r="N41" s="33"/>
      <c r="O41" s="33"/>
    </row>
    <row r="42" spans="1:15" x14ac:dyDescent="0.35">
      <c r="A42" s="214" t="s">
        <v>341</v>
      </c>
      <c r="B42" s="143">
        <v>2021</v>
      </c>
      <c r="C42" s="144"/>
      <c r="D42" s="144"/>
      <c r="E42" s="144"/>
      <c r="F42" s="395"/>
      <c r="G42" s="917">
        <f t="shared" si="0"/>
        <v>0</v>
      </c>
      <c r="H42" s="256">
        <f t="shared" si="1"/>
        <v>27</v>
      </c>
      <c r="I42" s="144"/>
      <c r="J42" s="33"/>
      <c r="K42" s="33"/>
      <c r="L42" s="33"/>
      <c r="M42" s="33"/>
      <c r="N42" s="33"/>
      <c r="O42" s="33"/>
    </row>
    <row r="43" spans="1:15" x14ac:dyDescent="0.35">
      <c r="A43" s="95" t="s">
        <v>7</v>
      </c>
      <c r="B43" s="145">
        <v>2013</v>
      </c>
      <c r="C43" s="144"/>
      <c r="D43" s="144"/>
      <c r="E43" s="144">
        <v>3</v>
      </c>
      <c r="F43" s="395"/>
      <c r="G43" s="917">
        <f t="shared" si="0"/>
        <v>3</v>
      </c>
      <c r="H43" s="256">
        <f t="shared" si="1"/>
        <v>13</v>
      </c>
      <c r="I43" s="144" t="s">
        <v>393</v>
      </c>
      <c r="J43" s="33"/>
      <c r="K43" s="33"/>
      <c r="L43" s="33"/>
      <c r="M43" s="33"/>
      <c r="N43" s="33"/>
      <c r="O43" s="33"/>
    </row>
    <row r="44" spans="1:15" x14ac:dyDescent="0.35">
      <c r="A44" s="214" t="s">
        <v>155</v>
      </c>
      <c r="B44" s="143">
        <v>2021</v>
      </c>
      <c r="C44" s="409"/>
      <c r="D44" s="144"/>
      <c r="E44" s="144">
        <v>2</v>
      </c>
      <c r="F44" s="395"/>
      <c r="G44" s="917">
        <f t="shared" si="0"/>
        <v>2</v>
      </c>
      <c r="H44" s="256">
        <f t="shared" si="1"/>
        <v>19</v>
      </c>
      <c r="I44" s="144"/>
      <c r="J44" s="33"/>
      <c r="K44" s="33"/>
      <c r="L44" s="33"/>
      <c r="M44" s="33"/>
      <c r="N44" s="33"/>
      <c r="O44" s="33"/>
    </row>
    <row r="45" spans="1:15" x14ac:dyDescent="0.35">
      <c r="A45" s="214" t="s">
        <v>156</v>
      </c>
      <c r="B45" s="1268"/>
      <c r="C45" s="409">
        <v>3</v>
      </c>
      <c r="D45" s="144">
        <v>1</v>
      </c>
      <c r="E45" s="144">
        <v>1</v>
      </c>
      <c r="F45" s="395"/>
      <c r="G45" s="917">
        <f t="shared" si="0"/>
        <v>5</v>
      </c>
      <c r="H45" s="256">
        <f t="shared" si="1"/>
        <v>2</v>
      </c>
      <c r="I45" s="144" t="s">
        <v>398</v>
      </c>
      <c r="J45" s="33"/>
      <c r="K45" s="33"/>
      <c r="L45" s="33"/>
      <c r="M45" s="33"/>
      <c r="N45" s="33"/>
      <c r="O45" s="33"/>
    </row>
    <row r="46" spans="1:15" x14ac:dyDescent="0.35">
      <c r="A46" s="214" t="s">
        <v>13</v>
      </c>
      <c r="B46" s="143">
        <v>2013</v>
      </c>
      <c r="C46" s="144"/>
      <c r="D46" s="144">
        <v>2</v>
      </c>
      <c r="E46" s="144">
        <v>1</v>
      </c>
      <c r="F46" s="395"/>
      <c r="G46" s="917">
        <f t="shared" si="0"/>
        <v>3</v>
      </c>
      <c r="H46" s="256">
        <f t="shared" si="1"/>
        <v>13</v>
      </c>
      <c r="I46" s="144" t="s">
        <v>394</v>
      </c>
      <c r="J46" s="33"/>
      <c r="K46" s="33"/>
      <c r="L46" s="33"/>
      <c r="M46" s="33"/>
      <c r="N46" s="33"/>
      <c r="O46" s="33"/>
    </row>
    <row r="47" spans="1:15" x14ac:dyDescent="0.35">
      <c r="A47" s="214" t="s">
        <v>25</v>
      </c>
      <c r="B47" s="1268"/>
      <c r="C47" s="144"/>
      <c r="D47" s="144"/>
      <c r="E47" s="144"/>
      <c r="F47" s="395"/>
      <c r="G47" s="919">
        <f t="shared" si="0"/>
        <v>0</v>
      </c>
      <c r="H47" s="256">
        <f t="shared" si="1"/>
        <v>27</v>
      </c>
      <c r="I47" s="144"/>
      <c r="J47" s="33"/>
      <c r="K47" s="33"/>
      <c r="L47" s="33"/>
      <c r="M47" s="33"/>
      <c r="N47" s="33"/>
      <c r="O47" s="33"/>
    </row>
    <row r="48" spans="1:15" x14ac:dyDescent="0.35">
      <c r="A48" s="214" t="s">
        <v>477</v>
      </c>
      <c r="B48" s="143">
        <v>2013</v>
      </c>
      <c r="C48" s="144"/>
      <c r="D48" s="144"/>
      <c r="E48" s="144"/>
      <c r="F48" s="395"/>
      <c r="G48" s="919">
        <f t="shared" si="0"/>
        <v>0</v>
      </c>
      <c r="H48" s="256">
        <f t="shared" si="1"/>
        <v>27</v>
      </c>
      <c r="I48" s="144"/>
      <c r="J48" s="33"/>
      <c r="K48" s="33"/>
      <c r="L48" s="33"/>
      <c r="M48" s="33"/>
      <c r="N48" s="33"/>
      <c r="O48" s="33"/>
    </row>
    <row r="49" spans="1:15" x14ac:dyDescent="0.35">
      <c r="A49" s="96" t="s">
        <v>130</v>
      </c>
      <c r="B49" s="145">
        <v>2019</v>
      </c>
      <c r="C49" s="144"/>
      <c r="D49" s="144"/>
      <c r="E49" s="144"/>
      <c r="F49" s="395"/>
      <c r="G49" s="919">
        <f t="shared" si="0"/>
        <v>0</v>
      </c>
      <c r="H49" s="256">
        <f t="shared" si="1"/>
        <v>27</v>
      </c>
      <c r="I49" s="144"/>
      <c r="J49" s="33"/>
      <c r="K49" s="33"/>
      <c r="L49" s="33"/>
      <c r="M49" s="33"/>
      <c r="N49" s="33"/>
      <c r="O49" s="33"/>
    </row>
    <row r="50" spans="1:15" x14ac:dyDescent="0.35">
      <c r="A50" s="214" t="s">
        <v>19</v>
      </c>
      <c r="B50" s="1268"/>
      <c r="C50" s="144"/>
      <c r="D50" s="144"/>
      <c r="E50" s="144">
        <v>1</v>
      </c>
      <c r="F50" s="395"/>
      <c r="G50" s="917">
        <f t="shared" si="0"/>
        <v>1</v>
      </c>
      <c r="H50" s="256">
        <f t="shared" si="1"/>
        <v>25</v>
      </c>
      <c r="I50" s="144"/>
      <c r="J50" s="33"/>
      <c r="K50" s="33"/>
      <c r="L50" s="33"/>
      <c r="M50" s="33"/>
      <c r="N50" s="33"/>
      <c r="O50" s="33"/>
    </row>
    <row r="51" spans="1:15" x14ac:dyDescent="0.35">
      <c r="A51" s="214" t="s">
        <v>211</v>
      </c>
      <c r="B51" s="1268"/>
      <c r="C51" s="144"/>
      <c r="D51" s="144">
        <v>1</v>
      </c>
      <c r="E51" s="144">
        <v>1</v>
      </c>
      <c r="F51" s="395"/>
      <c r="G51" s="917">
        <f t="shared" si="0"/>
        <v>2</v>
      </c>
      <c r="H51" s="256">
        <f t="shared" si="1"/>
        <v>19</v>
      </c>
      <c r="I51" s="144" t="s">
        <v>396</v>
      </c>
      <c r="J51" s="33"/>
      <c r="K51" s="33"/>
      <c r="L51" s="33"/>
      <c r="M51" s="33"/>
      <c r="N51" s="33"/>
      <c r="O51" s="33"/>
    </row>
    <row r="52" spans="1:15" x14ac:dyDescent="0.35">
      <c r="A52" s="214" t="s">
        <v>157</v>
      </c>
      <c r="B52" s="1268"/>
      <c r="C52" s="409">
        <v>3</v>
      </c>
      <c r="D52" s="144"/>
      <c r="E52" s="144">
        <v>2</v>
      </c>
      <c r="F52" s="395"/>
      <c r="G52" s="917">
        <f t="shared" si="0"/>
        <v>5</v>
      </c>
      <c r="H52" s="256">
        <f t="shared" si="1"/>
        <v>2</v>
      </c>
      <c r="I52" s="144"/>
      <c r="J52" s="33"/>
      <c r="K52" s="33"/>
      <c r="L52" s="33"/>
      <c r="M52" s="33"/>
      <c r="N52" s="33"/>
      <c r="O52" s="33"/>
    </row>
    <row r="53" spans="1:15" x14ac:dyDescent="0.35">
      <c r="A53" s="95" t="s">
        <v>126</v>
      </c>
      <c r="B53" s="143">
        <v>2013</v>
      </c>
      <c r="C53" s="144"/>
      <c r="D53" s="144"/>
      <c r="E53" s="144">
        <v>2</v>
      </c>
      <c r="F53" s="395"/>
      <c r="G53" s="917">
        <f t="shared" si="0"/>
        <v>2</v>
      </c>
      <c r="H53" s="256">
        <f t="shared" si="1"/>
        <v>19</v>
      </c>
      <c r="I53" s="144" t="s">
        <v>390</v>
      </c>
      <c r="J53" s="33"/>
      <c r="K53" s="33"/>
      <c r="L53" s="33"/>
      <c r="M53" s="33"/>
      <c r="N53" s="33"/>
      <c r="O53" s="33"/>
    </row>
    <row r="54" spans="1:15" x14ac:dyDescent="0.35">
      <c r="A54" s="214" t="s">
        <v>158</v>
      </c>
      <c r="B54" s="1268"/>
      <c r="C54" s="409">
        <v>3</v>
      </c>
      <c r="D54" s="144"/>
      <c r="E54" s="144"/>
      <c r="F54" s="395"/>
      <c r="G54" s="917">
        <v>3</v>
      </c>
      <c r="H54" s="256">
        <f t="shared" si="1"/>
        <v>13</v>
      </c>
      <c r="I54" s="144"/>
      <c r="J54" s="33"/>
      <c r="K54" s="33"/>
      <c r="L54" s="33"/>
      <c r="M54" s="33"/>
      <c r="N54" s="33"/>
      <c r="O54" s="33"/>
    </row>
    <row r="55" spans="1:15" x14ac:dyDescent="0.35">
      <c r="A55" s="214" t="s">
        <v>213</v>
      </c>
      <c r="B55" s="143">
        <v>2009</v>
      </c>
      <c r="C55" s="144">
        <v>5</v>
      </c>
      <c r="D55" s="144">
        <v>1</v>
      </c>
      <c r="E55" s="144">
        <v>2</v>
      </c>
      <c r="F55" s="395"/>
      <c r="G55" s="488">
        <f t="shared" ref="G55:G63" si="2">SUM(C55:F55)</f>
        <v>8</v>
      </c>
      <c r="H55" s="256">
        <f t="shared" si="1"/>
        <v>1</v>
      </c>
      <c r="I55" s="144" t="s">
        <v>400</v>
      </c>
      <c r="J55" s="33"/>
      <c r="K55" s="33"/>
      <c r="L55" s="33"/>
      <c r="M55" s="33"/>
      <c r="N55" s="33"/>
      <c r="O55" s="33"/>
    </row>
    <row r="56" spans="1:15" x14ac:dyDescent="0.35">
      <c r="A56" s="214" t="s">
        <v>159</v>
      </c>
      <c r="B56" s="143">
        <v>2021</v>
      </c>
      <c r="C56" s="409"/>
      <c r="D56" s="144"/>
      <c r="E56" s="144"/>
      <c r="F56" s="395"/>
      <c r="G56" s="917">
        <f t="shared" si="2"/>
        <v>0</v>
      </c>
      <c r="H56" s="256">
        <f t="shared" si="1"/>
        <v>27</v>
      </c>
      <c r="I56" s="144"/>
      <c r="J56" s="33"/>
      <c r="K56" s="33"/>
      <c r="L56" s="33"/>
      <c r="M56" s="33"/>
      <c r="N56" s="33"/>
      <c r="O56" s="33"/>
    </row>
    <row r="57" spans="1:15" x14ac:dyDescent="0.35">
      <c r="A57" s="95" t="s">
        <v>23</v>
      </c>
      <c r="B57" s="143">
        <v>2005</v>
      </c>
      <c r="C57" s="144"/>
      <c r="D57" s="144"/>
      <c r="E57" s="144">
        <v>1</v>
      </c>
      <c r="F57" s="395"/>
      <c r="G57" s="917">
        <f t="shared" si="2"/>
        <v>1</v>
      </c>
      <c r="H57" s="256">
        <f t="shared" si="1"/>
        <v>25</v>
      </c>
      <c r="I57" s="144"/>
      <c r="J57" s="33"/>
      <c r="K57" s="33"/>
      <c r="L57" s="33"/>
      <c r="M57" s="33"/>
      <c r="N57" s="33"/>
      <c r="O57" s="33"/>
    </row>
    <row r="58" spans="1:15" x14ac:dyDescent="0.35">
      <c r="A58" s="214" t="s">
        <v>160</v>
      </c>
      <c r="B58" s="1268"/>
      <c r="C58" s="409">
        <v>3</v>
      </c>
      <c r="D58" s="144"/>
      <c r="E58" s="144">
        <v>1</v>
      </c>
      <c r="F58" s="395"/>
      <c r="G58" s="917">
        <f t="shared" si="2"/>
        <v>4</v>
      </c>
      <c r="H58" s="256">
        <f t="shared" si="1"/>
        <v>7</v>
      </c>
      <c r="I58" s="144"/>
      <c r="J58" s="33"/>
      <c r="K58" s="33"/>
      <c r="L58" s="33"/>
      <c r="M58" s="33"/>
      <c r="N58" s="33"/>
      <c r="O58" s="33"/>
    </row>
    <row r="59" spans="1:15" x14ac:dyDescent="0.35">
      <c r="A59" s="214" t="s">
        <v>338</v>
      </c>
      <c r="B59" s="1268"/>
      <c r="C59" s="409">
        <v>3</v>
      </c>
      <c r="D59" s="144"/>
      <c r="E59" s="144">
        <v>1</v>
      </c>
      <c r="F59" s="395"/>
      <c r="G59" s="917">
        <f t="shared" si="2"/>
        <v>4</v>
      </c>
      <c r="H59" s="256">
        <f t="shared" si="1"/>
        <v>7</v>
      </c>
      <c r="I59" s="144"/>
      <c r="J59" s="33"/>
      <c r="K59" s="33"/>
      <c r="L59" s="33"/>
      <c r="M59" s="33"/>
      <c r="N59" s="33"/>
      <c r="O59" s="33"/>
    </row>
    <row r="60" spans="1:15" x14ac:dyDescent="0.35">
      <c r="A60" s="214" t="s">
        <v>384</v>
      </c>
      <c r="B60" s="143">
        <v>2021</v>
      </c>
      <c r="C60" s="409"/>
      <c r="D60" s="144"/>
      <c r="E60" s="144"/>
      <c r="F60" s="395"/>
      <c r="G60" s="488">
        <f t="shared" si="2"/>
        <v>0</v>
      </c>
      <c r="H60" s="256">
        <f t="shared" si="1"/>
        <v>27</v>
      </c>
      <c r="I60" s="144"/>
      <c r="J60" s="33"/>
      <c r="K60" s="33"/>
      <c r="L60" s="33"/>
      <c r="M60" s="33"/>
      <c r="N60" s="33"/>
      <c r="O60" s="33"/>
    </row>
    <row r="61" spans="1:15" x14ac:dyDescent="0.35">
      <c r="A61" s="95" t="s">
        <v>142</v>
      </c>
      <c r="B61" s="145">
        <v>2015</v>
      </c>
      <c r="C61" s="144"/>
      <c r="D61" s="144"/>
      <c r="E61" s="144"/>
      <c r="F61" s="395"/>
      <c r="G61" s="919">
        <f t="shared" si="2"/>
        <v>0</v>
      </c>
      <c r="H61" s="256">
        <f t="shared" si="1"/>
        <v>27</v>
      </c>
      <c r="I61" s="144"/>
      <c r="J61" s="33"/>
      <c r="K61" s="33"/>
      <c r="L61" s="33"/>
      <c r="M61" s="33"/>
      <c r="N61" s="33"/>
      <c r="O61" s="33"/>
    </row>
    <row r="62" spans="1:15" x14ac:dyDescent="0.35">
      <c r="A62" s="95" t="s">
        <v>214</v>
      </c>
      <c r="B62" s="143">
        <v>2017</v>
      </c>
      <c r="C62" s="144"/>
      <c r="D62" s="144"/>
      <c r="E62" s="144"/>
      <c r="F62" s="395"/>
      <c r="G62" s="919">
        <f t="shared" si="2"/>
        <v>0</v>
      </c>
      <c r="H62" s="256">
        <f t="shared" si="1"/>
        <v>27</v>
      </c>
      <c r="I62" s="144"/>
      <c r="J62" s="33"/>
      <c r="K62" s="33"/>
      <c r="L62" s="33"/>
      <c r="M62" s="33"/>
      <c r="N62" s="33"/>
      <c r="O62" s="33"/>
    </row>
    <row r="63" spans="1:15" ht="18.600000000000001" thickBot="1" x14ac:dyDescent="0.4">
      <c r="A63" s="165" t="s">
        <v>215</v>
      </c>
      <c r="B63" s="146">
        <v>2017</v>
      </c>
      <c r="C63" s="147"/>
      <c r="D63" s="147"/>
      <c r="E63" s="147"/>
      <c r="F63" s="404"/>
      <c r="G63" s="920">
        <f t="shared" si="2"/>
        <v>0</v>
      </c>
      <c r="H63" s="256">
        <f t="shared" si="1"/>
        <v>27</v>
      </c>
      <c r="I63" s="147"/>
      <c r="J63" s="33"/>
      <c r="K63" s="33"/>
      <c r="L63" s="33"/>
      <c r="M63" s="33"/>
      <c r="N63" s="33"/>
      <c r="O63" s="33"/>
    </row>
    <row r="64" spans="1:15" x14ac:dyDescent="0.35">
      <c r="A64" s="416"/>
      <c r="B64" s="32"/>
      <c r="C64" s="32"/>
      <c r="D64" s="32"/>
      <c r="E64" s="32"/>
      <c r="F64" s="32"/>
      <c r="G64" s="416"/>
      <c r="H64" s="33"/>
      <c r="I64" s="33"/>
      <c r="J64" s="33"/>
      <c r="K64" s="33"/>
      <c r="L64" s="33"/>
      <c r="M64" s="33"/>
      <c r="N64" s="33"/>
      <c r="O64" s="33"/>
    </row>
    <row r="65" spans="1:15" x14ac:dyDescent="0.35">
      <c r="A65" s="416"/>
      <c r="B65" s="32"/>
      <c r="C65" s="32"/>
      <c r="D65" s="32"/>
      <c r="E65" s="32"/>
      <c r="F65" s="32"/>
      <c r="G65" s="416"/>
      <c r="H65" s="33"/>
      <c r="I65" s="33"/>
      <c r="J65" s="33"/>
      <c r="K65" s="33"/>
      <c r="L65" s="33"/>
      <c r="M65" s="33"/>
      <c r="N65" s="33"/>
      <c r="O65" s="33"/>
    </row>
    <row r="66" spans="1:15" x14ac:dyDescent="0.35">
      <c r="A66" s="416"/>
      <c r="B66" s="32"/>
      <c r="C66" s="32"/>
      <c r="D66" s="32"/>
      <c r="E66" s="32"/>
      <c r="F66" s="32"/>
      <c r="G66" s="416"/>
      <c r="H66" s="33"/>
      <c r="I66" s="33"/>
      <c r="J66" s="33"/>
      <c r="K66" s="33"/>
      <c r="L66" s="33"/>
      <c r="M66" s="33"/>
      <c r="N66" s="33"/>
      <c r="O66" s="33"/>
    </row>
    <row r="67" spans="1:15" x14ac:dyDescent="0.35">
      <c r="A67" s="416"/>
      <c r="B67" s="32"/>
      <c r="C67" s="32"/>
      <c r="D67" s="32"/>
      <c r="E67" s="32"/>
      <c r="F67" s="32"/>
      <c r="G67" s="416"/>
      <c r="H67" s="33"/>
      <c r="I67" s="33"/>
      <c r="J67" s="33"/>
      <c r="K67" s="33"/>
      <c r="L67" s="33"/>
      <c r="M67" s="33"/>
      <c r="N67" s="33"/>
      <c r="O67" s="33"/>
    </row>
    <row r="68" spans="1:15" x14ac:dyDescent="0.35">
      <c r="A68" s="416"/>
      <c r="B68" s="32"/>
      <c r="C68" s="32"/>
      <c r="D68" s="32"/>
      <c r="E68" s="32"/>
      <c r="F68" s="32"/>
      <c r="G68" s="416"/>
      <c r="H68" s="33"/>
      <c r="I68" s="33"/>
      <c r="J68" s="33"/>
      <c r="K68" s="33"/>
      <c r="L68" s="33"/>
      <c r="M68" s="33"/>
      <c r="N68" s="33"/>
      <c r="O68" s="33"/>
    </row>
    <row r="69" spans="1:15" x14ac:dyDescent="0.35">
      <c r="A69" s="416"/>
      <c r="B69" s="32"/>
      <c r="C69" s="32"/>
      <c r="D69" s="32"/>
      <c r="E69" s="32"/>
      <c r="F69" s="32"/>
      <c r="G69" s="416"/>
      <c r="H69" s="33"/>
      <c r="I69" s="33"/>
      <c r="J69" s="33"/>
      <c r="K69" s="33"/>
      <c r="L69" s="33"/>
      <c r="M69" s="33"/>
      <c r="N69" s="33"/>
      <c r="O69" s="33"/>
    </row>
    <row r="70" spans="1:15" x14ac:dyDescent="0.35">
      <c r="A70" s="416"/>
      <c r="B70" s="32"/>
      <c r="C70" s="32"/>
      <c r="D70" s="32"/>
      <c r="E70" s="32"/>
      <c r="F70" s="32"/>
      <c r="G70" s="416"/>
      <c r="H70" s="33"/>
      <c r="I70" s="33"/>
      <c r="J70" s="33"/>
      <c r="K70" s="33"/>
      <c r="L70" s="33"/>
      <c r="M70" s="33"/>
      <c r="N70" s="33"/>
      <c r="O70" s="33"/>
    </row>
    <row r="71" spans="1:15" x14ac:dyDescent="0.35">
      <c r="A71" s="416"/>
      <c r="B71" s="32"/>
      <c r="C71" s="32"/>
      <c r="D71" s="32"/>
      <c r="E71" s="32"/>
      <c r="F71" s="32"/>
      <c r="G71" s="416"/>
      <c r="H71" s="33"/>
      <c r="I71" s="33"/>
      <c r="J71" s="33"/>
      <c r="K71" s="33"/>
      <c r="L71" s="33"/>
      <c r="M71" s="33"/>
      <c r="N71" s="33"/>
      <c r="O71" s="33"/>
    </row>
    <row r="72" spans="1:15" x14ac:dyDescent="0.35">
      <c r="A72" s="416"/>
      <c r="B72" s="32"/>
      <c r="C72" s="32"/>
      <c r="D72" s="32"/>
      <c r="E72" s="32"/>
      <c r="F72" s="32"/>
      <c r="G72" s="416"/>
      <c r="H72" s="33"/>
      <c r="I72" s="33"/>
      <c r="J72" s="33"/>
      <c r="K72" s="33"/>
      <c r="L72" s="33"/>
      <c r="M72" s="33"/>
      <c r="N72" s="33"/>
      <c r="O72" s="33"/>
    </row>
    <row r="73" spans="1:15" x14ac:dyDescent="0.35">
      <c r="A73" s="416"/>
      <c r="B73" s="32"/>
      <c r="C73" s="32"/>
      <c r="D73" s="32"/>
      <c r="E73" s="32"/>
      <c r="F73" s="32"/>
      <c r="G73" s="416"/>
      <c r="H73" s="33"/>
      <c r="I73" s="33"/>
      <c r="J73" s="33"/>
      <c r="K73" s="33"/>
      <c r="L73" s="33"/>
      <c r="M73" s="33"/>
      <c r="N73" s="33"/>
      <c r="O73" s="33"/>
    </row>
    <row r="74" spans="1:15" x14ac:dyDescent="0.35">
      <c r="A74" s="416"/>
      <c r="B74" s="32"/>
      <c r="C74" s="32"/>
      <c r="D74" s="32"/>
      <c r="E74" s="32"/>
      <c r="F74" s="32"/>
      <c r="G74" s="416"/>
      <c r="H74" s="33"/>
      <c r="I74" s="33"/>
      <c r="J74" s="33"/>
      <c r="K74" s="33"/>
      <c r="L74" s="33"/>
      <c r="M74" s="33"/>
      <c r="N74" s="33"/>
      <c r="O74" s="33"/>
    </row>
  </sheetData>
  <sortState ref="A7:O63">
    <sortCondition descending="1" ref="G7:G63"/>
  </sortState>
  <mergeCells count="1">
    <mergeCell ref="A1:E1"/>
  </mergeCells>
  <conditionalFormatting sqref="H7:H63">
    <cfRule type="colorScale" priority="1848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B7:B8 B10:B14 B16:B25 B28 B30:B31 B33 B35:B37 B40 B42:B44 B46 B48:B49 B53 B55:B57 B60:B63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">
    <cfRule type="colorScale" priority="53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26">
    <cfRule type="colorScale" priority="47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27">
    <cfRule type="colorScale" priority="44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29">
    <cfRule type="colorScale" priority="41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32">
    <cfRule type="colorScale" priority="38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34">
    <cfRule type="colorScale" priority="35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38">
    <cfRule type="colorScale" priority="32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39">
    <cfRule type="colorScale" priority="29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41">
    <cfRule type="colorScale" priority="26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45">
    <cfRule type="colorScale" priority="23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47">
    <cfRule type="colorScale" priority="20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50">
    <cfRule type="colorScale" priority="17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51">
    <cfRule type="colorScale" priority="14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52">
    <cfRule type="colorScale" priority="11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54">
    <cfRule type="colorScale" priority="8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58">
    <cfRule type="colorScale" priority="5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59">
    <cfRule type="colorScale" priority="2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B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0"/>
  </sheetPr>
  <dimension ref="A1:BM72"/>
  <sheetViews>
    <sheetView zoomScale="70" zoomScaleNormal="70" workbookViewId="0">
      <pane xSplit="1" ySplit="6" topLeftCell="B19" activePane="bottomRight" state="frozen"/>
      <selection activeCell="A22" sqref="A22"/>
      <selection pane="topRight" activeCell="A22" sqref="A22"/>
      <selection pane="bottomLeft" activeCell="A22" sqref="A22"/>
      <selection pane="bottomRight" activeCell="L34" sqref="L34"/>
    </sheetView>
  </sheetViews>
  <sheetFormatPr defaultColWidth="8.88671875" defaultRowHeight="18" x14ac:dyDescent="0.35"/>
  <cols>
    <col min="1" max="1" width="37.77734375" style="2" customWidth="1"/>
    <col min="2" max="2" width="19.88671875" customWidth="1"/>
    <col min="3" max="3" width="10" style="1" customWidth="1"/>
    <col min="4" max="4" width="9.44140625" style="3" bestFit="1" customWidth="1"/>
    <col min="5" max="5" width="10.88671875" customWidth="1"/>
    <col min="6" max="6" width="11.33203125" style="94" customWidth="1"/>
    <col min="7" max="7" width="14.5546875" style="71" customWidth="1"/>
    <col min="8" max="8" width="9.5546875" style="3" bestFit="1" customWidth="1"/>
    <col min="9" max="9" width="9.33203125" style="3" customWidth="1"/>
    <col min="10" max="10" width="10.5546875" style="1" customWidth="1"/>
    <col min="11" max="11" width="9.6640625" style="1" customWidth="1"/>
    <col min="12" max="12" width="13.6640625" style="2" customWidth="1"/>
    <col min="13" max="13" width="10.88671875" style="3" customWidth="1"/>
    <col min="14" max="14" width="8.109375" style="14" customWidth="1"/>
    <col min="15" max="15" width="9.6640625" style="1" customWidth="1"/>
    <col min="16" max="16" width="8.88671875" style="1"/>
    <col min="17" max="17" width="10" style="1" customWidth="1"/>
    <col min="18" max="18" width="10.44140625" style="1" customWidth="1"/>
    <col min="19" max="21" width="9.6640625" style="1" customWidth="1"/>
    <col min="22" max="23" width="9.109375" customWidth="1"/>
    <col min="24" max="24" width="5" customWidth="1"/>
    <col min="25" max="25" width="37.5546875" style="1" customWidth="1"/>
    <col min="26" max="26" width="11.44140625" style="1" customWidth="1"/>
    <col min="27" max="27" width="8.88671875" style="1"/>
    <col min="28" max="28" width="20.44140625" style="1" customWidth="1"/>
    <col min="29" max="29" width="10.6640625" style="1" customWidth="1"/>
    <col min="30" max="30" width="13.109375" style="1" bestFit="1" customWidth="1"/>
    <col min="31" max="16384" width="8.88671875" style="1"/>
  </cols>
  <sheetData>
    <row r="1" spans="1:65" ht="18.600000000000001" thickBot="1" x14ac:dyDescent="0.4">
      <c r="A1" s="422" t="s">
        <v>298</v>
      </c>
      <c r="B1" s="195"/>
      <c r="C1" s="33"/>
      <c r="D1" s="32"/>
      <c r="E1" s="195"/>
      <c r="F1" s="418"/>
      <c r="G1" s="413"/>
      <c r="H1" s="32"/>
      <c r="I1" s="32"/>
      <c r="J1" s="33"/>
      <c r="K1" s="33"/>
      <c r="L1" s="416"/>
      <c r="M1" s="32"/>
      <c r="N1" s="470"/>
      <c r="O1" s="33"/>
      <c r="P1" s="36">
        <v>-2</v>
      </c>
      <c r="Q1" s="36"/>
      <c r="R1" s="412" t="s">
        <v>375</v>
      </c>
      <c r="S1" s="33"/>
      <c r="T1" s="33"/>
      <c r="U1" s="33"/>
      <c r="V1" s="195"/>
      <c r="W1" s="195"/>
      <c r="X1" s="195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</row>
    <row r="2" spans="1:65" x14ac:dyDescent="0.35">
      <c r="A2" s="416"/>
      <c r="B2" s="1201"/>
      <c r="C2" s="33"/>
      <c r="D2" s="32"/>
      <c r="E2" s="157"/>
      <c r="F2" s="423" t="s">
        <v>299</v>
      </c>
      <c r="G2" s="479"/>
      <c r="H2" s="32"/>
      <c r="I2" s="32"/>
      <c r="J2" s="33"/>
      <c r="K2" s="33"/>
      <c r="L2" s="416"/>
      <c r="M2" s="32"/>
      <c r="N2" s="470"/>
      <c r="O2" s="462" t="s">
        <v>296</v>
      </c>
      <c r="P2" s="460">
        <v>4</v>
      </c>
      <c r="Q2" s="460"/>
      <c r="R2" s="886" t="s">
        <v>334</v>
      </c>
      <c r="S2" s="886"/>
      <c r="T2" s="886"/>
      <c r="U2" s="886"/>
      <c r="V2" s="887"/>
      <c r="W2" s="886"/>
      <c r="X2" s="887"/>
      <c r="Y2" s="888"/>
      <c r="Z2" s="888"/>
      <c r="AA2" s="200"/>
      <c r="AB2" s="75"/>
      <c r="AC2" s="33"/>
      <c r="AD2" s="33"/>
      <c r="AE2" s="33"/>
      <c r="AF2" s="33"/>
      <c r="AG2" s="33"/>
      <c r="AH2" s="33"/>
      <c r="AI2" s="33"/>
    </row>
    <row r="3" spans="1:65" x14ac:dyDescent="0.35">
      <c r="A3" s="33"/>
      <c r="B3" s="1201"/>
      <c r="C3" s="33"/>
      <c r="D3" s="32"/>
      <c r="E3" s="411"/>
      <c r="F3" s="420"/>
      <c r="G3" s="953" t="s">
        <v>297</v>
      </c>
      <c r="I3" s="32"/>
      <c r="J3" s="75"/>
      <c r="K3" s="75"/>
      <c r="L3" s="97"/>
      <c r="M3" s="32"/>
      <c r="N3" s="470"/>
      <c r="O3" s="480" t="s">
        <v>295</v>
      </c>
      <c r="P3" s="486"/>
      <c r="Q3" s="37" t="s">
        <v>401</v>
      </c>
      <c r="R3" s="493"/>
      <c r="S3" s="817" t="s">
        <v>371</v>
      </c>
      <c r="T3" s="818"/>
      <c r="U3" s="818"/>
      <c r="V3" s="819"/>
      <c r="W3" s="820"/>
      <c r="X3" s="821"/>
      <c r="Y3" s="821"/>
      <c r="Z3" s="200"/>
      <c r="AA3" s="200"/>
      <c r="AB3" s="75"/>
      <c r="AC3" s="75"/>
      <c r="AD3" s="33"/>
      <c r="AE3" s="33"/>
      <c r="AF3" s="33"/>
      <c r="AG3" s="33"/>
      <c r="AH3" s="33"/>
      <c r="AI3" s="33"/>
    </row>
    <row r="4" spans="1:65" ht="18.600000000000001" thickBot="1" x14ac:dyDescent="0.4">
      <c r="A4" s="416"/>
      <c r="B4" s="1202"/>
      <c r="C4" s="33"/>
      <c r="D4" s="32"/>
      <c r="E4" s="157"/>
      <c r="F4" s="420"/>
      <c r="G4" s="953" t="s">
        <v>411</v>
      </c>
      <c r="H4" s="421"/>
      <c r="I4" s="100"/>
      <c r="J4" s="112"/>
      <c r="K4" s="417"/>
      <c r="L4" s="362" t="s">
        <v>281</v>
      </c>
      <c r="M4" s="892"/>
      <c r="N4" s="470"/>
      <c r="O4" s="463">
        <v>2021</v>
      </c>
      <c r="P4" s="895" t="s">
        <v>88</v>
      </c>
      <c r="Q4" s="928" t="s">
        <v>402</v>
      </c>
      <c r="R4" s="480"/>
      <c r="S4" s="822"/>
      <c r="T4" s="803">
        <v>1</v>
      </c>
      <c r="U4" s="808" t="s">
        <v>377</v>
      </c>
      <c r="V4" s="809"/>
      <c r="W4" s="809"/>
      <c r="X4" s="810"/>
      <c r="Y4" s="810"/>
      <c r="Z4" s="810"/>
      <c r="AA4" s="810"/>
      <c r="AB4" s="811"/>
      <c r="AC4" s="75"/>
      <c r="AD4" s="33"/>
      <c r="AE4" s="33"/>
      <c r="AF4" s="33"/>
      <c r="AG4" s="33"/>
      <c r="AH4" s="33"/>
      <c r="AI4" s="33"/>
    </row>
    <row r="5" spans="1:65" x14ac:dyDescent="0.35">
      <c r="A5" s="97"/>
      <c r="B5" s="1203"/>
      <c r="C5" s="710"/>
      <c r="D5" s="424" t="s">
        <v>293</v>
      </c>
      <c r="E5" s="425"/>
      <c r="F5" s="954"/>
      <c r="G5" s="388">
        <v>20</v>
      </c>
      <c r="H5" s="478" t="s">
        <v>117</v>
      </c>
      <c r="I5" s="471"/>
      <c r="J5" s="472"/>
      <c r="K5" s="473"/>
      <c r="L5" s="408" t="s">
        <v>358</v>
      </c>
      <c r="M5" s="893" t="s">
        <v>294</v>
      </c>
      <c r="N5" s="136"/>
      <c r="O5" s="461"/>
      <c r="P5" s="897" t="s">
        <v>2</v>
      </c>
      <c r="Q5" s="116" t="s">
        <v>403</v>
      </c>
      <c r="R5" s="481"/>
      <c r="S5" s="823"/>
      <c r="T5" s="804" t="s">
        <v>369</v>
      </c>
      <c r="U5" s="812"/>
      <c r="V5" s="1205" t="s">
        <v>374</v>
      </c>
      <c r="W5" s="898"/>
      <c r="X5" s="487"/>
      <c r="Y5" s="200"/>
      <c r="Z5" s="899"/>
      <c r="AA5" s="695"/>
      <c r="AB5" s="695"/>
      <c r="AC5" s="33"/>
      <c r="AD5" s="33"/>
      <c r="AE5" s="33"/>
      <c r="AF5" s="33"/>
      <c r="AG5" s="33"/>
      <c r="AH5" s="33"/>
      <c r="AI5" s="33"/>
    </row>
    <row r="6" spans="1:65" ht="75.599999999999994" customHeight="1" thickBot="1" x14ac:dyDescent="0.4">
      <c r="A6" s="591" t="s">
        <v>4</v>
      </c>
      <c r="B6" s="1200" t="s">
        <v>3</v>
      </c>
      <c r="C6" s="419" t="s">
        <v>118</v>
      </c>
      <c r="D6" s="415" t="s">
        <v>120</v>
      </c>
      <c r="E6" s="647" t="s">
        <v>292</v>
      </c>
      <c r="F6" s="410" t="s">
        <v>119</v>
      </c>
      <c r="G6" s="389">
        <v>0.38</v>
      </c>
      <c r="H6" s="474" t="s">
        <v>118</v>
      </c>
      <c r="I6" s="475" t="s">
        <v>120</v>
      </c>
      <c r="J6" s="476" t="s">
        <v>292</v>
      </c>
      <c r="K6" s="477" t="s">
        <v>308</v>
      </c>
      <c r="L6" s="414" t="s">
        <v>162</v>
      </c>
      <c r="M6" s="464" t="s">
        <v>121</v>
      </c>
      <c r="N6" s="890" t="s">
        <v>122</v>
      </c>
      <c r="O6" s="464" t="s">
        <v>123</v>
      </c>
      <c r="P6" s="896" t="s">
        <v>376</v>
      </c>
      <c r="Q6" s="924" t="s">
        <v>404</v>
      </c>
      <c r="R6" s="482" t="s">
        <v>368</v>
      </c>
      <c r="S6" s="824"/>
      <c r="T6" s="805" t="s">
        <v>370</v>
      </c>
      <c r="U6" s="813"/>
      <c r="V6" s="802" t="s">
        <v>222</v>
      </c>
      <c r="W6" s="648" t="s">
        <v>311</v>
      </c>
      <c r="X6" s="649"/>
      <c r="Y6" s="649"/>
      <c r="Z6" s="650"/>
      <c r="AA6" s="649"/>
      <c r="AB6" s="649"/>
      <c r="AC6" s="649"/>
      <c r="AD6" s="33"/>
      <c r="AE6" s="33"/>
      <c r="AF6" s="33"/>
      <c r="AG6" s="33"/>
      <c r="AH6" s="33"/>
      <c r="AI6" s="33"/>
    </row>
    <row r="7" spans="1:65" x14ac:dyDescent="0.35">
      <c r="A7" s="164" t="s">
        <v>10</v>
      </c>
      <c r="B7" s="229">
        <f t="shared" ref="B7:B38" si="0">RANK(V7,V$7:V$63,0)</f>
        <v>39</v>
      </c>
      <c r="C7" s="1305">
        <v>0.8</v>
      </c>
      <c r="D7" s="1308">
        <v>39</v>
      </c>
      <c r="E7" s="1309">
        <v>3</v>
      </c>
      <c r="F7" s="1310">
        <v>8.0500000000000007</v>
      </c>
      <c r="G7" s="1313">
        <f>(F7*G$5)^G$6</f>
        <v>6.8959456965081376</v>
      </c>
      <c r="H7" s="390">
        <f>IF(C7&gt;0.9,-1,IF(C7&lt;0.3,1,0))</f>
        <v>0</v>
      </c>
      <c r="I7" s="142">
        <v>0</v>
      </c>
      <c r="J7" s="391">
        <v>-1</v>
      </c>
      <c r="K7" s="392">
        <f t="shared" ref="K7:K38" si="1">SUM(H7:J7)</f>
        <v>-1</v>
      </c>
      <c r="L7" s="1314">
        <f>MIN(SUM(G7,K7),10)</f>
        <v>5.8959456965081376</v>
      </c>
      <c r="M7" s="1315">
        <f>MAX(MAX(2,ROUND(L7/2,0)*2),4)</f>
        <v>6</v>
      </c>
      <c r="N7" s="830">
        <v>2017</v>
      </c>
      <c r="O7" s="465">
        <f>O$4-N7</f>
        <v>4</v>
      </c>
      <c r="P7" s="1316">
        <f>IF(O7=2,-2,MAX(O7-M7,0))</f>
        <v>0</v>
      </c>
      <c r="Q7" s="1317"/>
      <c r="R7" s="1318"/>
      <c r="S7" s="1319"/>
      <c r="T7" s="390" t="str">
        <f t="shared" ref="T7:T38" si="2">IF(M7&gt;0,IF(M7&lt;=O7,1," ")," ")</f>
        <v xml:space="preserve"> </v>
      </c>
      <c r="U7" s="814">
        <v>-1</v>
      </c>
      <c r="V7" s="488">
        <f t="shared" ref="V7:V38" si="3">SUM(P7:U7)</f>
        <v>-1</v>
      </c>
      <c r="W7" s="42"/>
      <c r="X7" s="33"/>
      <c r="Y7" s="1320"/>
      <c r="Z7" s="33"/>
      <c r="AA7" s="33"/>
      <c r="AB7" s="32"/>
      <c r="AC7" s="32"/>
      <c r="AD7" s="195"/>
      <c r="AE7" s="33"/>
      <c r="AF7" s="33"/>
      <c r="AG7" s="33"/>
      <c r="AH7" s="33"/>
      <c r="AI7" s="33"/>
      <c r="AJ7" s="33"/>
      <c r="AK7" s="33"/>
      <c r="BE7" s="56"/>
      <c r="BF7" s="56"/>
      <c r="BG7" s="56"/>
      <c r="BH7" s="56"/>
      <c r="BI7" s="56"/>
      <c r="BJ7" s="56"/>
      <c r="BK7" s="56"/>
      <c r="BL7" s="56"/>
      <c r="BM7" s="56"/>
    </row>
    <row r="8" spans="1:65" x14ac:dyDescent="0.35">
      <c r="A8" s="214" t="s">
        <v>209</v>
      </c>
      <c r="B8" s="42">
        <f t="shared" si="0"/>
        <v>35</v>
      </c>
      <c r="C8" s="406">
        <v>0.5</v>
      </c>
      <c r="D8" s="796">
        <v>53</v>
      </c>
      <c r="E8" s="785">
        <v>50</v>
      </c>
      <c r="F8" s="714">
        <v>31.13</v>
      </c>
      <c r="G8" s="393">
        <f>(F8*G$5)^G$6</f>
        <v>11.529207728995789</v>
      </c>
      <c r="H8" s="394">
        <f>IF(C8&gt;0.9,-1,IF(C8&lt;0.3,1,0))</f>
        <v>0</v>
      </c>
      <c r="I8" s="144">
        <v>1</v>
      </c>
      <c r="J8" s="395">
        <v>1</v>
      </c>
      <c r="K8" s="396">
        <f t="shared" si="1"/>
        <v>2</v>
      </c>
      <c r="L8" s="718">
        <f>MIN(SUM(G8,K8),10)</f>
        <v>10</v>
      </c>
      <c r="M8" s="465">
        <f>MAX(MAX(2,ROUND(L8/2,0)*2),4)</f>
        <v>10</v>
      </c>
      <c r="N8" s="831">
        <v>2013</v>
      </c>
      <c r="O8" s="465">
        <f>O$4-N8</f>
        <v>8</v>
      </c>
      <c r="P8" s="140">
        <f>IF(O8=2,-2,MAX(O8-M8,0))</f>
        <v>0</v>
      </c>
      <c r="Q8" s="5"/>
      <c r="R8" s="483"/>
      <c r="S8" s="825"/>
      <c r="T8" s="390" t="str">
        <f t="shared" si="2"/>
        <v xml:space="preserve"> </v>
      </c>
      <c r="U8" s="815"/>
      <c r="V8" s="488">
        <f t="shared" si="3"/>
        <v>0</v>
      </c>
      <c r="W8" s="42"/>
      <c r="X8" s="33"/>
      <c r="Y8" s="33"/>
      <c r="Z8" s="33"/>
      <c r="AA8" s="33"/>
      <c r="AB8" s="32"/>
      <c r="AC8" s="32"/>
      <c r="AD8" s="33"/>
      <c r="AE8" s="33"/>
      <c r="AF8" s="33"/>
      <c r="AG8" s="33"/>
      <c r="AH8" s="33"/>
      <c r="AI8" s="33"/>
      <c r="AJ8" s="33"/>
      <c r="AK8" s="33"/>
      <c r="AW8" s="56"/>
      <c r="AX8" s="56"/>
      <c r="BE8" s="56"/>
      <c r="BF8" s="56"/>
      <c r="BG8" s="56"/>
      <c r="BH8" s="56"/>
      <c r="BI8" s="56"/>
      <c r="BJ8" s="56"/>
      <c r="BK8" s="56"/>
      <c r="BL8" s="56"/>
      <c r="BM8" s="56"/>
    </row>
    <row r="9" spans="1:65" x14ac:dyDescent="0.35">
      <c r="A9" s="214" t="s">
        <v>146</v>
      </c>
      <c r="B9" s="42">
        <f t="shared" si="0"/>
        <v>11</v>
      </c>
      <c r="C9" s="50"/>
      <c r="D9" s="797">
        <v>37</v>
      </c>
      <c r="E9" s="785">
        <v>49</v>
      </c>
      <c r="F9" s="711"/>
      <c r="G9" s="402"/>
      <c r="H9" s="403"/>
      <c r="I9" s="144">
        <v>0</v>
      </c>
      <c r="J9" s="395">
        <v>0</v>
      </c>
      <c r="K9" s="396">
        <f t="shared" si="1"/>
        <v>0</v>
      </c>
      <c r="L9" s="712"/>
      <c r="M9" s="894"/>
      <c r="N9" s="831"/>
      <c r="O9" s="465"/>
      <c r="P9" s="889">
        <f>P$2</f>
        <v>4</v>
      </c>
      <c r="Q9" s="925">
        <f>-K9</f>
        <v>0</v>
      </c>
      <c r="R9" s="713"/>
      <c r="S9" s="826"/>
      <c r="T9" s="390" t="str">
        <f t="shared" si="2"/>
        <v xml:space="preserve"> </v>
      </c>
      <c r="U9" s="815">
        <v>-1</v>
      </c>
      <c r="V9" s="829">
        <f t="shared" si="3"/>
        <v>3</v>
      </c>
      <c r="W9" s="42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</row>
    <row r="10" spans="1:65" x14ac:dyDescent="0.35">
      <c r="A10" s="214" t="s">
        <v>147</v>
      </c>
      <c r="B10" s="42">
        <f t="shared" si="0"/>
        <v>50</v>
      </c>
      <c r="C10" s="716">
        <v>0.3</v>
      </c>
      <c r="D10" s="797">
        <v>35</v>
      </c>
      <c r="E10" s="786">
        <v>16</v>
      </c>
      <c r="F10" s="1311">
        <v>4.3</v>
      </c>
      <c r="G10" s="393">
        <f>(F10*G$5)^G$6</f>
        <v>5.4338720936885707</v>
      </c>
      <c r="H10" s="403"/>
      <c r="I10" s="144">
        <v>0</v>
      </c>
      <c r="J10" s="395">
        <v>-1</v>
      </c>
      <c r="K10" s="396">
        <f t="shared" si="1"/>
        <v>-1</v>
      </c>
      <c r="L10" s="718">
        <f>MIN(SUM(G10,K10),10)</f>
        <v>4.4338720936885707</v>
      </c>
      <c r="M10" s="465">
        <f>MAX(MAX(2,ROUND(L10/2,0)*2),4)</f>
        <v>4</v>
      </c>
      <c r="N10" s="831">
        <v>2019</v>
      </c>
      <c r="O10" s="465">
        <f>O$4-N10</f>
        <v>2</v>
      </c>
      <c r="P10" s="593">
        <v>-2</v>
      </c>
      <c r="Q10" s="510"/>
      <c r="R10" s="713"/>
      <c r="S10" s="826"/>
      <c r="T10" s="390" t="str">
        <f t="shared" si="2"/>
        <v xml:space="preserve"> </v>
      </c>
      <c r="U10" s="815"/>
      <c r="V10" s="488">
        <f t="shared" si="3"/>
        <v>-2</v>
      </c>
      <c r="W10" s="43" t="s">
        <v>304</v>
      </c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BB10" s="1" t="s">
        <v>46</v>
      </c>
    </row>
    <row r="11" spans="1:65" x14ac:dyDescent="0.35">
      <c r="A11" s="95" t="s">
        <v>5</v>
      </c>
      <c r="B11" s="42">
        <f t="shared" si="0"/>
        <v>5</v>
      </c>
      <c r="C11" s="722">
        <v>0.5</v>
      </c>
      <c r="D11" s="798">
        <v>2</v>
      </c>
      <c r="E11" s="786">
        <v>10</v>
      </c>
      <c r="F11" s="714">
        <v>8.0101640407231454</v>
      </c>
      <c r="G11" s="393">
        <f>(F11*G$5)^G$6</f>
        <v>6.8829582331996058</v>
      </c>
      <c r="H11" s="394">
        <f>IF(C11&gt;0.9,-1,IF(C11&lt;0.3,1,0))</f>
        <v>0</v>
      </c>
      <c r="I11" s="144">
        <v>-1</v>
      </c>
      <c r="J11" s="395">
        <v>-1</v>
      </c>
      <c r="K11" s="396">
        <f t="shared" si="1"/>
        <v>-2</v>
      </c>
      <c r="L11" s="718">
        <f>MIN(SUM(G11,K11),10)</f>
        <v>4.8829582331996058</v>
      </c>
      <c r="M11" s="465">
        <f>MAX(MAX(2,ROUND(L11/2,0)*2),4)</f>
        <v>4</v>
      </c>
      <c r="N11" s="831">
        <v>2015</v>
      </c>
      <c r="O11" s="465">
        <f>O$4-N11</f>
        <v>6</v>
      </c>
      <c r="P11" s="593">
        <f>IF(O11=2,-2,MAX(O11-M11,0))</f>
        <v>2</v>
      </c>
      <c r="Q11" s="510"/>
      <c r="R11" s="483"/>
      <c r="S11" s="825"/>
      <c r="T11" s="390">
        <f t="shared" si="2"/>
        <v>1</v>
      </c>
      <c r="U11" s="815">
        <v>2</v>
      </c>
      <c r="V11" s="488">
        <f t="shared" si="3"/>
        <v>5</v>
      </c>
      <c r="W11" s="491"/>
      <c r="X11" s="33"/>
      <c r="Y11" s="604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</row>
    <row r="12" spans="1:65" x14ac:dyDescent="0.35">
      <c r="A12" s="214" t="s">
        <v>210</v>
      </c>
      <c r="B12" s="490">
        <f t="shared" si="0"/>
        <v>39</v>
      </c>
      <c r="C12" s="406">
        <v>0.5</v>
      </c>
      <c r="D12" s="796">
        <v>43</v>
      </c>
      <c r="E12" s="785">
        <v>44</v>
      </c>
      <c r="F12" s="719">
        <v>30.184000000000001</v>
      </c>
      <c r="G12" s="393">
        <f>(F12*G$5)^G$6</f>
        <v>11.394796654215606</v>
      </c>
      <c r="H12" s="394">
        <f>IF(C12&gt;0.9,-1,IF(C12&lt;0.3,1,0))</f>
        <v>0</v>
      </c>
      <c r="I12" s="144">
        <v>1</v>
      </c>
      <c r="J12" s="395">
        <v>1</v>
      </c>
      <c r="K12" s="396">
        <f t="shared" si="1"/>
        <v>2</v>
      </c>
      <c r="L12" s="718">
        <f>MIN(SUM(G12,K12),10)</f>
        <v>10</v>
      </c>
      <c r="M12" s="465">
        <f>MAX(MAX(2,ROUND(L12/2,0)*2),4)</f>
        <v>10</v>
      </c>
      <c r="N12" s="831">
        <v>2017</v>
      </c>
      <c r="O12" s="465">
        <f>O$4-N12</f>
        <v>4</v>
      </c>
      <c r="P12" s="593">
        <f>IF(O12=2,-2,MAX(O12-M12,0))</f>
        <v>0</v>
      </c>
      <c r="Q12" s="510"/>
      <c r="R12" s="483"/>
      <c r="S12" s="825">
        <f>IF(O12&lt;6,-1,0)</f>
        <v>-1</v>
      </c>
      <c r="T12" s="390" t="str">
        <f t="shared" si="2"/>
        <v xml:space="preserve"> </v>
      </c>
      <c r="U12" s="815"/>
      <c r="V12" s="488">
        <f t="shared" si="3"/>
        <v>-1</v>
      </c>
      <c r="W12" s="492" t="s">
        <v>304</v>
      </c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</row>
    <row r="13" spans="1:65" x14ac:dyDescent="0.35">
      <c r="A13" s="214" t="s">
        <v>339</v>
      </c>
      <c r="B13" s="490">
        <f t="shared" si="0"/>
        <v>39</v>
      </c>
      <c r="C13" s="406">
        <v>0.5</v>
      </c>
      <c r="D13" s="797">
        <v>21</v>
      </c>
      <c r="E13" s="787">
        <v>28</v>
      </c>
      <c r="F13" s="719">
        <v>10.57</v>
      </c>
      <c r="G13" s="393">
        <f>(F13*G$5)^G$6</f>
        <v>7.6478593710668585</v>
      </c>
      <c r="H13" s="394">
        <f>IF(C13&gt;0.9,-1,IF(C13&lt;0.3,1,0))</f>
        <v>0</v>
      </c>
      <c r="I13" s="144">
        <v>0</v>
      </c>
      <c r="J13" s="395">
        <v>0</v>
      </c>
      <c r="K13" s="396">
        <f t="shared" si="1"/>
        <v>0</v>
      </c>
      <c r="L13" s="718">
        <f>MIN(SUM(G13,K13),10)</f>
        <v>7.6478593710668585</v>
      </c>
      <c r="M13" s="465">
        <f>MAX(MAX(2,ROUND(L13/2,0)*2),4)</f>
        <v>8</v>
      </c>
      <c r="N13" s="831">
        <v>2017</v>
      </c>
      <c r="O13" s="465">
        <f>O$4-N13</f>
        <v>4</v>
      </c>
      <c r="P13" s="593">
        <f>IF(O13=2,-2,MAX(O13-M13,0))</f>
        <v>0</v>
      </c>
      <c r="Q13" s="510"/>
      <c r="R13" s="483"/>
      <c r="S13" s="825">
        <f>IF(O13&lt;6,-1,0)</f>
        <v>-1</v>
      </c>
      <c r="T13" s="390" t="str">
        <f t="shared" si="2"/>
        <v xml:space="preserve"> </v>
      </c>
      <c r="U13" s="815"/>
      <c r="V13" s="488">
        <f t="shared" si="3"/>
        <v>-1</v>
      </c>
      <c r="W13" s="492" t="s">
        <v>304</v>
      </c>
      <c r="X13" s="75"/>
      <c r="Y13" s="75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</row>
    <row r="14" spans="1:65" x14ac:dyDescent="0.35">
      <c r="A14" s="95" t="s">
        <v>134</v>
      </c>
      <c r="B14" s="490">
        <f t="shared" si="0"/>
        <v>35</v>
      </c>
      <c r="C14" s="406">
        <v>1</v>
      </c>
      <c r="D14" s="798">
        <v>14</v>
      </c>
      <c r="E14" s="786">
        <v>11</v>
      </c>
      <c r="F14" s="719">
        <v>2.97</v>
      </c>
      <c r="G14" s="402">
        <f>(F14*G$5)^G$6</f>
        <v>4.7210527076906148</v>
      </c>
      <c r="H14" s="394">
        <f>IF(C14&gt;0.9,-1,IF(C14&lt;0.3,1,0))</f>
        <v>-1</v>
      </c>
      <c r="I14" s="144">
        <v>-1</v>
      </c>
      <c r="J14" s="395">
        <v>-1</v>
      </c>
      <c r="K14" s="396">
        <f t="shared" si="1"/>
        <v>-3</v>
      </c>
      <c r="L14" s="718">
        <f>MIN(SUM(G14,K14),10)</f>
        <v>1.7210527076906148</v>
      </c>
      <c r="M14" s="465">
        <f>MAX(MAX(2,ROUND(L14/2,0)*2),4)</f>
        <v>4</v>
      </c>
      <c r="N14" s="831">
        <v>2017</v>
      </c>
      <c r="O14" s="465">
        <f>O$4-N14</f>
        <v>4</v>
      </c>
      <c r="P14" s="593">
        <f>IF(O14=2,-2,MAX(O14-M14,0))</f>
        <v>0</v>
      </c>
      <c r="Q14" s="510"/>
      <c r="R14" s="483"/>
      <c r="S14" s="825">
        <f>IF(O14&lt;6,-1,0)</f>
        <v>-1</v>
      </c>
      <c r="T14" s="390">
        <f t="shared" si="2"/>
        <v>1</v>
      </c>
      <c r="U14" s="815"/>
      <c r="V14" s="488">
        <f t="shared" si="3"/>
        <v>0</v>
      </c>
      <c r="W14" s="492" t="s">
        <v>304</v>
      </c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</row>
    <row r="15" spans="1:65" x14ac:dyDescent="0.35">
      <c r="A15" s="214" t="s">
        <v>148</v>
      </c>
      <c r="B15" s="490">
        <f t="shared" si="0"/>
        <v>2</v>
      </c>
      <c r="C15" s="50"/>
      <c r="D15" s="798">
        <v>13</v>
      </c>
      <c r="E15" s="787">
        <v>36</v>
      </c>
      <c r="F15" s="720"/>
      <c r="G15" s="402"/>
      <c r="H15" s="394"/>
      <c r="I15" s="144">
        <v>-1</v>
      </c>
      <c r="J15" s="395">
        <v>0</v>
      </c>
      <c r="K15" s="396">
        <f t="shared" si="1"/>
        <v>-1</v>
      </c>
      <c r="L15" s="712"/>
      <c r="M15" s="894"/>
      <c r="N15" s="831"/>
      <c r="O15" s="465"/>
      <c r="P15" s="889">
        <f>P$2</f>
        <v>4</v>
      </c>
      <c r="Q15" s="925">
        <f>-K15</f>
        <v>1</v>
      </c>
      <c r="R15" s="713"/>
      <c r="S15" s="826"/>
      <c r="T15" s="390" t="str">
        <f t="shared" si="2"/>
        <v xml:space="preserve"> </v>
      </c>
      <c r="U15" s="815">
        <v>1</v>
      </c>
      <c r="V15" s="829">
        <f t="shared" si="3"/>
        <v>6</v>
      </c>
      <c r="W15" s="489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W15" s="56"/>
      <c r="AX15" s="56"/>
    </row>
    <row r="16" spans="1:65" x14ac:dyDescent="0.35">
      <c r="A16" s="214" t="s">
        <v>9</v>
      </c>
      <c r="B16" s="490">
        <f t="shared" si="0"/>
        <v>50</v>
      </c>
      <c r="C16" s="406">
        <v>0.5</v>
      </c>
      <c r="D16" s="798">
        <v>17</v>
      </c>
      <c r="E16" s="786">
        <v>20</v>
      </c>
      <c r="F16" s="719">
        <v>5.2</v>
      </c>
      <c r="G16" s="393">
        <f>(F16*G$5)^G$6</f>
        <v>5.8408044852337113</v>
      </c>
      <c r="H16" s="394">
        <f>IF(C16&gt;0.9,-1,IF(C16&lt;0.3,1,0))</f>
        <v>0</v>
      </c>
      <c r="I16" s="144">
        <v>-1</v>
      </c>
      <c r="J16" s="395">
        <v>-1</v>
      </c>
      <c r="K16" s="396">
        <f t="shared" si="1"/>
        <v>-2</v>
      </c>
      <c r="L16" s="715">
        <f>MIN(SUM(G16,K16),10)</f>
        <v>3.8408044852337113</v>
      </c>
      <c r="M16" s="465">
        <f>MAX(MAX(2,ROUND(L16/2,0)*2),4)</f>
        <v>4</v>
      </c>
      <c r="N16" s="831">
        <v>2019</v>
      </c>
      <c r="O16" s="465">
        <f t="shared" ref="O16:O25" si="4">O$4-N16</f>
        <v>2</v>
      </c>
      <c r="P16" s="593">
        <v>-2</v>
      </c>
      <c r="Q16" s="510"/>
      <c r="R16" s="483"/>
      <c r="S16" s="825"/>
      <c r="T16" s="390" t="str">
        <f t="shared" si="2"/>
        <v xml:space="preserve"> </v>
      </c>
      <c r="U16" s="815"/>
      <c r="V16" s="488">
        <f t="shared" si="3"/>
        <v>-2</v>
      </c>
      <c r="W16" s="489"/>
      <c r="X16" s="33"/>
      <c r="Y16" s="33"/>
      <c r="Z16" s="33"/>
      <c r="AA16" s="33"/>
      <c r="AB16" s="32"/>
      <c r="AC16" s="32"/>
      <c r="AD16" s="33"/>
      <c r="AE16" s="33"/>
      <c r="AF16" s="33"/>
      <c r="AG16" s="33"/>
      <c r="AH16" s="33"/>
      <c r="AI16" s="33"/>
      <c r="AJ16" s="33"/>
      <c r="AK16" s="33"/>
    </row>
    <row r="17" spans="1:65" x14ac:dyDescent="0.35">
      <c r="A17" s="95" t="s">
        <v>129</v>
      </c>
      <c r="B17" s="490">
        <f t="shared" si="0"/>
        <v>39</v>
      </c>
      <c r="C17" s="406">
        <v>0.6</v>
      </c>
      <c r="D17" s="797">
        <v>30</v>
      </c>
      <c r="E17" s="786">
        <v>14</v>
      </c>
      <c r="F17" s="719">
        <v>8.2409999999999997</v>
      </c>
      <c r="G17" s="393">
        <f>(F17*G$5)^G$6</f>
        <v>6.9576690270675234</v>
      </c>
      <c r="H17" s="394">
        <f>IF(C17&gt;0.9,-1,IF(C17&lt;0.3,1,0))</f>
        <v>0</v>
      </c>
      <c r="I17" s="144">
        <v>0</v>
      </c>
      <c r="J17" s="395">
        <v>-1</v>
      </c>
      <c r="K17" s="396">
        <f t="shared" si="1"/>
        <v>-1</v>
      </c>
      <c r="L17" s="718">
        <f>MIN(SUM(G17,K17),10)</f>
        <v>5.9576690270675234</v>
      </c>
      <c r="M17" s="465">
        <f>MAX(MAX(2,ROUND(L17/2,0)*2),4)</f>
        <v>6</v>
      </c>
      <c r="N17" s="831">
        <v>2017</v>
      </c>
      <c r="O17" s="465">
        <f t="shared" si="4"/>
        <v>4</v>
      </c>
      <c r="P17" s="593">
        <f>IF(O17=2,-2,MAX(O17-M17,0))</f>
        <v>0</v>
      </c>
      <c r="Q17" s="510"/>
      <c r="R17" s="483"/>
      <c r="S17" s="825">
        <f>IF(O17&lt;6,-1,0)</f>
        <v>-1</v>
      </c>
      <c r="T17" s="390" t="str">
        <f t="shared" si="2"/>
        <v xml:space="preserve"> </v>
      </c>
      <c r="U17" s="815"/>
      <c r="V17" s="488">
        <f t="shared" si="3"/>
        <v>-1</v>
      </c>
      <c r="W17" s="492" t="s">
        <v>304</v>
      </c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BE17" s="56"/>
      <c r="BF17" s="56"/>
      <c r="BG17" s="56"/>
      <c r="BH17" s="56"/>
      <c r="BI17" s="56"/>
      <c r="BJ17" s="56"/>
      <c r="BK17" s="56"/>
      <c r="BL17" s="56"/>
      <c r="BM17" s="56"/>
    </row>
    <row r="18" spans="1:65" x14ac:dyDescent="0.35">
      <c r="A18" s="95" t="s">
        <v>18</v>
      </c>
      <c r="B18" s="490">
        <f t="shared" si="0"/>
        <v>32</v>
      </c>
      <c r="C18" s="406">
        <v>0.5</v>
      </c>
      <c r="D18" s="798">
        <v>8</v>
      </c>
      <c r="E18" s="787">
        <v>27</v>
      </c>
      <c r="F18" s="719">
        <v>10.148</v>
      </c>
      <c r="G18" s="393">
        <f>(F18*G$5)^G$6</f>
        <v>7.5303640541710823</v>
      </c>
      <c r="H18" s="394">
        <f>IF(C18&gt;0.9,-1,IF(C18&lt;0.3,1,0))</f>
        <v>0</v>
      </c>
      <c r="I18" s="144">
        <v>-1</v>
      </c>
      <c r="J18" s="395">
        <v>0</v>
      </c>
      <c r="K18" s="396">
        <f t="shared" si="1"/>
        <v>-1</v>
      </c>
      <c r="L18" s="718">
        <f>MIN(SUM(G18,K18),10)</f>
        <v>6.5303640541710823</v>
      </c>
      <c r="M18" s="465">
        <f>MAX(MAX(2,ROUND(L18/2,0)*2),4)</f>
        <v>6</v>
      </c>
      <c r="N18" s="831">
        <v>2015</v>
      </c>
      <c r="O18" s="465">
        <f t="shared" si="4"/>
        <v>6</v>
      </c>
      <c r="P18" s="593">
        <f>IF(O18=2,-2,MAX(O18-M18,0))</f>
        <v>0</v>
      </c>
      <c r="Q18" s="510"/>
      <c r="R18" s="483"/>
      <c r="S18" s="825"/>
      <c r="T18" s="390">
        <f t="shared" si="2"/>
        <v>1</v>
      </c>
      <c r="U18" s="815"/>
      <c r="V18" s="488">
        <f t="shared" si="3"/>
        <v>1</v>
      </c>
      <c r="W18" s="489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W18" s="56"/>
      <c r="AX18" s="56"/>
    </row>
    <row r="19" spans="1:65" x14ac:dyDescent="0.35">
      <c r="A19" s="95" t="s">
        <v>140</v>
      </c>
      <c r="B19" s="490">
        <f t="shared" si="0"/>
        <v>35</v>
      </c>
      <c r="C19" s="406">
        <v>1</v>
      </c>
      <c r="D19" s="797">
        <v>23</v>
      </c>
      <c r="E19" s="786">
        <v>9</v>
      </c>
      <c r="F19" s="719">
        <v>9.1489999999999991</v>
      </c>
      <c r="G19" s="393">
        <f>(F19*G$5)^G$6</f>
        <v>7.23958008752893</v>
      </c>
      <c r="H19" s="394">
        <f>IF(C19&gt;0.9,-1,IF(C19&lt;0.3,1,0))</f>
        <v>-1</v>
      </c>
      <c r="I19" s="144">
        <v>0</v>
      </c>
      <c r="J19" s="395">
        <v>-1</v>
      </c>
      <c r="K19" s="396">
        <f t="shared" si="1"/>
        <v>-2</v>
      </c>
      <c r="L19" s="718">
        <f>MIN(SUM(G19,K19),10)</f>
        <v>5.23958008752893</v>
      </c>
      <c r="M19" s="465">
        <f>MAX(MAX(2,ROUND(L19/2,0)*2),4)</f>
        <v>6</v>
      </c>
      <c r="N19" s="831">
        <v>2015</v>
      </c>
      <c r="O19" s="465">
        <f t="shared" si="4"/>
        <v>6</v>
      </c>
      <c r="P19" s="593">
        <f>IF(O19=2,-2,MAX(O19-M19,0))</f>
        <v>0</v>
      </c>
      <c r="Q19" s="510"/>
      <c r="R19" s="483"/>
      <c r="S19" s="825"/>
      <c r="T19" s="390">
        <f t="shared" si="2"/>
        <v>1</v>
      </c>
      <c r="U19" s="815">
        <v>-1</v>
      </c>
      <c r="V19" s="488">
        <f t="shared" si="3"/>
        <v>0</v>
      </c>
      <c r="W19" s="492" t="s">
        <v>304</v>
      </c>
      <c r="X19" s="195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W19" s="56"/>
      <c r="AX19" s="56"/>
      <c r="BE19" s="56"/>
      <c r="BF19" s="56"/>
      <c r="BG19" s="56"/>
      <c r="BH19" s="56"/>
      <c r="BI19" s="56"/>
      <c r="BJ19" s="56"/>
      <c r="BK19" s="56"/>
      <c r="BL19" s="56"/>
      <c r="BM19" s="56"/>
    </row>
    <row r="20" spans="1:65" x14ac:dyDescent="0.35">
      <c r="A20" s="214" t="s">
        <v>143</v>
      </c>
      <c r="B20" s="490">
        <f t="shared" si="0"/>
        <v>35</v>
      </c>
      <c r="C20" s="406">
        <v>0.5</v>
      </c>
      <c r="D20" s="797">
        <v>24</v>
      </c>
      <c r="E20" s="787">
        <v>35</v>
      </c>
      <c r="F20" s="723">
        <v>19.345702808070904</v>
      </c>
      <c r="G20" s="393">
        <f>(F20*G$5)^G$6</f>
        <v>9.6226239242107461</v>
      </c>
      <c r="H20" s="394">
        <f>IF(C20&gt;0.9,-1,IF(C20&lt;0.3,1,0))</f>
        <v>0</v>
      </c>
      <c r="I20" s="144">
        <v>0</v>
      </c>
      <c r="J20" s="395">
        <v>0</v>
      </c>
      <c r="K20" s="396">
        <f t="shared" si="1"/>
        <v>0</v>
      </c>
      <c r="L20" s="718">
        <f>MIN(SUM(G20,K20),10)</f>
        <v>9.6226239242107461</v>
      </c>
      <c r="M20" s="465">
        <f>MAX(MAX(2,ROUND(L20/2,0)*2),4)</f>
        <v>10</v>
      </c>
      <c r="N20" s="831">
        <v>2015</v>
      </c>
      <c r="O20" s="465">
        <f t="shared" si="4"/>
        <v>6</v>
      </c>
      <c r="P20" s="593">
        <f>IF(O20=2,-2,MAX(O20-M20,0))</f>
        <v>0</v>
      </c>
      <c r="Q20" s="510"/>
      <c r="R20" s="483"/>
      <c r="S20" s="825"/>
      <c r="T20" s="390" t="str">
        <f t="shared" si="2"/>
        <v xml:space="preserve"> </v>
      </c>
      <c r="U20" s="815"/>
      <c r="V20" s="488">
        <f t="shared" si="3"/>
        <v>0</v>
      </c>
      <c r="W20" s="489"/>
      <c r="X20" s="75"/>
      <c r="Y20" s="75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</row>
    <row r="21" spans="1:65" x14ac:dyDescent="0.35">
      <c r="A21" s="214" t="s">
        <v>149</v>
      </c>
      <c r="B21" s="490">
        <f t="shared" si="0"/>
        <v>1</v>
      </c>
      <c r="C21" s="50"/>
      <c r="D21" s="798">
        <v>11</v>
      </c>
      <c r="E21" s="787">
        <v>32</v>
      </c>
      <c r="F21" s="720"/>
      <c r="G21" s="402"/>
      <c r="H21" s="394"/>
      <c r="I21" s="144">
        <v>-1</v>
      </c>
      <c r="J21" s="395">
        <v>0</v>
      </c>
      <c r="K21" s="396">
        <f t="shared" si="1"/>
        <v>-1</v>
      </c>
      <c r="L21" s="712"/>
      <c r="M21" s="894"/>
      <c r="N21" s="831">
        <v>2021</v>
      </c>
      <c r="O21" s="465">
        <f t="shared" si="4"/>
        <v>0</v>
      </c>
      <c r="P21" s="889">
        <f>P$2</f>
        <v>4</v>
      </c>
      <c r="Q21" s="925">
        <f>-K21</f>
        <v>1</v>
      </c>
      <c r="R21" s="713"/>
      <c r="S21" s="826"/>
      <c r="T21" s="390" t="str">
        <f t="shared" si="2"/>
        <v xml:space="preserve"> </v>
      </c>
      <c r="U21" s="815">
        <v>2</v>
      </c>
      <c r="V21" s="829">
        <f t="shared" si="3"/>
        <v>7</v>
      </c>
      <c r="W21" s="489"/>
      <c r="X21" s="469"/>
      <c r="Y21" s="1321"/>
      <c r="Z21" s="134"/>
      <c r="AA21" s="134"/>
      <c r="AB21" s="134"/>
      <c r="AC21" s="134"/>
      <c r="AD21" s="33"/>
      <c r="AE21" s="33"/>
      <c r="AF21" s="33"/>
      <c r="AG21" s="33"/>
      <c r="AH21" s="134"/>
      <c r="AI21" s="134"/>
      <c r="AJ21" s="134"/>
      <c r="AK21" s="134"/>
      <c r="AL21" s="87"/>
      <c r="AM21" s="87"/>
      <c r="AN21" s="87"/>
      <c r="AO21" s="87"/>
      <c r="AP21" s="106"/>
      <c r="AQ21" s="106"/>
      <c r="AR21" s="106"/>
      <c r="AS21" s="106"/>
      <c r="AT21" s="106"/>
      <c r="AU21" s="106"/>
      <c r="AV21" s="106"/>
      <c r="AY21" s="106"/>
      <c r="AZ21" s="106"/>
      <c r="BA21" s="106"/>
      <c r="BB21" s="106"/>
      <c r="BC21" s="106"/>
      <c r="BD21" s="106"/>
    </row>
    <row r="22" spans="1:65" x14ac:dyDescent="0.35">
      <c r="A22" s="95" t="s">
        <v>132</v>
      </c>
      <c r="B22" s="490">
        <f t="shared" si="0"/>
        <v>55</v>
      </c>
      <c r="C22" s="50"/>
      <c r="D22" s="797">
        <v>33</v>
      </c>
      <c r="E22" s="785">
        <v>46</v>
      </c>
      <c r="F22" s="717">
        <v>14.2</v>
      </c>
      <c r="G22" s="393">
        <f>(F22*G$5)^G$6</f>
        <v>8.555806801550375</v>
      </c>
      <c r="H22" s="394"/>
      <c r="I22" s="144">
        <v>0</v>
      </c>
      <c r="J22" s="395">
        <v>1</v>
      </c>
      <c r="K22" s="396">
        <f t="shared" si="1"/>
        <v>1</v>
      </c>
      <c r="L22" s="718">
        <f>MIN(SUM(G22,K22),10)</f>
        <v>9.555806801550375</v>
      </c>
      <c r="M22" s="465">
        <f>MAX(MAX(2,ROUND(L22/2,0)*2),4)</f>
        <v>10</v>
      </c>
      <c r="N22" s="831">
        <v>2019</v>
      </c>
      <c r="O22" s="465">
        <f t="shared" si="4"/>
        <v>2</v>
      </c>
      <c r="P22" s="593">
        <v>-2</v>
      </c>
      <c r="Q22" s="510"/>
      <c r="R22" s="713" t="str">
        <f t="shared" ref="R22:R63" si="5">IF(O22&gt;=10,1," ")</f>
        <v xml:space="preserve"> </v>
      </c>
      <c r="S22" s="826"/>
      <c r="T22" s="390" t="str">
        <f t="shared" si="2"/>
        <v xml:space="preserve"> </v>
      </c>
      <c r="U22" s="815">
        <v>-1</v>
      </c>
      <c r="V22" s="488">
        <f t="shared" si="3"/>
        <v>-3</v>
      </c>
      <c r="W22" s="1204" t="s">
        <v>304</v>
      </c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Y22" s="87"/>
      <c r="AZ22" s="87"/>
      <c r="BA22" s="87"/>
      <c r="BB22" s="87"/>
      <c r="BC22" s="87"/>
      <c r="BD22" s="87"/>
      <c r="BE22" s="56"/>
      <c r="BF22" s="56"/>
      <c r="BG22" s="56"/>
      <c r="BH22" s="56"/>
      <c r="BI22" s="56"/>
      <c r="BJ22" s="56"/>
      <c r="BK22" s="56"/>
      <c r="BL22" s="56"/>
      <c r="BM22" s="56"/>
    </row>
    <row r="23" spans="1:65" x14ac:dyDescent="0.35">
      <c r="A23" s="95" t="s">
        <v>16</v>
      </c>
      <c r="B23" s="490">
        <f t="shared" si="0"/>
        <v>39</v>
      </c>
      <c r="C23" s="406">
        <v>0.75</v>
      </c>
      <c r="D23" s="797">
        <v>32</v>
      </c>
      <c r="E23" s="787">
        <v>31</v>
      </c>
      <c r="F23" s="719">
        <v>9.3610000000000007</v>
      </c>
      <c r="G23" s="393">
        <f>(F23*G$5)^G$6</f>
        <v>7.3028747387080593</v>
      </c>
      <c r="H23" s="394">
        <f>IF(C23&gt;0.9,-1,IF(C23&lt;0.3,1,0))</f>
        <v>0</v>
      </c>
      <c r="I23" s="144">
        <v>0</v>
      </c>
      <c r="J23" s="395">
        <v>0</v>
      </c>
      <c r="K23" s="396">
        <f t="shared" si="1"/>
        <v>0</v>
      </c>
      <c r="L23" s="718">
        <f>MIN(SUM(G23,K23),10)</f>
        <v>7.3028747387080593</v>
      </c>
      <c r="M23" s="465">
        <f>MAX(MAX(2,ROUND(L23/2,0)*2),4)</f>
        <v>8</v>
      </c>
      <c r="N23" s="831">
        <v>2017</v>
      </c>
      <c r="O23" s="465">
        <f t="shared" si="4"/>
        <v>4</v>
      </c>
      <c r="P23" s="593">
        <f>IF(O23=2,-2,MAX(O23-M23,0))</f>
        <v>0</v>
      </c>
      <c r="Q23" s="510"/>
      <c r="R23" s="483" t="str">
        <f t="shared" si="5"/>
        <v xml:space="preserve"> </v>
      </c>
      <c r="S23" s="825">
        <f>IF(O23&lt;6,-1,0)</f>
        <v>-1</v>
      </c>
      <c r="T23" s="390" t="str">
        <f t="shared" si="2"/>
        <v xml:space="preserve"> </v>
      </c>
      <c r="U23" s="815"/>
      <c r="V23" s="488">
        <f t="shared" si="3"/>
        <v>-1</v>
      </c>
      <c r="W23" s="492" t="s">
        <v>304</v>
      </c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P23" s="56"/>
      <c r="AQ23" s="56"/>
      <c r="AR23" s="56"/>
      <c r="AS23" s="56"/>
      <c r="AT23" s="56"/>
      <c r="AU23" s="56"/>
      <c r="AV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</row>
    <row r="24" spans="1:65" x14ac:dyDescent="0.35">
      <c r="A24" s="95" t="s">
        <v>6</v>
      </c>
      <c r="B24" s="490">
        <f t="shared" si="0"/>
        <v>39</v>
      </c>
      <c r="C24" s="406">
        <v>0.35</v>
      </c>
      <c r="D24" s="798">
        <v>7</v>
      </c>
      <c r="E24" s="786">
        <v>8</v>
      </c>
      <c r="F24" s="719">
        <v>13.71</v>
      </c>
      <c r="G24" s="393">
        <f>(F24*G$5)^G$6</f>
        <v>8.4423942856282324</v>
      </c>
      <c r="H24" s="394">
        <f>IF(C24&gt;0.9,-1,IF(C24&lt;0.3,1,0))</f>
        <v>0</v>
      </c>
      <c r="I24" s="144">
        <v>-1</v>
      </c>
      <c r="J24" s="395">
        <v>-1</v>
      </c>
      <c r="K24" s="396">
        <f t="shared" si="1"/>
        <v>-2</v>
      </c>
      <c r="L24" s="715">
        <f>MIN(SUM(G24,K24),10)</f>
        <v>6.4423942856282324</v>
      </c>
      <c r="M24" s="465">
        <f>MAX(MAX(2,ROUND(L24/2,0)*2),4)</f>
        <v>6</v>
      </c>
      <c r="N24" s="831">
        <v>2021</v>
      </c>
      <c r="O24" s="465">
        <f t="shared" si="4"/>
        <v>0</v>
      </c>
      <c r="P24" s="593">
        <f>IF(O24=2,-2,MAX(O24-M24,0))</f>
        <v>0</v>
      </c>
      <c r="Q24" s="510"/>
      <c r="R24" s="483" t="str">
        <f t="shared" si="5"/>
        <v xml:space="preserve"> </v>
      </c>
      <c r="S24" s="825"/>
      <c r="T24" s="390" t="str">
        <f t="shared" si="2"/>
        <v xml:space="preserve"> </v>
      </c>
      <c r="U24" s="815">
        <v>-1</v>
      </c>
      <c r="V24" s="488">
        <f t="shared" si="3"/>
        <v>-1</v>
      </c>
      <c r="W24" s="1204" t="s">
        <v>304</v>
      </c>
      <c r="X24" s="195"/>
      <c r="Y24" s="33"/>
      <c r="Z24" s="33"/>
      <c r="AA24" s="33"/>
      <c r="AB24" s="33"/>
      <c r="AC24" s="33"/>
      <c r="AD24" s="33"/>
      <c r="AE24" s="33"/>
      <c r="AF24" s="75"/>
      <c r="AG24" s="33"/>
      <c r="AH24" s="33"/>
      <c r="AI24" s="33"/>
      <c r="AJ24" s="33"/>
      <c r="AK24" s="33"/>
      <c r="AP24" s="56"/>
      <c r="AQ24" s="56"/>
      <c r="AR24" s="56"/>
      <c r="AS24" s="56"/>
      <c r="AT24" s="56"/>
      <c r="AU24" s="56"/>
      <c r="AV24" s="56"/>
      <c r="AY24" s="56"/>
      <c r="AZ24" s="56"/>
      <c r="BA24" s="56"/>
      <c r="BB24" s="56"/>
      <c r="BC24" s="56"/>
      <c r="BD24" s="56"/>
    </row>
    <row r="25" spans="1:65" x14ac:dyDescent="0.35">
      <c r="A25" s="95" t="s">
        <v>20</v>
      </c>
      <c r="B25" s="490">
        <f t="shared" si="0"/>
        <v>21</v>
      </c>
      <c r="C25" s="406">
        <v>0.8</v>
      </c>
      <c r="D25" s="797">
        <v>29</v>
      </c>
      <c r="E25" s="786">
        <v>18</v>
      </c>
      <c r="F25" s="719">
        <v>7.14</v>
      </c>
      <c r="G25" s="393">
        <f>(F25*G$5)^G$6</f>
        <v>6.5886542646874489</v>
      </c>
      <c r="H25" s="394">
        <f>IF(C25&gt;0.9,-1,IF(C25&lt;0.3,1,0))</f>
        <v>0</v>
      </c>
      <c r="I25" s="144">
        <v>0</v>
      </c>
      <c r="J25" s="395">
        <v>-1</v>
      </c>
      <c r="K25" s="396">
        <f t="shared" si="1"/>
        <v>-1</v>
      </c>
      <c r="L25" s="718">
        <f>MIN(SUM(G25,K25),10)</f>
        <v>5.5886542646874489</v>
      </c>
      <c r="M25" s="465">
        <f>MAX(MAX(2,ROUND(L25/2,0)*2),4)</f>
        <v>6</v>
      </c>
      <c r="N25" s="831">
        <v>2013</v>
      </c>
      <c r="O25" s="465">
        <f t="shared" si="4"/>
        <v>8</v>
      </c>
      <c r="P25" s="593">
        <f>IF(O25=2,-2,MAX(O25-M25,0))</f>
        <v>2</v>
      </c>
      <c r="Q25" s="510"/>
      <c r="R25" s="483" t="str">
        <f t="shared" si="5"/>
        <v xml:space="preserve"> </v>
      </c>
      <c r="S25" s="825"/>
      <c r="T25" s="390">
        <f t="shared" si="2"/>
        <v>1</v>
      </c>
      <c r="U25" s="815">
        <v>-1</v>
      </c>
      <c r="V25" s="488">
        <f t="shared" si="3"/>
        <v>2</v>
      </c>
      <c r="W25" s="489"/>
      <c r="X25" s="195"/>
      <c r="Y25" s="33"/>
      <c r="Z25" s="33"/>
      <c r="AA25" s="33"/>
      <c r="AB25" s="33"/>
      <c r="AC25" s="33"/>
      <c r="AD25" s="33"/>
      <c r="AE25" s="33"/>
      <c r="AF25" s="75"/>
      <c r="AG25" s="33"/>
      <c r="AH25" s="33"/>
      <c r="AI25" s="33"/>
      <c r="AJ25" s="33"/>
      <c r="AK25" s="33"/>
      <c r="AP25" s="56"/>
      <c r="AQ25" s="56"/>
      <c r="AR25" s="56"/>
      <c r="AS25" s="56"/>
      <c r="AT25" s="56"/>
      <c r="AU25" s="56"/>
      <c r="AV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</row>
    <row r="26" spans="1:65" x14ac:dyDescent="0.35">
      <c r="A26" s="214" t="s">
        <v>150</v>
      </c>
      <c r="B26" s="490">
        <f t="shared" si="0"/>
        <v>21</v>
      </c>
      <c r="C26" s="50"/>
      <c r="D26" s="796">
        <v>51</v>
      </c>
      <c r="E26" s="785">
        <v>41</v>
      </c>
      <c r="F26" s="720"/>
      <c r="G26" s="402"/>
      <c r="H26" s="403"/>
      <c r="I26" s="144">
        <v>1</v>
      </c>
      <c r="J26" s="395">
        <v>1</v>
      </c>
      <c r="K26" s="396">
        <f t="shared" si="1"/>
        <v>2</v>
      </c>
      <c r="L26" s="712"/>
      <c r="M26" s="894"/>
      <c r="N26" s="831"/>
      <c r="O26" s="466"/>
      <c r="P26" s="889">
        <f>P$2</f>
        <v>4</v>
      </c>
      <c r="Q26" s="925">
        <f>-K26</f>
        <v>-2</v>
      </c>
      <c r="R26" s="713" t="str">
        <f t="shared" si="5"/>
        <v xml:space="preserve"> </v>
      </c>
      <c r="S26" s="826"/>
      <c r="T26" s="390" t="str">
        <f t="shared" si="2"/>
        <v xml:space="preserve"> </v>
      </c>
      <c r="U26" s="815"/>
      <c r="V26" s="829">
        <f t="shared" si="3"/>
        <v>2</v>
      </c>
      <c r="W26" s="489"/>
      <c r="X26" s="195"/>
      <c r="Y26" s="33"/>
      <c r="Z26" s="33"/>
      <c r="AA26" s="33"/>
      <c r="AB26" s="33"/>
      <c r="AC26" s="33"/>
      <c r="AD26" s="33"/>
      <c r="AE26" s="33"/>
      <c r="AF26" s="75"/>
      <c r="AG26" s="33"/>
      <c r="AH26" s="33"/>
      <c r="AI26" s="33"/>
      <c r="AJ26" s="33"/>
      <c r="AK26" s="33"/>
      <c r="BE26" s="56"/>
      <c r="BF26" s="56"/>
      <c r="BG26" s="56"/>
      <c r="BH26" s="56"/>
      <c r="BI26" s="56"/>
      <c r="BJ26" s="56"/>
      <c r="BK26" s="56"/>
      <c r="BL26" s="56"/>
      <c r="BM26" s="56"/>
    </row>
    <row r="27" spans="1:65" x14ac:dyDescent="0.35">
      <c r="A27" s="214" t="s">
        <v>33</v>
      </c>
      <c r="B27" s="490">
        <f t="shared" si="0"/>
        <v>11</v>
      </c>
      <c r="C27" s="50"/>
      <c r="D27" s="796">
        <v>56</v>
      </c>
      <c r="E27" s="785">
        <v>57</v>
      </c>
      <c r="F27" s="720"/>
      <c r="G27" s="402"/>
      <c r="H27" s="403"/>
      <c r="I27" s="144">
        <v>1</v>
      </c>
      <c r="J27" s="395">
        <v>1</v>
      </c>
      <c r="K27" s="396">
        <f t="shared" si="1"/>
        <v>2</v>
      </c>
      <c r="L27" s="712"/>
      <c r="M27" s="894"/>
      <c r="N27" s="831"/>
      <c r="O27" s="466"/>
      <c r="P27" s="889">
        <f>P$2</f>
        <v>4</v>
      </c>
      <c r="Q27" s="925">
        <f>-K27</f>
        <v>-2</v>
      </c>
      <c r="R27" s="713" t="str">
        <f t="shared" si="5"/>
        <v xml:space="preserve"> </v>
      </c>
      <c r="S27" s="826"/>
      <c r="T27" s="390" t="str">
        <f t="shared" si="2"/>
        <v xml:space="preserve"> </v>
      </c>
      <c r="U27" s="815">
        <v>1</v>
      </c>
      <c r="V27" s="829">
        <f t="shared" si="3"/>
        <v>3</v>
      </c>
      <c r="W27" s="489"/>
      <c r="X27" s="75"/>
      <c r="Y27" s="75"/>
      <c r="Z27" s="75"/>
      <c r="AA27" s="75"/>
      <c r="AB27" s="75"/>
      <c r="AC27" s="75"/>
      <c r="AD27" s="33"/>
      <c r="AE27" s="33"/>
      <c r="AF27" s="75"/>
      <c r="AG27" s="33"/>
      <c r="AH27" s="75"/>
      <c r="AI27" s="75"/>
      <c r="AJ27" s="75"/>
      <c r="AK27" s="75"/>
      <c r="AL27" s="56"/>
      <c r="AM27" s="56"/>
      <c r="AN27" s="56"/>
      <c r="AO27" s="56"/>
      <c r="AW27" s="87"/>
      <c r="AX27" s="87"/>
    </row>
    <row r="28" spans="1:65" x14ac:dyDescent="0.35">
      <c r="A28" s="214" t="s">
        <v>476</v>
      </c>
      <c r="B28" s="490">
        <f t="shared" si="0"/>
        <v>50</v>
      </c>
      <c r="C28" s="406">
        <v>0.5</v>
      </c>
      <c r="D28" s="798">
        <v>12</v>
      </c>
      <c r="E28" s="787">
        <v>21</v>
      </c>
      <c r="F28" s="719">
        <v>11.6</v>
      </c>
      <c r="G28" s="393">
        <f>(F28*G$5)^G$6</f>
        <v>7.9229229828728185</v>
      </c>
      <c r="H28" s="394">
        <f>IF(C28&gt;0.9,-1,IF(C28&lt;0.3,1,0))</f>
        <v>0</v>
      </c>
      <c r="I28" s="144">
        <v>-1</v>
      </c>
      <c r="J28" s="395">
        <v>0</v>
      </c>
      <c r="K28" s="396">
        <f t="shared" si="1"/>
        <v>-1</v>
      </c>
      <c r="L28" s="715">
        <f>MIN(SUM(G28,K28),10)</f>
        <v>6.9229229828728185</v>
      </c>
      <c r="M28" s="465">
        <f>MAX(MAX(2,ROUND(L28/2,0)*2),4)</f>
        <v>6</v>
      </c>
      <c r="N28" s="831">
        <v>2019</v>
      </c>
      <c r="O28" s="465">
        <f>O$4-N28</f>
        <v>2</v>
      </c>
      <c r="P28" s="593">
        <v>-2</v>
      </c>
      <c r="Q28" s="510"/>
      <c r="R28" s="483" t="str">
        <f t="shared" si="5"/>
        <v xml:space="preserve"> </v>
      </c>
      <c r="S28" s="825"/>
      <c r="T28" s="390" t="str">
        <f t="shared" si="2"/>
        <v xml:space="preserve"> </v>
      </c>
      <c r="U28" s="815"/>
      <c r="V28" s="488">
        <f t="shared" si="3"/>
        <v>-2</v>
      </c>
      <c r="W28" s="1204" t="s">
        <v>304</v>
      </c>
      <c r="X28" s="75"/>
      <c r="Y28" s="75"/>
      <c r="Z28" s="75"/>
      <c r="AA28" s="75"/>
      <c r="AB28" s="75"/>
      <c r="AC28" s="75"/>
      <c r="AD28" s="75"/>
      <c r="AE28" s="33"/>
      <c r="AF28" s="75"/>
      <c r="AG28" s="33"/>
      <c r="AH28" s="75"/>
      <c r="AI28" s="75"/>
      <c r="AJ28" s="75"/>
      <c r="AK28" s="75"/>
      <c r="AL28" s="56"/>
      <c r="AM28" s="56"/>
      <c r="AN28" s="56"/>
      <c r="AO28" s="56"/>
    </row>
    <row r="29" spans="1:65" x14ac:dyDescent="0.35">
      <c r="A29" s="214" t="s">
        <v>151</v>
      </c>
      <c r="B29" s="490">
        <f t="shared" si="0"/>
        <v>11</v>
      </c>
      <c r="C29" s="50"/>
      <c r="D29" s="797">
        <v>25</v>
      </c>
      <c r="E29" s="785">
        <v>45</v>
      </c>
      <c r="F29" s="720"/>
      <c r="G29" s="402"/>
      <c r="H29" s="403"/>
      <c r="I29" s="144">
        <v>0</v>
      </c>
      <c r="J29" s="395">
        <v>1</v>
      </c>
      <c r="K29" s="396">
        <f t="shared" si="1"/>
        <v>1</v>
      </c>
      <c r="L29" s="712"/>
      <c r="M29" s="894"/>
      <c r="N29" s="831"/>
      <c r="O29" s="466"/>
      <c r="P29" s="889">
        <f>P$2</f>
        <v>4</v>
      </c>
      <c r="Q29" s="925">
        <f>-K29</f>
        <v>-1</v>
      </c>
      <c r="R29" s="713" t="str">
        <f t="shared" si="5"/>
        <v xml:space="preserve"> </v>
      </c>
      <c r="S29" s="826"/>
      <c r="T29" s="390" t="str">
        <f t="shared" si="2"/>
        <v xml:space="preserve"> </v>
      </c>
      <c r="U29" s="815"/>
      <c r="V29" s="829">
        <f t="shared" si="3"/>
        <v>3</v>
      </c>
      <c r="W29" s="489"/>
      <c r="X29" s="75"/>
      <c r="Y29" s="75"/>
      <c r="Z29" s="75"/>
      <c r="AA29" s="75"/>
      <c r="AB29" s="75"/>
      <c r="AC29" s="75"/>
      <c r="AD29" s="33"/>
      <c r="AE29" s="33"/>
      <c r="AF29" s="75"/>
      <c r="AG29" s="33"/>
      <c r="AH29" s="75"/>
      <c r="AI29" s="75"/>
      <c r="AJ29" s="75"/>
      <c r="AK29" s="75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Y29" s="56"/>
      <c r="AZ29" s="56"/>
      <c r="BA29" s="56"/>
      <c r="BB29" s="56"/>
      <c r="BC29" s="56"/>
      <c r="BD29" s="56"/>
    </row>
    <row r="30" spans="1:65" x14ac:dyDescent="0.35">
      <c r="A30" s="214" t="s">
        <v>144</v>
      </c>
      <c r="B30" s="490">
        <f t="shared" si="0"/>
        <v>21</v>
      </c>
      <c r="C30" s="406">
        <v>0.7</v>
      </c>
      <c r="D30" s="796">
        <v>45</v>
      </c>
      <c r="E30" s="785">
        <v>42</v>
      </c>
      <c r="F30" s="719">
        <v>19.216000000000001</v>
      </c>
      <c r="G30" s="393">
        <f>(F30*G$5)^G$6</f>
        <v>9.5980572171383685</v>
      </c>
      <c r="H30" s="394">
        <f>IF(C30&gt;0.9,-1,IF(C30&lt;0.3,1,0))</f>
        <v>0</v>
      </c>
      <c r="I30" s="144">
        <v>1</v>
      </c>
      <c r="J30" s="395">
        <v>1</v>
      </c>
      <c r="K30" s="396">
        <f t="shared" si="1"/>
        <v>2</v>
      </c>
      <c r="L30" s="718">
        <f>MIN(SUM(G30,K30),10)</f>
        <v>10</v>
      </c>
      <c r="M30" s="465">
        <f>MAX(MAX(2,ROUND(L30/2,0)*2),4)</f>
        <v>10</v>
      </c>
      <c r="N30" s="831">
        <v>2011</v>
      </c>
      <c r="O30" s="465">
        <f>O$4-N30</f>
        <v>10</v>
      </c>
      <c r="P30" s="593">
        <f>IF(O30=2,-2,MAX(O30-M30,0))</f>
        <v>0</v>
      </c>
      <c r="Q30" s="510"/>
      <c r="R30" s="483">
        <f t="shared" si="5"/>
        <v>1</v>
      </c>
      <c r="S30" s="825"/>
      <c r="T30" s="390">
        <f t="shared" si="2"/>
        <v>1</v>
      </c>
      <c r="U30" s="815"/>
      <c r="V30" s="488">
        <f t="shared" si="3"/>
        <v>2</v>
      </c>
      <c r="W30" s="489"/>
      <c r="X30" s="75"/>
      <c r="Y30" s="75"/>
      <c r="Z30" s="75"/>
      <c r="AA30" s="75"/>
      <c r="AB30" s="75"/>
      <c r="AC30" s="75"/>
      <c r="AD30" s="75"/>
      <c r="AE30" s="33"/>
      <c r="AF30" s="75"/>
      <c r="AG30" s="33"/>
      <c r="AH30" s="75"/>
      <c r="AI30" s="75"/>
      <c r="AJ30" s="75"/>
      <c r="AK30" s="75"/>
      <c r="AL30" s="56"/>
      <c r="AM30" s="56"/>
      <c r="AN30" s="56"/>
      <c r="AO30" s="56"/>
    </row>
    <row r="31" spans="1:65" s="87" customFormat="1" x14ac:dyDescent="0.35">
      <c r="A31" s="214" t="s">
        <v>145</v>
      </c>
      <c r="B31" s="490">
        <f t="shared" si="0"/>
        <v>11</v>
      </c>
      <c r="C31" s="406">
        <v>0.84</v>
      </c>
      <c r="D31" s="796">
        <v>49</v>
      </c>
      <c r="E31" s="787">
        <v>25</v>
      </c>
      <c r="F31" s="719">
        <v>16.8</v>
      </c>
      <c r="G31" s="393">
        <f>(F31*G$5)^G$6</f>
        <v>9.1202958274997812</v>
      </c>
      <c r="H31" s="394">
        <f>IF(C31&gt;0.9,-1,IF(C31&lt;0.3,1,0))</f>
        <v>0</v>
      </c>
      <c r="I31" s="144">
        <v>1</v>
      </c>
      <c r="J31" s="395">
        <v>0</v>
      </c>
      <c r="K31" s="396">
        <f t="shared" si="1"/>
        <v>1</v>
      </c>
      <c r="L31" s="715">
        <f>MIN(SUM(G31,K31),10)</f>
        <v>10</v>
      </c>
      <c r="M31" s="465">
        <f>MAX(MAX(2,ROUND(L31/2,0)*2),4)</f>
        <v>10</v>
      </c>
      <c r="N31" s="831">
        <v>2009</v>
      </c>
      <c r="O31" s="465">
        <f>O$4-N31</f>
        <v>12</v>
      </c>
      <c r="P31" s="593">
        <f>IF(O31=2,-2,MAX(O31-M31,0))</f>
        <v>2</v>
      </c>
      <c r="Q31" s="510"/>
      <c r="R31" s="483">
        <f t="shared" si="5"/>
        <v>1</v>
      </c>
      <c r="S31" s="825"/>
      <c r="T31" s="390">
        <f t="shared" si="2"/>
        <v>1</v>
      </c>
      <c r="U31" s="815">
        <v>-1</v>
      </c>
      <c r="V31" s="488">
        <f t="shared" si="3"/>
        <v>3</v>
      </c>
      <c r="W31" s="489"/>
      <c r="X31" s="75"/>
      <c r="Y31" s="75"/>
      <c r="Z31" s="75"/>
      <c r="AA31" s="75"/>
      <c r="AB31" s="75"/>
      <c r="AC31" s="75"/>
      <c r="AD31" s="33"/>
      <c r="AE31" s="33"/>
      <c r="AF31" s="75"/>
      <c r="AG31" s="33"/>
      <c r="AH31" s="75"/>
      <c r="AI31" s="75"/>
      <c r="AJ31" s="75"/>
      <c r="AK31" s="75"/>
      <c r="AL31" s="56"/>
      <c r="AM31" s="56"/>
      <c r="AN31" s="56"/>
      <c r="AO31" s="56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</row>
    <row r="32" spans="1:65" s="87" customFormat="1" x14ac:dyDescent="0.35">
      <c r="A32" s="214" t="s">
        <v>152</v>
      </c>
      <c r="B32" s="490">
        <f t="shared" si="0"/>
        <v>21</v>
      </c>
      <c r="C32" s="50"/>
      <c r="D32" s="796">
        <v>57</v>
      </c>
      <c r="E32" s="785">
        <v>48</v>
      </c>
      <c r="F32" s="720"/>
      <c r="G32" s="402"/>
      <c r="H32" s="403"/>
      <c r="I32" s="144">
        <v>1</v>
      </c>
      <c r="J32" s="395">
        <v>1</v>
      </c>
      <c r="K32" s="396">
        <f t="shared" si="1"/>
        <v>2</v>
      </c>
      <c r="L32" s="712"/>
      <c r="M32" s="894"/>
      <c r="N32" s="831"/>
      <c r="O32" s="466"/>
      <c r="P32" s="889">
        <f>P$2</f>
        <v>4</v>
      </c>
      <c r="Q32" s="925">
        <f>-K32</f>
        <v>-2</v>
      </c>
      <c r="R32" s="713" t="str">
        <f t="shared" si="5"/>
        <v xml:space="preserve"> </v>
      </c>
      <c r="S32" s="826"/>
      <c r="T32" s="390" t="str">
        <f t="shared" si="2"/>
        <v xml:space="preserve"> </v>
      </c>
      <c r="U32" s="815"/>
      <c r="V32" s="829">
        <f t="shared" si="3"/>
        <v>2</v>
      </c>
      <c r="W32" s="489"/>
      <c r="X32" s="75"/>
      <c r="Y32" s="75"/>
      <c r="Z32" s="75"/>
      <c r="AA32" s="75"/>
      <c r="AB32" s="75"/>
      <c r="AC32" s="75"/>
      <c r="AD32" s="75"/>
      <c r="AE32" s="33"/>
      <c r="AF32" s="75"/>
      <c r="AG32" s="33"/>
      <c r="AH32" s="75"/>
      <c r="AI32" s="75"/>
      <c r="AJ32" s="75"/>
      <c r="AK32" s="75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1"/>
      <c r="AX32" s="1"/>
      <c r="AY32" s="56"/>
      <c r="AZ32" s="56"/>
      <c r="BA32" s="56"/>
      <c r="BB32" s="56"/>
      <c r="BC32" s="56"/>
      <c r="BD32" s="56"/>
    </row>
    <row r="33" spans="1:65" x14ac:dyDescent="0.35">
      <c r="A33" s="214" t="s">
        <v>356</v>
      </c>
      <c r="B33" s="490">
        <f t="shared" si="0"/>
        <v>21</v>
      </c>
      <c r="C33" s="406">
        <v>0.65</v>
      </c>
      <c r="D33" s="798">
        <v>19</v>
      </c>
      <c r="E33" s="787">
        <v>39</v>
      </c>
      <c r="F33" s="719">
        <v>4.25</v>
      </c>
      <c r="G33" s="393">
        <f>(F33*G$5)^G$6</f>
        <v>5.4097748654134667</v>
      </c>
      <c r="H33" s="394">
        <f>IF(C33&gt;0.9,-1,IF(C33&lt;0.3,1,0))</f>
        <v>0</v>
      </c>
      <c r="I33" s="144">
        <v>-1</v>
      </c>
      <c r="J33" s="395">
        <v>0</v>
      </c>
      <c r="K33" s="396">
        <f t="shared" si="1"/>
        <v>-1</v>
      </c>
      <c r="L33" s="718">
        <f>MIN(SUM(G33,K33),10)</f>
        <v>4.4097748654134667</v>
      </c>
      <c r="M33" s="465">
        <f>MAX(MAX(2,ROUND(L33/2,0)*2),4)</f>
        <v>4</v>
      </c>
      <c r="N33" s="831">
        <v>2015</v>
      </c>
      <c r="O33" s="465">
        <f>O$4-N33</f>
        <v>6</v>
      </c>
      <c r="P33" s="593">
        <f>IF(O33=2,-2,MAX(O33-M33,0))</f>
        <v>2</v>
      </c>
      <c r="Q33" s="510"/>
      <c r="R33" s="483" t="str">
        <f t="shared" si="5"/>
        <v xml:space="preserve"> </v>
      </c>
      <c r="S33" s="825"/>
      <c r="T33" s="390">
        <f t="shared" si="2"/>
        <v>1</v>
      </c>
      <c r="U33" s="815">
        <v>-1</v>
      </c>
      <c r="V33" s="488">
        <f t="shared" si="3"/>
        <v>2</v>
      </c>
      <c r="W33" s="492" t="s">
        <v>304</v>
      </c>
      <c r="X33" s="75"/>
      <c r="Y33" s="75"/>
      <c r="Z33" s="75"/>
      <c r="AA33" s="75"/>
      <c r="AB33" s="75"/>
      <c r="AC33" s="75"/>
      <c r="AD33" s="33"/>
      <c r="AE33" s="33"/>
      <c r="AF33" s="75"/>
      <c r="AG33" s="33"/>
      <c r="AH33" s="75"/>
      <c r="AI33" s="75"/>
      <c r="AJ33" s="75"/>
      <c r="AK33" s="75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</row>
    <row r="34" spans="1:65" x14ac:dyDescent="0.35">
      <c r="A34" s="214" t="s">
        <v>337</v>
      </c>
      <c r="B34" s="490">
        <f t="shared" si="0"/>
        <v>21</v>
      </c>
      <c r="C34" s="50"/>
      <c r="D34" s="796">
        <v>42</v>
      </c>
      <c r="E34" s="785">
        <v>58</v>
      </c>
      <c r="F34" s="720"/>
      <c r="G34" s="402"/>
      <c r="H34" s="403"/>
      <c r="I34" s="144">
        <v>1</v>
      </c>
      <c r="J34" s="395">
        <v>1</v>
      </c>
      <c r="K34" s="396">
        <f t="shared" si="1"/>
        <v>2</v>
      </c>
      <c r="L34" s="712"/>
      <c r="M34" s="894"/>
      <c r="N34" s="831"/>
      <c r="O34" s="466"/>
      <c r="P34" s="889">
        <f>P$2</f>
        <v>4</v>
      </c>
      <c r="Q34" s="925">
        <f>-K34</f>
        <v>-2</v>
      </c>
      <c r="R34" s="713" t="str">
        <f t="shared" si="5"/>
        <v xml:space="preserve"> </v>
      </c>
      <c r="S34" s="826"/>
      <c r="T34" s="390" t="str">
        <f t="shared" si="2"/>
        <v xml:space="preserve"> </v>
      </c>
      <c r="U34" s="815"/>
      <c r="V34" s="829">
        <f t="shared" si="3"/>
        <v>2</v>
      </c>
      <c r="W34" s="489"/>
      <c r="X34" s="75"/>
      <c r="Y34" s="75"/>
      <c r="Z34" s="75"/>
      <c r="AA34" s="75"/>
      <c r="AB34" s="75"/>
      <c r="AC34" s="75"/>
      <c r="AD34" s="33"/>
      <c r="AE34" s="33"/>
      <c r="AF34" s="75"/>
      <c r="AG34" s="33"/>
      <c r="AH34" s="75"/>
      <c r="AI34" s="75"/>
      <c r="AJ34" s="75"/>
      <c r="AK34" s="75"/>
      <c r="AL34" s="56"/>
      <c r="AM34" s="56"/>
      <c r="AN34" s="56"/>
      <c r="AO34" s="56"/>
      <c r="AW34" s="56"/>
      <c r="AX34" s="56"/>
      <c r="BE34" s="87"/>
      <c r="BF34" s="87"/>
      <c r="BG34" s="87"/>
      <c r="BH34" s="87"/>
      <c r="BI34" s="87"/>
      <c r="BJ34" s="87"/>
      <c r="BK34" s="87"/>
      <c r="BL34" s="87"/>
      <c r="BM34" s="87"/>
    </row>
    <row r="35" spans="1:65" x14ac:dyDescent="0.35">
      <c r="A35" s="95" t="s">
        <v>128</v>
      </c>
      <c r="B35" s="490">
        <f t="shared" si="0"/>
        <v>39</v>
      </c>
      <c r="C35" s="406">
        <v>0.5</v>
      </c>
      <c r="D35" s="798">
        <v>3</v>
      </c>
      <c r="E35" s="786">
        <v>4</v>
      </c>
      <c r="F35" s="719">
        <v>5</v>
      </c>
      <c r="G35" s="393">
        <f>(F35*G$5)^G$6</f>
        <v>5.7543993733715713</v>
      </c>
      <c r="H35" s="394">
        <f>IF(C35&gt;0.9,-1,IF(C35&lt;0.3,1,0))</f>
        <v>0</v>
      </c>
      <c r="I35" s="144">
        <v>-1</v>
      </c>
      <c r="J35" s="395">
        <v>-1</v>
      </c>
      <c r="K35" s="396">
        <f t="shared" si="1"/>
        <v>-2</v>
      </c>
      <c r="L35" s="718">
        <f>MIN(SUM(G35,K35),10)</f>
        <v>3.7543993733715713</v>
      </c>
      <c r="M35" s="465">
        <f>MAX(MAX(2,ROUND(L35/2,0)*2),4)</f>
        <v>4</v>
      </c>
      <c r="N35" s="831">
        <v>2021</v>
      </c>
      <c r="O35" s="465">
        <f>O$4-N35</f>
        <v>0</v>
      </c>
      <c r="P35" s="593">
        <f>IF(O35=2,-2,MAX(O35-M35,0))</f>
        <v>0</v>
      </c>
      <c r="Q35" s="510"/>
      <c r="R35" s="483" t="str">
        <f t="shared" si="5"/>
        <v xml:space="preserve"> </v>
      </c>
      <c r="S35" s="825">
        <f>IF(O35&lt;6,-1,0)</f>
        <v>-1</v>
      </c>
      <c r="T35" s="390" t="str">
        <f t="shared" si="2"/>
        <v xml:space="preserve"> </v>
      </c>
      <c r="U35" s="815"/>
      <c r="V35" s="488">
        <f t="shared" si="3"/>
        <v>-1</v>
      </c>
      <c r="W35" s="492" t="s">
        <v>304</v>
      </c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56"/>
      <c r="AM35" s="56"/>
      <c r="AN35" s="56"/>
      <c r="AO35" s="56"/>
      <c r="AW35" s="56"/>
      <c r="AX35" s="56"/>
    </row>
    <row r="36" spans="1:65" x14ac:dyDescent="0.35">
      <c r="A36" s="96" t="s">
        <v>141</v>
      </c>
      <c r="B36" s="490">
        <f t="shared" si="0"/>
        <v>50</v>
      </c>
      <c r="C36" s="406">
        <v>0.3</v>
      </c>
      <c r="D36" s="798">
        <v>16</v>
      </c>
      <c r="E36" s="786">
        <v>7</v>
      </c>
      <c r="F36" s="719">
        <v>10.1</v>
      </c>
      <c r="G36" s="393">
        <f>(F36*G$5)^G$6</f>
        <v>7.5168090918006136</v>
      </c>
      <c r="H36" s="394"/>
      <c r="I36" s="144">
        <v>-1</v>
      </c>
      <c r="J36" s="395">
        <v>-1</v>
      </c>
      <c r="K36" s="396">
        <f t="shared" si="1"/>
        <v>-2</v>
      </c>
      <c r="L36" s="715">
        <f>MIN(SUM(G36,K36),10)</f>
        <v>5.5168090918006136</v>
      </c>
      <c r="M36" s="465">
        <f>MAX(MAX(2,ROUND(L36/2,0)*2),4)</f>
        <v>6</v>
      </c>
      <c r="N36" s="831">
        <v>2019</v>
      </c>
      <c r="O36" s="465">
        <f>O$4-N36</f>
        <v>2</v>
      </c>
      <c r="P36" s="593">
        <v>-2</v>
      </c>
      <c r="Q36" s="510"/>
      <c r="R36" s="483" t="str">
        <f t="shared" si="5"/>
        <v xml:space="preserve"> </v>
      </c>
      <c r="S36" s="825"/>
      <c r="T36" s="390" t="str">
        <f t="shared" si="2"/>
        <v xml:space="preserve"> </v>
      </c>
      <c r="U36" s="815"/>
      <c r="V36" s="488">
        <f t="shared" si="3"/>
        <v>-2</v>
      </c>
      <c r="W36" s="1204" t="s">
        <v>304</v>
      </c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Y36" s="56"/>
      <c r="AZ36" s="56"/>
      <c r="BA36" s="56"/>
      <c r="BB36" s="56"/>
      <c r="BC36" s="56"/>
      <c r="BD36" s="56"/>
    </row>
    <row r="37" spans="1:65" x14ac:dyDescent="0.35">
      <c r="A37" s="95" t="s">
        <v>125</v>
      </c>
      <c r="B37" s="490">
        <f t="shared" si="0"/>
        <v>32</v>
      </c>
      <c r="C37" s="406">
        <v>0.6</v>
      </c>
      <c r="D37" s="797">
        <v>28</v>
      </c>
      <c r="E37" s="786">
        <v>17</v>
      </c>
      <c r="F37" s="719">
        <v>15.27</v>
      </c>
      <c r="G37" s="393">
        <f>(F37*G$5)^G$6</f>
        <v>8.7952913925753915</v>
      </c>
      <c r="H37" s="394">
        <f>IF(C37&gt;0.9,-1,IF(C37&lt;0.3,1,0))</f>
        <v>0</v>
      </c>
      <c r="I37" s="144">
        <v>0</v>
      </c>
      <c r="J37" s="395">
        <v>-1</v>
      </c>
      <c r="K37" s="396">
        <f t="shared" si="1"/>
        <v>-1</v>
      </c>
      <c r="L37" s="718">
        <f>MIN(SUM(G37,K37),10)</f>
        <v>7.7952913925753915</v>
      </c>
      <c r="M37" s="465">
        <f>MAX(MAX(2,ROUND(L37/2,0)*2),4)</f>
        <v>8</v>
      </c>
      <c r="N37" s="831">
        <v>2013</v>
      </c>
      <c r="O37" s="465">
        <f>O$4-N37</f>
        <v>8</v>
      </c>
      <c r="P37" s="593">
        <f>IF(O37=2,-2,MAX(O37-M37,0))</f>
        <v>0</v>
      </c>
      <c r="Q37" s="510"/>
      <c r="R37" s="483" t="str">
        <f t="shared" si="5"/>
        <v xml:space="preserve"> </v>
      </c>
      <c r="S37" s="825"/>
      <c r="T37" s="390">
        <f t="shared" si="2"/>
        <v>1</v>
      </c>
      <c r="U37" s="815"/>
      <c r="V37" s="488">
        <f t="shared" si="3"/>
        <v>1</v>
      </c>
      <c r="W37" s="489"/>
      <c r="X37" s="75"/>
      <c r="Y37" s="75"/>
      <c r="Z37" s="75"/>
      <c r="AA37" s="75"/>
      <c r="AB37" s="75"/>
      <c r="AC37" s="75"/>
      <c r="AD37" s="33"/>
      <c r="AE37" s="33"/>
      <c r="AF37" s="33"/>
      <c r="AG37" s="33"/>
      <c r="AH37" s="75"/>
      <c r="AI37" s="75"/>
      <c r="AJ37" s="75"/>
      <c r="AK37" s="75"/>
      <c r="AL37" s="56"/>
      <c r="AM37" s="56"/>
      <c r="AN37" s="56"/>
      <c r="AO37" s="56"/>
    </row>
    <row r="38" spans="1:65" x14ac:dyDescent="0.35">
      <c r="A38" s="214" t="s">
        <v>153</v>
      </c>
      <c r="B38" s="490">
        <f t="shared" si="0"/>
        <v>11</v>
      </c>
      <c r="C38" s="50"/>
      <c r="D38" s="796">
        <v>48</v>
      </c>
      <c r="E38" s="787">
        <v>34</v>
      </c>
      <c r="F38" s="720"/>
      <c r="G38" s="402"/>
      <c r="H38" s="403"/>
      <c r="I38" s="144">
        <v>1</v>
      </c>
      <c r="J38" s="395">
        <v>0</v>
      </c>
      <c r="K38" s="396">
        <f t="shared" si="1"/>
        <v>1</v>
      </c>
      <c r="L38" s="712"/>
      <c r="M38" s="894"/>
      <c r="N38" s="831"/>
      <c r="O38" s="466"/>
      <c r="P38" s="889">
        <f>P$2</f>
        <v>4</v>
      </c>
      <c r="Q38" s="925">
        <f>-K38</f>
        <v>-1</v>
      </c>
      <c r="R38" s="713" t="str">
        <f t="shared" si="5"/>
        <v xml:space="preserve"> </v>
      </c>
      <c r="S38" s="826"/>
      <c r="T38" s="390" t="str">
        <f t="shared" si="2"/>
        <v xml:space="preserve"> </v>
      </c>
      <c r="U38" s="815"/>
      <c r="V38" s="829">
        <f t="shared" si="3"/>
        <v>3</v>
      </c>
      <c r="W38" s="489"/>
      <c r="X38" s="75"/>
      <c r="Y38" s="75"/>
      <c r="Z38" s="75"/>
      <c r="AA38" s="75"/>
      <c r="AB38" s="75"/>
      <c r="AC38" s="75"/>
      <c r="AD38" s="33"/>
      <c r="AE38" s="33"/>
      <c r="AF38" s="33"/>
      <c r="AG38" s="33"/>
      <c r="AH38" s="75"/>
      <c r="AI38" s="75"/>
      <c r="AJ38" s="75"/>
      <c r="AK38" s="75"/>
      <c r="AL38" s="56"/>
      <c r="AM38" s="56"/>
      <c r="AN38" s="56"/>
      <c r="AO38" s="56"/>
      <c r="AW38" s="106"/>
      <c r="AX38" s="106"/>
    </row>
    <row r="39" spans="1:65" x14ac:dyDescent="0.35">
      <c r="A39" s="95" t="s">
        <v>133</v>
      </c>
      <c r="B39" s="490">
        <f t="shared" ref="B39:B63" si="6">RANK(V39,V$7:V$63,0)</f>
        <v>5</v>
      </c>
      <c r="C39" s="50"/>
      <c r="D39" s="798">
        <v>15</v>
      </c>
      <c r="E39" s="786">
        <v>14</v>
      </c>
      <c r="F39" s="720"/>
      <c r="G39" s="402"/>
      <c r="H39" s="394"/>
      <c r="I39" s="144">
        <v>-1</v>
      </c>
      <c r="J39" s="395">
        <v>-1</v>
      </c>
      <c r="K39" s="396">
        <f t="shared" ref="K39:K63" si="7">SUM(H39:J39)</f>
        <v>-2</v>
      </c>
      <c r="L39" s="712"/>
      <c r="M39" s="894"/>
      <c r="N39" s="831"/>
      <c r="O39" s="466"/>
      <c r="P39" s="889">
        <f>P$2</f>
        <v>4</v>
      </c>
      <c r="Q39" s="925">
        <f>-K39</f>
        <v>2</v>
      </c>
      <c r="R39" s="713" t="str">
        <f t="shared" si="5"/>
        <v xml:space="preserve"> </v>
      </c>
      <c r="S39" s="826"/>
      <c r="T39" s="390" t="str">
        <f t="shared" ref="T39:T63" si="8">IF(M39&gt;0,IF(M39&lt;=O39,1," ")," ")</f>
        <v xml:space="preserve"> </v>
      </c>
      <c r="U39" s="815">
        <v>-1</v>
      </c>
      <c r="V39" s="829">
        <f t="shared" ref="V39:V63" si="9">SUM(P39:U39)</f>
        <v>5</v>
      </c>
      <c r="W39" s="489"/>
      <c r="X39" s="75"/>
      <c r="Y39" s="75"/>
      <c r="Z39" s="75"/>
      <c r="AA39" s="75"/>
      <c r="AB39" s="75"/>
      <c r="AC39" s="75"/>
      <c r="AD39" s="33"/>
      <c r="AE39" s="33"/>
      <c r="AF39" s="33"/>
      <c r="AG39" s="33"/>
      <c r="AH39" s="75"/>
      <c r="AI39" s="75"/>
      <c r="AJ39" s="75"/>
      <c r="AK39" s="75"/>
      <c r="AL39" s="56"/>
      <c r="AM39" s="56"/>
      <c r="AN39" s="56"/>
      <c r="AO39" s="56"/>
    </row>
    <row r="40" spans="1:65" s="56" customFormat="1" x14ac:dyDescent="0.35">
      <c r="A40" s="95" t="s">
        <v>357</v>
      </c>
      <c r="B40" s="490">
        <f t="shared" si="6"/>
        <v>39</v>
      </c>
      <c r="C40" s="406">
        <v>0.7</v>
      </c>
      <c r="D40" s="797">
        <v>36</v>
      </c>
      <c r="E40" s="788">
        <v>26</v>
      </c>
      <c r="F40" s="719">
        <v>16.32</v>
      </c>
      <c r="G40" s="397">
        <f>(F40*G$5)^G$6</f>
        <v>9.020384645351939</v>
      </c>
      <c r="H40" s="143">
        <f>IF(C40&gt;0.9,-1,IF(C40&lt;0.3,1,0))</f>
        <v>0</v>
      </c>
      <c r="I40" s="144">
        <v>0</v>
      </c>
      <c r="J40" s="399">
        <v>0</v>
      </c>
      <c r="K40" s="400">
        <f t="shared" si="7"/>
        <v>0</v>
      </c>
      <c r="L40" s="724">
        <f>MIN(SUM(G40,K40),10)</f>
        <v>9.020384645351939</v>
      </c>
      <c r="M40" s="467">
        <f>MAX(MAX(2,ROUND(L40/2,0)*2),4)</f>
        <v>10</v>
      </c>
      <c r="N40" s="831">
        <v>2017</v>
      </c>
      <c r="O40" s="467">
        <f>O$4-N40</f>
        <v>4</v>
      </c>
      <c r="P40" s="806">
        <f>IF(O40=2,-2,MAX(O40-M40,0))</f>
        <v>0</v>
      </c>
      <c r="Q40" s="926"/>
      <c r="R40" s="484" t="str">
        <f t="shared" si="5"/>
        <v xml:space="preserve"> </v>
      </c>
      <c r="S40" s="827"/>
      <c r="T40" s="390" t="str">
        <f t="shared" si="8"/>
        <v xml:space="preserve"> </v>
      </c>
      <c r="U40" s="816">
        <v>-1</v>
      </c>
      <c r="V40" s="488">
        <f t="shared" si="9"/>
        <v>-1</v>
      </c>
      <c r="W40" s="489"/>
      <c r="X40" s="33"/>
      <c r="Y40" s="33"/>
      <c r="Z40" s="33"/>
      <c r="AA40" s="33"/>
      <c r="AB40" s="33"/>
      <c r="AC40" s="33"/>
      <c r="AD40" s="75"/>
      <c r="AE40" s="75"/>
      <c r="AF40" s="75"/>
      <c r="AG40" s="75"/>
      <c r="AH40" s="33"/>
      <c r="AI40" s="33"/>
      <c r="AJ40" s="33"/>
      <c r="AK40" s="33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1:65" s="56" customFormat="1" x14ac:dyDescent="0.35">
      <c r="A41" s="214" t="s">
        <v>154</v>
      </c>
      <c r="B41" s="490">
        <f t="shared" si="6"/>
        <v>7</v>
      </c>
      <c r="C41" s="50"/>
      <c r="D41" s="798">
        <v>20</v>
      </c>
      <c r="E41" s="787">
        <v>22</v>
      </c>
      <c r="F41" s="720"/>
      <c r="G41" s="402"/>
      <c r="H41" s="403"/>
      <c r="I41" s="144">
        <v>-1</v>
      </c>
      <c r="J41" s="395">
        <v>0</v>
      </c>
      <c r="K41" s="396">
        <f t="shared" si="7"/>
        <v>-1</v>
      </c>
      <c r="L41" s="721"/>
      <c r="M41" s="894"/>
      <c r="N41" s="831"/>
      <c r="O41" s="466"/>
      <c r="P41" s="889">
        <f>P$2</f>
        <v>4</v>
      </c>
      <c r="Q41" s="925">
        <f>-K41</f>
        <v>1</v>
      </c>
      <c r="R41" s="713" t="str">
        <f t="shared" si="5"/>
        <v xml:space="preserve"> </v>
      </c>
      <c r="S41" s="826"/>
      <c r="T41" s="390" t="str">
        <f t="shared" si="8"/>
        <v xml:space="preserve"> </v>
      </c>
      <c r="U41" s="815">
        <v>-1</v>
      </c>
      <c r="V41" s="829">
        <f t="shared" si="9"/>
        <v>4</v>
      </c>
      <c r="W41" s="489"/>
      <c r="X41" s="33"/>
      <c r="Y41" s="33"/>
      <c r="Z41" s="33"/>
      <c r="AA41" s="33"/>
      <c r="AB41" s="33"/>
      <c r="AC41" s="33"/>
      <c r="AD41" s="75"/>
      <c r="AE41" s="75"/>
      <c r="AF41" s="75"/>
      <c r="AG41" s="75"/>
      <c r="AH41" s="33"/>
      <c r="AI41" s="33"/>
      <c r="AJ41" s="33"/>
      <c r="AK41" s="33"/>
      <c r="AL41" s="1"/>
      <c r="AM41" s="1"/>
      <c r="AN41" s="1"/>
      <c r="AO41" s="1"/>
      <c r="BE41" s="1"/>
      <c r="BF41" s="1"/>
      <c r="BG41" s="1"/>
      <c r="BH41" s="1"/>
      <c r="BI41" s="1"/>
      <c r="BJ41" s="1"/>
      <c r="BK41" s="1"/>
      <c r="BL41" s="1"/>
      <c r="BM41" s="1"/>
    </row>
    <row r="42" spans="1:65" s="56" customFormat="1" x14ac:dyDescent="0.35">
      <c r="A42" s="214" t="s">
        <v>341</v>
      </c>
      <c r="B42" s="490">
        <f t="shared" si="6"/>
        <v>21</v>
      </c>
      <c r="C42" s="406">
        <v>0.2</v>
      </c>
      <c r="D42" s="797">
        <v>38</v>
      </c>
      <c r="E42" s="789">
        <v>1</v>
      </c>
      <c r="F42" s="719">
        <v>24.39</v>
      </c>
      <c r="G42" s="397">
        <f>(F42*G$5)^G$6</f>
        <v>10.508285955717879</v>
      </c>
      <c r="H42" s="143">
        <f>IF(C42&gt;0.9,-1,IF(C42&lt;0.3,1,0))</f>
        <v>1</v>
      </c>
      <c r="I42" s="144">
        <v>0</v>
      </c>
      <c r="J42" s="399">
        <v>-1</v>
      </c>
      <c r="K42" s="400">
        <f t="shared" si="7"/>
        <v>0</v>
      </c>
      <c r="L42" s="724">
        <f>MIN(SUM(G42,K42),10)</f>
        <v>10</v>
      </c>
      <c r="M42" s="467">
        <f>MAX(MAX(2,ROUND(L42/2,0)*2),4)</f>
        <v>10</v>
      </c>
      <c r="N42" s="831">
        <v>2021</v>
      </c>
      <c r="O42" s="467">
        <f>O$4-N42</f>
        <v>0</v>
      </c>
      <c r="P42" s="806">
        <f>IF(O42=2,-2,MAX(O42-M42,0))</f>
        <v>0</v>
      </c>
      <c r="Q42" s="926"/>
      <c r="R42" s="484" t="str">
        <f t="shared" si="5"/>
        <v xml:space="preserve"> </v>
      </c>
      <c r="S42" s="827"/>
      <c r="T42" s="390" t="str">
        <f t="shared" si="8"/>
        <v xml:space="preserve"> </v>
      </c>
      <c r="U42" s="816">
        <v>2</v>
      </c>
      <c r="V42" s="488">
        <f t="shared" si="9"/>
        <v>2</v>
      </c>
      <c r="W42" s="489"/>
      <c r="X42" s="33"/>
      <c r="Y42" s="33"/>
      <c r="Z42" s="33"/>
      <c r="AA42" s="33"/>
      <c r="AB42" s="33"/>
      <c r="AC42" s="33"/>
      <c r="AD42" s="75"/>
      <c r="AE42" s="75"/>
      <c r="AF42" s="75"/>
      <c r="AG42" s="75"/>
      <c r="AH42" s="33"/>
      <c r="AI42" s="33"/>
      <c r="AJ42" s="33"/>
      <c r="AK42" s="33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1:65" s="56" customFormat="1" x14ac:dyDescent="0.35">
      <c r="A43" s="95" t="s">
        <v>7</v>
      </c>
      <c r="B43" s="490">
        <f t="shared" si="6"/>
        <v>55</v>
      </c>
      <c r="C43" s="406">
        <v>0.4</v>
      </c>
      <c r="D43" s="798">
        <v>4</v>
      </c>
      <c r="E43" s="786">
        <v>12</v>
      </c>
      <c r="F43" s="719">
        <v>7</v>
      </c>
      <c r="G43" s="393">
        <f>(F43*G$5)^G$6</f>
        <v>6.5392607282869077</v>
      </c>
      <c r="H43" s="394">
        <f>IF(C43&gt;0.9,-1,IF(C43&lt;0.3,1,0))</f>
        <v>0</v>
      </c>
      <c r="I43" s="144">
        <v>-1</v>
      </c>
      <c r="J43" s="395">
        <v>-1</v>
      </c>
      <c r="K43" s="396">
        <f t="shared" si="7"/>
        <v>-2</v>
      </c>
      <c r="L43" s="718">
        <f>MIN(SUM(G43,K43),10)</f>
        <v>4.5392607282869077</v>
      </c>
      <c r="M43" s="465">
        <f>MAX(MAX(2,ROUND(L43/2,0)*2),4)</f>
        <v>4</v>
      </c>
      <c r="N43" s="831">
        <v>2019</v>
      </c>
      <c r="O43" s="465">
        <f>O$4-N43</f>
        <v>2</v>
      </c>
      <c r="P43" s="593">
        <f>IF(O43=2,-2,MAX(O43-M43,0))</f>
        <v>-2</v>
      </c>
      <c r="Q43" s="510"/>
      <c r="R43" s="483" t="str">
        <f t="shared" si="5"/>
        <v xml:space="preserve"> </v>
      </c>
      <c r="S43" s="825">
        <f>IF(O43&lt;6,-1,0)</f>
        <v>-1</v>
      </c>
      <c r="T43" s="390" t="str">
        <f t="shared" si="8"/>
        <v xml:space="preserve"> </v>
      </c>
      <c r="U43" s="815"/>
      <c r="V43" s="488">
        <f t="shared" si="9"/>
        <v>-3</v>
      </c>
      <c r="W43" s="492" t="s">
        <v>304</v>
      </c>
      <c r="X43" s="33"/>
      <c r="Y43" s="33"/>
      <c r="Z43" s="33"/>
      <c r="AA43" s="33"/>
      <c r="AB43" s="33"/>
      <c r="AC43" s="33"/>
      <c r="AD43" s="75"/>
      <c r="AE43" s="75"/>
      <c r="AF43" s="75"/>
      <c r="AG43" s="75"/>
      <c r="AH43" s="33"/>
      <c r="AI43" s="33"/>
      <c r="AJ43" s="33"/>
      <c r="AK43" s="33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Y43" s="1"/>
      <c r="AZ43" s="1"/>
      <c r="BA43" s="1"/>
      <c r="BB43" s="1"/>
      <c r="BC43" s="1"/>
      <c r="BD43" s="1"/>
    </row>
    <row r="44" spans="1:65" s="56" customFormat="1" x14ac:dyDescent="0.35">
      <c r="A44" s="214" t="s">
        <v>155</v>
      </c>
      <c r="B44" s="490">
        <f t="shared" si="6"/>
        <v>7</v>
      </c>
      <c r="C44" s="50"/>
      <c r="D44" s="797">
        <v>26</v>
      </c>
      <c r="E44" s="785">
        <v>54</v>
      </c>
      <c r="F44" s="720"/>
      <c r="G44" s="402"/>
      <c r="H44" s="403"/>
      <c r="I44" s="144">
        <v>0</v>
      </c>
      <c r="J44" s="395">
        <v>1</v>
      </c>
      <c r="K44" s="396">
        <f t="shared" si="7"/>
        <v>1</v>
      </c>
      <c r="L44" s="712"/>
      <c r="M44" s="894"/>
      <c r="N44" s="831">
        <v>2021</v>
      </c>
      <c r="O44" s="467">
        <f>O$4-N44</f>
        <v>0</v>
      </c>
      <c r="P44" s="889">
        <f>P$2</f>
        <v>4</v>
      </c>
      <c r="Q44" s="925">
        <f>-K44</f>
        <v>-1</v>
      </c>
      <c r="R44" s="713" t="str">
        <f t="shared" si="5"/>
        <v xml:space="preserve"> </v>
      </c>
      <c r="S44" s="826"/>
      <c r="T44" s="390" t="str">
        <f t="shared" si="8"/>
        <v xml:space="preserve"> </v>
      </c>
      <c r="U44" s="815">
        <v>1</v>
      </c>
      <c r="V44" s="829">
        <f t="shared" si="9"/>
        <v>4</v>
      </c>
      <c r="W44" s="489"/>
      <c r="X44" s="33"/>
      <c r="Y44" s="33"/>
      <c r="Z44" s="33"/>
      <c r="AA44" s="33"/>
      <c r="AB44" s="33"/>
      <c r="AC44" s="33"/>
      <c r="AD44" s="75"/>
      <c r="AE44" s="75"/>
      <c r="AF44" s="75"/>
      <c r="AG44" s="75"/>
      <c r="AH44" s="33"/>
      <c r="AI44" s="33"/>
      <c r="AJ44" s="33"/>
      <c r="AK44" s="33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Y44" s="1"/>
      <c r="AZ44" s="1"/>
      <c r="BA44" s="1"/>
      <c r="BB44" s="1"/>
      <c r="BC44" s="1"/>
      <c r="BD44" s="1"/>
    </row>
    <row r="45" spans="1:65" s="56" customFormat="1" x14ac:dyDescent="0.35">
      <c r="A45" s="214" t="s">
        <v>156</v>
      </c>
      <c r="B45" s="490">
        <f t="shared" si="6"/>
        <v>11</v>
      </c>
      <c r="C45" s="50"/>
      <c r="D45" s="796">
        <v>47</v>
      </c>
      <c r="E45" s="785">
        <v>52</v>
      </c>
      <c r="F45" s="720"/>
      <c r="G45" s="402"/>
      <c r="H45" s="403"/>
      <c r="I45" s="144">
        <v>1</v>
      </c>
      <c r="J45" s="395">
        <v>1</v>
      </c>
      <c r="K45" s="396">
        <f t="shared" si="7"/>
        <v>2</v>
      </c>
      <c r="L45" s="712"/>
      <c r="M45" s="894"/>
      <c r="N45" s="831"/>
      <c r="O45" s="466"/>
      <c r="P45" s="889">
        <f>P$2</f>
        <v>4</v>
      </c>
      <c r="Q45" s="925">
        <f>-K45</f>
        <v>-2</v>
      </c>
      <c r="R45" s="713" t="str">
        <f t="shared" si="5"/>
        <v xml:space="preserve"> </v>
      </c>
      <c r="S45" s="826"/>
      <c r="T45" s="390" t="str">
        <f t="shared" si="8"/>
        <v xml:space="preserve"> </v>
      </c>
      <c r="U45" s="815">
        <v>1</v>
      </c>
      <c r="V45" s="829">
        <f t="shared" si="9"/>
        <v>3</v>
      </c>
      <c r="W45" s="489"/>
      <c r="X45" s="33"/>
      <c r="Y45" s="33"/>
      <c r="Z45" s="33"/>
      <c r="AA45" s="33"/>
      <c r="AB45" s="32"/>
      <c r="AC45" s="32"/>
      <c r="AD45" s="75"/>
      <c r="AE45" s="75"/>
      <c r="AF45" s="75"/>
      <c r="AG45" s="75"/>
      <c r="AH45" s="33"/>
      <c r="AI45" s="33"/>
      <c r="AJ45" s="33"/>
      <c r="AK45" s="33"/>
      <c r="AL45" s="1"/>
      <c r="AM45" s="1"/>
      <c r="AN45" s="1"/>
      <c r="AO45" s="1"/>
      <c r="AW45" s="1"/>
      <c r="AX45" s="1"/>
    </row>
    <row r="46" spans="1:65" s="56" customFormat="1" x14ac:dyDescent="0.35">
      <c r="A46" s="214" t="s">
        <v>13</v>
      </c>
      <c r="B46" s="490">
        <f t="shared" si="6"/>
        <v>11</v>
      </c>
      <c r="C46" s="406">
        <v>0.8</v>
      </c>
      <c r="D46" s="797">
        <v>22</v>
      </c>
      <c r="E46" s="787">
        <v>23</v>
      </c>
      <c r="F46" s="719">
        <v>7.63</v>
      </c>
      <c r="G46" s="393">
        <f>(F46*G$5)^G$6</f>
        <v>6.7569502726705437</v>
      </c>
      <c r="H46" s="394">
        <f>IF(C46&gt;0.9,-1,IF(C46&lt;0.3,1,0))</f>
        <v>0</v>
      </c>
      <c r="I46" s="144">
        <v>0</v>
      </c>
      <c r="J46" s="140">
        <v>0</v>
      </c>
      <c r="K46" s="396">
        <f t="shared" si="7"/>
        <v>0</v>
      </c>
      <c r="L46" s="718">
        <f>MIN(SUM(G46,K46),10)</f>
        <v>6.7569502726705437</v>
      </c>
      <c r="M46" s="465">
        <f>MAX(MAX(2,ROUND(L46/2,0)*2),4)</f>
        <v>6</v>
      </c>
      <c r="N46" s="831">
        <v>2013</v>
      </c>
      <c r="O46" s="465">
        <f>O$4-N46</f>
        <v>8</v>
      </c>
      <c r="P46" s="593">
        <f>IF(O46=2,-2,MAX(O46-M46,0))</f>
        <v>2</v>
      </c>
      <c r="Q46" s="510"/>
      <c r="R46" s="483" t="str">
        <f t="shared" si="5"/>
        <v xml:space="preserve"> </v>
      </c>
      <c r="S46" s="825"/>
      <c r="T46" s="390">
        <f t="shared" si="8"/>
        <v>1</v>
      </c>
      <c r="U46" s="815"/>
      <c r="V46" s="488">
        <f t="shared" si="9"/>
        <v>3</v>
      </c>
      <c r="W46" s="489"/>
      <c r="X46" s="33"/>
      <c r="Y46" s="33"/>
      <c r="Z46" s="33"/>
      <c r="AA46" s="33"/>
      <c r="AB46" s="33"/>
      <c r="AC46" s="33"/>
      <c r="AD46" s="75"/>
      <c r="AE46" s="75"/>
      <c r="AF46" s="75"/>
      <c r="AG46" s="75"/>
      <c r="AH46" s="33"/>
      <c r="AI46" s="33"/>
      <c r="AJ46" s="33"/>
      <c r="AK46" s="33"/>
      <c r="AL46" s="1"/>
      <c r="AM46" s="1"/>
      <c r="AN46" s="1"/>
      <c r="AO46" s="1"/>
      <c r="AW46" s="1"/>
      <c r="AX46" s="1"/>
    </row>
    <row r="47" spans="1:65" s="56" customFormat="1" x14ac:dyDescent="0.35">
      <c r="A47" s="214" t="s">
        <v>25</v>
      </c>
      <c r="B47" s="490">
        <f t="shared" si="6"/>
        <v>21</v>
      </c>
      <c r="C47" s="50"/>
      <c r="D47" s="796">
        <v>44</v>
      </c>
      <c r="E47" s="785">
        <v>55</v>
      </c>
      <c r="F47" s="720"/>
      <c r="G47" s="402"/>
      <c r="H47" s="403"/>
      <c r="I47" s="144">
        <v>1</v>
      </c>
      <c r="J47" s="395">
        <v>1</v>
      </c>
      <c r="K47" s="396">
        <f t="shared" si="7"/>
        <v>2</v>
      </c>
      <c r="L47" s="712"/>
      <c r="M47" s="894"/>
      <c r="N47" s="831"/>
      <c r="O47" s="466"/>
      <c r="P47" s="889">
        <f>P$2</f>
        <v>4</v>
      </c>
      <c r="Q47" s="925">
        <f>-K47</f>
        <v>-2</v>
      </c>
      <c r="R47" s="713" t="str">
        <f t="shared" si="5"/>
        <v xml:space="preserve"> </v>
      </c>
      <c r="S47" s="826"/>
      <c r="T47" s="390" t="str">
        <f t="shared" si="8"/>
        <v xml:space="preserve"> </v>
      </c>
      <c r="U47" s="815"/>
      <c r="V47" s="829">
        <f t="shared" si="9"/>
        <v>2</v>
      </c>
      <c r="W47" s="489"/>
      <c r="X47" s="75"/>
      <c r="Y47" s="75"/>
      <c r="Z47" s="33"/>
      <c r="AA47" s="33"/>
      <c r="AB47" s="33"/>
      <c r="AC47" s="33"/>
      <c r="AD47" s="75"/>
      <c r="AE47" s="75"/>
      <c r="AF47" s="75"/>
      <c r="AG47" s="75"/>
      <c r="AH47" s="33"/>
      <c r="AI47" s="33"/>
      <c r="AJ47" s="33"/>
      <c r="AK47" s="33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1:65" s="56" customFormat="1" x14ac:dyDescent="0.35">
      <c r="A48" s="214" t="s">
        <v>472</v>
      </c>
      <c r="B48" s="490">
        <f t="shared" si="6"/>
        <v>21</v>
      </c>
      <c r="C48" s="406">
        <v>0.4</v>
      </c>
      <c r="D48" s="797">
        <v>27</v>
      </c>
      <c r="E48" s="785">
        <v>43</v>
      </c>
      <c r="F48" s="719">
        <v>32.51</v>
      </c>
      <c r="G48" s="393">
        <f>(F48*G$5)^G$6</f>
        <v>11.720815961227053</v>
      </c>
      <c r="H48" s="394">
        <f>IF(C48&gt;0.9,-1,IF(C48&lt;0.3,1,0))</f>
        <v>0</v>
      </c>
      <c r="I48" s="144">
        <v>0</v>
      </c>
      <c r="J48" s="395">
        <v>1</v>
      </c>
      <c r="K48" s="396">
        <f t="shared" si="7"/>
        <v>1</v>
      </c>
      <c r="L48" s="718">
        <f>MIN(SUM(G48,K48),10)</f>
        <v>10</v>
      </c>
      <c r="M48" s="465">
        <f>MAX(MAX(2,ROUND(L48/2,0)*2),4)</f>
        <v>10</v>
      </c>
      <c r="N48" s="831">
        <v>2013</v>
      </c>
      <c r="O48" s="465">
        <f>O$4-N48</f>
        <v>8</v>
      </c>
      <c r="P48" s="593">
        <f>IF(O48=2,-2,MAX(O48-M48,0))</f>
        <v>0</v>
      </c>
      <c r="Q48" s="510"/>
      <c r="R48" s="483" t="str">
        <f t="shared" si="5"/>
        <v xml:space="preserve"> </v>
      </c>
      <c r="S48" s="825"/>
      <c r="T48" s="390" t="str">
        <f t="shared" si="8"/>
        <v xml:space="preserve"> </v>
      </c>
      <c r="U48" s="815">
        <v>2</v>
      </c>
      <c r="V48" s="488">
        <f t="shared" si="9"/>
        <v>2</v>
      </c>
      <c r="W48" s="489"/>
      <c r="X48" s="33"/>
      <c r="Y48" s="33"/>
      <c r="Z48" s="33"/>
      <c r="AA48" s="33"/>
      <c r="AB48" s="32"/>
      <c r="AC48" s="32"/>
      <c r="AD48" s="75"/>
      <c r="AE48" s="75"/>
      <c r="AF48" s="75"/>
      <c r="AG48" s="75"/>
      <c r="AH48" s="33"/>
      <c r="AI48" s="33"/>
      <c r="AJ48" s="33"/>
      <c r="AK48" s="33"/>
      <c r="AL48" s="1"/>
      <c r="AM48" s="1"/>
      <c r="AN48" s="1"/>
      <c r="AO48" s="1"/>
      <c r="AW48" s="1"/>
      <c r="AX48" s="1"/>
    </row>
    <row r="49" spans="1:65" s="56" customFormat="1" x14ac:dyDescent="0.35">
      <c r="A49" s="96" t="s">
        <v>130</v>
      </c>
      <c r="B49" s="490">
        <f t="shared" si="6"/>
        <v>50</v>
      </c>
      <c r="C49" s="406">
        <v>1.4</v>
      </c>
      <c r="D49" s="798">
        <v>1</v>
      </c>
      <c r="E49" s="786">
        <v>2</v>
      </c>
      <c r="F49" s="725">
        <v>9.9</v>
      </c>
      <c r="G49" s="393">
        <f>(F49*G$5)^G$6</f>
        <v>7.4598959892890644</v>
      </c>
      <c r="H49" s="394">
        <f>IF(C49&gt;0.9,-1,IF(C49&lt;0.3,1,0))</f>
        <v>-1</v>
      </c>
      <c r="I49" s="144">
        <v>-1</v>
      </c>
      <c r="J49" s="395">
        <v>-1</v>
      </c>
      <c r="K49" s="396">
        <f t="shared" si="7"/>
        <v>-3</v>
      </c>
      <c r="L49" s="718">
        <f>MIN(SUM(G49,K49),10)</f>
        <v>4.4598959892890644</v>
      </c>
      <c r="M49" s="465">
        <f>MAX(MAX(2,ROUND(L49/2,0)*2),4)</f>
        <v>4</v>
      </c>
      <c r="N49" s="831">
        <v>2021</v>
      </c>
      <c r="O49" s="465">
        <f>O$4-N49</f>
        <v>0</v>
      </c>
      <c r="P49" s="593">
        <v>-2</v>
      </c>
      <c r="Q49" s="510"/>
      <c r="R49" s="483" t="str">
        <f t="shared" si="5"/>
        <v xml:space="preserve"> </v>
      </c>
      <c r="S49" s="825"/>
      <c r="T49" s="390" t="str">
        <f t="shared" si="8"/>
        <v xml:space="preserve"> </v>
      </c>
      <c r="U49" s="815"/>
      <c r="V49" s="488">
        <f t="shared" si="9"/>
        <v>-2</v>
      </c>
      <c r="W49" s="489"/>
      <c r="X49" s="195"/>
      <c r="Y49" s="33"/>
      <c r="Z49" s="33"/>
      <c r="AA49" s="33"/>
      <c r="AB49" s="33"/>
      <c r="AC49" s="33"/>
      <c r="AD49" s="75"/>
      <c r="AE49" s="75"/>
      <c r="AF49" s="75"/>
      <c r="AG49" s="75"/>
      <c r="AH49" s="33"/>
      <c r="AI49" s="33"/>
      <c r="AJ49" s="33"/>
      <c r="AK49" s="33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Y49" s="1"/>
      <c r="AZ49" s="1"/>
      <c r="BA49" s="1"/>
      <c r="BB49" s="1"/>
      <c r="BC49" s="1"/>
      <c r="BD49" s="1"/>
    </row>
    <row r="50" spans="1:65" x14ac:dyDescent="0.35">
      <c r="A50" s="214" t="s">
        <v>19</v>
      </c>
      <c r="B50" s="490">
        <f t="shared" si="6"/>
        <v>21</v>
      </c>
      <c r="C50" s="50"/>
      <c r="D50" s="797">
        <v>34</v>
      </c>
      <c r="E50" s="785">
        <v>40</v>
      </c>
      <c r="F50" s="720"/>
      <c r="G50" s="402"/>
      <c r="H50" s="403"/>
      <c r="I50" s="144">
        <v>0</v>
      </c>
      <c r="J50" s="395">
        <v>1</v>
      </c>
      <c r="K50" s="396">
        <f t="shared" si="7"/>
        <v>1</v>
      </c>
      <c r="L50" s="712"/>
      <c r="M50" s="894"/>
      <c r="N50" s="831"/>
      <c r="O50" s="466"/>
      <c r="P50" s="889">
        <f>P$2</f>
        <v>4</v>
      </c>
      <c r="Q50" s="925">
        <f>-K50</f>
        <v>-1</v>
      </c>
      <c r="R50" s="713" t="str">
        <f t="shared" si="5"/>
        <v xml:space="preserve"> </v>
      </c>
      <c r="S50" s="826"/>
      <c r="T50" s="390" t="str">
        <f t="shared" si="8"/>
        <v xml:space="preserve"> </v>
      </c>
      <c r="U50" s="815">
        <v>-1</v>
      </c>
      <c r="V50" s="829">
        <f t="shared" si="9"/>
        <v>2</v>
      </c>
      <c r="W50" s="489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</row>
    <row r="51" spans="1:65" s="56" customFormat="1" x14ac:dyDescent="0.35">
      <c r="A51" s="214" t="s">
        <v>211</v>
      </c>
      <c r="B51" s="490">
        <f t="shared" si="6"/>
        <v>39</v>
      </c>
      <c r="C51" s="406">
        <v>0.8</v>
      </c>
      <c r="D51" s="799">
        <v>55</v>
      </c>
      <c r="E51" s="788">
        <v>38</v>
      </c>
      <c r="F51" s="719">
        <v>13.32</v>
      </c>
      <c r="G51" s="397">
        <f>(F51*G$5)^G$6</f>
        <v>8.3503177889310205</v>
      </c>
      <c r="H51" s="143">
        <f>IF(C51&gt;0.9,-1,IF(C51&lt;0.3,1,0))</f>
        <v>0</v>
      </c>
      <c r="I51" s="398">
        <v>1</v>
      </c>
      <c r="J51" s="399">
        <v>0</v>
      </c>
      <c r="K51" s="400">
        <f t="shared" si="7"/>
        <v>1</v>
      </c>
      <c r="L51" s="724">
        <f>MIN(SUM(G51,K51),10)</f>
        <v>9.3503177889310205</v>
      </c>
      <c r="M51" s="467">
        <f>MAX(MAX(2,ROUND(L51/2,0)*2),4)</f>
        <v>10</v>
      </c>
      <c r="N51" s="831">
        <v>2013</v>
      </c>
      <c r="O51" s="467">
        <f>O$4-N51</f>
        <v>8</v>
      </c>
      <c r="P51" s="806">
        <f>IF(O51=2,-2,MAX(O51-M51,0))</f>
        <v>0</v>
      </c>
      <c r="Q51" s="926"/>
      <c r="R51" s="484" t="str">
        <f t="shared" si="5"/>
        <v xml:space="preserve"> </v>
      </c>
      <c r="S51" s="827"/>
      <c r="T51" s="390" t="str">
        <f t="shared" si="8"/>
        <v xml:space="preserve"> </v>
      </c>
      <c r="U51" s="816">
        <v>-1</v>
      </c>
      <c r="V51" s="488">
        <f t="shared" si="9"/>
        <v>-1</v>
      </c>
      <c r="W51" s="489"/>
      <c r="X51" s="33"/>
      <c r="Y51" s="33"/>
      <c r="Z51" s="33"/>
      <c r="AA51" s="33"/>
      <c r="AB51" s="33"/>
      <c r="AC51" s="33"/>
      <c r="AD51" s="75"/>
      <c r="AE51" s="75"/>
      <c r="AF51" s="75"/>
      <c r="AG51" s="75"/>
      <c r="AH51" s="33"/>
      <c r="AI51" s="33"/>
      <c r="AJ51" s="33"/>
      <c r="AK51" s="33"/>
      <c r="AL51" s="1"/>
      <c r="AM51" s="1"/>
      <c r="AN51" s="1"/>
      <c r="AO51" s="1"/>
      <c r="AW51" s="1"/>
      <c r="AX51" s="1"/>
    </row>
    <row r="52" spans="1:65" s="56" customFormat="1" x14ac:dyDescent="0.35">
      <c r="A52" s="214" t="s">
        <v>157</v>
      </c>
      <c r="B52" s="490">
        <f t="shared" si="6"/>
        <v>11</v>
      </c>
      <c r="C52" s="50"/>
      <c r="D52" s="796">
        <v>52</v>
      </c>
      <c r="E52" s="785">
        <v>56</v>
      </c>
      <c r="F52" s="720"/>
      <c r="G52" s="402"/>
      <c r="H52" s="403"/>
      <c r="I52" s="144">
        <v>1</v>
      </c>
      <c r="J52" s="395">
        <v>1</v>
      </c>
      <c r="K52" s="396">
        <f t="shared" si="7"/>
        <v>2</v>
      </c>
      <c r="L52" s="712"/>
      <c r="M52" s="894"/>
      <c r="N52" s="831"/>
      <c r="O52" s="466"/>
      <c r="P52" s="889">
        <f>P$2</f>
        <v>4</v>
      </c>
      <c r="Q52" s="925">
        <f>-K52</f>
        <v>-2</v>
      </c>
      <c r="R52" s="713" t="str">
        <f t="shared" si="5"/>
        <v xml:space="preserve"> </v>
      </c>
      <c r="S52" s="826"/>
      <c r="T52" s="390" t="str">
        <f t="shared" si="8"/>
        <v xml:space="preserve"> </v>
      </c>
      <c r="U52" s="815">
        <v>1</v>
      </c>
      <c r="V52" s="829">
        <f t="shared" si="9"/>
        <v>3</v>
      </c>
      <c r="W52" s="489"/>
      <c r="X52" s="33"/>
      <c r="Y52" s="33"/>
      <c r="Z52" s="33"/>
      <c r="AA52" s="33"/>
      <c r="AB52" s="33"/>
      <c r="AC52" s="33"/>
      <c r="AD52" s="75"/>
      <c r="AE52" s="75"/>
      <c r="AF52" s="75"/>
      <c r="AG52" s="75"/>
      <c r="AH52" s="33"/>
      <c r="AI52" s="33"/>
      <c r="AJ52" s="33"/>
      <c r="AK52" s="33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</row>
    <row r="53" spans="1:65" x14ac:dyDescent="0.35">
      <c r="A53" s="95" t="s">
        <v>126</v>
      </c>
      <c r="B53" s="490">
        <f t="shared" si="6"/>
        <v>32</v>
      </c>
      <c r="C53" s="406">
        <v>0.5</v>
      </c>
      <c r="D53" s="798">
        <v>18</v>
      </c>
      <c r="E53" s="786">
        <v>5</v>
      </c>
      <c r="F53" s="719">
        <v>25.4</v>
      </c>
      <c r="G53" s="393">
        <f>(F53*G$5)^G$6</f>
        <v>10.671567375563921</v>
      </c>
      <c r="H53" s="394">
        <f>IF(C53&gt;0.9,-1,IF(C53&lt;0.3,1,0))</f>
        <v>0</v>
      </c>
      <c r="I53" s="144">
        <v>-1</v>
      </c>
      <c r="J53" s="395">
        <v>-1</v>
      </c>
      <c r="K53" s="396">
        <f t="shared" si="7"/>
        <v>-2</v>
      </c>
      <c r="L53" s="718">
        <f>MIN(SUM(G53,K53),10)</f>
        <v>8.6715673755639209</v>
      </c>
      <c r="M53" s="465">
        <f>MAX(MAX(2,ROUND(L53/2,0)*2),4)</f>
        <v>8</v>
      </c>
      <c r="N53" s="831">
        <v>2013</v>
      </c>
      <c r="O53" s="465">
        <f>O$4-N53</f>
        <v>8</v>
      </c>
      <c r="P53" s="593">
        <f>IF(O53=2,-2,MAX(O53-M53,0))</f>
        <v>0</v>
      </c>
      <c r="Q53" s="510"/>
      <c r="R53" s="483" t="str">
        <f t="shared" si="5"/>
        <v xml:space="preserve"> </v>
      </c>
      <c r="S53" s="825"/>
      <c r="T53" s="390">
        <f t="shared" si="8"/>
        <v>1</v>
      </c>
      <c r="U53" s="815"/>
      <c r="V53" s="488">
        <f t="shared" si="9"/>
        <v>1</v>
      </c>
      <c r="W53" s="489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56"/>
      <c r="AM53" s="56"/>
      <c r="AN53" s="56"/>
      <c r="AO53" s="56"/>
    </row>
    <row r="54" spans="1:65" x14ac:dyDescent="0.35">
      <c r="A54" s="214" t="s">
        <v>158</v>
      </c>
      <c r="B54" s="490">
        <f t="shared" si="6"/>
        <v>11</v>
      </c>
      <c r="C54" s="50"/>
      <c r="D54" s="796">
        <v>41</v>
      </c>
      <c r="E54" s="787">
        <v>37</v>
      </c>
      <c r="F54" s="720"/>
      <c r="G54" s="402"/>
      <c r="H54" s="403"/>
      <c r="I54" s="144">
        <v>1</v>
      </c>
      <c r="J54" s="395">
        <v>0</v>
      </c>
      <c r="K54" s="396">
        <f t="shared" si="7"/>
        <v>1</v>
      </c>
      <c r="L54" s="712"/>
      <c r="M54" s="894"/>
      <c r="N54" s="831"/>
      <c r="O54" s="466"/>
      <c r="P54" s="889">
        <f>P$2</f>
        <v>4</v>
      </c>
      <c r="Q54" s="925">
        <f>-K54</f>
        <v>-1</v>
      </c>
      <c r="R54" s="713" t="str">
        <f t="shared" si="5"/>
        <v xml:space="preserve"> </v>
      </c>
      <c r="S54" s="826"/>
      <c r="T54" s="390" t="str">
        <f t="shared" si="8"/>
        <v xml:space="preserve"> </v>
      </c>
      <c r="U54" s="815"/>
      <c r="V54" s="829">
        <f t="shared" si="9"/>
        <v>3</v>
      </c>
      <c r="W54" s="489"/>
      <c r="X54" s="75"/>
      <c r="Y54" s="75"/>
      <c r="Z54" s="75"/>
      <c r="AA54" s="75"/>
      <c r="AB54" s="75"/>
      <c r="AC54" s="75"/>
      <c r="AD54" s="33"/>
      <c r="AE54" s="33"/>
      <c r="AF54" s="33"/>
      <c r="AG54" s="33"/>
      <c r="AH54" s="75"/>
      <c r="AI54" s="75"/>
      <c r="AJ54" s="75"/>
      <c r="AK54" s="75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Y54" s="56"/>
      <c r="AZ54" s="56"/>
      <c r="BA54" s="56"/>
      <c r="BB54" s="56"/>
      <c r="BC54" s="56"/>
      <c r="BD54" s="56"/>
    </row>
    <row r="55" spans="1:65" s="56" customFormat="1" x14ac:dyDescent="0.35">
      <c r="A55" s="214" t="s">
        <v>213</v>
      </c>
      <c r="B55" s="490">
        <f t="shared" si="6"/>
        <v>2</v>
      </c>
      <c r="C55" s="406">
        <v>1</v>
      </c>
      <c r="D55" s="796">
        <v>50</v>
      </c>
      <c r="E55" s="786">
        <v>19</v>
      </c>
      <c r="F55" s="719">
        <v>15.91</v>
      </c>
      <c r="G55" s="393">
        <f>(F55*G$5)^G$6</f>
        <v>8.9335910207891551</v>
      </c>
      <c r="H55" s="394">
        <f>IF(C55&gt;0.9,-1,IF(C55&lt;0.3,1,0))</f>
        <v>-1</v>
      </c>
      <c r="I55" s="144">
        <v>1</v>
      </c>
      <c r="J55" s="395">
        <v>-1</v>
      </c>
      <c r="K55" s="396">
        <f t="shared" si="7"/>
        <v>-1</v>
      </c>
      <c r="L55" s="715">
        <f>MIN(SUM(G55,K55),10)</f>
        <v>7.9335910207891551</v>
      </c>
      <c r="M55" s="465">
        <f>MAX(MAX(2,ROUND(L55/2,0)*2),4)</f>
        <v>8</v>
      </c>
      <c r="N55" s="831">
        <v>2009</v>
      </c>
      <c r="O55" s="465">
        <f>O$4-N55</f>
        <v>12</v>
      </c>
      <c r="P55" s="593">
        <f>IF(O55=2,-2,MAX(O55-M55,0))</f>
        <v>4</v>
      </c>
      <c r="Q55" s="510"/>
      <c r="R55" s="483">
        <f t="shared" si="5"/>
        <v>1</v>
      </c>
      <c r="S55" s="825"/>
      <c r="T55" s="390">
        <f t="shared" si="8"/>
        <v>1</v>
      </c>
      <c r="U55" s="815"/>
      <c r="V55" s="488">
        <f t="shared" si="9"/>
        <v>6</v>
      </c>
      <c r="W55" s="489"/>
      <c r="X55" s="75"/>
      <c r="Y55" s="75"/>
      <c r="Z55" s="75"/>
      <c r="AA55" s="75"/>
      <c r="AB55" s="75"/>
      <c r="AC55" s="75"/>
      <c r="AD55" s="33"/>
      <c r="AE55" s="33"/>
      <c r="AF55" s="33"/>
      <c r="AG55" s="33"/>
      <c r="AH55" s="75"/>
      <c r="AI55" s="75"/>
      <c r="AJ55" s="75"/>
      <c r="AK55" s="75"/>
      <c r="AW55" s="1"/>
      <c r="AX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1:65" s="56" customFormat="1" x14ac:dyDescent="0.35">
      <c r="A56" s="214" t="s">
        <v>159</v>
      </c>
      <c r="B56" s="490">
        <f t="shared" si="6"/>
        <v>11</v>
      </c>
      <c r="C56" s="50"/>
      <c r="D56" s="796">
        <v>54</v>
      </c>
      <c r="E56" s="785">
        <v>47</v>
      </c>
      <c r="F56" s="720"/>
      <c r="G56" s="402"/>
      <c r="H56" s="403"/>
      <c r="I56" s="144">
        <v>1</v>
      </c>
      <c r="J56" s="395">
        <v>1</v>
      </c>
      <c r="K56" s="396">
        <f t="shared" si="7"/>
        <v>2</v>
      </c>
      <c r="L56" s="712"/>
      <c r="M56" s="894"/>
      <c r="N56" s="831">
        <v>2021</v>
      </c>
      <c r="O56" s="465">
        <f>O$4-N56</f>
        <v>0</v>
      </c>
      <c r="P56" s="889">
        <f>P$2</f>
        <v>4</v>
      </c>
      <c r="Q56" s="925">
        <f>-K56</f>
        <v>-2</v>
      </c>
      <c r="R56" s="713" t="str">
        <f t="shared" si="5"/>
        <v xml:space="preserve"> </v>
      </c>
      <c r="S56" s="826"/>
      <c r="T56" s="390" t="str">
        <f t="shared" si="8"/>
        <v xml:space="preserve"> </v>
      </c>
      <c r="U56" s="815">
        <v>1</v>
      </c>
      <c r="V56" s="829">
        <f t="shared" si="9"/>
        <v>3</v>
      </c>
      <c r="W56" s="489"/>
      <c r="X56" s="75"/>
      <c r="Y56" s="75"/>
      <c r="Z56" s="75"/>
      <c r="AA56" s="75"/>
      <c r="AB56" s="75"/>
      <c r="AC56" s="75"/>
      <c r="AD56" s="33"/>
      <c r="AE56" s="33"/>
      <c r="AF56" s="33"/>
      <c r="AG56" s="33"/>
      <c r="AH56" s="75"/>
      <c r="AI56" s="75"/>
      <c r="AJ56" s="75"/>
      <c r="AK56" s="75"/>
      <c r="AP56" s="1"/>
      <c r="AQ56" s="1"/>
      <c r="AR56" s="1"/>
      <c r="AS56" s="1"/>
      <c r="AT56" s="1"/>
      <c r="AU56" s="1"/>
      <c r="AV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spans="1:65" s="56" customFormat="1" x14ac:dyDescent="0.35">
      <c r="A57" s="95" t="s">
        <v>23</v>
      </c>
      <c r="B57" s="490">
        <f t="shared" si="6"/>
        <v>21</v>
      </c>
      <c r="C57" s="406"/>
      <c r="D57" s="796">
        <v>40</v>
      </c>
      <c r="E57" s="787">
        <v>29</v>
      </c>
      <c r="F57" s="719"/>
      <c r="G57" s="393"/>
      <c r="H57" s="394"/>
      <c r="I57" s="144">
        <v>1</v>
      </c>
      <c r="J57" s="395">
        <v>0</v>
      </c>
      <c r="K57" s="396">
        <f t="shared" si="7"/>
        <v>1</v>
      </c>
      <c r="L57" s="715"/>
      <c r="M57" s="465"/>
      <c r="N57" s="831"/>
      <c r="O57" s="465"/>
      <c r="P57" s="889">
        <f>P$2</f>
        <v>4</v>
      </c>
      <c r="Q57" s="925">
        <f>-K57</f>
        <v>-1</v>
      </c>
      <c r="R57" s="483" t="str">
        <f t="shared" si="5"/>
        <v xml:space="preserve"> </v>
      </c>
      <c r="S57" s="825"/>
      <c r="T57" s="390" t="str">
        <f t="shared" si="8"/>
        <v xml:space="preserve"> </v>
      </c>
      <c r="U57" s="815">
        <v>-1</v>
      </c>
      <c r="V57" s="829">
        <f t="shared" si="9"/>
        <v>2</v>
      </c>
      <c r="W57" s="489"/>
      <c r="X57" s="75"/>
      <c r="Y57" s="75"/>
      <c r="Z57" s="75"/>
      <c r="AA57" s="75"/>
      <c r="AB57" s="75"/>
      <c r="AC57" s="75"/>
      <c r="AD57" s="33"/>
      <c r="AE57" s="33"/>
      <c r="AF57" s="33"/>
      <c r="AG57" s="33"/>
      <c r="AH57" s="75"/>
      <c r="AI57" s="75"/>
      <c r="AJ57" s="75"/>
      <c r="AK57" s="75"/>
      <c r="AP57" s="1"/>
      <c r="AQ57" s="1"/>
      <c r="AR57" s="1"/>
      <c r="AS57" s="1"/>
      <c r="AT57" s="1"/>
      <c r="AU57" s="1"/>
      <c r="AV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1:65" s="56" customFormat="1" x14ac:dyDescent="0.35">
      <c r="A58" s="214" t="s">
        <v>160</v>
      </c>
      <c r="B58" s="490">
        <f t="shared" si="6"/>
        <v>7</v>
      </c>
      <c r="C58" s="50"/>
      <c r="D58" s="796">
        <v>46</v>
      </c>
      <c r="E58" s="787">
        <v>30</v>
      </c>
      <c r="F58" s="720"/>
      <c r="G58" s="402"/>
      <c r="H58" s="403"/>
      <c r="I58" s="144">
        <v>1</v>
      </c>
      <c r="J58" s="395">
        <v>0</v>
      </c>
      <c r="K58" s="396">
        <f t="shared" si="7"/>
        <v>1</v>
      </c>
      <c r="L58" s="712"/>
      <c r="M58" s="894"/>
      <c r="N58" s="831"/>
      <c r="O58" s="466"/>
      <c r="P58" s="889">
        <f>P$2</f>
        <v>4</v>
      </c>
      <c r="Q58" s="925">
        <f>-K58</f>
        <v>-1</v>
      </c>
      <c r="R58" s="713" t="str">
        <f t="shared" si="5"/>
        <v xml:space="preserve"> </v>
      </c>
      <c r="S58" s="826"/>
      <c r="T58" s="390" t="str">
        <f t="shared" si="8"/>
        <v xml:space="preserve"> </v>
      </c>
      <c r="U58" s="815">
        <v>1</v>
      </c>
      <c r="V58" s="829">
        <f t="shared" si="9"/>
        <v>4</v>
      </c>
      <c r="W58" s="489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75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spans="1:65" x14ac:dyDescent="0.35">
      <c r="A59" s="214" t="s">
        <v>338</v>
      </c>
      <c r="B59" s="490">
        <f t="shared" si="6"/>
        <v>7</v>
      </c>
      <c r="C59" s="50"/>
      <c r="D59" s="797">
        <v>31</v>
      </c>
      <c r="E59" s="785">
        <v>53</v>
      </c>
      <c r="F59" s="720"/>
      <c r="G59" s="402"/>
      <c r="H59" s="403"/>
      <c r="I59" s="144">
        <v>0</v>
      </c>
      <c r="J59" s="395">
        <v>1</v>
      </c>
      <c r="K59" s="396">
        <f t="shared" si="7"/>
        <v>1</v>
      </c>
      <c r="L59" s="712"/>
      <c r="M59" s="894"/>
      <c r="N59" s="831"/>
      <c r="O59" s="466"/>
      <c r="P59" s="889">
        <f>P$2</f>
        <v>4</v>
      </c>
      <c r="Q59" s="925">
        <f>-K59</f>
        <v>-1</v>
      </c>
      <c r="R59" s="713" t="str">
        <f t="shared" si="5"/>
        <v xml:space="preserve"> </v>
      </c>
      <c r="S59" s="826"/>
      <c r="T59" s="390" t="str">
        <f t="shared" si="8"/>
        <v xml:space="preserve"> </v>
      </c>
      <c r="U59" s="815">
        <v>1</v>
      </c>
      <c r="V59" s="829">
        <f t="shared" si="9"/>
        <v>4</v>
      </c>
      <c r="W59" s="489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56"/>
      <c r="AM59" s="56"/>
      <c r="AN59" s="56"/>
      <c r="AO59" s="56"/>
    </row>
    <row r="60" spans="1:65" s="56" customFormat="1" x14ac:dyDescent="0.35">
      <c r="A60" s="214" t="s">
        <v>384</v>
      </c>
      <c r="B60" s="490">
        <f t="shared" si="6"/>
        <v>2</v>
      </c>
      <c r="C60" s="50"/>
      <c r="D60" s="798">
        <v>9</v>
      </c>
      <c r="E60" s="785">
        <v>49</v>
      </c>
      <c r="F60" s="720"/>
      <c r="G60" s="402"/>
      <c r="H60" s="394"/>
      <c r="I60" s="144">
        <v>-1</v>
      </c>
      <c r="J60" s="395">
        <v>1</v>
      </c>
      <c r="K60" s="396">
        <f t="shared" si="7"/>
        <v>0</v>
      </c>
      <c r="L60" s="712"/>
      <c r="M60" s="894"/>
      <c r="N60" s="831">
        <v>2021</v>
      </c>
      <c r="O60" s="466"/>
      <c r="P60" s="889">
        <f>P$2</f>
        <v>4</v>
      </c>
      <c r="Q60" s="925">
        <f>-K60</f>
        <v>0</v>
      </c>
      <c r="R60" s="713" t="str">
        <f t="shared" si="5"/>
        <v xml:space="preserve"> </v>
      </c>
      <c r="S60" s="826"/>
      <c r="T60" s="390" t="str">
        <f t="shared" si="8"/>
        <v xml:space="preserve"> </v>
      </c>
      <c r="U60" s="815">
        <v>2</v>
      </c>
      <c r="V60" s="829">
        <f t="shared" si="9"/>
        <v>6</v>
      </c>
      <c r="W60" s="489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5"/>
      <c r="AW60" s="1"/>
      <c r="AX60" s="1"/>
      <c r="BE60" s="1"/>
      <c r="BF60" s="1"/>
      <c r="BG60" s="1"/>
      <c r="BH60" s="1"/>
      <c r="BI60" s="1"/>
      <c r="BJ60" s="1"/>
      <c r="BK60" s="1"/>
      <c r="BL60" s="1"/>
      <c r="BM60" s="1"/>
    </row>
    <row r="61" spans="1:65" s="56" customFormat="1" x14ac:dyDescent="0.35">
      <c r="A61" s="95" t="s">
        <v>142</v>
      </c>
      <c r="B61" s="490">
        <f t="shared" si="6"/>
        <v>55</v>
      </c>
      <c r="C61" s="1306">
        <v>0.6</v>
      </c>
      <c r="D61" s="798">
        <v>6</v>
      </c>
      <c r="E61" s="786">
        <v>13</v>
      </c>
      <c r="F61" s="719">
        <v>9.6999999999999993</v>
      </c>
      <c r="G61" s="393">
        <f>(F61*G$5)^G$6</f>
        <v>7.4022654884467434</v>
      </c>
      <c r="H61" s="394">
        <f>IF(C61&gt;0.9,-1,IF(C61&lt;0.3,1,0))</f>
        <v>0</v>
      </c>
      <c r="I61" s="144">
        <v>-1</v>
      </c>
      <c r="J61" s="395">
        <v>-1</v>
      </c>
      <c r="K61" s="396">
        <f t="shared" si="7"/>
        <v>-2</v>
      </c>
      <c r="L61" s="718">
        <f>MIN(SUM(G61,K61),10)</f>
        <v>5.4022654884467434</v>
      </c>
      <c r="M61" s="465">
        <f>MAX(MAX(2,ROUND(L61/2,0)*2),4)</f>
        <v>6</v>
      </c>
      <c r="N61" s="831">
        <v>2019</v>
      </c>
      <c r="O61" s="465">
        <f>O$4-N61</f>
        <v>2</v>
      </c>
      <c r="P61" s="140">
        <f>IF(O61=2,-2,MAX(O61-M61,0))</f>
        <v>-2</v>
      </c>
      <c r="Q61" s="5"/>
      <c r="R61" s="483" t="str">
        <f t="shared" si="5"/>
        <v xml:space="preserve"> </v>
      </c>
      <c r="S61" s="825">
        <f>IF(O61&lt;6,-1,0)</f>
        <v>-1</v>
      </c>
      <c r="T61" s="390" t="str">
        <f t="shared" si="8"/>
        <v xml:space="preserve"> </v>
      </c>
      <c r="U61" s="815"/>
      <c r="V61" s="488">
        <f t="shared" si="9"/>
        <v>-3</v>
      </c>
      <c r="W61" s="492" t="s">
        <v>304</v>
      </c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</row>
    <row r="62" spans="1:65" x14ac:dyDescent="0.35">
      <c r="A62" s="95" t="s">
        <v>214</v>
      </c>
      <c r="B62" s="490">
        <f t="shared" si="6"/>
        <v>39</v>
      </c>
      <c r="C62" s="406">
        <v>0.5</v>
      </c>
      <c r="D62" s="800">
        <v>10</v>
      </c>
      <c r="E62" s="788">
        <v>24</v>
      </c>
      <c r="F62" s="719">
        <v>21.788933750000002</v>
      </c>
      <c r="G62" s="397">
        <f>(F62*G$5)^G$6</f>
        <v>10.067486829874124</v>
      </c>
      <c r="H62" s="143">
        <f>IF(C62&gt;0.9,-1,IF(C62&lt;0.3,1,0))</f>
        <v>0</v>
      </c>
      <c r="I62" s="398">
        <v>-1</v>
      </c>
      <c r="J62" s="399">
        <v>0</v>
      </c>
      <c r="K62" s="400">
        <f t="shared" si="7"/>
        <v>-1</v>
      </c>
      <c r="L62" s="724">
        <f>MIN(SUM(G62,K62),10)</f>
        <v>9.0674868298741238</v>
      </c>
      <c r="M62" s="467">
        <f>MAX(MAX(2,ROUND(L62/2,0)*2),4)</f>
        <v>10</v>
      </c>
      <c r="N62" s="831">
        <v>2017</v>
      </c>
      <c r="O62" s="467">
        <f>O$4-N62</f>
        <v>4</v>
      </c>
      <c r="P62" s="401">
        <f>IF(O62=2,-2,MAX(O62-M62,0))</f>
        <v>0</v>
      </c>
      <c r="Q62" s="927"/>
      <c r="R62" s="484" t="str">
        <f t="shared" si="5"/>
        <v xml:space="preserve"> </v>
      </c>
      <c r="S62" s="827">
        <f>IF(O62&lt;6,-1,0)</f>
        <v>-1</v>
      </c>
      <c r="T62" s="390" t="str">
        <f t="shared" si="8"/>
        <v xml:space="preserve"> </v>
      </c>
      <c r="U62" s="816"/>
      <c r="V62" s="488">
        <f t="shared" si="9"/>
        <v>-1</v>
      </c>
      <c r="W62" s="492" t="s">
        <v>304</v>
      </c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  <c r="AL62" s="56"/>
      <c r="AM62" s="56"/>
      <c r="AN62" s="56"/>
      <c r="AO62" s="56"/>
    </row>
    <row r="63" spans="1:65" s="56" customFormat="1" ht="18.600000000000001" thickBot="1" x14ac:dyDescent="0.4">
      <c r="A63" s="165" t="s">
        <v>215</v>
      </c>
      <c r="B63" s="933">
        <f t="shared" si="6"/>
        <v>39</v>
      </c>
      <c r="C63" s="1307">
        <v>0.3783224896363811</v>
      </c>
      <c r="D63" s="801">
        <v>5</v>
      </c>
      <c r="E63" s="790">
        <v>6</v>
      </c>
      <c r="F63" s="1312">
        <v>14.12</v>
      </c>
      <c r="G63" s="451">
        <f>(F63*G$5)^G$6</f>
        <v>8.5374580574003947</v>
      </c>
      <c r="H63" s="452">
        <f>IF(C63&gt;0.9,-1,IF(C63&lt;0.3,1,0))</f>
        <v>0</v>
      </c>
      <c r="I63" s="147">
        <v>-1</v>
      </c>
      <c r="J63" s="404">
        <v>-1</v>
      </c>
      <c r="K63" s="405">
        <f t="shared" si="7"/>
        <v>-2</v>
      </c>
      <c r="L63" s="726">
        <f>MIN(SUM(G63,K63),10)</f>
        <v>6.5374580574003947</v>
      </c>
      <c r="M63" s="468">
        <f>MAX(MAX(2,ROUND(L63/2,0)*2),4)</f>
        <v>6</v>
      </c>
      <c r="N63" s="891">
        <v>2017</v>
      </c>
      <c r="O63" s="468">
        <f>O$4-N63</f>
        <v>4</v>
      </c>
      <c r="P63" s="453">
        <f>IF(O63=2,-2,MAX(O63-M63,0))</f>
        <v>0</v>
      </c>
      <c r="Q63" s="6"/>
      <c r="R63" s="485" t="str">
        <f t="shared" si="5"/>
        <v xml:space="preserve"> </v>
      </c>
      <c r="S63" s="828">
        <f>IF(O63&lt;6,-1,0)</f>
        <v>-1</v>
      </c>
      <c r="T63" s="452" t="str">
        <f t="shared" si="8"/>
        <v xml:space="preserve"> </v>
      </c>
      <c r="U63" s="931"/>
      <c r="V63" s="932">
        <f t="shared" si="9"/>
        <v>-1</v>
      </c>
      <c r="W63" s="934" t="s">
        <v>304</v>
      </c>
      <c r="X63" s="75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  <c r="AK63" s="75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1:65" s="56" customFormat="1" x14ac:dyDescent="0.35">
      <c r="A64" s="97"/>
      <c r="B64" s="161"/>
      <c r="C64" s="75"/>
      <c r="D64" s="116"/>
      <c r="E64" s="75"/>
      <c r="F64" s="540"/>
      <c r="G64" s="515"/>
      <c r="H64" s="116"/>
      <c r="I64" s="116"/>
      <c r="J64" s="75"/>
      <c r="K64" s="75"/>
      <c r="L64" s="97"/>
      <c r="M64" s="116"/>
      <c r="N64" s="136"/>
      <c r="O64" s="75"/>
      <c r="P64" s="75"/>
      <c r="Q64" s="75"/>
      <c r="R64" s="75"/>
      <c r="S64" s="75"/>
      <c r="T64" s="75"/>
      <c r="U64" s="75"/>
      <c r="V64" s="161"/>
      <c r="W64" s="161"/>
      <c r="X64" s="161"/>
      <c r="Y64" s="75"/>
      <c r="Z64" s="75"/>
      <c r="AA64" s="75"/>
      <c r="AB64" s="75"/>
      <c r="AC64" s="75"/>
      <c r="AD64" s="75"/>
      <c r="AE64" s="75"/>
      <c r="AF64" s="75"/>
      <c r="AG64" s="75"/>
      <c r="AH64" s="75"/>
      <c r="AI64" s="75"/>
      <c r="AJ64" s="75"/>
      <c r="AK64" s="75"/>
      <c r="AL64" s="9"/>
      <c r="AM64" s="9"/>
      <c r="AN64" s="9"/>
      <c r="AO64" s="9"/>
    </row>
    <row r="65" spans="1:41" s="56" customFormat="1" x14ac:dyDescent="0.35">
      <c r="A65" s="97"/>
      <c r="B65" s="161"/>
      <c r="C65" s="75"/>
      <c r="D65" s="116"/>
      <c r="E65" s="75"/>
      <c r="F65" s="540"/>
      <c r="G65" s="515"/>
      <c r="H65" s="116"/>
      <c r="I65" s="116"/>
      <c r="J65" s="75"/>
      <c r="K65" s="75"/>
      <c r="L65" s="97"/>
      <c r="M65" s="116"/>
      <c r="N65" s="136"/>
      <c r="O65" s="75"/>
      <c r="P65" s="75"/>
      <c r="Q65" s="75"/>
      <c r="R65" s="75"/>
      <c r="S65" s="75"/>
      <c r="T65" s="75"/>
      <c r="U65" s="75"/>
      <c r="V65" s="161"/>
      <c r="W65" s="161"/>
      <c r="X65" s="161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  <c r="AK65" s="75"/>
      <c r="AL65" s="9"/>
      <c r="AM65" s="9"/>
      <c r="AN65" s="9"/>
      <c r="AO65" s="9"/>
    </row>
    <row r="66" spans="1:41" s="56" customFormat="1" x14ac:dyDescent="0.35">
      <c r="A66" s="97"/>
      <c r="B66" s="161"/>
      <c r="C66" s="75"/>
      <c r="D66" s="116"/>
      <c r="E66" s="75"/>
      <c r="F66" s="540"/>
      <c r="G66" s="515"/>
      <c r="H66" s="116"/>
      <c r="I66" s="116"/>
      <c r="J66" s="75"/>
      <c r="K66" s="75"/>
      <c r="L66" s="97"/>
      <c r="M66" s="116"/>
      <c r="N66" s="136"/>
      <c r="O66" s="75"/>
      <c r="P66" s="75"/>
      <c r="Q66" s="75"/>
      <c r="R66" s="75"/>
      <c r="S66" s="75"/>
      <c r="T66" s="75"/>
      <c r="U66" s="75"/>
      <c r="V66" s="161"/>
      <c r="W66" s="161"/>
      <c r="X66" s="161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9"/>
      <c r="AM66" s="9"/>
      <c r="AN66" s="9"/>
      <c r="AO66" s="9"/>
    </row>
    <row r="67" spans="1:41" x14ac:dyDescent="0.35">
      <c r="A67" s="416"/>
      <c r="B67" s="195"/>
      <c r="C67" s="33"/>
      <c r="D67" s="32"/>
      <c r="E67" s="195"/>
      <c r="F67" s="418"/>
      <c r="G67" s="413"/>
      <c r="H67" s="32"/>
      <c r="I67" s="32"/>
      <c r="J67" s="33"/>
      <c r="K67" s="33"/>
      <c r="L67" s="416"/>
      <c r="M67" s="32"/>
      <c r="N67" s="470"/>
      <c r="O67" s="33"/>
      <c r="P67" s="33"/>
      <c r="Q67" s="33"/>
      <c r="R67" s="33"/>
      <c r="S67" s="33"/>
      <c r="T67" s="33"/>
      <c r="U67" s="33"/>
      <c r="V67" s="195"/>
      <c r="W67" s="195"/>
      <c r="X67" s="195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</row>
    <row r="68" spans="1:41" x14ac:dyDescent="0.35">
      <c r="A68" s="416"/>
      <c r="B68" s="195"/>
      <c r="C68" s="33"/>
      <c r="D68" s="32"/>
      <c r="E68" s="195"/>
      <c r="F68" s="418"/>
      <c r="G68" s="413"/>
      <c r="H68" s="32"/>
      <c r="I68" s="32"/>
      <c r="J68" s="33"/>
      <c r="K68" s="33"/>
      <c r="L68" s="416"/>
      <c r="M68" s="32"/>
      <c r="N68" s="470"/>
      <c r="O68" s="33"/>
      <c r="P68" s="33"/>
      <c r="Q68" s="33"/>
      <c r="R68" s="33"/>
      <c r="S68" s="33"/>
      <c r="T68" s="33"/>
      <c r="U68" s="33"/>
      <c r="V68" s="195"/>
      <c r="W68" s="195"/>
      <c r="X68" s="195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</row>
    <row r="69" spans="1:41" x14ac:dyDescent="0.35">
      <c r="A69" s="416"/>
      <c r="B69" s="195"/>
      <c r="C69" s="33"/>
      <c r="D69" s="32"/>
      <c r="E69" s="195"/>
      <c r="F69" s="418"/>
      <c r="G69" s="413"/>
      <c r="H69" s="32"/>
      <c r="I69" s="32"/>
      <c r="J69" s="33"/>
      <c r="K69" s="33"/>
      <c r="L69" s="416"/>
      <c r="M69" s="32"/>
      <c r="N69" s="470"/>
      <c r="O69" s="33"/>
      <c r="P69" s="33"/>
      <c r="Q69" s="33"/>
      <c r="R69" s="33"/>
      <c r="S69" s="33"/>
      <c r="T69" s="33"/>
      <c r="U69" s="33"/>
      <c r="V69" s="195"/>
      <c r="W69" s="195"/>
      <c r="X69" s="195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</row>
    <row r="70" spans="1:41" x14ac:dyDescent="0.35">
      <c r="A70" s="416"/>
      <c r="B70" s="195"/>
      <c r="C70" s="33"/>
      <c r="D70" s="32"/>
      <c r="E70" s="195"/>
      <c r="F70" s="418"/>
      <c r="G70" s="413"/>
      <c r="H70" s="32"/>
      <c r="I70" s="32"/>
      <c r="J70" s="33"/>
      <c r="K70" s="33"/>
      <c r="L70" s="416"/>
      <c r="M70" s="32"/>
      <c r="N70" s="470"/>
      <c r="O70" s="33"/>
      <c r="P70" s="33"/>
      <c r="Q70" s="33"/>
      <c r="R70" s="33"/>
      <c r="S70" s="33"/>
      <c r="T70" s="33"/>
      <c r="U70" s="33"/>
      <c r="V70" s="195"/>
      <c r="W70" s="195"/>
      <c r="X70" s="195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</row>
    <row r="71" spans="1:41" x14ac:dyDescent="0.35">
      <c r="A71" s="416"/>
      <c r="B71" s="195"/>
      <c r="C71" s="33"/>
      <c r="D71" s="32"/>
      <c r="E71" s="195"/>
      <c r="F71" s="418"/>
      <c r="G71" s="413"/>
      <c r="H71" s="32"/>
      <c r="I71" s="32"/>
      <c r="J71" s="33"/>
      <c r="K71" s="33"/>
      <c r="L71" s="416"/>
      <c r="M71" s="32"/>
      <c r="N71" s="470"/>
      <c r="O71" s="33"/>
      <c r="P71" s="33"/>
      <c r="Q71" s="33"/>
      <c r="R71" s="33"/>
      <c r="S71" s="33"/>
      <c r="T71" s="33"/>
      <c r="U71" s="33"/>
      <c r="V71" s="195"/>
      <c r="W71" s="195"/>
      <c r="X71" s="195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</row>
    <row r="72" spans="1:41" x14ac:dyDescent="0.35">
      <c r="A72" s="416"/>
      <c r="B72" s="195"/>
      <c r="C72" s="33"/>
      <c r="D72" s="32"/>
      <c r="E72" s="195"/>
      <c r="F72" s="418"/>
      <c r="G72" s="413"/>
      <c r="H72" s="32"/>
      <c r="I72" s="32"/>
      <c r="J72" s="33"/>
      <c r="K72" s="33"/>
      <c r="L72" s="416"/>
      <c r="M72" s="32"/>
      <c r="N72" s="470"/>
      <c r="O72" s="33"/>
      <c r="P72" s="33"/>
      <c r="Q72" s="33"/>
      <c r="R72" s="33"/>
      <c r="S72" s="33"/>
      <c r="T72" s="33"/>
      <c r="U72" s="33"/>
      <c r="V72" s="195"/>
      <c r="W72" s="195"/>
      <c r="X72" s="195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</row>
  </sheetData>
  <conditionalFormatting sqref="B7:B63">
    <cfRule type="colorScale" priority="2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N7:N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B72"/>
  <sheetViews>
    <sheetView topLeftCell="A25" zoomScale="85" zoomScaleNormal="85" workbookViewId="0">
      <selection activeCell="H32" sqref="H32"/>
    </sheetView>
  </sheetViews>
  <sheetFormatPr defaultColWidth="8.88671875" defaultRowHeight="18" x14ac:dyDescent="0.35"/>
  <cols>
    <col min="1" max="1" width="39.21875" style="1" customWidth="1"/>
    <col min="2" max="2" width="10.6640625" style="1" customWidth="1"/>
    <col min="3" max="3" width="8.88671875" style="1"/>
    <col min="4" max="5" width="9.88671875" style="1" bestFit="1" customWidth="1"/>
    <col min="6" max="6" width="10" style="1" customWidth="1"/>
    <col min="7" max="7" width="8" style="1" customWidth="1"/>
    <col min="8" max="8" width="12.33203125" style="1" customWidth="1"/>
    <col min="9" max="9" width="10.109375" style="1" customWidth="1"/>
    <col min="10" max="10" width="3" style="1" customWidth="1"/>
    <col min="11" max="11" width="9.6640625" style="1" customWidth="1"/>
    <col min="12" max="12" width="9.88671875" style="1" bestFit="1" customWidth="1"/>
    <col min="13" max="13" width="2.44140625" style="1" customWidth="1"/>
    <col min="14" max="14" width="8.88671875" style="1"/>
    <col min="15" max="15" width="2.33203125" style="1" customWidth="1"/>
    <col min="16" max="16" width="8.33203125" style="1" customWidth="1"/>
    <col min="17" max="17" width="2.44140625" style="1" customWidth="1"/>
    <col min="18" max="18" width="8.88671875" style="2"/>
    <col min="19" max="19" width="3" style="1" customWidth="1"/>
    <col min="20" max="20" width="27.33203125" style="3" customWidth="1"/>
    <col min="21" max="27" width="8.88671875" style="1"/>
    <col min="28" max="28" width="11" style="1" customWidth="1"/>
    <col min="29" max="16384" width="8.88671875" style="1"/>
  </cols>
  <sheetData>
    <row r="1" spans="1:28" ht="21" x14ac:dyDescent="0.4">
      <c r="A1" s="114" t="s">
        <v>467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416"/>
      <c r="S1" s="33"/>
      <c r="T1" s="32"/>
      <c r="U1" s="33"/>
      <c r="V1" s="33"/>
      <c r="W1" s="33"/>
      <c r="X1" s="33"/>
      <c r="Y1" s="33"/>
      <c r="Z1" s="33"/>
      <c r="AA1" s="33"/>
      <c r="AB1" s="33"/>
    </row>
    <row r="2" spans="1:28" ht="21" x14ac:dyDescent="0.4">
      <c r="A2" s="114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416" t="s">
        <v>417</v>
      </c>
      <c r="S2" s="33"/>
      <c r="T2" s="32"/>
      <c r="U2" s="33"/>
      <c r="V2" s="33"/>
      <c r="W2" s="33"/>
      <c r="X2" s="33"/>
      <c r="Y2" s="33"/>
      <c r="Z2" s="33"/>
      <c r="AA2" s="33"/>
      <c r="AB2" s="33"/>
    </row>
    <row r="3" spans="1:28" x14ac:dyDescent="0.3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416" t="s">
        <v>418</v>
      </c>
      <c r="S3" s="33"/>
      <c r="T3" s="32"/>
      <c r="U3" s="33"/>
      <c r="V3" s="33"/>
      <c r="W3" s="33"/>
      <c r="X3" s="33"/>
      <c r="Y3" s="33"/>
      <c r="Z3" s="33"/>
      <c r="AA3" s="33"/>
      <c r="AB3" s="33"/>
    </row>
    <row r="4" spans="1:28" ht="18.600000000000001" thickBot="1" x14ac:dyDescent="0.4">
      <c r="A4" s="33"/>
      <c r="B4" s="33"/>
      <c r="C4" s="33"/>
      <c r="D4" s="33"/>
      <c r="E4" s="33"/>
      <c r="F4" s="33"/>
      <c r="G4" s="33"/>
      <c r="H4" s="936" t="s">
        <v>406</v>
      </c>
      <c r="I4" s="937"/>
      <c r="J4" s="33"/>
      <c r="K4" s="33"/>
      <c r="L4" s="33"/>
      <c r="M4" s="33"/>
      <c r="N4" s="33"/>
      <c r="O4" s="33"/>
      <c r="P4" s="33"/>
      <c r="Q4" s="33"/>
      <c r="R4" s="416"/>
      <c r="S4" s="33"/>
      <c r="T4" s="32"/>
      <c r="U4" s="33"/>
      <c r="V4" s="33"/>
      <c r="W4" s="33"/>
      <c r="X4" s="33"/>
      <c r="Y4" s="33"/>
      <c r="Z4" s="33"/>
      <c r="AA4" s="33"/>
      <c r="AB4" s="33"/>
    </row>
    <row r="5" spans="1:28" ht="36" x14ac:dyDescent="0.35">
      <c r="A5" s="117"/>
      <c r="B5" s="840" t="s">
        <v>203</v>
      </c>
      <c r="C5" s="522"/>
      <c r="D5" s="883" t="s">
        <v>463</v>
      </c>
      <c r="E5" s="884"/>
      <c r="F5" s="841" t="s">
        <v>347</v>
      </c>
      <c r="G5" s="842" t="s">
        <v>464</v>
      </c>
      <c r="H5" s="938" t="s">
        <v>465</v>
      </c>
      <c r="I5" s="939" t="s">
        <v>464</v>
      </c>
      <c r="J5" s="848"/>
      <c r="K5" s="885" t="s">
        <v>372</v>
      </c>
      <c r="L5" s="885"/>
      <c r="M5" s="849"/>
      <c r="N5" s="881" t="s">
        <v>367</v>
      </c>
      <c r="O5" s="668"/>
      <c r="P5" s="882" t="s">
        <v>361</v>
      </c>
      <c r="Q5" s="33"/>
      <c r="R5" s="98" t="s">
        <v>366</v>
      </c>
      <c r="S5" s="33"/>
      <c r="T5" s="1012"/>
      <c r="U5" s="33"/>
      <c r="V5" s="33"/>
      <c r="W5" s="33"/>
      <c r="X5" s="33"/>
      <c r="Y5" s="33"/>
      <c r="Z5" s="33"/>
      <c r="AA5" s="33"/>
      <c r="AB5" s="33"/>
    </row>
    <row r="6" spans="1:28" ht="36.6" thickBot="1" x14ac:dyDescent="0.4">
      <c r="A6" s="104" t="s">
        <v>4</v>
      </c>
      <c r="B6" s="782" t="s">
        <v>462</v>
      </c>
      <c r="C6" s="843">
        <v>2020</v>
      </c>
      <c r="D6" s="1013" t="s">
        <v>419</v>
      </c>
      <c r="E6" s="1014" t="s">
        <v>420</v>
      </c>
      <c r="F6" s="844" t="s">
        <v>348</v>
      </c>
      <c r="G6" s="845" t="s">
        <v>348</v>
      </c>
      <c r="H6" s="844" t="s">
        <v>405</v>
      </c>
      <c r="I6" s="845" t="s">
        <v>466</v>
      </c>
      <c r="J6" s="856"/>
      <c r="K6" s="861" t="s">
        <v>363</v>
      </c>
      <c r="L6" s="316" t="s">
        <v>364</v>
      </c>
      <c r="M6" s="664"/>
      <c r="N6" s="879" t="s">
        <v>365</v>
      </c>
      <c r="O6" s="880"/>
      <c r="P6" s="879" t="s">
        <v>362</v>
      </c>
      <c r="Q6" s="649"/>
      <c r="R6" s="935" t="s">
        <v>365</v>
      </c>
      <c r="S6" s="1015"/>
      <c r="T6" s="1016" t="s">
        <v>421</v>
      </c>
      <c r="U6" s="33"/>
      <c r="V6" s="33"/>
      <c r="W6" s="33"/>
      <c r="X6" s="33"/>
      <c r="Y6" s="33"/>
      <c r="Z6" s="33"/>
      <c r="AA6" s="33"/>
      <c r="AB6" s="33"/>
    </row>
    <row r="7" spans="1:28" ht="18.600000000000001" thickBot="1" x14ac:dyDescent="0.4">
      <c r="A7" s="164" t="s">
        <v>10</v>
      </c>
      <c r="B7" s="862"/>
      <c r="C7" s="863"/>
      <c r="D7" s="982"/>
      <c r="E7" s="982"/>
      <c r="F7" s="864" t="e">
        <f t="shared" ref="F7:F63" si="0">B7/E7</f>
        <v>#DIV/0!</v>
      </c>
      <c r="G7" s="865" t="e">
        <f t="shared" ref="G7:G63" si="1">C7/E7</f>
        <v>#DIV/0!</v>
      </c>
      <c r="H7" s="866" t="e">
        <f t="shared" ref="H7:H63" si="2">B7/D7</f>
        <v>#DIV/0!</v>
      </c>
      <c r="I7" s="867" t="e">
        <f>C7/D7</f>
        <v>#DIV/0!</v>
      </c>
      <c r="J7" s="868"/>
      <c r="K7" s="943" t="e">
        <f t="shared" ref="K7:K63" si="3">MAX(F7:G7)</f>
        <v>#DIV/0!</v>
      </c>
      <c r="L7" s="869">
        <f t="shared" ref="L7:L63" si="4">MAX(B7:C7)</f>
        <v>0</v>
      </c>
      <c r="M7" s="870"/>
      <c r="N7" s="409">
        <v>-1</v>
      </c>
      <c r="O7" s="870"/>
      <c r="P7" s="871">
        <v>2017</v>
      </c>
      <c r="Q7" s="872"/>
      <c r="R7" s="873">
        <v>-1</v>
      </c>
      <c r="S7" s="33"/>
      <c r="T7" s="1017">
        <v>-1</v>
      </c>
      <c r="U7" s="33"/>
      <c r="V7" s="33"/>
      <c r="W7" s="33"/>
      <c r="X7" s="33"/>
      <c r="Y7" s="33"/>
      <c r="Z7" s="33"/>
      <c r="AA7" s="33"/>
      <c r="AB7" s="33"/>
    </row>
    <row r="8" spans="1:28" ht="18.600000000000001" thickBot="1" x14ac:dyDescent="0.4">
      <c r="A8" s="214" t="s">
        <v>209</v>
      </c>
      <c r="B8" s="874"/>
      <c r="C8" s="579"/>
      <c r="D8" s="984"/>
      <c r="E8" s="984"/>
      <c r="F8" s="783" t="e">
        <f t="shared" si="0"/>
        <v>#DIV/0!</v>
      </c>
      <c r="G8" s="780" t="e">
        <f t="shared" si="1"/>
        <v>#DIV/0!</v>
      </c>
      <c r="H8" s="875" t="e">
        <f t="shared" si="2"/>
        <v>#DIV/0!</v>
      </c>
      <c r="I8" s="867" t="e">
        <f t="shared" ref="I8:I63" si="5">C8/D8</f>
        <v>#DIV/0!</v>
      </c>
      <c r="J8" s="850"/>
      <c r="K8" s="852" t="e">
        <f t="shared" si="3"/>
        <v>#DIV/0!</v>
      </c>
      <c r="L8" s="853">
        <f t="shared" si="4"/>
        <v>0</v>
      </c>
      <c r="M8" s="851"/>
      <c r="N8" s="851"/>
      <c r="O8" s="851"/>
      <c r="P8" s="846">
        <v>2013</v>
      </c>
      <c r="Q8" s="511"/>
      <c r="R8" s="859"/>
      <c r="S8" s="33"/>
      <c r="T8" s="1017"/>
      <c r="U8" s="33"/>
      <c r="V8" s="33"/>
      <c r="W8" s="33"/>
      <c r="X8" s="33"/>
      <c r="Y8" s="33"/>
      <c r="Z8" s="33"/>
      <c r="AA8" s="33"/>
      <c r="AB8" s="33"/>
    </row>
    <row r="9" spans="1:28" ht="18.600000000000001" thickBot="1" x14ac:dyDescent="0.4">
      <c r="A9" s="214" t="s">
        <v>146</v>
      </c>
      <c r="B9" s="874"/>
      <c r="C9" s="579"/>
      <c r="D9" s="984"/>
      <c r="E9" s="984"/>
      <c r="F9" s="783" t="e">
        <f t="shared" si="0"/>
        <v>#DIV/0!</v>
      </c>
      <c r="G9" s="780" t="e">
        <f t="shared" si="1"/>
        <v>#DIV/0!</v>
      </c>
      <c r="H9" s="875" t="e">
        <f t="shared" si="2"/>
        <v>#DIV/0!</v>
      </c>
      <c r="I9" s="867" t="e">
        <f t="shared" si="5"/>
        <v>#DIV/0!</v>
      </c>
      <c r="J9" s="850"/>
      <c r="K9" s="942" t="e">
        <f t="shared" si="3"/>
        <v>#DIV/0!</v>
      </c>
      <c r="L9" s="853">
        <f t="shared" si="4"/>
        <v>0</v>
      </c>
      <c r="M9" s="851"/>
      <c r="N9" s="409">
        <v>-1</v>
      </c>
      <c r="O9" s="851"/>
      <c r="P9" s="846"/>
      <c r="Q9" s="511"/>
      <c r="R9" s="858">
        <v>-1</v>
      </c>
      <c r="S9" s="33"/>
      <c r="T9" s="1017">
        <v>-1</v>
      </c>
      <c r="U9" s="33"/>
      <c r="V9" s="33"/>
      <c r="W9" s="33"/>
      <c r="X9" s="33"/>
      <c r="Y9" s="33"/>
      <c r="Z9" s="33"/>
      <c r="AA9" s="33"/>
      <c r="AB9" s="33"/>
    </row>
    <row r="10" spans="1:28" ht="18.600000000000001" thickBot="1" x14ac:dyDescent="0.4">
      <c r="A10" s="214" t="s">
        <v>27</v>
      </c>
      <c r="B10" s="874"/>
      <c r="C10" s="579"/>
      <c r="D10" s="984"/>
      <c r="E10" s="984"/>
      <c r="F10" s="783" t="e">
        <f t="shared" si="0"/>
        <v>#DIV/0!</v>
      </c>
      <c r="G10" s="780" t="e">
        <f t="shared" si="1"/>
        <v>#DIV/0!</v>
      </c>
      <c r="H10" s="875" t="e">
        <f t="shared" si="2"/>
        <v>#DIV/0!</v>
      </c>
      <c r="I10" s="867" t="e">
        <f t="shared" si="5"/>
        <v>#DIV/0!</v>
      </c>
      <c r="J10" s="850"/>
      <c r="K10" s="852" t="e">
        <f t="shared" si="3"/>
        <v>#DIV/0!</v>
      </c>
      <c r="L10" s="853">
        <f t="shared" si="4"/>
        <v>0</v>
      </c>
      <c r="M10" s="851"/>
      <c r="N10" s="851"/>
      <c r="O10" s="851"/>
      <c r="P10" s="846">
        <v>2019</v>
      </c>
      <c r="Q10" s="511"/>
      <c r="R10" s="859"/>
      <c r="S10" s="33"/>
      <c r="T10" s="1017"/>
      <c r="U10" s="33"/>
      <c r="V10" s="33"/>
      <c r="W10" s="33"/>
      <c r="X10" s="33"/>
      <c r="Y10" s="33"/>
      <c r="Z10" s="33"/>
      <c r="AA10" s="33"/>
      <c r="AB10" s="33"/>
    </row>
    <row r="11" spans="1:28" ht="18.600000000000001" thickBot="1" x14ac:dyDescent="0.4">
      <c r="A11" s="95" t="s">
        <v>5</v>
      </c>
      <c r="B11" s="874"/>
      <c r="C11" s="579"/>
      <c r="D11" s="375"/>
      <c r="E11" s="375"/>
      <c r="F11" s="783" t="e">
        <f t="shared" si="0"/>
        <v>#DIV/0!</v>
      </c>
      <c r="G11" s="780" t="e">
        <f t="shared" si="1"/>
        <v>#DIV/0!</v>
      </c>
      <c r="H11" s="875" t="e">
        <f t="shared" si="2"/>
        <v>#DIV/0!</v>
      </c>
      <c r="I11" s="867" t="e">
        <f t="shared" si="5"/>
        <v>#DIV/0!</v>
      </c>
      <c r="J11" s="850"/>
      <c r="K11" s="854" t="e">
        <f t="shared" si="3"/>
        <v>#DIV/0!</v>
      </c>
      <c r="L11" s="853">
        <f t="shared" si="4"/>
        <v>0</v>
      </c>
      <c r="M11" s="851"/>
      <c r="N11" s="409">
        <v>2</v>
      </c>
      <c r="O11" s="851"/>
      <c r="P11" s="846">
        <v>2015</v>
      </c>
      <c r="Q11" s="511"/>
      <c r="R11" s="858">
        <v>2</v>
      </c>
      <c r="S11" s="33"/>
      <c r="T11" s="1017">
        <v>2</v>
      </c>
      <c r="U11" s="33"/>
      <c r="V11" s="33"/>
      <c r="W11" s="33"/>
      <c r="X11" s="33"/>
      <c r="Y11" s="33"/>
      <c r="Z11" s="33"/>
      <c r="AA11" s="33"/>
      <c r="AB11" s="33"/>
    </row>
    <row r="12" spans="1:28" ht="18.600000000000001" thickBot="1" x14ac:dyDescent="0.4">
      <c r="A12" s="214" t="s">
        <v>210</v>
      </c>
      <c r="B12" s="874"/>
      <c r="C12" s="579"/>
      <c r="D12" s="984"/>
      <c r="E12" s="984"/>
      <c r="F12" s="783" t="e">
        <f t="shared" si="0"/>
        <v>#DIV/0!</v>
      </c>
      <c r="G12" s="780" t="e">
        <f t="shared" si="1"/>
        <v>#DIV/0!</v>
      </c>
      <c r="H12" s="875" t="e">
        <f t="shared" si="2"/>
        <v>#DIV/0!</v>
      </c>
      <c r="I12" s="867" t="e">
        <f t="shared" si="5"/>
        <v>#DIV/0!</v>
      </c>
      <c r="J12" s="850"/>
      <c r="K12" s="852" t="e">
        <f t="shared" si="3"/>
        <v>#DIV/0!</v>
      </c>
      <c r="L12" s="853">
        <f t="shared" si="4"/>
        <v>0</v>
      </c>
      <c r="M12" s="851"/>
      <c r="N12" s="851"/>
      <c r="O12" s="851"/>
      <c r="P12" s="846">
        <v>2017</v>
      </c>
      <c r="Q12" s="511"/>
      <c r="R12" s="859"/>
      <c r="S12" s="33"/>
      <c r="T12" s="1017"/>
      <c r="U12" s="33"/>
      <c r="V12" s="33"/>
      <c r="W12" s="33"/>
      <c r="X12" s="33"/>
      <c r="Y12" s="33"/>
      <c r="Z12" s="33"/>
      <c r="AA12" s="33"/>
      <c r="AB12" s="33"/>
    </row>
    <row r="13" spans="1:28" ht="18.600000000000001" thickBot="1" x14ac:dyDescent="0.4">
      <c r="A13" s="214" t="s">
        <v>339</v>
      </c>
      <c r="B13" s="874"/>
      <c r="C13" s="579"/>
      <c r="D13" s="984"/>
      <c r="E13" s="984"/>
      <c r="F13" s="783" t="e">
        <f t="shared" si="0"/>
        <v>#DIV/0!</v>
      </c>
      <c r="G13" s="780" t="e">
        <f t="shared" si="1"/>
        <v>#DIV/0!</v>
      </c>
      <c r="H13" s="875" t="e">
        <f t="shared" si="2"/>
        <v>#DIV/0!</v>
      </c>
      <c r="I13" s="867" t="e">
        <f t="shared" si="5"/>
        <v>#DIV/0!</v>
      </c>
      <c r="J13" s="850"/>
      <c r="K13" s="940" t="e">
        <f t="shared" si="3"/>
        <v>#DIV/0!</v>
      </c>
      <c r="L13" s="853">
        <f t="shared" si="4"/>
        <v>0</v>
      </c>
      <c r="M13" s="851"/>
      <c r="N13" s="851"/>
      <c r="O13" s="851"/>
      <c r="P13" s="846">
        <v>2017</v>
      </c>
      <c r="Q13" s="511"/>
      <c r="R13" s="859"/>
      <c r="S13" s="33"/>
      <c r="T13" s="1017"/>
      <c r="U13" s="33"/>
      <c r="V13" s="33"/>
      <c r="W13" s="33"/>
      <c r="X13" s="33"/>
      <c r="Y13" s="33"/>
      <c r="Z13" s="33"/>
      <c r="AA13" s="33"/>
      <c r="AB13" s="33"/>
    </row>
    <row r="14" spans="1:28" ht="18.600000000000001" thickBot="1" x14ac:dyDescent="0.4">
      <c r="A14" s="95" t="s">
        <v>134</v>
      </c>
      <c r="B14" s="874"/>
      <c r="C14" s="579"/>
      <c r="D14" s="375"/>
      <c r="E14" s="375"/>
      <c r="F14" s="783" t="e">
        <f t="shared" si="0"/>
        <v>#DIV/0!</v>
      </c>
      <c r="G14" s="780" t="e">
        <f t="shared" si="1"/>
        <v>#DIV/0!</v>
      </c>
      <c r="H14" s="875" t="e">
        <f t="shared" si="2"/>
        <v>#DIV/0!</v>
      </c>
      <c r="I14" s="867" t="e">
        <f t="shared" si="5"/>
        <v>#DIV/0!</v>
      </c>
      <c r="J14" s="850"/>
      <c r="K14" s="852" t="e">
        <f t="shared" si="3"/>
        <v>#DIV/0!</v>
      </c>
      <c r="L14" s="853">
        <f t="shared" si="4"/>
        <v>0</v>
      </c>
      <c r="M14" s="851"/>
      <c r="N14" s="851"/>
      <c r="O14" s="851"/>
      <c r="P14" s="846">
        <v>2017</v>
      </c>
      <c r="Q14" s="511"/>
      <c r="R14" s="859"/>
      <c r="S14" s="33"/>
      <c r="T14" s="1017"/>
      <c r="U14" s="33"/>
      <c r="V14" s="33"/>
      <c r="W14" s="33"/>
      <c r="X14" s="33"/>
      <c r="Y14" s="33"/>
      <c r="Z14" s="33"/>
      <c r="AA14" s="33"/>
      <c r="AB14" s="33"/>
    </row>
    <row r="15" spans="1:28" ht="18.600000000000001" thickBot="1" x14ac:dyDescent="0.4">
      <c r="A15" s="214" t="s">
        <v>148</v>
      </c>
      <c r="B15" s="874"/>
      <c r="C15" s="579"/>
      <c r="D15" s="376"/>
      <c r="E15" s="376"/>
      <c r="F15" s="783" t="e">
        <f t="shared" si="0"/>
        <v>#DIV/0!</v>
      </c>
      <c r="G15" s="780" t="e">
        <f t="shared" si="1"/>
        <v>#DIV/0!</v>
      </c>
      <c r="H15" s="875" t="e">
        <f t="shared" si="2"/>
        <v>#DIV/0!</v>
      </c>
      <c r="I15" s="867" t="e">
        <f t="shared" si="5"/>
        <v>#DIV/0!</v>
      </c>
      <c r="J15" s="850"/>
      <c r="K15" s="855" t="e">
        <f t="shared" si="3"/>
        <v>#DIV/0!</v>
      </c>
      <c r="L15" s="853">
        <f t="shared" si="4"/>
        <v>0</v>
      </c>
      <c r="M15" s="851"/>
      <c r="N15" s="409">
        <v>1</v>
      </c>
      <c r="O15" s="851"/>
      <c r="P15" s="846"/>
      <c r="Q15" s="511"/>
      <c r="R15" s="858">
        <v>1</v>
      </c>
      <c r="S15" s="33"/>
      <c r="T15" s="1017">
        <v>2</v>
      </c>
      <c r="U15" s="33"/>
      <c r="V15" s="33"/>
      <c r="W15" s="33"/>
      <c r="X15" s="33"/>
      <c r="Y15" s="33"/>
      <c r="Z15" s="33"/>
      <c r="AA15" s="33"/>
      <c r="AB15" s="33"/>
    </row>
    <row r="16" spans="1:28" ht="18.600000000000001" thickBot="1" x14ac:dyDescent="0.4">
      <c r="A16" s="214" t="s">
        <v>9</v>
      </c>
      <c r="B16" s="874"/>
      <c r="C16" s="579"/>
      <c r="D16" s="375"/>
      <c r="E16" s="375"/>
      <c r="F16" s="783" t="e">
        <f t="shared" si="0"/>
        <v>#DIV/0!</v>
      </c>
      <c r="G16" s="780" t="e">
        <f t="shared" si="1"/>
        <v>#DIV/0!</v>
      </c>
      <c r="H16" s="875" t="e">
        <f t="shared" si="2"/>
        <v>#DIV/0!</v>
      </c>
      <c r="I16" s="867" t="e">
        <f t="shared" si="5"/>
        <v>#DIV/0!</v>
      </c>
      <c r="J16" s="850"/>
      <c r="K16" s="852" t="e">
        <f t="shared" si="3"/>
        <v>#DIV/0!</v>
      </c>
      <c r="L16" s="853">
        <f t="shared" si="4"/>
        <v>0</v>
      </c>
      <c r="M16" s="851"/>
      <c r="N16" s="851"/>
      <c r="O16" s="851"/>
      <c r="P16" s="846">
        <v>2019</v>
      </c>
      <c r="Q16" s="511"/>
      <c r="R16" s="859"/>
      <c r="S16" s="33"/>
      <c r="T16" s="1017"/>
      <c r="U16" s="33"/>
      <c r="V16" s="33"/>
      <c r="W16" s="33"/>
      <c r="X16" s="33"/>
      <c r="Y16" s="33"/>
      <c r="Z16" s="33"/>
      <c r="AA16" s="33"/>
      <c r="AB16" s="33"/>
    </row>
    <row r="17" spans="1:28" ht="18.600000000000001" thickBot="1" x14ac:dyDescent="0.4">
      <c r="A17" s="95" t="s">
        <v>129</v>
      </c>
      <c r="B17" s="874"/>
      <c r="C17" s="579"/>
      <c r="D17" s="375"/>
      <c r="E17" s="375"/>
      <c r="F17" s="783" t="e">
        <f t="shared" si="0"/>
        <v>#DIV/0!</v>
      </c>
      <c r="G17" s="780" t="e">
        <f t="shared" si="1"/>
        <v>#DIV/0!</v>
      </c>
      <c r="H17" s="875" t="e">
        <f t="shared" si="2"/>
        <v>#DIV/0!</v>
      </c>
      <c r="I17" s="867" t="e">
        <f t="shared" si="5"/>
        <v>#DIV/0!</v>
      </c>
      <c r="J17" s="850"/>
      <c r="K17" s="852" t="e">
        <f t="shared" si="3"/>
        <v>#DIV/0!</v>
      </c>
      <c r="L17" s="853">
        <f t="shared" si="4"/>
        <v>0</v>
      </c>
      <c r="M17" s="851"/>
      <c r="N17" s="851"/>
      <c r="O17" s="851"/>
      <c r="P17" s="846">
        <v>2017</v>
      </c>
      <c r="Q17" s="511"/>
      <c r="R17" s="859"/>
      <c r="S17" s="33"/>
      <c r="T17" s="1017"/>
      <c r="U17" s="33"/>
      <c r="V17" s="33"/>
      <c r="W17" s="33"/>
      <c r="X17" s="33"/>
      <c r="Y17" s="33"/>
      <c r="Z17" s="33"/>
      <c r="AA17" s="33"/>
      <c r="AB17" s="33"/>
    </row>
    <row r="18" spans="1:28" ht="18.600000000000001" thickBot="1" x14ac:dyDescent="0.4">
      <c r="A18" s="95" t="s">
        <v>18</v>
      </c>
      <c r="B18" s="874"/>
      <c r="C18" s="579"/>
      <c r="D18" s="375"/>
      <c r="E18" s="375"/>
      <c r="F18" s="783" t="e">
        <f t="shared" si="0"/>
        <v>#DIV/0!</v>
      </c>
      <c r="G18" s="780" t="e">
        <f t="shared" si="1"/>
        <v>#DIV/0!</v>
      </c>
      <c r="H18" s="875" t="e">
        <f t="shared" si="2"/>
        <v>#DIV/0!</v>
      </c>
      <c r="I18" s="867" t="e">
        <f t="shared" si="5"/>
        <v>#DIV/0!</v>
      </c>
      <c r="J18" s="850"/>
      <c r="K18" s="852" t="e">
        <f t="shared" si="3"/>
        <v>#DIV/0!</v>
      </c>
      <c r="L18" s="853">
        <f t="shared" si="4"/>
        <v>0</v>
      </c>
      <c r="M18" s="851"/>
      <c r="N18" s="851"/>
      <c r="O18" s="851"/>
      <c r="P18" s="846">
        <v>2015</v>
      </c>
      <c r="Q18" s="511"/>
      <c r="R18" s="859"/>
      <c r="S18" s="33"/>
      <c r="T18" s="1017"/>
      <c r="U18" s="33"/>
      <c r="V18" s="33"/>
      <c r="W18" s="33"/>
      <c r="X18" s="33"/>
      <c r="Y18" s="33"/>
      <c r="Z18" s="33"/>
      <c r="AA18" s="33"/>
      <c r="AB18" s="33"/>
    </row>
    <row r="19" spans="1:28" ht="18.600000000000001" thickBot="1" x14ac:dyDescent="0.4">
      <c r="A19" s="95" t="s">
        <v>140</v>
      </c>
      <c r="B19" s="874"/>
      <c r="C19" s="579"/>
      <c r="D19" s="375"/>
      <c r="E19" s="375"/>
      <c r="F19" s="783" t="e">
        <f t="shared" si="0"/>
        <v>#DIV/0!</v>
      </c>
      <c r="G19" s="780" t="e">
        <f t="shared" si="1"/>
        <v>#DIV/0!</v>
      </c>
      <c r="H19" s="875" t="e">
        <f t="shared" si="2"/>
        <v>#DIV/0!</v>
      </c>
      <c r="I19" s="867" t="e">
        <f t="shared" si="5"/>
        <v>#DIV/0!</v>
      </c>
      <c r="J19" s="850"/>
      <c r="K19" s="942" t="e">
        <f t="shared" si="3"/>
        <v>#DIV/0!</v>
      </c>
      <c r="L19" s="853">
        <f t="shared" si="4"/>
        <v>0</v>
      </c>
      <c r="M19" s="851"/>
      <c r="N19" s="409">
        <v>-1</v>
      </c>
      <c r="O19" s="851"/>
      <c r="P19" s="846">
        <v>2015</v>
      </c>
      <c r="Q19" s="511"/>
      <c r="R19" s="858">
        <v>-1</v>
      </c>
      <c r="S19" s="33"/>
      <c r="T19" s="1017">
        <v>-1</v>
      </c>
      <c r="U19" s="33"/>
      <c r="V19" s="33"/>
      <c r="W19" s="33"/>
      <c r="X19" s="33"/>
      <c r="Y19" s="33"/>
      <c r="Z19" s="33"/>
      <c r="AA19" s="33"/>
      <c r="AB19" s="33"/>
    </row>
    <row r="20" spans="1:28" ht="18.600000000000001" thickBot="1" x14ac:dyDescent="0.4">
      <c r="A20" s="214" t="s">
        <v>143</v>
      </c>
      <c r="B20" s="874"/>
      <c r="C20" s="579"/>
      <c r="D20" s="984"/>
      <c r="E20" s="984"/>
      <c r="F20" s="783" t="e">
        <f t="shared" si="0"/>
        <v>#DIV/0!</v>
      </c>
      <c r="G20" s="780" t="e">
        <f t="shared" si="1"/>
        <v>#DIV/0!</v>
      </c>
      <c r="H20" s="875" t="e">
        <f t="shared" si="2"/>
        <v>#DIV/0!</v>
      </c>
      <c r="I20" s="867" t="e">
        <f t="shared" si="5"/>
        <v>#DIV/0!</v>
      </c>
      <c r="J20" s="850"/>
      <c r="K20" s="940" t="e">
        <f t="shared" si="3"/>
        <v>#DIV/0!</v>
      </c>
      <c r="L20" s="853">
        <f t="shared" si="4"/>
        <v>0</v>
      </c>
      <c r="M20" s="851"/>
      <c r="N20" s="851"/>
      <c r="O20" s="851"/>
      <c r="P20" s="846">
        <v>2015</v>
      </c>
      <c r="Q20" s="511"/>
      <c r="R20" s="859"/>
      <c r="S20" s="33"/>
      <c r="T20" s="1017"/>
      <c r="U20" s="33"/>
      <c r="V20" s="33"/>
      <c r="W20" s="33"/>
      <c r="X20" s="33"/>
      <c r="Y20" s="33"/>
      <c r="Z20" s="33"/>
      <c r="AA20" s="33"/>
      <c r="AB20" s="33"/>
    </row>
    <row r="21" spans="1:28" ht="18.600000000000001" thickBot="1" x14ac:dyDescent="0.4">
      <c r="A21" s="214" t="s">
        <v>149</v>
      </c>
      <c r="B21" s="874"/>
      <c r="C21" s="579"/>
      <c r="D21" s="984"/>
      <c r="E21" s="984"/>
      <c r="F21" s="783" t="e">
        <f t="shared" si="0"/>
        <v>#DIV/0!</v>
      </c>
      <c r="G21" s="780" t="e">
        <f t="shared" si="1"/>
        <v>#DIV/0!</v>
      </c>
      <c r="H21" s="875" t="e">
        <f t="shared" si="2"/>
        <v>#DIV/0!</v>
      </c>
      <c r="I21" s="867" t="e">
        <f t="shared" si="5"/>
        <v>#DIV/0!</v>
      </c>
      <c r="J21" s="850"/>
      <c r="K21" s="854" t="e">
        <f t="shared" si="3"/>
        <v>#DIV/0!</v>
      </c>
      <c r="L21" s="853">
        <f t="shared" si="4"/>
        <v>0</v>
      </c>
      <c r="M21" s="851"/>
      <c r="N21" s="409">
        <v>2</v>
      </c>
      <c r="O21" s="851"/>
      <c r="P21" s="846">
        <v>2021</v>
      </c>
      <c r="Q21" s="511"/>
      <c r="R21" s="858">
        <v>2</v>
      </c>
      <c r="S21" s="33"/>
      <c r="T21" s="1017">
        <v>2</v>
      </c>
      <c r="U21" s="33"/>
      <c r="V21" s="33"/>
      <c r="W21" s="33"/>
      <c r="X21" s="33"/>
      <c r="Y21" s="33"/>
      <c r="Z21" s="33"/>
      <c r="AA21" s="33"/>
      <c r="AB21" s="33"/>
    </row>
    <row r="22" spans="1:28" ht="18.600000000000001" thickBot="1" x14ac:dyDescent="0.4">
      <c r="A22" s="95" t="s">
        <v>132</v>
      </c>
      <c r="B22" s="874"/>
      <c r="C22" s="579"/>
      <c r="D22" s="375"/>
      <c r="E22" s="375"/>
      <c r="F22" s="783" t="e">
        <f t="shared" si="0"/>
        <v>#DIV/0!</v>
      </c>
      <c r="G22" s="780" t="e">
        <f t="shared" si="1"/>
        <v>#DIV/0!</v>
      </c>
      <c r="H22" s="875" t="e">
        <f t="shared" si="2"/>
        <v>#DIV/0!</v>
      </c>
      <c r="I22" s="867" t="e">
        <f t="shared" si="5"/>
        <v>#DIV/0!</v>
      </c>
      <c r="J22" s="850"/>
      <c r="K22" s="942" t="e">
        <f t="shared" si="3"/>
        <v>#DIV/0!</v>
      </c>
      <c r="L22" s="853">
        <f t="shared" si="4"/>
        <v>0</v>
      </c>
      <c r="M22" s="851"/>
      <c r="N22" s="409">
        <v>-1</v>
      </c>
      <c r="O22" s="851"/>
      <c r="P22" s="846">
        <v>2019</v>
      </c>
      <c r="Q22" s="511"/>
      <c r="R22" s="858">
        <v>-1</v>
      </c>
      <c r="S22" s="33"/>
      <c r="T22" s="1017">
        <v>-1</v>
      </c>
      <c r="U22" s="33"/>
      <c r="V22" s="33"/>
      <c r="W22" s="33"/>
      <c r="X22" s="33"/>
      <c r="Y22" s="33"/>
      <c r="Z22" s="33"/>
      <c r="AA22" s="33"/>
      <c r="AB22" s="33"/>
    </row>
    <row r="23" spans="1:28" ht="18.600000000000001" thickBot="1" x14ac:dyDescent="0.4">
      <c r="A23" s="95" t="s">
        <v>16</v>
      </c>
      <c r="B23" s="874"/>
      <c r="C23" s="579"/>
      <c r="D23" s="375"/>
      <c r="E23" s="375"/>
      <c r="F23" s="783" t="e">
        <f t="shared" si="0"/>
        <v>#DIV/0!</v>
      </c>
      <c r="G23" s="780" t="e">
        <f t="shared" si="1"/>
        <v>#DIV/0!</v>
      </c>
      <c r="H23" s="875" t="e">
        <f t="shared" si="2"/>
        <v>#DIV/0!</v>
      </c>
      <c r="I23" s="867" t="e">
        <f t="shared" si="5"/>
        <v>#DIV/0!</v>
      </c>
      <c r="J23" s="850"/>
      <c r="K23" s="852" t="e">
        <f t="shared" si="3"/>
        <v>#DIV/0!</v>
      </c>
      <c r="L23" s="853">
        <f t="shared" si="4"/>
        <v>0</v>
      </c>
      <c r="M23" s="851"/>
      <c r="N23" s="851"/>
      <c r="O23" s="851"/>
      <c r="P23" s="846">
        <v>2017</v>
      </c>
      <c r="Q23" s="511"/>
      <c r="R23" s="859"/>
      <c r="S23" s="33"/>
      <c r="T23" s="1017"/>
      <c r="U23" s="33"/>
      <c r="V23" s="33"/>
      <c r="W23" s="33"/>
      <c r="X23" s="33"/>
      <c r="Y23" s="33"/>
      <c r="Z23" s="33"/>
      <c r="AA23" s="33"/>
      <c r="AB23" s="33"/>
    </row>
    <row r="24" spans="1:28" ht="18.600000000000001" thickBot="1" x14ac:dyDescent="0.4">
      <c r="A24" s="95" t="s">
        <v>6</v>
      </c>
      <c r="B24" s="874"/>
      <c r="C24" s="579"/>
      <c r="D24" s="375"/>
      <c r="E24" s="375"/>
      <c r="F24" s="783" t="e">
        <f t="shared" si="0"/>
        <v>#DIV/0!</v>
      </c>
      <c r="G24" s="780" t="e">
        <f t="shared" si="1"/>
        <v>#DIV/0!</v>
      </c>
      <c r="H24" s="875" t="e">
        <f t="shared" si="2"/>
        <v>#DIV/0!</v>
      </c>
      <c r="I24" s="867" t="e">
        <f t="shared" si="5"/>
        <v>#DIV/0!</v>
      </c>
      <c r="J24" s="850"/>
      <c r="K24" s="942" t="e">
        <f t="shared" si="3"/>
        <v>#DIV/0!</v>
      </c>
      <c r="L24" s="853">
        <f t="shared" si="4"/>
        <v>0</v>
      </c>
      <c r="M24" s="851"/>
      <c r="N24" s="409">
        <v>-1</v>
      </c>
      <c r="O24" s="851"/>
      <c r="P24" s="846">
        <v>2021</v>
      </c>
      <c r="Q24" s="511"/>
      <c r="R24" s="858">
        <v>-1</v>
      </c>
      <c r="S24" s="33"/>
      <c r="T24" s="1017">
        <v>-1</v>
      </c>
      <c r="U24" s="33"/>
      <c r="V24" s="33"/>
      <c r="W24" s="33"/>
      <c r="X24" s="33"/>
      <c r="Y24" s="33"/>
      <c r="Z24" s="33"/>
      <c r="AA24" s="33"/>
      <c r="AB24" s="33"/>
    </row>
    <row r="25" spans="1:28" ht="18.600000000000001" thickBot="1" x14ac:dyDescent="0.4">
      <c r="A25" s="95" t="s">
        <v>20</v>
      </c>
      <c r="B25" s="874"/>
      <c r="C25" s="579"/>
      <c r="D25" s="375"/>
      <c r="E25" s="375"/>
      <c r="F25" s="783" t="e">
        <f t="shared" si="0"/>
        <v>#DIV/0!</v>
      </c>
      <c r="G25" s="780" t="e">
        <f t="shared" si="1"/>
        <v>#DIV/0!</v>
      </c>
      <c r="H25" s="875" t="e">
        <f t="shared" si="2"/>
        <v>#DIV/0!</v>
      </c>
      <c r="I25" s="867" t="e">
        <f t="shared" si="5"/>
        <v>#DIV/0!</v>
      </c>
      <c r="J25" s="850"/>
      <c r="K25" s="942" t="e">
        <f t="shared" si="3"/>
        <v>#DIV/0!</v>
      </c>
      <c r="L25" s="853">
        <f t="shared" si="4"/>
        <v>0</v>
      </c>
      <c r="M25" s="851"/>
      <c r="N25" s="409">
        <v>-1</v>
      </c>
      <c r="O25" s="851"/>
      <c r="P25" s="846">
        <v>2013</v>
      </c>
      <c r="Q25" s="511"/>
      <c r="R25" s="858">
        <v>-1</v>
      </c>
      <c r="S25" s="33"/>
      <c r="T25" s="1017">
        <v>-1</v>
      </c>
      <c r="U25" s="33"/>
      <c r="V25" s="33"/>
      <c r="W25" s="33"/>
      <c r="X25" s="33"/>
      <c r="Y25" s="33"/>
      <c r="Z25" s="33"/>
      <c r="AA25" s="33"/>
      <c r="AB25" s="33"/>
    </row>
    <row r="26" spans="1:28" ht="18.600000000000001" thickBot="1" x14ac:dyDescent="0.4">
      <c r="A26" s="214" t="s">
        <v>150</v>
      </c>
      <c r="B26" s="874"/>
      <c r="C26" s="579"/>
      <c r="D26" s="984"/>
      <c r="E26" s="984"/>
      <c r="F26" s="783" t="e">
        <f t="shared" si="0"/>
        <v>#DIV/0!</v>
      </c>
      <c r="G26" s="780" t="e">
        <f t="shared" si="1"/>
        <v>#DIV/0!</v>
      </c>
      <c r="H26" s="875" t="e">
        <f t="shared" si="2"/>
        <v>#DIV/0!</v>
      </c>
      <c r="I26" s="867" t="e">
        <f t="shared" si="5"/>
        <v>#DIV/0!</v>
      </c>
      <c r="J26" s="850"/>
      <c r="K26" s="940" t="e">
        <f t="shared" si="3"/>
        <v>#DIV/0!</v>
      </c>
      <c r="L26" s="853">
        <f t="shared" si="4"/>
        <v>0</v>
      </c>
      <c r="M26" s="851"/>
      <c r="N26" s="851"/>
      <c r="O26" s="851"/>
      <c r="P26" s="846"/>
      <c r="Q26" s="511"/>
      <c r="R26" s="859"/>
      <c r="S26" s="33"/>
      <c r="T26" s="1017"/>
      <c r="U26" s="33"/>
      <c r="V26" s="33"/>
      <c r="W26" s="33"/>
      <c r="X26" s="33"/>
      <c r="Y26" s="33"/>
      <c r="Z26" s="33"/>
      <c r="AA26" s="33"/>
      <c r="AB26" s="33"/>
    </row>
    <row r="27" spans="1:28" ht="18.600000000000001" thickBot="1" x14ac:dyDescent="0.4">
      <c r="A27" s="214" t="s">
        <v>33</v>
      </c>
      <c r="B27" s="874"/>
      <c r="C27" s="579"/>
      <c r="D27" s="1018"/>
      <c r="E27" s="1018"/>
      <c r="F27" s="783" t="e">
        <f t="shared" si="0"/>
        <v>#DIV/0!</v>
      </c>
      <c r="G27" s="780" t="e">
        <f t="shared" si="1"/>
        <v>#DIV/0!</v>
      </c>
      <c r="H27" s="875" t="e">
        <f t="shared" si="2"/>
        <v>#DIV/0!</v>
      </c>
      <c r="I27" s="867" t="e">
        <f t="shared" si="5"/>
        <v>#DIV/0!</v>
      </c>
      <c r="J27" s="850"/>
      <c r="K27" s="854" t="e">
        <f t="shared" si="3"/>
        <v>#DIV/0!</v>
      </c>
      <c r="L27" s="853">
        <f t="shared" si="4"/>
        <v>0</v>
      </c>
      <c r="M27" s="851"/>
      <c r="N27" s="409">
        <v>1</v>
      </c>
      <c r="O27" s="851"/>
      <c r="P27" s="846"/>
      <c r="Q27" s="511"/>
      <c r="R27" s="858">
        <v>1</v>
      </c>
      <c r="S27" s="33"/>
      <c r="T27" s="1017">
        <v>2</v>
      </c>
      <c r="U27" s="33"/>
      <c r="V27" s="33"/>
      <c r="W27" s="33"/>
      <c r="X27" s="33"/>
      <c r="Y27" s="33"/>
      <c r="Z27" s="33"/>
      <c r="AA27" s="33"/>
      <c r="AB27" s="33"/>
    </row>
    <row r="28" spans="1:28" ht="18.600000000000001" thickBot="1" x14ac:dyDescent="0.4">
      <c r="A28" s="214" t="s">
        <v>476</v>
      </c>
      <c r="B28" s="874"/>
      <c r="C28" s="579"/>
      <c r="D28" s="1018"/>
      <c r="E28" s="1018"/>
      <c r="F28" s="783" t="e">
        <f t="shared" si="0"/>
        <v>#DIV/0!</v>
      </c>
      <c r="G28" s="780" t="e">
        <f t="shared" si="1"/>
        <v>#DIV/0!</v>
      </c>
      <c r="H28" s="875" t="e">
        <f t="shared" si="2"/>
        <v>#DIV/0!</v>
      </c>
      <c r="I28" s="867" t="e">
        <f t="shared" si="5"/>
        <v>#DIV/0!</v>
      </c>
      <c r="J28" s="850"/>
      <c r="K28" s="854" t="e">
        <f t="shared" si="3"/>
        <v>#DIV/0!</v>
      </c>
      <c r="L28" s="853">
        <f t="shared" si="4"/>
        <v>0</v>
      </c>
      <c r="M28" s="851"/>
      <c r="N28" s="409">
        <v>1</v>
      </c>
      <c r="O28" s="851"/>
      <c r="P28" s="846">
        <v>2019</v>
      </c>
      <c r="Q28" s="511"/>
      <c r="R28" s="858"/>
      <c r="S28" s="33"/>
      <c r="T28" s="1017">
        <v>2</v>
      </c>
      <c r="U28" s="33"/>
      <c r="V28" s="33"/>
      <c r="W28" s="33"/>
      <c r="X28" s="33"/>
      <c r="Y28" s="33"/>
      <c r="Z28" s="33"/>
      <c r="AA28" s="33"/>
      <c r="AB28" s="33"/>
    </row>
    <row r="29" spans="1:28" ht="18.600000000000001" thickBot="1" x14ac:dyDescent="0.4">
      <c r="A29" s="214" t="s">
        <v>151</v>
      </c>
      <c r="B29" s="874"/>
      <c r="C29" s="579"/>
      <c r="D29" s="1018"/>
      <c r="E29" s="1018"/>
      <c r="F29" s="783" t="e">
        <f t="shared" si="0"/>
        <v>#DIV/0!</v>
      </c>
      <c r="G29" s="780" t="e">
        <f t="shared" si="1"/>
        <v>#DIV/0!</v>
      </c>
      <c r="H29" s="875" t="e">
        <f t="shared" si="2"/>
        <v>#DIV/0!</v>
      </c>
      <c r="I29" s="867" t="e">
        <f t="shared" si="5"/>
        <v>#DIV/0!</v>
      </c>
      <c r="J29" s="850"/>
      <c r="K29" s="852" t="e">
        <f t="shared" si="3"/>
        <v>#DIV/0!</v>
      </c>
      <c r="L29" s="853">
        <f t="shared" si="4"/>
        <v>0</v>
      </c>
      <c r="M29" s="851"/>
      <c r="N29" s="851"/>
      <c r="O29" s="851"/>
      <c r="P29" s="846"/>
      <c r="Q29" s="511"/>
      <c r="R29" s="859"/>
      <c r="S29" s="33"/>
      <c r="T29" s="1017"/>
      <c r="U29" s="33"/>
      <c r="V29" s="33"/>
      <c r="W29" s="33"/>
      <c r="X29" s="33"/>
      <c r="Y29" s="33"/>
      <c r="Z29" s="33"/>
      <c r="AA29" s="33"/>
      <c r="AB29" s="33"/>
    </row>
    <row r="30" spans="1:28" ht="18.600000000000001" thickBot="1" x14ac:dyDescent="0.4">
      <c r="A30" s="214" t="s">
        <v>144</v>
      </c>
      <c r="B30" s="874"/>
      <c r="C30" s="579"/>
      <c r="D30" s="1018"/>
      <c r="E30" s="1018"/>
      <c r="F30" s="783" t="e">
        <f t="shared" si="0"/>
        <v>#DIV/0!</v>
      </c>
      <c r="G30" s="780" t="e">
        <f t="shared" si="1"/>
        <v>#DIV/0!</v>
      </c>
      <c r="H30" s="875" t="e">
        <f t="shared" si="2"/>
        <v>#DIV/0!</v>
      </c>
      <c r="I30" s="867" t="e">
        <f t="shared" si="5"/>
        <v>#DIV/0!</v>
      </c>
      <c r="J30" s="850"/>
      <c r="K30" s="852" t="e">
        <f t="shared" si="3"/>
        <v>#DIV/0!</v>
      </c>
      <c r="L30" s="853">
        <f t="shared" si="4"/>
        <v>0</v>
      </c>
      <c r="M30" s="851"/>
      <c r="N30" s="851"/>
      <c r="O30" s="851"/>
      <c r="P30" s="846">
        <v>2011</v>
      </c>
      <c r="Q30" s="511"/>
      <c r="R30" s="859"/>
      <c r="S30" s="33"/>
      <c r="T30" s="1017"/>
      <c r="U30" s="33"/>
      <c r="V30" s="33"/>
      <c r="W30" s="33"/>
      <c r="X30" s="33"/>
      <c r="Y30" s="33"/>
      <c r="Z30" s="33"/>
      <c r="AA30" s="33"/>
      <c r="AB30" s="33"/>
    </row>
    <row r="31" spans="1:28" ht="18.600000000000001" thickBot="1" x14ac:dyDescent="0.4">
      <c r="A31" s="214" t="s">
        <v>145</v>
      </c>
      <c r="B31" s="874"/>
      <c r="C31" s="579"/>
      <c r="D31" s="1018"/>
      <c r="E31" s="1018"/>
      <c r="F31" s="783" t="e">
        <f t="shared" si="0"/>
        <v>#DIV/0!</v>
      </c>
      <c r="G31" s="780" t="e">
        <f t="shared" si="1"/>
        <v>#DIV/0!</v>
      </c>
      <c r="H31" s="875" t="e">
        <f t="shared" si="2"/>
        <v>#DIV/0!</v>
      </c>
      <c r="I31" s="867" t="e">
        <f t="shared" si="5"/>
        <v>#DIV/0!</v>
      </c>
      <c r="J31" s="850"/>
      <c r="K31" s="942" t="e">
        <f t="shared" si="3"/>
        <v>#DIV/0!</v>
      </c>
      <c r="L31" s="853">
        <f t="shared" si="4"/>
        <v>0</v>
      </c>
      <c r="M31" s="851"/>
      <c r="N31" s="409">
        <v>-1</v>
      </c>
      <c r="O31" s="851"/>
      <c r="P31" s="846">
        <v>2009</v>
      </c>
      <c r="Q31" s="511"/>
      <c r="R31" s="858">
        <v>-1</v>
      </c>
      <c r="S31" s="33"/>
      <c r="T31" s="1017">
        <v>-1</v>
      </c>
      <c r="U31" s="33"/>
      <c r="V31" s="33"/>
      <c r="W31" s="33"/>
      <c r="X31" s="33"/>
      <c r="Y31" s="33"/>
      <c r="Z31" s="33"/>
      <c r="AA31" s="33"/>
      <c r="AB31" s="33"/>
    </row>
    <row r="32" spans="1:28" ht="18.600000000000001" thickBot="1" x14ac:dyDescent="0.4">
      <c r="A32" s="214" t="s">
        <v>152</v>
      </c>
      <c r="B32" s="874"/>
      <c r="C32" s="579"/>
      <c r="D32" s="1018"/>
      <c r="E32" s="1018"/>
      <c r="F32" s="783" t="e">
        <f t="shared" si="0"/>
        <v>#DIV/0!</v>
      </c>
      <c r="G32" s="780" t="e">
        <f t="shared" si="1"/>
        <v>#DIV/0!</v>
      </c>
      <c r="H32" s="875" t="e">
        <f t="shared" si="2"/>
        <v>#DIV/0!</v>
      </c>
      <c r="I32" s="867" t="e">
        <f t="shared" si="5"/>
        <v>#DIV/0!</v>
      </c>
      <c r="J32" s="850"/>
      <c r="K32" s="940" t="e">
        <f t="shared" si="3"/>
        <v>#DIV/0!</v>
      </c>
      <c r="L32" s="853">
        <f t="shared" si="4"/>
        <v>0</v>
      </c>
      <c r="M32" s="851"/>
      <c r="N32" s="851"/>
      <c r="O32" s="851"/>
      <c r="P32" s="846"/>
      <c r="Q32" s="511"/>
      <c r="R32" s="859"/>
      <c r="S32" s="33"/>
      <c r="T32" s="1017"/>
      <c r="U32" s="33"/>
      <c r="V32" s="33"/>
      <c r="W32" s="33"/>
      <c r="X32" s="33"/>
      <c r="Y32" s="33"/>
      <c r="Z32" s="33"/>
      <c r="AA32" s="33"/>
      <c r="AB32" s="33"/>
    </row>
    <row r="33" spans="1:28" ht="18.600000000000001" thickBot="1" x14ac:dyDescent="0.4">
      <c r="A33" s="214" t="s">
        <v>12</v>
      </c>
      <c r="B33" s="874"/>
      <c r="C33" s="579"/>
      <c r="D33" s="1018"/>
      <c r="E33" s="1018"/>
      <c r="F33" s="783" t="e">
        <f t="shared" si="0"/>
        <v>#DIV/0!</v>
      </c>
      <c r="G33" s="780" t="e">
        <f t="shared" si="1"/>
        <v>#DIV/0!</v>
      </c>
      <c r="H33" s="875" t="e">
        <f t="shared" si="2"/>
        <v>#DIV/0!</v>
      </c>
      <c r="I33" s="867" t="e">
        <f t="shared" si="5"/>
        <v>#DIV/0!</v>
      </c>
      <c r="J33" s="850"/>
      <c r="K33" s="942" t="e">
        <f t="shared" si="3"/>
        <v>#DIV/0!</v>
      </c>
      <c r="L33" s="853">
        <f t="shared" si="4"/>
        <v>0</v>
      </c>
      <c r="M33" s="851"/>
      <c r="N33" s="409">
        <v>-1</v>
      </c>
      <c r="O33" s="851"/>
      <c r="P33" s="846">
        <v>2015</v>
      </c>
      <c r="Q33" s="511"/>
      <c r="R33" s="858">
        <v>-1</v>
      </c>
      <c r="S33" s="33"/>
      <c r="T33" s="1017">
        <v>-1</v>
      </c>
      <c r="U33" s="33"/>
      <c r="V33" s="33"/>
      <c r="W33" s="33"/>
      <c r="X33" s="33"/>
      <c r="Y33" s="33"/>
      <c r="Z33" s="33"/>
      <c r="AA33" s="33"/>
      <c r="AB33" s="33"/>
    </row>
    <row r="34" spans="1:28" ht="18.600000000000001" thickBot="1" x14ac:dyDescent="0.4">
      <c r="A34" s="214" t="s">
        <v>337</v>
      </c>
      <c r="B34" s="874"/>
      <c r="C34" s="579"/>
      <c r="D34" s="1018"/>
      <c r="E34" s="1018"/>
      <c r="F34" s="783" t="e">
        <f t="shared" si="0"/>
        <v>#DIV/0!</v>
      </c>
      <c r="G34" s="780" t="e">
        <f t="shared" si="1"/>
        <v>#DIV/0!</v>
      </c>
      <c r="H34" s="875" t="e">
        <f t="shared" si="2"/>
        <v>#DIV/0!</v>
      </c>
      <c r="I34" s="867" t="e">
        <f t="shared" si="5"/>
        <v>#DIV/0!</v>
      </c>
      <c r="J34" s="850"/>
      <c r="K34" s="940" t="e">
        <f t="shared" si="3"/>
        <v>#DIV/0!</v>
      </c>
      <c r="L34" s="853">
        <f t="shared" si="4"/>
        <v>0</v>
      </c>
      <c r="M34" s="851"/>
      <c r="N34" s="851"/>
      <c r="O34" s="851"/>
      <c r="P34" s="846"/>
      <c r="Q34" s="511"/>
      <c r="R34" s="859"/>
      <c r="S34" s="33"/>
      <c r="T34" s="1017"/>
      <c r="U34" s="33"/>
      <c r="V34" s="33"/>
      <c r="W34" s="33"/>
      <c r="X34" s="33"/>
      <c r="Y34" s="33"/>
      <c r="Z34" s="33"/>
      <c r="AA34" s="33"/>
      <c r="AB34" s="33"/>
    </row>
    <row r="35" spans="1:28" ht="18.600000000000001" thickBot="1" x14ac:dyDescent="0.4">
      <c r="A35" s="95" t="s">
        <v>128</v>
      </c>
      <c r="B35" s="874"/>
      <c r="C35" s="579"/>
      <c r="D35" s="1019"/>
      <c r="E35" s="1019"/>
      <c r="F35" s="783" t="e">
        <f t="shared" si="0"/>
        <v>#DIV/0!</v>
      </c>
      <c r="G35" s="780" t="e">
        <f t="shared" si="1"/>
        <v>#DIV/0!</v>
      </c>
      <c r="H35" s="875" t="e">
        <f t="shared" si="2"/>
        <v>#DIV/0!</v>
      </c>
      <c r="I35" s="867" t="e">
        <f t="shared" si="5"/>
        <v>#DIV/0!</v>
      </c>
      <c r="J35" s="850"/>
      <c r="K35" s="852" t="e">
        <f t="shared" si="3"/>
        <v>#DIV/0!</v>
      </c>
      <c r="L35" s="853">
        <f t="shared" si="4"/>
        <v>0</v>
      </c>
      <c r="M35" s="851"/>
      <c r="N35" s="851"/>
      <c r="O35" s="851"/>
      <c r="P35" s="846">
        <v>2017</v>
      </c>
      <c r="Q35" s="511"/>
      <c r="R35" s="859"/>
      <c r="S35" s="33"/>
      <c r="T35" s="1017"/>
      <c r="U35" s="33"/>
      <c r="V35" s="33"/>
      <c r="W35" s="33"/>
      <c r="X35" s="33"/>
      <c r="Y35" s="33"/>
      <c r="Z35" s="33"/>
      <c r="AA35" s="33"/>
      <c r="AB35" s="33"/>
    </row>
    <row r="36" spans="1:28" ht="18.600000000000001" thickBot="1" x14ac:dyDescent="0.4">
      <c r="A36" s="96" t="s">
        <v>8</v>
      </c>
      <c r="B36" s="874"/>
      <c r="C36" s="579"/>
      <c r="D36" s="1019"/>
      <c r="E36" s="1019"/>
      <c r="F36" s="783" t="e">
        <f t="shared" si="0"/>
        <v>#DIV/0!</v>
      </c>
      <c r="G36" s="780" t="e">
        <f t="shared" si="1"/>
        <v>#DIV/0!</v>
      </c>
      <c r="H36" s="875" t="e">
        <f t="shared" si="2"/>
        <v>#DIV/0!</v>
      </c>
      <c r="I36" s="867" t="e">
        <f t="shared" si="5"/>
        <v>#DIV/0!</v>
      </c>
      <c r="J36" s="850"/>
      <c r="K36" s="852" t="e">
        <f t="shared" si="3"/>
        <v>#DIV/0!</v>
      </c>
      <c r="L36" s="853">
        <f t="shared" si="4"/>
        <v>0</v>
      </c>
      <c r="M36" s="851"/>
      <c r="N36" s="851"/>
      <c r="O36" s="851"/>
      <c r="P36" s="846">
        <v>2019</v>
      </c>
      <c r="Q36" s="511"/>
      <c r="R36" s="859"/>
      <c r="S36" s="33"/>
      <c r="T36" s="1017"/>
      <c r="U36" s="33"/>
      <c r="V36" s="33"/>
      <c r="W36" s="33"/>
      <c r="X36" s="33"/>
      <c r="Y36" s="33"/>
      <c r="Z36" s="33"/>
      <c r="AA36" s="33"/>
      <c r="AB36" s="33"/>
    </row>
    <row r="37" spans="1:28" ht="18.600000000000001" thickBot="1" x14ac:dyDescent="0.4">
      <c r="A37" s="95" t="s">
        <v>125</v>
      </c>
      <c r="B37" s="874"/>
      <c r="C37" s="579"/>
      <c r="D37" s="1019"/>
      <c r="E37" s="1019"/>
      <c r="F37" s="783" t="e">
        <f t="shared" si="0"/>
        <v>#DIV/0!</v>
      </c>
      <c r="G37" s="780" t="e">
        <f t="shared" si="1"/>
        <v>#DIV/0!</v>
      </c>
      <c r="H37" s="875" t="e">
        <f t="shared" si="2"/>
        <v>#DIV/0!</v>
      </c>
      <c r="I37" s="867" t="e">
        <f t="shared" si="5"/>
        <v>#DIV/0!</v>
      </c>
      <c r="J37" s="850"/>
      <c r="K37" s="852" t="e">
        <f t="shared" si="3"/>
        <v>#DIV/0!</v>
      </c>
      <c r="L37" s="853">
        <f t="shared" si="4"/>
        <v>0</v>
      </c>
      <c r="M37" s="851"/>
      <c r="N37" s="851"/>
      <c r="O37" s="851"/>
      <c r="P37" s="846">
        <v>2013</v>
      </c>
      <c r="Q37" s="511"/>
      <c r="R37" s="859"/>
      <c r="S37" s="33"/>
      <c r="T37" s="1017"/>
      <c r="U37" s="33"/>
      <c r="V37" s="33"/>
      <c r="W37" s="33"/>
      <c r="X37" s="33"/>
      <c r="Y37" s="33"/>
      <c r="Z37" s="33"/>
      <c r="AA37" s="33"/>
      <c r="AB37" s="33"/>
    </row>
    <row r="38" spans="1:28" ht="18.600000000000001" thickBot="1" x14ac:dyDescent="0.4">
      <c r="A38" s="214" t="s">
        <v>153</v>
      </c>
      <c r="B38" s="874"/>
      <c r="C38" s="579"/>
      <c r="D38" s="1018"/>
      <c r="E38" s="1018"/>
      <c r="F38" s="783" t="e">
        <f t="shared" si="0"/>
        <v>#DIV/0!</v>
      </c>
      <c r="G38" s="780" t="e">
        <f t="shared" si="1"/>
        <v>#DIV/0!</v>
      </c>
      <c r="H38" s="875" t="e">
        <f t="shared" si="2"/>
        <v>#DIV/0!</v>
      </c>
      <c r="I38" s="867" t="e">
        <f t="shared" si="5"/>
        <v>#DIV/0!</v>
      </c>
      <c r="J38" s="850"/>
      <c r="K38" s="852" t="e">
        <f t="shared" si="3"/>
        <v>#DIV/0!</v>
      </c>
      <c r="L38" s="853">
        <f t="shared" si="4"/>
        <v>0</v>
      </c>
      <c r="M38" s="851"/>
      <c r="N38" s="851"/>
      <c r="O38" s="851"/>
      <c r="P38" s="846"/>
      <c r="Q38" s="511"/>
      <c r="R38" s="859"/>
      <c r="S38" s="33"/>
      <c r="T38" s="1017"/>
      <c r="U38" s="33"/>
      <c r="V38" s="33"/>
      <c r="W38" s="33"/>
      <c r="X38" s="33"/>
      <c r="Y38" s="33"/>
      <c r="Z38" s="33"/>
      <c r="AA38" s="33"/>
      <c r="AB38" s="33"/>
    </row>
    <row r="39" spans="1:28" ht="18.600000000000001" thickBot="1" x14ac:dyDescent="0.4">
      <c r="A39" s="95" t="s">
        <v>133</v>
      </c>
      <c r="B39" s="874"/>
      <c r="C39" s="579"/>
      <c r="D39" s="1019"/>
      <c r="E39" s="1019"/>
      <c r="F39" s="783" t="e">
        <f t="shared" si="0"/>
        <v>#DIV/0!</v>
      </c>
      <c r="G39" s="780" t="e">
        <f t="shared" si="1"/>
        <v>#DIV/0!</v>
      </c>
      <c r="H39" s="875" t="e">
        <f t="shared" si="2"/>
        <v>#DIV/0!</v>
      </c>
      <c r="I39" s="867" t="e">
        <f t="shared" si="5"/>
        <v>#DIV/0!</v>
      </c>
      <c r="J39" s="850"/>
      <c r="K39" s="942" t="e">
        <f t="shared" si="3"/>
        <v>#DIV/0!</v>
      </c>
      <c r="L39" s="853">
        <f t="shared" si="4"/>
        <v>0</v>
      </c>
      <c r="M39" s="851"/>
      <c r="N39" s="409">
        <v>-1</v>
      </c>
      <c r="O39" s="851"/>
      <c r="P39" s="846"/>
      <c r="Q39" s="511"/>
      <c r="R39" s="858">
        <v>-1</v>
      </c>
      <c r="S39" s="33"/>
      <c r="T39" s="1017">
        <v>-1</v>
      </c>
      <c r="U39" s="33"/>
      <c r="V39" s="33"/>
      <c r="W39" s="33"/>
      <c r="X39" s="33"/>
      <c r="Y39" s="33"/>
      <c r="Z39" s="33"/>
      <c r="AA39" s="33"/>
      <c r="AB39" s="33"/>
    </row>
    <row r="40" spans="1:28" ht="18.600000000000001" thickBot="1" x14ac:dyDescent="0.4">
      <c r="A40" s="95" t="s">
        <v>21</v>
      </c>
      <c r="B40" s="874"/>
      <c r="C40" s="579"/>
      <c r="D40" s="1019"/>
      <c r="E40" s="1019"/>
      <c r="F40" s="783" t="e">
        <f t="shared" si="0"/>
        <v>#DIV/0!</v>
      </c>
      <c r="G40" s="780" t="e">
        <f t="shared" si="1"/>
        <v>#DIV/0!</v>
      </c>
      <c r="H40" s="875" t="e">
        <f t="shared" si="2"/>
        <v>#DIV/0!</v>
      </c>
      <c r="I40" s="867" t="e">
        <f t="shared" si="5"/>
        <v>#DIV/0!</v>
      </c>
      <c r="J40" s="850"/>
      <c r="K40" s="942" t="e">
        <f t="shared" si="3"/>
        <v>#DIV/0!</v>
      </c>
      <c r="L40" s="853">
        <f t="shared" si="4"/>
        <v>0</v>
      </c>
      <c r="M40" s="851"/>
      <c r="N40" s="409">
        <v>-1</v>
      </c>
      <c r="O40" s="851"/>
      <c r="P40" s="846">
        <v>2017</v>
      </c>
      <c r="Q40" s="511"/>
      <c r="R40" s="858">
        <v>-1</v>
      </c>
      <c r="S40" s="33"/>
      <c r="T40" s="1017">
        <v>-1</v>
      </c>
      <c r="U40" s="33"/>
      <c r="V40" s="33"/>
      <c r="W40" s="33"/>
      <c r="X40" s="33"/>
      <c r="Y40" s="33"/>
      <c r="Z40" s="33"/>
      <c r="AA40" s="33"/>
      <c r="AB40" s="33"/>
    </row>
    <row r="41" spans="1:28" ht="18.600000000000001" thickBot="1" x14ac:dyDescent="0.4">
      <c r="A41" s="214" t="s">
        <v>11</v>
      </c>
      <c r="B41" s="874"/>
      <c r="C41" s="579"/>
      <c r="D41" s="1020"/>
      <c r="E41" s="1020"/>
      <c r="F41" s="783" t="e">
        <f t="shared" si="0"/>
        <v>#DIV/0!</v>
      </c>
      <c r="G41" s="780" t="e">
        <f t="shared" si="1"/>
        <v>#DIV/0!</v>
      </c>
      <c r="H41" s="875" t="e">
        <f t="shared" si="2"/>
        <v>#DIV/0!</v>
      </c>
      <c r="I41" s="867" t="e">
        <f t="shared" si="5"/>
        <v>#DIV/0!</v>
      </c>
      <c r="J41" s="850"/>
      <c r="K41" s="942" t="e">
        <f t="shared" si="3"/>
        <v>#DIV/0!</v>
      </c>
      <c r="L41" s="853">
        <f t="shared" si="4"/>
        <v>0</v>
      </c>
      <c r="M41" s="851"/>
      <c r="N41" s="851"/>
      <c r="O41" s="851"/>
      <c r="P41" s="846"/>
      <c r="Q41" s="511"/>
      <c r="R41" s="858">
        <v>-1</v>
      </c>
      <c r="S41" s="33"/>
      <c r="T41" s="1017">
        <v>-1</v>
      </c>
      <c r="U41" s="33"/>
      <c r="V41" s="33"/>
      <c r="W41" s="33"/>
      <c r="X41" s="33"/>
      <c r="Y41" s="33"/>
      <c r="Z41" s="33"/>
      <c r="AA41" s="33"/>
      <c r="AB41" s="33"/>
    </row>
    <row r="42" spans="1:28" ht="18.600000000000001" thickBot="1" x14ac:dyDescent="0.4">
      <c r="A42" s="214" t="s">
        <v>208</v>
      </c>
      <c r="B42" s="874"/>
      <c r="C42" s="579"/>
      <c r="D42" s="1019"/>
      <c r="E42" s="1019"/>
      <c r="F42" s="783" t="e">
        <f t="shared" si="0"/>
        <v>#DIV/0!</v>
      </c>
      <c r="G42" s="780" t="e">
        <f t="shared" si="1"/>
        <v>#DIV/0!</v>
      </c>
      <c r="H42" s="875" t="e">
        <f t="shared" si="2"/>
        <v>#DIV/0!</v>
      </c>
      <c r="I42" s="867" t="e">
        <f t="shared" si="5"/>
        <v>#DIV/0!</v>
      </c>
      <c r="J42" s="850"/>
      <c r="K42" s="854" t="e">
        <f t="shared" si="3"/>
        <v>#DIV/0!</v>
      </c>
      <c r="L42" s="853">
        <f t="shared" si="4"/>
        <v>0</v>
      </c>
      <c r="M42" s="851"/>
      <c r="N42" s="409">
        <v>2</v>
      </c>
      <c r="O42" s="851"/>
      <c r="P42" s="846">
        <v>2021</v>
      </c>
      <c r="Q42" s="511"/>
      <c r="R42" s="858">
        <v>2</v>
      </c>
      <c r="S42" s="33"/>
      <c r="T42" s="1017">
        <v>2</v>
      </c>
      <c r="U42" s="33"/>
      <c r="V42" s="33"/>
      <c r="W42" s="33"/>
      <c r="X42" s="33"/>
      <c r="Y42" s="33"/>
      <c r="Z42" s="33"/>
      <c r="AA42" s="33"/>
      <c r="AB42" s="33"/>
    </row>
    <row r="43" spans="1:28" ht="18.600000000000001" thickBot="1" x14ac:dyDescent="0.4">
      <c r="A43" s="95" t="s">
        <v>7</v>
      </c>
      <c r="B43" s="874"/>
      <c r="C43" s="579"/>
      <c r="D43" s="1019"/>
      <c r="E43" s="1019"/>
      <c r="F43" s="783" t="e">
        <f t="shared" si="0"/>
        <v>#DIV/0!</v>
      </c>
      <c r="G43" s="780" t="e">
        <f t="shared" si="1"/>
        <v>#DIV/0!</v>
      </c>
      <c r="H43" s="875" t="e">
        <f t="shared" si="2"/>
        <v>#DIV/0!</v>
      </c>
      <c r="I43" s="867" t="e">
        <f t="shared" si="5"/>
        <v>#DIV/0!</v>
      </c>
      <c r="J43" s="850"/>
      <c r="K43" s="854" t="e">
        <f t="shared" si="3"/>
        <v>#DIV/0!</v>
      </c>
      <c r="L43" s="853">
        <f t="shared" si="4"/>
        <v>0</v>
      </c>
      <c r="M43" s="851"/>
      <c r="N43" s="409">
        <v>1</v>
      </c>
      <c r="O43" s="851"/>
      <c r="P43" s="846">
        <v>2019</v>
      </c>
      <c r="Q43" s="511"/>
      <c r="R43" s="858"/>
      <c r="S43" s="33"/>
      <c r="T43" s="1017">
        <v>2</v>
      </c>
      <c r="U43" s="33"/>
      <c r="V43" s="33"/>
      <c r="W43" s="33"/>
      <c r="X43" s="33"/>
      <c r="Y43" s="33"/>
      <c r="Z43" s="33"/>
      <c r="AA43" s="33"/>
      <c r="AB43" s="33"/>
    </row>
    <row r="44" spans="1:28" ht="18.600000000000001" thickBot="1" x14ac:dyDescent="0.4">
      <c r="A44" s="214" t="s">
        <v>155</v>
      </c>
      <c r="B44" s="874"/>
      <c r="C44" s="579"/>
      <c r="D44" s="1018"/>
      <c r="E44" s="1018"/>
      <c r="F44" s="783" t="e">
        <f t="shared" si="0"/>
        <v>#DIV/0!</v>
      </c>
      <c r="G44" s="780" t="e">
        <f t="shared" si="1"/>
        <v>#DIV/0!</v>
      </c>
      <c r="H44" s="875" t="e">
        <f t="shared" si="2"/>
        <v>#DIV/0!</v>
      </c>
      <c r="I44" s="867" t="e">
        <f t="shared" si="5"/>
        <v>#DIV/0!</v>
      </c>
      <c r="J44" s="850"/>
      <c r="K44" s="854" t="e">
        <f t="shared" si="3"/>
        <v>#DIV/0!</v>
      </c>
      <c r="L44" s="853">
        <f t="shared" si="4"/>
        <v>0</v>
      </c>
      <c r="M44" s="851"/>
      <c r="N44" s="409">
        <v>1</v>
      </c>
      <c r="O44" s="851"/>
      <c r="P44" s="846">
        <v>2021</v>
      </c>
      <c r="Q44" s="511"/>
      <c r="R44" s="858">
        <v>1</v>
      </c>
      <c r="S44" s="33"/>
      <c r="T44" s="1017">
        <v>1</v>
      </c>
      <c r="U44" s="33"/>
      <c r="V44" s="33"/>
      <c r="W44" s="33"/>
      <c r="X44" s="33"/>
      <c r="Y44" s="33"/>
      <c r="Z44" s="33"/>
      <c r="AA44" s="33"/>
      <c r="AB44" s="33"/>
    </row>
    <row r="45" spans="1:28" ht="18.600000000000001" thickBot="1" x14ac:dyDescent="0.4">
      <c r="A45" s="214" t="s">
        <v>156</v>
      </c>
      <c r="B45" s="874"/>
      <c r="C45" s="579"/>
      <c r="D45" s="1018"/>
      <c r="E45" s="1018"/>
      <c r="F45" s="783" t="e">
        <f t="shared" si="0"/>
        <v>#DIV/0!</v>
      </c>
      <c r="G45" s="780" t="e">
        <f t="shared" si="1"/>
        <v>#DIV/0!</v>
      </c>
      <c r="H45" s="875" t="e">
        <f t="shared" si="2"/>
        <v>#DIV/0!</v>
      </c>
      <c r="I45" s="867" t="e">
        <f t="shared" si="5"/>
        <v>#DIV/0!</v>
      </c>
      <c r="J45" s="850"/>
      <c r="K45" s="854" t="e">
        <f t="shared" si="3"/>
        <v>#DIV/0!</v>
      </c>
      <c r="L45" s="853">
        <f t="shared" si="4"/>
        <v>0</v>
      </c>
      <c r="M45" s="851"/>
      <c r="N45" s="409">
        <v>1</v>
      </c>
      <c r="O45" s="851"/>
      <c r="P45" s="846"/>
      <c r="Q45" s="511"/>
      <c r="R45" s="858">
        <v>1</v>
      </c>
      <c r="S45" s="33"/>
      <c r="T45" s="1017">
        <v>1</v>
      </c>
      <c r="U45" s="33"/>
      <c r="V45" s="33"/>
      <c r="W45" s="33"/>
      <c r="X45" s="33"/>
      <c r="Y45" s="33"/>
      <c r="Z45" s="33"/>
      <c r="AA45" s="33"/>
      <c r="AB45" s="33"/>
    </row>
    <row r="46" spans="1:28" ht="18.600000000000001" thickBot="1" x14ac:dyDescent="0.4">
      <c r="A46" s="214" t="s">
        <v>13</v>
      </c>
      <c r="B46" s="874"/>
      <c r="C46" s="579"/>
      <c r="D46" s="1018"/>
      <c r="E46" s="1018"/>
      <c r="F46" s="783" t="e">
        <f t="shared" si="0"/>
        <v>#DIV/0!</v>
      </c>
      <c r="G46" s="780" t="e">
        <f t="shared" si="1"/>
        <v>#DIV/0!</v>
      </c>
      <c r="H46" s="875" t="e">
        <f t="shared" si="2"/>
        <v>#DIV/0!</v>
      </c>
      <c r="I46" s="867" t="e">
        <f t="shared" si="5"/>
        <v>#DIV/0!</v>
      </c>
      <c r="J46" s="850"/>
      <c r="K46" s="852" t="e">
        <f t="shared" si="3"/>
        <v>#DIV/0!</v>
      </c>
      <c r="L46" s="853">
        <f t="shared" si="4"/>
        <v>0</v>
      </c>
      <c r="M46" s="851"/>
      <c r="N46" s="851"/>
      <c r="O46" s="851"/>
      <c r="P46" s="846">
        <v>2013</v>
      </c>
      <c r="Q46" s="511"/>
      <c r="R46" s="859"/>
      <c r="S46" s="33"/>
      <c r="T46" s="1017"/>
      <c r="U46" s="33"/>
      <c r="V46" s="33"/>
      <c r="W46" s="33"/>
      <c r="X46" s="33"/>
      <c r="Y46" s="33"/>
      <c r="Z46" s="33"/>
      <c r="AA46" s="33"/>
      <c r="AB46" s="33"/>
    </row>
    <row r="47" spans="1:28" ht="18.600000000000001" thickBot="1" x14ac:dyDescent="0.4">
      <c r="A47" s="214" t="s">
        <v>25</v>
      </c>
      <c r="B47" s="874"/>
      <c r="C47" s="579"/>
      <c r="D47" s="1018"/>
      <c r="E47" s="1018"/>
      <c r="F47" s="783" t="e">
        <f t="shared" si="0"/>
        <v>#DIV/0!</v>
      </c>
      <c r="G47" s="780" t="e">
        <f t="shared" si="1"/>
        <v>#DIV/0!</v>
      </c>
      <c r="H47" s="875" t="e">
        <f t="shared" si="2"/>
        <v>#DIV/0!</v>
      </c>
      <c r="I47" s="867" t="e">
        <f t="shared" si="5"/>
        <v>#DIV/0!</v>
      </c>
      <c r="J47" s="850"/>
      <c r="K47" s="852" t="e">
        <f t="shared" si="3"/>
        <v>#DIV/0!</v>
      </c>
      <c r="L47" s="853">
        <f t="shared" si="4"/>
        <v>0</v>
      </c>
      <c r="M47" s="851"/>
      <c r="N47" s="851"/>
      <c r="O47" s="851"/>
      <c r="P47" s="846"/>
      <c r="Q47" s="511"/>
      <c r="R47" s="859"/>
      <c r="S47" s="33"/>
      <c r="T47" s="1017"/>
      <c r="U47" s="33"/>
      <c r="V47" s="33"/>
      <c r="W47" s="33"/>
      <c r="X47" s="33"/>
      <c r="Y47" s="33"/>
      <c r="Z47" s="33"/>
      <c r="AA47" s="33"/>
      <c r="AB47" s="33"/>
    </row>
    <row r="48" spans="1:28" ht="18.600000000000001" thickBot="1" x14ac:dyDescent="0.4">
      <c r="A48" s="214" t="s">
        <v>472</v>
      </c>
      <c r="B48" s="874"/>
      <c r="C48" s="579"/>
      <c r="D48" s="1018"/>
      <c r="E48" s="1018"/>
      <c r="F48" s="783" t="e">
        <f t="shared" si="0"/>
        <v>#DIV/0!</v>
      </c>
      <c r="G48" s="780" t="e">
        <f t="shared" si="1"/>
        <v>#DIV/0!</v>
      </c>
      <c r="H48" s="875" t="e">
        <f t="shared" si="2"/>
        <v>#DIV/0!</v>
      </c>
      <c r="I48" s="867" t="e">
        <f t="shared" si="5"/>
        <v>#DIV/0!</v>
      </c>
      <c r="J48" s="850"/>
      <c r="K48" s="854" t="e">
        <f t="shared" si="3"/>
        <v>#DIV/0!</v>
      </c>
      <c r="L48" s="853">
        <f t="shared" si="4"/>
        <v>0</v>
      </c>
      <c r="M48" s="851"/>
      <c r="N48" s="409">
        <v>2</v>
      </c>
      <c r="O48" s="851"/>
      <c r="P48" s="846">
        <v>2013</v>
      </c>
      <c r="Q48" s="511"/>
      <c r="R48" s="858">
        <v>2</v>
      </c>
      <c r="S48" s="33"/>
      <c r="T48" s="1017">
        <v>2</v>
      </c>
      <c r="U48" s="33"/>
      <c r="V48" s="33"/>
      <c r="W48" s="33"/>
      <c r="X48" s="33"/>
      <c r="Y48" s="33"/>
      <c r="Z48" s="33"/>
      <c r="AA48" s="33"/>
      <c r="AB48" s="33"/>
    </row>
    <row r="49" spans="1:28" ht="18.600000000000001" thickBot="1" x14ac:dyDescent="0.4">
      <c r="A49" s="96" t="s">
        <v>130</v>
      </c>
      <c r="B49" s="874"/>
      <c r="C49" s="579"/>
      <c r="D49" s="1019"/>
      <c r="E49" s="1019"/>
      <c r="F49" s="783" t="e">
        <f t="shared" si="0"/>
        <v>#DIV/0!</v>
      </c>
      <c r="G49" s="780" t="e">
        <f t="shared" si="1"/>
        <v>#DIV/0!</v>
      </c>
      <c r="H49" s="875" t="e">
        <f t="shared" si="2"/>
        <v>#DIV/0!</v>
      </c>
      <c r="I49" s="867" t="e">
        <f t="shared" si="5"/>
        <v>#DIV/0!</v>
      </c>
      <c r="J49" s="850"/>
      <c r="K49" s="940" t="e">
        <f t="shared" si="3"/>
        <v>#DIV/0!</v>
      </c>
      <c r="L49" s="853">
        <f t="shared" si="4"/>
        <v>0</v>
      </c>
      <c r="M49" s="851"/>
      <c r="N49" s="851"/>
      <c r="O49" s="851"/>
      <c r="P49" s="846">
        <v>2021</v>
      </c>
      <c r="Q49" s="511"/>
      <c r="R49" s="859"/>
      <c r="S49" s="33"/>
      <c r="T49" s="1017"/>
      <c r="U49" s="33"/>
      <c r="V49" s="33"/>
      <c r="W49" s="33"/>
      <c r="X49" s="33"/>
      <c r="Y49" s="33"/>
      <c r="Z49" s="33"/>
      <c r="AA49" s="33"/>
      <c r="AB49" s="33"/>
    </row>
    <row r="50" spans="1:28" ht="18.600000000000001" thickBot="1" x14ac:dyDescent="0.4">
      <c r="A50" s="214" t="s">
        <v>19</v>
      </c>
      <c r="B50" s="874"/>
      <c r="C50" s="579"/>
      <c r="D50" s="1018"/>
      <c r="E50" s="1018"/>
      <c r="F50" s="783" t="e">
        <f t="shared" si="0"/>
        <v>#DIV/0!</v>
      </c>
      <c r="G50" s="780" t="e">
        <f t="shared" si="1"/>
        <v>#DIV/0!</v>
      </c>
      <c r="H50" s="875" t="e">
        <f t="shared" si="2"/>
        <v>#DIV/0!</v>
      </c>
      <c r="I50" s="867" t="e">
        <f t="shared" si="5"/>
        <v>#DIV/0!</v>
      </c>
      <c r="J50" s="850"/>
      <c r="K50" s="942" t="e">
        <f t="shared" si="3"/>
        <v>#DIV/0!</v>
      </c>
      <c r="L50" s="853">
        <f t="shared" si="4"/>
        <v>0</v>
      </c>
      <c r="M50" s="851"/>
      <c r="N50" s="409">
        <v>-1</v>
      </c>
      <c r="O50" s="851"/>
      <c r="P50" s="846"/>
      <c r="Q50" s="511"/>
      <c r="R50" s="858">
        <v>-1</v>
      </c>
      <c r="S50" s="33"/>
      <c r="T50" s="1017">
        <v>-1</v>
      </c>
      <c r="U50" s="33"/>
      <c r="V50" s="33"/>
      <c r="W50" s="33"/>
      <c r="X50" s="33"/>
      <c r="Y50" s="33"/>
      <c r="Z50" s="33"/>
      <c r="AA50" s="33"/>
      <c r="AB50" s="33"/>
    </row>
    <row r="51" spans="1:28" ht="18.600000000000001" thickBot="1" x14ac:dyDescent="0.4">
      <c r="A51" s="214" t="s">
        <v>211</v>
      </c>
      <c r="B51" s="874"/>
      <c r="C51" s="579"/>
      <c r="D51" s="1018"/>
      <c r="E51" s="1018"/>
      <c r="F51" s="783" t="e">
        <f t="shared" si="0"/>
        <v>#DIV/0!</v>
      </c>
      <c r="G51" s="780" t="e">
        <f t="shared" si="1"/>
        <v>#DIV/0!</v>
      </c>
      <c r="H51" s="875" t="e">
        <f t="shared" si="2"/>
        <v>#DIV/0!</v>
      </c>
      <c r="I51" s="867" t="e">
        <f t="shared" si="5"/>
        <v>#DIV/0!</v>
      </c>
      <c r="J51" s="850"/>
      <c r="K51" s="942" t="e">
        <f t="shared" si="3"/>
        <v>#DIV/0!</v>
      </c>
      <c r="L51" s="853">
        <f t="shared" si="4"/>
        <v>0</v>
      </c>
      <c r="M51" s="851"/>
      <c r="N51" s="409">
        <v>-1</v>
      </c>
      <c r="O51" s="851"/>
      <c r="P51" s="846">
        <v>2013</v>
      </c>
      <c r="Q51" s="511"/>
      <c r="R51" s="858">
        <v>-1</v>
      </c>
      <c r="S51" s="33"/>
      <c r="T51" s="1017">
        <v>-1</v>
      </c>
      <c r="U51" s="33"/>
      <c r="V51" s="33"/>
      <c r="W51" s="33"/>
      <c r="X51" s="33"/>
      <c r="Y51" s="33"/>
      <c r="Z51" s="33"/>
      <c r="AA51" s="33"/>
      <c r="AB51" s="33"/>
    </row>
    <row r="52" spans="1:28" ht="18.600000000000001" thickBot="1" x14ac:dyDescent="0.4">
      <c r="A52" s="214" t="s">
        <v>157</v>
      </c>
      <c r="B52" s="874"/>
      <c r="C52" s="579"/>
      <c r="D52" s="1018"/>
      <c r="E52" s="1018"/>
      <c r="F52" s="783" t="e">
        <f t="shared" si="0"/>
        <v>#DIV/0!</v>
      </c>
      <c r="G52" s="780" t="e">
        <f t="shared" si="1"/>
        <v>#DIV/0!</v>
      </c>
      <c r="H52" s="875" t="e">
        <f t="shared" si="2"/>
        <v>#DIV/0!</v>
      </c>
      <c r="I52" s="867" t="e">
        <f t="shared" si="5"/>
        <v>#DIV/0!</v>
      </c>
      <c r="J52" s="850"/>
      <c r="K52" s="854" t="e">
        <f t="shared" si="3"/>
        <v>#DIV/0!</v>
      </c>
      <c r="L52" s="853">
        <f t="shared" si="4"/>
        <v>0</v>
      </c>
      <c r="M52" s="851"/>
      <c r="N52" s="409">
        <v>1</v>
      </c>
      <c r="O52" s="851"/>
      <c r="P52" s="846"/>
      <c r="Q52" s="511"/>
      <c r="R52" s="858">
        <v>1</v>
      </c>
      <c r="S52" s="33"/>
      <c r="T52" s="1017">
        <v>1</v>
      </c>
      <c r="U52" s="33"/>
      <c r="V52" s="33"/>
      <c r="W52" s="33"/>
      <c r="X52" s="33"/>
      <c r="Y52" s="33"/>
      <c r="Z52" s="33"/>
      <c r="AA52" s="33"/>
      <c r="AB52" s="33"/>
    </row>
    <row r="53" spans="1:28" ht="18.600000000000001" thickBot="1" x14ac:dyDescent="0.4">
      <c r="A53" s="95" t="s">
        <v>126</v>
      </c>
      <c r="B53" s="874"/>
      <c r="C53" s="579"/>
      <c r="D53" s="1019"/>
      <c r="E53" s="1019"/>
      <c r="F53" s="783" t="e">
        <f t="shared" si="0"/>
        <v>#DIV/0!</v>
      </c>
      <c r="G53" s="780" t="e">
        <f t="shared" si="1"/>
        <v>#DIV/0!</v>
      </c>
      <c r="H53" s="875" t="e">
        <f t="shared" si="2"/>
        <v>#DIV/0!</v>
      </c>
      <c r="I53" s="867" t="e">
        <f t="shared" si="5"/>
        <v>#DIV/0!</v>
      </c>
      <c r="J53" s="850"/>
      <c r="K53" s="852" t="e">
        <f t="shared" si="3"/>
        <v>#DIV/0!</v>
      </c>
      <c r="L53" s="853">
        <f t="shared" si="4"/>
        <v>0</v>
      </c>
      <c r="M53" s="851"/>
      <c r="N53" s="851"/>
      <c r="O53" s="851"/>
      <c r="P53" s="846">
        <v>2013</v>
      </c>
      <c r="Q53" s="511"/>
      <c r="R53" s="859"/>
      <c r="S53" s="33"/>
      <c r="T53" s="1017"/>
      <c r="U53" s="33"/>
      <c r="V53" s="33"/>
      <c r="W53" s="33"/>
      <c r="X53" s="33"/>
      <c r="Y53" s="33"/>
      <c r="Z53" s="33"/>
      <c r="AA53" s="33"/>
      <c r="AB53" s="33"/>
    </row>
    <row r="54" spans="1:28" ht="18.600000000000001" thickBot="1" x14ac:dyDescent="0.4">
      <c r="A54" s="214" t="s">
        <v>158</v>
      </c>
      <c r="B54" s="874"/>
      <c r="C54" s="579"/>
      <c r="D54" s="1018"/>
      <c r="E54" s="1018"/>
      <c r="F54" s="783" t="e">
        <f t="shared" si="0"/>
        <v>#DIV/0!</v>
      </c>
      <c r="G54" s="780" t="e">
        <f t="shared" si="1"/>
        <v>#DIV/0!</v>
      </c>
      <c r="H54" s="875" t="e">
        <f t="shared" si="2"/>
        <v>#DIV/0!</v>
      </c>
      <c r="I54" s="867" t="e">
        <f t="shared" si="5"/>
        <v>#DIV/0!</v>
      </c>
      <c r="J54" s="850"/>
      <c r="K54" s="852" t="e">
        <f t="shared" si="3"/>
        <v>#DIV/0!</v>
      </c>
      <c r="L54" s="853">
        <f t="shared" si="4"/>
        <v>0</v>
      </c>
      <c r="M54" s="851"/>
      <c r="N54" s="851"/>
      <c r="O54" s="851"/>
      <c r="P54" s="846"/>
      <c r="Q54" s="511"/>
      <c r="R54" s="859"/>
      <c r="S54" s="33"/>
      <c r="T54" s="1017"/>
      <c r="U54" s="33"/>
      <c r="V54" s="33"/>
      <c r="W54" s="33"/>
      <c r="X54" s="33"/>
      <c r="Y54" s="33"/>
      <c r="Z54" s="33"/>
      <c r="AA54" s="33"/>
      <c r="AB54" s="33"/>
    </row>
    <row r="55" spans="1:28" ht="18.600000000000001" thickBot="1" x14ac:dyDescent="0.4">
      <c r="A55" s="214" t="s">
        <v>213</v>
      </c>
      <c r="B55" s="874"/>
      <c r="C55" s="579"/>
      <c r="D55" s="1019"/>
      <c r="E55" s="1019"/>
      <c r="F55" s="783" t="e">
        <f t="shared" si="0"/>
        <v>#DIV/0!</v>
      </c>
      <c r="G55" s="780" t="e">
        <f t="shared" si="1"/>
        <v>#DIV/0!</v>
      </c>
      <c r="H55" s="875" t="e">
        <f t="shared" si="2"/>
        <v>#DIV/0!</v>
      </c>
      <c r="I55" s="867" t="e">
        <f t="shared" si="5"/>
        <v>#DIV/0!</v>
      </c>
      <c r="J55" s="850"/>
      <c r="K55" s="852" t="e">
        <f t="shared" si="3"/>
        <v>#DIV/0!</v>
      </c>
      <c r="L55" s="853">
        <f t="shared" si="4"/>
        <v>0</v>
      </c>
      <c r="M55" s="851"/>
      <c r="N55" s="851"/>
      <c r="O55" s="851"/>
      <c r="P55" s="846">
        <v>2009</v>
      </c>
      <c r="Q55" s="511"/>
      <c r="R55" s="859"/>
      <c r="S55" s="33"/>
      <c r="T55" s="1017"/>
      <c r="U55" s="33"/>
      <c r="V55" s="33"/>
      <c r="W55" s="33"/>
      <c r="X55" s="33"/>
      <c r="Y55" s="33"/>
      <c r="Z55" s="33"/>
      <c r="AA55" s="33"/>
      <c r="AB55" s="33"/>
    </row>
    <row r="56" spans="1:28" ht="18.600000000000001" thickBot="1" x14ac:dyDescent="0.4">
      <c r="A56" s="214" t="s">
        <v>159</v>
      </c>
      <c r="B56" s="874"/>
      <c r="C56" s="579"/>
      <c r="D56" s="1018"/>
      <c r="E56" s="1018"/>
      <c r="F56" s="783" t="e">
        <f t="shared" si="0"/>
        <v>#DIV/0!</v>
      </c>
      <c r="G56" s="780" t="e">
        <f t="shared" si="1"/>
        <v>#DIV/0!</v>
      </c>
      <c r="H56" s="875" t="e">
        <f t="shared" si="2"/>
        <v>#DIV/0!</v>
      </c>
      <c r="I56" s="867" t="e">
        <f t="shared" si="5"/>
        <v>#DIV/0!</v>
      </c>
      <c r="J56" s="850"/>
      <c r="K56" s="854" t="e">
        <f t="shared" si="3"/>
        <v>#DIV/0!</v>
      </c>
      <c r="L56" s="853">
        <f t="shared" si="4"/>
        <v>0</v>
      </c>
      <c r="M56" s="851"/>
      <c r="N56" s="409">
        <v>1</v>
      </c>
      <c r="O56" s="851"/>
      <c r="P56" s="846"/>
      <c r="Q56" s="511"/>
      <c r="R56" s="858">
        <v>1</v>
      </c>
      <c r="S56" s="33"/>
      <c r="T56" s="1017">
        <v>1</v>
      </c>
      <c r="U56" s="33"/>
      <c r="V56" s="33"/>
      <c r="W56" s="33"/>
      <c r="X56" s="33"/>
      <c r="Y56" s="33"/>
      <c r="Z56" s="33"/>
      <c r="AA56" s="33"/>
      <c r="AB56" s="33"/>
    </row>
    <row r="57" spans="1:28" ht="18.600000000000001" thickBot="1" x14ac:dyDescent="0.4">
      <c r="A57" s="95" t="s">
        <v>23</v>
      </c>
      <c r="B57" s="874"/>
      <c r="C57" s="579"/>
      <c r="D57" s="1018"/>
      <c r="E57" s="1018"/>
      <c r="F57" s="783" t="e">
        <f t="shared" si="0"/>
        <v>#DIV/0!</v>
      </c>
      <c r="G57" s="780" t="e">
        <f t="shared" si="1"/>
        <v>#DIV/0!</v>
      </c>
      <c r="H57" s="875" t="e">
        <f t="shared" si="2"/>
        <v>#DIV/0!</v>
      </c>
      <c r="I57" s="867" t="e">
        <f t="shared" si="5"/>
        <v>#DIV/0!</v>
      </c>
      <c r="J57" s="850"/>
      <c r="K57" s="942" t="e">
        <f t="shared" si="3"/>
        <v>#DIV/0!</v>
      </c>
      <c r="L57" s="853">
        <f t="shared" si="4"/>
        <v>0</v>
      </c>
      <c r="M57" s="851"/>
      <c r="N57" s="409">
        <v>-1</v>
      </c>
      <c r="O57" s="851"/>
      <c r="P57" s="846"/>
      <c r="Q57" s="511"/>
      <c r="R57" s="858">
        <v>-1</v>
      </c>
      <c r="S57" s="33"/>
      <c r="T57" s="1017">
        <v>-1</v>
      </c>
      <c r="U57" s="33"/>
      <c r="V57" s="33"/>
      <c r="W57" s="33"/>
      <c r="X57" s="33"/>
      <c r="Y57" s="33"/>
      <c r="Z57" s="33"/>
      <c r="AA57" s="33"/>
      <c r="AB57" s="33"/>
    </row>
    <row r="58" spans="1:28" ht="18.600000000000001" thickBot="1" x14ac:dyDescent="0.4">
      <c r="A58" s="214" t="s">
        <v>160</v>
      </c>
      <c r="B58" s="874"/>
      <c r="C58" s="579"/>
      <c r="D58" s="1018"/>
      <c r="E58" s="1018"/>
      <c r="F58" s="783" t="e">
        <f t="shared" si="0"/>
        <v>#DIV/0!</v>
      </c>
      <c r="G58" s="780" t="e">
        <f t="shared" si="1"/>
        <v>#DIV/0!</v>
      </c>
      <c r="H58" s="875" t="e">
        <f t="shared" si="2"/>
        <v>#DIV/0!</v>
      </c>
      <c r="I58" s="867" t="e">
        <f t="shared" si="5"/>
        <v>#DIV/0!</v>
      </c>
      <c r="J58" s="850"/>
      <c r="K58" s="854" t="e">
        <f t="shared" si="3"/>
        <v>#DIV/0!</v>
      </c>
      <c r="L58" s="853">
        <f t="shared" si="4"/>
        <v>0</v>
      </c>
      <c r="M58" s="851"/>
      <c r="N58" s="409">
        <v>1</v>
      </c>
      <c r="O58" s="851"/>
      <c r="P58" s="846"/>
      <c r="Q58" s="511"/>
      <c r="R58" s="858">
        <v>1</v>
      </c>
      <c r="S58" s="33"/>
      <c r="T58" s="1017">
        <v>1</v>
      </c>
      <c r="U58" s="33"/>
      <c r="V58" s="33"/>
      <c r="W58" s="33"/>
      <c r="X58" s="33"/>
      <c r="Y58" s="33"/>
      <c r="Z58" s="33"/>
      <c r="AA58" s="33"/>
      <c r="AB58" s="33"/>
    </row>
    <row r="59" spans="1:28" ht="18.600000000000001" thickBot="1" x14ac:dyDescent="0.4">
      <c r="A59" s="214" t="s">
        <v>338</v>
      </c>
      <c r="B59" s="874"/>
      <c r="C59" s="579"/>
      <c r="D59" s="1018"/>
      <c r="E59" s="1018"/>
      <c r="F59" s="783" t="e">
        <f t="shared" si="0"/>
        <v>#DIV/0!</v>
      </c>
      <c r="G59" s="780" t="e">
        <f t="shared" si="1"/>
        <v>#DIV/0!</v>
      </c>
      <c r="H59" s="875" t="e">
        <f t="shared" si="2"/>
        <v>#DIV/0!</v>
      </c>
      <c r="I59" s="867" t="e">
        <f t="shared" si="5"/>
        <v>#DIV/0!</v>
      </c>
      <c r="J59" s="850"/>
      <c r="K59" s="854" t="e">
        <f t="shared" si="3"/>
        <v>#DIV/0!</v>
      </c>
      <c r="L59" s="853">
        <f t="shared" si="4"/>
        <v>0</v>
      </c>
      <c r="M59" s="851"/>
      <c r="N59" s="409">
        <v>1</v>
      </c>
      <c r="O59" s="851"/>
      <c r="P59" s="846"/>
      <c r="Q59" s="511"/>
      <c r="R59" s="858">
        <v>1</v>
      </c>
      <c r="S59" s="33"/>
      <c r="T59" s="1017">
        <v>1</v>
      </c>
      <c r="U59" s="33"/>
      <c r="V59" s="33"/>
      <c r="W59" s="33"/>
      <c r="X59" s="33"/>
      <c r="Y59" s="33"/>
      <c r="Z59" s="33"/>
      <c r="AA59" s="33"/>
      <c r="AB59" s="33"/>
    </row>
    <row r="60" spans="1:28" ht="18.600000000000001" thickBot="1" x14ac:dyDescent="0.4">
      <c r="A60" s="214" t="s">
        <v>384</v>
      </c>
      <c r="B60" s="874"/>
      <c r="C60" s="579"/>
      <c r="D60" s="1018"/>
      <c r="E60" s="1018"/>
      <c r="F60" s="783" t="e">
        <f t="shared" si="0"/>
        <v>#DIV/0!</v>
      </c>
      <c r="G60" s="780" t="e">
        <f t="shared" si="1"/>
        <v>#DIV/0!</v>
      </c>
      <c r="H60" s="875" t="e">
        <f t="shared" si="2"/>
        <v>#DIV/0!</v>
      </c>
      <c r="I60" s="867" t="e">
        <f t="shared" si="5"/>
        <v>#DIV/0!</v>
      </c>
      <c r="J60" s="850"/>
      <c r="K60" s="854" t="e">
        <f t="shared" si="3"/>
        <v>#DIV/0!</v>
      </c>
      <c r="L60" s="853">
        <f t="shared" si="4"/>
        <v>0</v>
      </c>
      <c r="M60" s="851"/>
      <c r="N60" s="409">
        <v>2</v>
      </c>
      <c r="O60" s="851"/>
      <c r="P60" s="846">
        <v>2021</v>
      </c>
      <c r="Q60" s="511"/>
      <c r="R60" s="858">
        <v>2</v>
      </c>
      <c r="S60" s="33"/>
      <c r="T60" s="1017">
        <v>2</v>
      </c>
      <c r="U60" s="33"/>
      <c r="V60" s="33"/>
      <c r="W60" s="33"/>
      <c r="X60" s="33"/>
      <c r="Y60" s="33"/>
      <c r="Z60" s="33"/>
      <c r="AA60" s="33"/>
      <c r="AB60" s="33"/>
    </row>
    <row r="61" spans="1:28" ht="18.600000000000001" thickBot="1" x14ac:dyDescent="0.4">
      <c r="A61" s="95" t="s">
        <v>142</v>
      </c>
      <c r="B61" s="874"/>
      <c r="C61" s="579"/>
      <c r="D61" s="377"/>
      <c r="E61" s="377"/>
      <c r="F61" s="783" t="e">
        <f t="shared" si="0"/>
        <v>#DIV/0!</v>
      </c>
      <c r="G61" s="780" t="e">
        <f t="shared" si="1"/>
        <v>#DIV/0!</v>
      </c>
      <c r="H61" s="875" t="e">
        <f t="shared" si="2"/>
        <v>#DIV/0!</v>
      </c>
      <c r="I61" s="867" t="e">
        <f t="shared" si="5"/>
        <v>#DIV/0!</v>
      </c>
      <c r="J61" s="850"/>
      <c r="K61" s="855" t="e">
        <f t="shared" si="3"/>
        <v>#DIV/0!</v>
      </c>
      <c r="L61" s="853">
        <f t="shared" si="4"/>
        <v>0</v>
      </c>
      <c r="M61" s="851"/>
      <c r="N61" s="409">
        <v>1</v>
      </c>
      <c r="O61" s="851"/>
      <c r="P61" s="846">
        <v>2019</v>
      </c>
      <c r="Q61" s="511"/>
      <c r="R61" s="859"/>
      <c r="S61" s="33"/>
      <c r="T61" s="1017">
        <v>1</v>
      </c>
      <c r="U61" s="33"/>
      <c r="V61" s="33"/>
      <c r="W61" s="33"/>
      <c r="X61" s="33"/>
      <c r="Y61" s="33"/>
      <c r="Z61" s="33"/>
      <c r="AA61" s="33"/>
      <c r="AB61" s="33"/>
    </row>
    <row r="62" spans="1:28" ht="18.600000000000001" thickBot="1" x14ac:dyDescent="0.4">
      <c r="A62" s="95" t="s">
        <v>214</v>
      </c>
      <c r="B62" s="874"/>
      <c r="C62" s="579"/>
      <c r="D62" s="377"/>
      <c r="E62" s="377"/>
      <c r="F62" s="783" t="e">
        <f t="shared" si="0"/>
        <v>#DIV/0!</v>
      </c>
      <c r="G62" s="780" t="e">
        <f t="shared" si="1"/>
        <v>#DIV/0!</v>
      </c>
      <c r="H62" s="875" t="e">
        <f t="shared" si="2"/>
        <v>#DIV/0!</v>
      </c>
      <c r="I62" s="867" t="e">
        <f t="shared" si="5"/>
        <v>#DIV/0!</v>
      </c>
      <c r="J62" s="850"/>
      <c r="K62" s="852" t="e">
        <f t="shared" si="3"/>
        <v>#DIV/0!</v>
      </c>
      <c r="L62" s="853">
        <f t="shared" si="4"/>
        <v>0</v>
      </c>
      <c r="M62" s="851"/>
      <c r="N62" s="851"/>
      <c r="O62" s="851"/>
      <c r="P62" s="846">
        <v>2017</v>
      </c>
      <c r="Q62" s="511"/>
      <c r="R62" s="859"/>
      <c r="S62" s="33"/>
      <c r="T62" s="1017"/>
      <c r="U62" s="33"/>
      <c r="V62" s="33"/>
      <c r="W62" s="33"/>
      <c r="X62" s="33"/>
      <c r="Y62" s="33"/>
      <c r="Z62" s="33"/>
      <c r="AA62" s="33"/>
      <c r="AB62" s="33"/>
    </row>
    <row r="63" spans="1:28" ht="18.600000000000001" thickBot="1" x14ac:dyDescent="0.4">
      <c r="A63" s="165" t="s">
        <v>215</v>
      </c>
      <c r="B63" s="876"/>
      <c r="C63" s="877"/>
      <c r="D63" s="983"/>
      <c r="E63" s="983"/>
      <c r="F63" s="784" t="e">
        <f t="shared" si="0"/>
        <v>#DIV/0!</v>
      </c>
      <c r="G63" s="781" t="e">
        <f t="shared" si="1"/>
        <v>#DIV/0!</v>
      </c>
      <c r="H63" s="878" t="e">
        <f t="shared" si="2"/>
        <v>#DIV/0!</v>
      </c>
      <c r="I63" s="867" t="e">
        <f t="shared" si="5"/>
        <v>#DIV/0!</v>
      </c>
      <c r="J63" s="856"/>
      <c r="K63" s="941" t="e">
        <f t="shared" si="3"/>
        <v>#DIV/0!</v>
      </c>
      <c r="L63" s="857">
        <f t="shared" si="4"/>
        <v>0</v>
      </c>
      <c r="M63" s="664"/>
      <c r="N63" s="664"/>
      <c r="O63" s="664"/>
      <c r="P63" s="847">
        <v>2017</v>
      </c>
      <c r="Q63" s="807"/>
      <c r="R63" s="860"/>
      <c r="S63" s="33"/>
      <c r="T63" s="1017"/>
      <c r="U63" s="33"/>
      <c r="V63" s="33"/>
      <c r="W63" s="33"/>
      <c r="X63" s="33"/>
      <c r="Y63" s="33"/>
      <c r="Z63" s="33"/>
      <c r="AA63" s="33"/>
      <c r="AB63" s="33"/>
    </row>
    <row r="66" spans="6:7" x14ac:dyDescent="0.35">
      <c r="F66" s="1" t="s">
        <v>350</v>
      </c>
      <c r="G66" s="7">
        <f>COUNTIF(F$7:F$63,"&lt;.1")</f>
        <v>0</v>
      </c>
    </row>
    <row r="67" spans="6:7" x14ac:dyDescent="0.35">
      <c r="F67" s="1" t="s">
        <v>349</v>
      </c>
      <c r="G67" s="7">
        <f>COUNTIF(F$7:F$63,"&lt;.25")-G66</f>
        <v>0</v>
      </c>
    </row>
    <row r="68" spans="6:7" x14ac:dyDescent="0.35">
      <c r="F68" s="1" t="s">
        <v>343</v>
      </c>
      <c r="G68" s="7">
        <f>COUNTIF(F$7:F$63,"&lt;.5")-G67-G66</f>
        <v>0</v>
      </c>
    </row>
    <row r="69" spans="6:7" x14ac:dyDescent="0.35">
      <c r="F69" s="1" t="s">
        <v>344</v>
      </c>
      <c r="G69" s="7">
        <f>COUNTIF(F$7:F$63,"&lt;.75")-G68-G67-G66</f>
        <v>0</v>
      </c>
    </row>
    <row r="70" spans="6:7" x14ac:dyDescent="0.35">
      <c r="F70" s="1" t="s">
        <v>345</v>
      </c>
      <c r="G70" s="7">
        <f>COUNTIF(F$7:F$63,"&lt;1")-G69-G68-G67-G66</f>
        <v>0</v>
      </c>
    </row>
    <row r="71" spans="6:7" x14ac:dyDescent="0.35">
      <c r="F71" s="1" t="s">
        <v>346</v>
      </c>
      <c r="G71" s="7">
        <f>COUNTIF(F$7:F$63,"&gt;1")</f>
        <v>0</v>
      </c>
    </row>
    <row r="72" spans="6:7" x14ac:dyDescent="0.35">
      <c r="G72" s="727">
        <f>SUM(G66:G71)</f>
        <v>0</v>
      </c>
    </row>
  </sheetData>
  <sortState ref="A6:R62">
    <sortCondition ref="A6"/>
  </sortState>
  <conditionalFormatting sqref="F7:F63">
    <cfRule type="colorScale" priority="2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G7:G63">
    <cfRule type="colorScale" priority="1">
      <colorScale>
        <cfvo type="min"/>
        <cfvo type="percentile" val="50"/>
        <cfvo type="max"/>
        <color rgb="FF7AC88E"/>
        <color rgb="FFFFEB84"/>
        <color rgb="FFF97B7E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1FF"/>
  </sheetPr>
  <dimension ref="A1:AB75"/>
  <sheetViews>
    <sheetView zoomScaleNormal="100" workbookViewId="0">
      <pane xSplit="4" ySplit="7" topLeftCell="E8" activePane="bottomRight" state="frozen"/>
      <selection activeCell="F52" sqref="F52"/>
      <selection pane="topRight" activeCell="F52" sqref="F52"/>
      <selection pane="bottomLeft" activeCell="F52" sqref="F52"/>
      <selection pane="bottomRight" activeCell="B39" sqref="B39"/>
    </sheetView>
  </sheetViews>
  <sheetFormatPr defaultColWidth="9.109375" defaultRowHeight="18" x14ac:dyDescent="0.35"/>
  <cols>
    <col min="1" max="1" width="35.109375" style="1186" customWidth="1"/>
    <col min="2" max="2" width="7.33203125" style="13" customWidth="1"/>
    <col min="3" max="3" width="5.88671875" style="23" customWidth="1"/>
    <col min="4" max="4" width="6.33203125" style="1189" customWidth="1"/>
    <col min="5" max="5" width="8.6640625" style="1022" customWidth="1"/>
    <col min="6" max="6" width="8.5546875" style="1027" customWidth="1"/>
    <col min="7" max="7" width="11.33203125" style="1027" customWidth="1"/>
    <col min="8" max="9" width="9.5546875" style="1027" customWidth="1"/>
    <col min="10" max="10" width="13.33203125" style="1027" customWidth="1"/>
    <col min="11" max="11" width="10.33203125" style="1027" customWidth="1"/>
    <col min="12" max="12" width="10.44140625" style="1187" customWidth="1"/>
    <col min="13" max="13" width="8.6640625" style="1188" customWidth="1"/>
    <col min="14" max="14" width="13.44140625" style="1027" customWidth="1"/>
    <col min="15" max="15" width="10.6640625" style="1027" customWidth="1"/>
    <col min="16" max="16" width="10.33203125" style="1188" customWidth="1"/>
    <col min="17" max="17" width="6.5546875" style="1027" bestFit="1" customWidth="1"/>
    <col min="18" max="18" width="9.6640625" style="1027" customWidth="1"/>
    <col min="19" max="20" width="7.44140625" style="1027" customWidth="1"/>
    <col min="21" max="21" width="9.33203125" style="1027" customWidth="1"/>
    <col min="22" max="22" width="2.88671875" style="1027" customWidth="1"/>
    <col min="23" max="23" width="26.6640625" style="1062" bestFit="1" customWidth="1"/>
    <col min="24" max="16384" width="9.109375" style="1027"/>
  </cols>
  <sheetData>
    <row r="1" spans="1:28" x14ac:dyDescent="0.35">
      <c r="A1" s="1021" t="s">
        <v>422</v>
      </c>
      <c r="B1" s="155"/>
      <c r="C1" s="495"/>
      <c r="D1" s="447"/>
      <c r="F1" s="1023"/>
      <c r="G1" s="1023"/>
      <c r="H1" s="1023"/>
      <c r="I1" s="1023"/>
      <c r="J1" s="1023"/>
      <c r="K1" s="1023"/>
      <c r="L1" s="1024"/>
      <c r="M1" s="1025"/>
      <c r="N1" s="1023"/>
      <c r="O1" s="1023"/>
      <c r="P1" s="1025"/>
      <c r="Q1" s="1023"/>
      <c r="R1" s="1023"/>
      <c r="S1" s="1023"/>
      <c r="T1" s="1023"/>
      <c r="U1" s="1023"/>
      <c r="V1" s="1023"/>
      <c r="W1" s="1026"/>
      <c r="X1" s="1023"/>
      <c r="Y1" s="1023"/>
      <c r="AB1" s="1028" t="s">
        <v>423</v>
      </c>
    </row>
    <row r="2" spans="1:28" s="1038" customFormat="1" ht="18.600000000000001" customHeight="1" x14ac:dyDescent="0.3">
      <c r="A2" s="1029" t="s">
        <v>424</v>
      </c>
      <c r="B2" s="1030"/>
      <c r="C2" s="1031"/>
      <c r="D2" s="1032"/>
      <c r="E2" s="1033"/>
      <c r="F2" s="1034"/>
      <c r="G2" s="1034"/>
      <c r="H2" s="1034"/>
      <c r="I2" s="1034"/>
      <c r="J2" s="1034"/>
      <c r="K2" s="1034"/>
      <c r="L2" s="1035"/>
      <c r="M2" s="1036"/>
      <c r="N2" s="1034"/>
      <c r="O2" s="1034"/>
      <c r="P2" s="1036"/>
      <c r="Q2" s="1034"/>
      <c r="R2" s="1034"/>
      <c r="S2" s="1034"/>
      <c r="T2" s="1034"/>
      <c r="U2" s="1034"/>
      <c r="V2" s="1034"/>
      <c r="W2" s="1037"/>
      <c r="X2" s="1034"/>
      <c r="Y2" s="1034"/>
    </row>
    <row r="3" spans="1:28" ht="18.600000000000001" thickBot="1" x14ac:dyDescent="0.4">
      <c r="A3" s="1039"/>
      <c r="B3" s="1040" t="s">
        <v>425</v>
      </c>
      <c r="C3" s="1041"/>
      <c r="D3" s="1040"/>
      <c r="E3" s="1041"/>
      <c r="F3" s="1042" t="s">
        <v>426</v>
      </c>
      <c r="G3" s="1043"/>
      <c r="H3" s="1044"/>
      <c r="I3" s="1043"/>
      <c r="J3" s="1043"/>
      <c r="K3" s="1043"/>
      <c r="L3" s="1045"/>
      <c r="M3" s="1046" t="s">
        <v>427</v>
      </c>
      <c r="N3" s="1047"/>
      <c r="O3" s="1047"/>
      <c r="P3" s="1048"/>
      <c r="Q3" s="1049" t="s">
        <v>428</v>
      </c>
      <c r="R3" s="1050"/>
      <c r="S3" s="1050"/>
      <c r="T3" s="1050"/>
      <c r="U3" s="1051"/>
      <c r="V3" s="1023"/>
      <c r="W3" s="1026"/>
      <c r="X3" s="1023"/>
      <c r="Y3" s="1023"/>
    </row>
    <row r="4" spans="1:28" s="1062" customFormat="1" ht="15.6" x14ac:dyDescent="0.3">
      <c r="A4" s="1052"/>
      <c r="B4" s="162"/>
      <c r="C4" s="1053"/>
      <c r="D4" s="1054"/>
      <c r="E4" s="1055"/>
      <c r="F4" s="1056"/>
      <c r="G4" s="1190" t="s">
        <v>448</v>
      </c>
      <c r="H4" s="1056"/>
      <c r="I4" s="1056"/>
      <c r="J4" s="1056"/>
      <c r="K4" s="1056"/>
      <c r="L4" s="1057" t="s">
        <v>69</v>
      </c>
      <c r="M4" s="1058"/>
      <c r="N4" s="1058"/>
      <c r="O4" s="1058"/>
      <c r="P4" s="1059" t="s">
        <v>69</v>
      </c>
      <c r="Q4" s="1060"/>
      <c r="R4" s="1060"/>
      <c r="S4" s="1060"/>
      <c r="T4" s="1060"/>
      <c r="U4" s="1061"/>
      <c r="V4" s="1026"/>
      <c r="W4" s="1026"/>
      <c r="X4" s="1026"/>
      <c r="Y4" s="1026"/>
    </row>
    <row r="5" spans="1:28" s="1062" customFormat="1" ht="15.6" x14ac:dyDescent="0.3">
      <c r="A5" s="1063"/>
      <c r="B5" s="543" t="s">
        <v>68</v>
      </c>
      <c r="C5" s="1064"/>
      <c r="D5" s="1054"/>
      <c r="E5" s="1055"/>
      <c r="F5" s="1065"/>
      <c r="G5" s="1191" t="s">
        <v>449</v>
      </c>
      <c r="H5" s="1065"/>
      <c r="I5" s="1065"/>
      <c r="J5" s="1056"/>
      <c r="K5" s="1056"/>
      <c r="L5" s="1066" t="s">
        <v>429</v>
      </c>
      <c r="M5" s="1067"/>
      <c r="N5" s="1058"/>
      <c r="O5" s="1058"/>
      <c r="P5" s="1068" t="s">
        <v>429</v>
      </c>
      <c r="Q5" s="1060"/>
      <c r="R5" s="1060"/>
      <c r="S5" s="1060"/>
      <c r="T5" s="1060"/>
      <c r="U5" s="1061"/>
      <c r="V5" s="1026"/>
      <c r="W5" s="1026"/>
      <c r="X5" s="1026"/>
      <c r="Y5" s="1026"/>
    </row>
    <row r="6" spans="1:28" s="1062" customFormat="1" ht="16.2" thickBot="1" x14ac:dyDescent="0.35">
      <c r="A6" s="1063"/>
      <c r="B6" s="541" t="s">
        <v>72</v>
      </c>
      <c r="C6" s="1069"/>
      <c r="D6" s="1070"/>
      <c r="E6" s="1071"/>
      <c r="F6" s="1072"/>
      <c r="G6" s="1192" t="s">
        <v>450</v>
      </c>
      <c r="H6" s="1073" t="s">
        <v>430</v>
      </c>
      <c r="I6" s="1074"/>
      <c r="J6" s="1075"/>
      <c r="K6" s="1076"/>
      <c r="L6" s="1077">
        <v>0.18</v>
      </c>
      <c r="M6" s="1078"/>
      <c r="N6" s="1079"/>
      <c r="O6" s="1079"/>
      <c r="P6" s="1080">
        <v>0.05</v>
      </c>
      <c r="Q6" s="1081"/>
      <c r="R6" s="1082"/>
      <c r="S6" s="1082"/>
      <c r="T6" s="1082"/>
      <c r="U6" s="1083"/>
      <c r="V6" s="1026"/>
      <c r="W6" s="1026"/>
      <c r="X6" s="1026"/>
      <c r="Y6" s="1026"/>
    </row>
    <row r="7" spans="1:28" s="1062" customFormat="1" ht="72" customHeight="1" thickBot="1" x14ac:dyDescent="0.35">
      <c r="A7" s="1084" t="s">
        <v>4</v>
      </c>
      <c r="B7" s="1085" t="s">
        <v>295</v>
      </c>
      <c r="C7" s="1086" t="s">
        <v>315</v>
      </c>
      <c r="D7" s="1087" t="s">
        <v>3</v>
      </c>
      <c r="E7" s="1088" t="s">
        <v>431</v>
      </c>
      <c r="F7" s="1089" t="s">
        <v>432</v>
      </c>
      <c r="G7" s="1090" t="s">
        <v>433</v>
      </c>
      <c r="H7" s="1091" t="s">
        <v>434</v>
      </c>
      <c r="I7" s="1092" t="s">
        <v>435</v>
      </c>
      <c r="J7" s="1093" t="s">
        <v>436</v>
      </c>
      <c r="K7" s="1094" t="s">
        <v>437</v>
      </c>
      <c r="L7" s="1095" t="s">
        <v>438</v>
      </c>
      <c r="M7" s="1096" t="s">
        <v>432</v>
      </c>
      <c r="N7" s="1097" t="s">
        <v>436</v>
      </c>
      <c r="O7" s="1097" t="s">
        <v>437</v>
      </c>
      <c r="P7" s="1098" t="s">
        <v>438</v>
      </c>
      <c r="Q7" s="1099" t="s">
        <v>439</v>
      </c>
      <c r="R7" s="1100" t="s">
        <v>440</v>
      </c>
      <c r="S7" s="1101" t="s">
        <v>441</v>
      </c>
      <c r="T7" s="1100" t="s">
        <v>442</v>
      </c>
      <c r="U7" s="1102" t="s">
        <v>443</v>
      </c>
      <c r="V7" s="1103"/>
      <c r="W7" s="1104" t="s">
        <v>325</v>
      </c>
      <c r="X7" s="1026"/>
      <c r="Y7" s="1026"/>
    </row>
    <row r="8" spans="1:28" s="1062" customFormat="1" ht="17.399999999999999" x14ac:dyDescent="0.35">
      <c r="A8" s="1322" t="s">
        <v>10</v>
      </c>
      <c r="B8" s="545">
        <v>2017</v>
      </c>
      <c r="C8" s="1323" t="s">
        <v>306</v>
      </c>
      <c r="D8" s="1105">
        <v>51</v>
      </c>
      <c r="E8" s="1055">
        <v>1.4361426224545168</v>
      </c>
      <c r="F8" s="1106">
        <v>-1</v>
      </c>
      <c r="G8" s="1107"/>
      <c r="H8" s="1108">
        <v>-3</v>
      </c>
      <c r="I8" s="1326">
        <v>0</v>
      </c>
      <c r="J8" s="1109">
        <f t="shared" ref="J8:J39" si="0">IF(G8="X",-2,I8)</f>
        <v>0</v>
      </c>
      <c r="K8" s="1110">
        <f t="shared" ref="K8:K39" si="1">J8-F8</f>
        <v>1</v>
      </c>
      <c r="L8" s="1111">
        <f t="shared" ref="L8:L39" si="2">K8*L$6</f>
        <v>0.18</v>
      </c>
      <c r="M8" s="1112">
        <v>0</v>
      </c>
      <c r="N8" s="1113">
        <f t="shared" ref="N8:N39" si="3">IF(G8="X",0,M8)</f>
        <v>0</v>
      </c>
      <c r="O8" s="1113">
        <f t="shared" ref="O8:O39" si="4">IF(G8="X",N8-M8,0)</f>
        <v>0</v>
      </c>
      <c r="P8" s="1114">
        <f t="shared" ref="P8:P39" si="5">O8*P$6</f>
        <v>0</v>
      </c>
      <c r="Q8" s="1115">
        <f t="shared" ref="Q8:Q39" si="6">E8+L8+P8</f>
        <v>1.6161426224545168</v>
      </c>
      <c r="R8" s="1116">
        <f t="shared" ref="R8:R39" si="7">Q8-E8</f>
        <v>0.17999999999999994</v>
      </c>
      <c r="S8" s="1117">
        <f t="shared" ref="S8:S39" si="8">RANK(Q8,Q$8:Q$64)</f>
        <v>52</v>
      </c>
      <c r="T8" s="1118">
        <f t="shared" ref="T8:T39" si="9">D8-S8</f>
        <v>-1</v>
      </c>
      <c r="U8" s="1119" t="str">
        <f t="shared" ref="U8:U39" si="10">IF(G8="X",AB$1," ")</f>
        <v xml:space="preserve"> </v>
      </c>
      <c r="V8" s="1120"/>
      <c r="W8" s="1121"/>
      <c r="X8" s="1026"/>
      <c r="Y8" s="1026"/>
    </row>
    <row r="9" spans="1:28" s="1062" customFormat="1" ht="17.399999999999999" x14ac:dyDescent="0.35">
      <c r="A9" s="776" t="s">
        <v>209</v>
      </c>
      <c r="B9" s="544">
        <v>2013</v>
      </c>
      <c r="C9" s="1122" t="s">
        <v>305</v>
      </c>
      <c r="D9" s="1123">
        <v>55</v>
      </c>
      <c r="E9" s="1124">
        <v>1.1396169056690901</v>
      </c>
      <c r="F9" s="1106">
        <v>0</v>
      </c>
      <c r="G9" s="1125"/>
      <c r="H9" s="1126">
        <v>-2</v>
      </c>
      <c r="I9" s="1127">
        <v>1</v>
      </c>
      <c r="J9" s="1128">
        <f t="shared" si="0"/>
        <v>1</v>
      </c>
      <c r="K9" s="1129">
        <f t="shared" si="1"/>
        <v>1</v>
      </c>
      <c r="L9" s="1130">
        <f t="shared" si="2"/>
        <v>0.18</v>
      </c>
      <c r="M9" s="1131">
        <v>0</v>
      </c>
      <c r="N9" s="1132">
        <f t="shared" si="3"/>
        <v>0</v>
      </c>
      <c r="O9" s="1132">
        <f t="shared" si="4"/>
        <v>0</v>
      </c>
      <c r="P9" s="1133">
        <f t="shared" si="5"/>
        <v>0</v>
      </c>
      <c r="Q9" s="1134">
        <f t="shared" si="6"/>
        <v>1.3196169056690901</v>
      </c>
      <c r="R9" s="1135">
        <f t="shared" si="7"/>
        <v>0.17999999999999994</v>
      </c>
      <c r="S9" s="1117">
        <f t="shared" si="8"/>
        <v>54</v>
      </c>
      <c r="T9" s="1118">
        <f t="shared" si="9"/>
        <v>1</v>
      </c>
      <c r="U9" s="1136" t="str">
        <f t="shared" si="10"/>
        <v xml:space="preserve"> </v>
      </c>
      <c r="V9" s="1120"/>
      <c r="W9" s="1137"/>
      <c r="X9" s="1026"/>
      <c r="Y9" s="1026"/>
    </row>
    <row r="10" spans="1:28" s="1062" customFormat="1" ht="17.399999999999999" x14ac:dyDescent="0.35">
      <c r="A10" s="776" t="s">
        <v>146</v>
      </c>
      <c r="B10" s="544"/>
      <c r="C10" s="1138" t="s">
        <v>317</v>
      </c>
      <c r="D10" s="1139">
        <v>23</v>
      </c>
      <c r="E10" s="1140">
        <v>2.4727208097256179</v>
      </c>
      <c r="F10" s="1141">
        <v>3</v>
      </c>
      <c r="G10" s="1125"/>
      <c r="H10" s="1126">
        <v>-3</v>
      </c>
      <c r="I10" s="1142">
        <v>3</v>
      </c>
      <c r="J10" s="1128">
        <f t="shared" si="0"/>
        <v>3</v>
      </c>
      <c r="K10" s="1143">
        <f t="shared" si="1"/>
        <v>0</v>
      </c>
      <c r="L10" s="1144">
        <f t="shared" si="2"/>
        <v>0</v>
      </c>
      <c r="M10" s="1145">
        <v>5</v>
      </c>
      <c r="N10" s="1146">
        <f t="shared" si="3"/>
        <v>5</v>
      </c>
      <c r="O10" s="1146">
        <f t="shared" si="4"/>
        <v>0</v>
      </c>
      <c r="P10" s="1147">
        <f t="shared" si="5"/>
        <v>0</v>
      </c>
      <c r="Q10" s="1148">
        <f t="shared" si="6"/>
        <v>2.4727208097256179</v>
      </c>
      <c r="R10" s="1149">
        <f t="shared" si="7"/>
        <v>0</v>
      </c>
      <c r="S10" s="1117">
        <f t="shared" si="8"/>
        <v>28</v>
      </c>
      <c r="T10" s="1150">
        <f t="shared" si="9"/>
        <v>-5</v>
      </c>
      <c r="U10" s="1151" t="str">
        <f t="shared" si="10"/>
        <v xml:space="preserve"> </v>
      </c>
      <c r="V10" s="1120"/>
      <c r="W10" s="1152" t="s">
        <v>320</v>
      </c>
      <c r="X10" s="1026"/>
      <c r="Y10" s="1026"/>
    </row>
    <row r="11" spans="1:28" s="1062" customFormat="1" ht="17.399999999999999" x14ac:dyDescent="0.35">
      <c r="A11" s="776" t="s">
        <v>147</v>
      </c>
      <c r="B11" s="544">
        <v>2019</v>
      </c>
      <c r="C11" s="1122" t="s">
        <v>305</v>
      </c>
      <c r="D11" s="1139">
        <v>52</v>
      </c>
      <c r="E11" s="1140">
        <v>1.3903618982861801</v>
      </c>
      <c r="F11" s="1106">
        <v>-2</v>
      </c>
      <c r="G11" s="1153"/>
      <c r="H11" s="1126">
        <v>-2</v>
      </c>
      <c r="I11" s="1142">
        <v>1</v>
      </c>
      <c r="J11" s="1128">
        <f t="shared" si="0"/>
        <v>1</v>
      </c>
      <c r="K11" s="1143">
        <f t="shared" si="1"/>
        <v>3</v>
      </c>
      <c r="L11" s="1144">
        <f t="shared" si="2"/>
        <v>0.54</v>
      </c>
      <c r="M11" s="1145">
        <v>0</v>
      </c>
      <c r="N11" s="1146">
        <f t="shared" si="3"/>
        <v>0</v>
      </c>
      <c r="O11" s="1146">
        <f t="shared" si="4"/>
        <v>0</v>
      </c>
      <c r="P11" s="1147">
        <f t="shared" si="5"/>
        <v>0</v>
      </c>
      <c r="Q11" s="1148">
        <f t="shared" si="6"/>
        <v>1.9303618982861801</v>
      </c>
      <c r="R11" s="1149">
        <f t="shared" si="7"/>
        <v>0.54</v>
      </c>
      <c r="S11" s="1117">
        <f t="shared" si="8"/>
        <v>43</v>
      </c>
      <c r="T11" s="1150">
        <f t="shared" si="9"/>
        <v>9</v>
      </c>
      <c r="U11" s="1151" t="str">
        <f t="shared" si="10"/>
        <v xml:space="preserve"> </v>
      </c>
      <c r="V11" s="1120"/>
      <c r="W11" s="1137" t="s">
        <v>321</v>
      </c>
      <c r="X11" s="1026"/>
      <c r="Y11" s="1026"/>
    </row>
    <row r="12" spans="1:28" s="1062" customFormat="1" thickBot="1" x14ac:dyDescent="0.4">
      <c r="A12" s="777" t="s">
        <v>5</v>
      </c>
      <c r="B12" s="544">
        <v>2015</v>
      </c>
      <c r="C12" s="1122" t="s">
        <v>305</v>
      </c>
      <c r="D12" s="1139">
        <v>2</v>
      </c>
      <c r="E12" s="1140">
        <v>4.343952233321362</v>
      </c>
      <c r="F12" s="1106">
        <v>5</v>
      </c>
      <c r="G12" s="1125"/>
      <c r="H12" s="1126">
        <v>-2</v>
      </c>
      <c r="I12" s="1154">
        <v>7</v>
      </c>
      <c r="J12" s="1128">
        <f t="shared" si="0"/>
        <v>7</v>
      </c>
      <c r="K12" s="1143">
        <f t="shared" si="1"/>
        <v>2</v>
      </c>
      <c r="L12" s="1144">
        <f t="shared" si="2"/>
        <v>0.36</v>
      </c>
      <c r="M12" s="1145">
        <v>0</v>
      </c>
      <c r="N12" s="1146">
        <f t="shared" si="3"/>
        <v>0</v>
      </c>
      <c r="O12" s="1146">
        <f t="shared" si="4"/>
        <v>0</v>
      </c>
      <c r="P12" s="1147">
        <f t="shared" si="5"/>
        <v>0</v>
      </c>
      <c r="Q12" s="1148">
        <f t="shared" si="6"/>
        <v>4.7039522333213624</v>
      </c>
      <c r="R12" s="1149">
        <f t="shared" si="7"/>
        <v>0.36000000000000032</v>
      </c>
      <c r="S12" s="1117">
        <f t="shared" si="8"/>
        <v>1</v>
      </c>
      <c r="T12" s="1150">
        <f t="shared" si="9"/>
        <v>1</v>
      </c>
      <c r="U12" s="1151" t="str">
        <f t="shared" si="10"/>
        <v xml:space="preserve"> </v>
      </c>
      <c r="V12" s="1120"/>
      <c r="W12" s="1155" t="s">
        <v>319</v>
      </c>
      <c r="X12" s="1026"/>
      <c r="Y12" s="1026"/>
    </row>
    <row r="13" spans="1:28" s="1062" customFormat="1" ht="17.399999999999999" x14ac:dyDescent="0.35">
      <c r="A13" s="776" t="s">
        <v>210</v>
      </c>
      <c r="B13" s="544">
        <v>2017</v>
      </c>
      <c r="C13" s="1156" t="s">
        <v>306</v>
      </c>
      <c r="D13" s="1139">
        <v>53</v>
      </c>
      <c r="E13" s="1140">
        <v>1.3629893908613262</v>
      </c>
      <c r="F13" s="1106">
        <v>-1</v>
      </c>
      <c r="G13" s="1325"/>
      <c r="H13" s="1126">
        <v>-2</v>
      </c>
      <c r="I13" s="1154">
        <v>0</v>
      </c>
      <c r="J13" s="1128">
        <f t="shared" si="0"/>
        <v>0</v>
      </c>
      <c r="K13" s="1143">
        <f t="shared" si="1"/>
        <v>1</v>
      </c>
      <c r="L13" s="1144">
        <f t="shared" si="2"/>
        <v>0.18</v>
      </c>
      <c r="M13" s="1145">
        <v>0</v>
      </c>
      <c r="N13" s="1146">
        <f t="shared" si="3"/>
        <v>0</v>
      </c>
      <c r="O13" s="1146">
        <f t="shared" si="4"/>
        <v>0</v>
      </c>
      <c r="P13" s="1147">
        <f t="shared" si="5"/>
        <v>0</v>
      </c>
      <c r="Q13" s="1148">
        <f t="shared" si="6"/>
        <v>1.5429893908613261</v>
      </c>
      <c r="R13" s="1149">
        <f t="shared" si="7"/>
        <v>0.17999999999999994</v>
      </c>
      <c r="S13" s="1117">
        <f t="shared" si="8"/>
        <v>53</v>
      </c>
      <c r="T13" s="1150">
        <f t="shared" si="9"/>
        <v>0</v>
      </c>
      <c r="U13" s="1151" t="str">
        <f t="shared" si="10"/>
        <v xml:space="preserve"> </v>
      </c>
      <c r="V13" s="1120"/>
      <c r="W13" s="1152"/>
      <c r="X13" s="1026"/>
      <c r="Y13" s="1026"/>
    </row>
    <row r="14" spans="1:28" s="1062" customFormat="1" ht="17.399999999999999" x14ac:dyDescent="0.35">
      <c r="A14" s="776" t="s">
        <v>339</v>
      </c>
      <c r="B14" s="544">
        <v>2017</v>
      </c>
      <c r="C14" s="1122" t="s">
        <v>305</v>
      </c>
      <c r="D14" s="1139">
        <v>35</v>
      </c>
      <c r="E14" s="1140">
        <v>2.0554547060872821</v>
      </c>
      <c r="F14" s="1106">
        <v>-1</v>
      </c>
      <c r="G14" s="1157"/>
      <c r="H14" s="1126">
        <v>-2</v>
      </c>
      <c r="I14" s="1154">
        <v>0</v>
      </c>
      <c r="J14" s="1128">
        <f t="shared" si="0"/>
        <v>0</v>
      </c>
      <c r="K14" s="1143">
        <f t="shared" si="1"/>
        <v>1</v>
      </c>
      <c r="L14" s="1144">
        <f t="shared" si="2"/>
        <v>0.18</v>
      </c>
      <c r="M14" s="1145">
        <v>0</v>
      </c>
      <c r="N14" s="1146">
        <f t="shared" si="3"/>
        <v>0</v>
      </c>
      <c r="O14" s="1146">
        <f t="shared" si="4"/>
        <v>0</v>
      </c>
      <c r="P14" s="1147">
        <f t="shared" si="5"/>
        <v>0</v>
      </c>
      <c r="Q14" s="1148">
        <f t="shared" si="6"/>
        <v>2.2354547060872823</v>
      </c>
      <c r="R14" s="1149">
        <f t="shared" si="7"/>
        <v>0.18000000000000016</v>
      </c>
      <c r="S14" s="1117">
        <f t="shared" si="8"/>
        <v>36</v>
      </c>
      <c r="T14" s="1150">
        <f t="shared" si="9"/>
        <v>-1</v>
      </c>
      <c r="U14" s="1151" t="str">
        <f t="shared" si="10"/>
        <v xml:space="preserve"> </v>
      </c>
      <c r="V14" s="1120"/>
      <c r="W14" s="1137"/>
      <c r="X14" s="1026"/>
      <c r="Y14" s="1026"/>
    </row>
    <row r="15" spans="1:28" s="1062" customFormat="1" ht="17.399999999999999" x14ac:dyDescent="0.35">
      <c r="A15" s="777" t="s">
        <v>134</v>
      </c>
      <c r="B15" s="544">
        <v>2017</v>
      </c>
      <c r="C15" s="1156" t="s">
        <v>306</v>
      </c>
      <c r="D15" s="1139">
        <v>29</v>
      </c>
      <c r="E15" s="1140">
        <v>2.2945067539795923</v>
      </c>
      <c r="F15" s="1106">
        <v>0</v>
      </c>
      <c r="G15" s="1157"/>
      <c r="H15" s="1126">
        <v>-2</v>
      </c>
      <c r="I15" s="1154">
        <v>3</v>
      </c>
      <c r="J15" s="1128">
        <f t="shared" si="0"/>
        <v>3</v>
      </c>
      <c r="K15" s="1143">
        <f t="shared" si="1"/>
        <v>3</v>
      </c>
      <c r="L15" s="1144">
        <f t="shared" si="2"/>
        <v>0.54</v>
      </c>
      <c r="M15" s="1145">
        <v>0</v>
      </c>
      <c r="N15" s="1146">
        <f t="shared" si="3"/>
        <v>0</v>
      </c>
      <c r="O15" s="1146">
        <f t="shared" si="4"/>
        <v>0</v>
      </c>
      <c r="P15" s="1147">
        <f t="shared" si="5"/>
        <v>0</v>
      </c>
      <c r="Q15" s="1148">
        <f t="shared" si="6"/>
        <v>2.8345067539795923</v>
      </c>
      <c r="R15" s="1149">
        <f t="shared" si="7"/>
        <v>0.54</v>
      </c>
      <c r="S15" s="1117">
        <f t="shared" si="8"/>
        <v>19</v>
      </c>
      <c r="T15" s="1150">
        <f t="shared" si="9"/>
        <v>10</v>
      </c>
      <c r="U15" s="1151" t="str">
        <f t="shared" si="10"/>
        <v xml:space="preserve"> </v>
      </c>
      <c r="V15" s="1120"/>
      <c r="W15" s="1137"/>
      <c r="X15" s="1026"/>
      <c r="Y15" s="1026"/>
    </row>
    <row r="16" spans="1:28" s="1062" customFormat="1" ht="17.399999999999999" x14ac:dyDescent="0.35">
      <c r="A16" s="776" t="s">
        <v>148</v>
      </c>
      <c r="B16" s="544">
        <v>2013</v>
      </c>
      <c r="C16" s="1158" t="s">
        <v>316</v>
      </c>
      <c r="D16" s="1139">
        <v>3</v>
      </c>
      <c r="E16" s="1140">
        <v>4.0216598472764939</v>
      </c>
      <c r="F16" s="1141">
        <v>6</v>
      </c>
      <c r="G16" s="1125" t="s">
        <v>314</v>
      </c>
      <c r="H16" s="1126">
        <v>-1</v>
      </c>
      <c r="I16" s="1142">
        <v>7</v>
      </c>
      <c r="J16" s="1128">
        <f t="shared" si="0"/>
        <v>-2</v>
      </c>
      <c r="K16" s="1143">
        <f t="shared" si="1"/>
        <v>-8</v>
      </c>
      <c r="L16" s="1144">
        <f t="shared" si="2"/>
        <v>-1.44</v>
      </c>
      <c r="M16" s="1145">
        <v>5</v>
      </c>
      <c r="N16" s="1146">
        <f t="shared" si="3"/>
        <v>0</v>
      </c>
      <c r="O16" s="1146">
        <f t="shared" si="4"/>
        <v>-5</v>
      </c>
      <c r="P16" s="1147">
        <f t="shared" si="5"/>
        <v>-0.25</v>
      </c>
      <c r="Q16" s="1148">
        <f t="shared" si="6"/>
        <v>2.331659847276494</v>
      </c>
      <c r="R16" s="1149">
        <f t="shared" si="7"/>
        <v>-1.69</v>
      </c>
      <c r="S16" s="1117">
        <f t="shared" si="8"/>
        <v>32</v>
      </c>
      <c r="T16" s="1150">
        <f t="shared" si="9"/>
        <v>-29</v>
      </c>
      <c r="U16" s="1151" t="str">
        <f t="shared" si="10"/>
        <v>√</v>
      </c>
      <c r="V16" s="1120"/>
      <c r="W16" s="1159" t="s">
        <v>318</v>
      </c>
      <c r="X16" s="1026"/>
      <c r="Y16" s="1026"/>
    </row>
    <row r="17" spans="1:25" s="1062" customFormat="1" thickBot="1" x14ac:dyDescent="0.4">
      <c r="A17" s="776" t="s">
        <v>9</v>
      </c>
      <c r="B17" s="544">
        <v>2019</v>
      </c>
      <c r="C17" s="1122" t="s">
        <v>305</v>
      </c>
      <c r="D17" s="1139">
        <v>45</v>
      </c>
      <c r="E17" s="1140">
        <v>1.785112770159214</v>
      </c>
      <c r="F17" s="1106">
        <v>-2</v>
      </c>
      <c r="G17" s="1153"/>
      <c r="H17" s="1126">
        <v>-2</v>
      </c>
      <c r="I17" s="1154">
        <v>1</v>
      </c>
      <c r="J17" s="1128">
        <f t="shared" si="0"/>
        <v>1</v>
      </c>
      <c r="K17" s="1143">
        <f t="shared" si="1"/>
        <v>3</v>
      </c>
      <c r="L17" s="1144">
        <f t="shared" si="2"/>
        <v>0.54</v>
      </c>
      <c r="M17" s="1145">
        <v>0</v>
      </c>
      <c r="N17" s="1146">
        <f t="shared" si="3"/>
        <v>0</v>
      </c>
      <c r="O17" s="1146">
        <f t="shared" si="4"/>
        <v>0</v>
      </c>
      <c r="P17" s="1147">
        <f t="shared" si="5"/>
        <v>0</v>
      </c>
      <c r="Q17" s="1148">
        <f t="shared" si="6"/>
        <v>2.325112770159214</v>
      </c>
      <c r="R17" s="1149">
        <f t="shared" si="7"/>
        <v>0.54</v>
      </c>
      <c r="S17" s="1117">
        <f t="shared" si="8"/>
        <v>33</v>
      </c>
      <c r="T17" s="1150">
        <f t="shared" si="9"/>
        <v>12</v>
      </c>
      <c r="U17" s="1151" t="str">
        <f t="shared" si="10"/>
        <v xml:space="preserve"> </v>
      </c>
      <c r="V17" s="1120"/>
      <c r="W17" s="1155" t="s">
        <v>335</v>
      </c>
      <c r="X17" s="1026"/>
      <c r="Y17" s="1026"/>
    </row>
    <row r="18" spans="1:25" s="1062" customFormat="1" ht="17.399999999999999" x14ac:dyDescent="0.35">
      <c r="A18" s="777" t="s">
        <v>129</v>
      </c>
      <c r="B18" s="544">
        <v>2017</v>
      </c>
      <c r="C18" s="1122" t="s">
        <v>305</v>
      </c>
      <c r="D18" s="1139">
        <v>50</v>
      </c>
      <c r="E18" s="1140">
        <v>1.604677339150351</v>
      </c>
      <c r="F18" s="1106">
        <v>-1</v>
      </c>
      <c r="G18" s="1157"/>
      <c r="H18" s="1126">
        <v>-2</v>
      </c>
      <c r="I18" s="1154">
        <v>1</v>
      </c>
      <c r="J18" s="1128">
        <f t="shared" si="0"/>
        <v>1</v>
      </c>
      <c r="K18" s="1143">
        <f t="shared" si="1"/>
        <v>2</v>
      </c>
      <c r="L18" s="1144">
        <f t="shared" si="2"/>
        <v>0.36</v>
      </c>
      <c r="M18" s="1145">
        <v>0</v>
      </c>
      <c r="N18" s="1146">
        <f t="shared" si="3"/>
        <v>0</v>
      </c>
      <c r="O18" s="1146">
        <f t="shared" si="4"/>
        <v>0</v>
      </c>
      <c r="P18" s="1147">
        <f t="shared" si="5"/>
        <v>0</v>
      </c>
      <c r="Q18" s="1148">
        <f t="shared" si="6"/>
        <v>1.9646773391503509</v>
      </c>
      <c r="R18" s="1149">
        <f t="shared" si="7"/>
        <v>0.35999999999999988</v>
      </c>
      <c r="S18" s="1117">
        <f t="shared" si="8"/>
        <v>42</v>
      </c>
      <c r="T18" s="1150">
        <f t="shared" si="9"/>
        <v>8</v>
      </c>
      <c r="U18" s="1151" t="str">
        <f t="shared" si="10"/>
        <v xml:space="preserve"> </v>
      </c>
      <c r="V18" s="1120"/>
      <c r="W18" s="1152"/>
      <c r="X18" s="1026"/>
      <c r="Y18" s="1026"/>
    </row>
    <row r="19" spans="1:25" s="1062" customFormat="1" ht="17.399999999999999" x14ac:dyDescent="0.35">
      <c r="A19" s="777" t="s">
        <v>18</v>
      </c>
      <c r="B19" s="544">
        <v>2015</v>
      </c>
      <c r="C19" s="1122" t="s">
        <v>305</v>
      </c>
      <c r="D19" s="1139">
        <v>16</v>
      </c>
      <c r="E19" s="1140">
        <v>2.6530344046956782</v>
      </c>
      <c r="F19" s="1106">
        <v>1</v>
      </c>
      <c r="G19" s="1157"/>
      <c r="H19" s="1126">
        <v>-2</v>
      </c>
      <c r="I19" s="1154">
        <v>3</v>
      </c>
      <c r="J19" s="1128">
        <f t="shared" si="0"/>
        <v>3</v>
      </c>
      <c r="K19" s="1143">
        <f t="shared" si="1"/>
        <v>2</v>
      </c>
      <c r="L19" s="1144">
        <f t="shared" si="2"/>
        <v>0.36</v>
      </c>
      <c r="M19" s="1145">
        <v>0</v>
      </c>
      <c r="N19" s="1146">
        <f t="shared" si="3"/>
        <v>0</v>
      </c>
      <c r="O19" s="1146">
        <f t="shared" si="4"/>
        <v>0</v>
      </c>
      <c r="P19" s="1147">
        <f t="shared" si="5"/>
        <v>0</v>
      </c>
      <c r="Q19" s="1148">
        <f t="shared" si="6"/>
        <v>3.0130344046956781</v>
      </c>
      <c r="R19" s="1149">
        <f t="shared" si="7"/>
        <v>0.35999999999999988</v>
      </c>
      <c r="S19" s="1117">
        <f t="shared" si="8"/>
        <v>11</v>
      </c>
      <c r="T19" s="1150">
        <f t="shared" si="9"/>
        <v>5</v>
      </c>
      <c r="U19" s="1151" t="str">
        <f t="shared" si="10"/>
        <v xml:space="preserve"> </v>
      </c>
      <c r="V19" s="1120"/>
      <c r="W19" s="1137"/>
      <c r="X19" s="1026"/>
      <c r="Y19" s="1026"/>
    </row>
    <row r="20" spans="1:25" s="1062" customFormat="1" ht="17.399999999999999" x14ac:dyDescent="0.35">
      <c r="A20" s="777" t="s">
        <v>140</v>
      </c>
      <c r="B20" s="544">
        <v>2015</v>
      </c>
      <c r="C20" s="1156" t="s">
        <v>306</v>
      </c>
      <c r="D20" s="1139">
        <v>48</v>
      </c>
      <c r="E20" s="1140">
        <v>1.6890204571888292</v>
      </c>
      <c r="F20" s="1106">
        <v>0</v>
      </c>
      <c r="G20" s="1125"/>
      <c r="H20" s="1126">
        <v>-3</v>
      </c>
      <c r="I20" s="1154">
        <v>2</v>
      </c>
      <c r="J20" s="1128">
        <f t="shared" si="0"/>
        <v>2</v>
      </c>
      <c r="K20" s="1143">
        <f t="shared" si="1"/>
        <v>2</v>
      </c>
      <c r="L20" s="1144">
        <f t="shared" si="2"/>
        <v>0.36</v>
      </c>
      <c r="M20" s="1145">
        <v>0</v>
      </c>
      <c r="N20" s="1146">
        <f t="shared" si="3"/>
        <v>0</v>
      </c>
      <c r="O20" s="1146">
        <f t="shared" si="4"/>
        <v>0</v>
      </c>
      <c r="P20" s="1147">
        <f t="shared" si="5"/>
        <v>0</v>
      </c>
      <c r="Q20" s="1148">
        <f t="shared" si="6"/>
        <v>2.0490204571888291</v>
      </c>
      <c r="R20" s="1149">
        <f t="shared" si="7"/>
        <v>0.35999999999999988</v>
      </c>
      <c r="S20" s="1117">
        <f t="shared" si="8"/>
        <v>40</v>
      </c>
      <c r="T20" s="1150">
        <f t="shared" si="9"/>
        <v>8</v>
      </c>
      <c r="U20" s="1151" t="str">
        <f t="shared" si="10"/>
        <v xml:space="preserve"> </v>
      </c>
      <c r="V20" s="1120"/>
      <c r="W20" s="1152"/>
      <c r="X20" s="1026"/>
      <c r="Y20" s="1026"/>
    </row>
    <row r="21" spans="1:25" s="1062" customFormat="1" ht="17.399999999999999" x14ac:dyDescent="0.35">
      <c r="A21" s="776" t="s">
        <v>143</v>
      </c>
      <c r="B21" s="544">
        <v>2015</v>
      </c>
      <c r="C21" s="1122" t="s">
        <v>305</v>
      </c>
      <c r="D21" s="1139">
        <v>43</v>
      </c>
      <c r="E21" s="1140">
        <v>1.8538492306272301</v>
      </c>
      <c r="F21" s="1106">
        <v>0</v>
      </c>
      <c r="G21" s="1125"/>
      <c r="H21" s="1126">
        <v>-2</v>
      </c>
      <c r="I21" s="1154">
        <v>0</v>
      </c>
      <c r="J21" s="1128">
        <f t="shared" si="0"/>
        <v>0</v>
      </c>
      <c r="K21" s="1143">
        <f t="shared" si="1"/>
        <v>0</v>
      </c>
      <c r="L21" s="1144">
        <f t="shared" si="2"/>
        <v>0</v>
      </c>
      <c r="M21" s="1145">
        <v>0</v>
      </c>
      <c r="N21" s="1146">
        <f t="shared" si="3"/>
        <v>0</v>
      </c>
      <c r="O21" s="1146">
        <f t="shared" si="4"/>
        <v>0</v>
      </c>
      <c r="P21" s="1147">
        <f t="shared" si="5"/>
        <v>0</v>
      </c>
      <c r="Q21" s="1148">
        <f t="shared" si="6"/>
        <v>1.8538492306272301</v>
      </c>
      <c r="R21" s="1149">
        <f t="shared" si="7"/>
        <v>0</v>
      </c>
      <c r="S21" s="1117">
        <f t="shared" si="8"/>
        <v>47</v>
      </c>
      <c r="T21" s="1150">
        <f t="shared" si="9"/>
        <v>-4</v>
      </c>
      <c r="U21" s="1151" t="str">
        <f t="shared" si="10"/>
        <v xml:space="preserve"> </v>
      </c>
      <c r="V21" s="1120"/>
      <c r="W21" s="1152"/>
      <c r="X21" s="1026"/>
      <c r="Y21" s="1026"/>
    </row>
    <row r="22" spans="1:25" s="1062" customFormat="1" thickBot="1" x14ac:dyDescent="0.4">
      <c r="A22" s="776" t="s">
        <v>149</v>
      </c>
      <c r="B22" s="544">
        <v>2013</v>
      </c>
      <c r="C22" s="1158" t="s">
        <v>316</v>
      </c>
      <c r="D22" s="1139">
        <v>4</v>
      </c>
      <c r="E22" s="1140">
        <v>3.9811253530839066</v>
      </c>
      <c r="F22" s="1141">
        <v>7</v>
      </c>
      <c r="G22" s="1153" t="s">
        <v>314</v>
      </c>
      <c r="H22" s="1126">
        <v>-1</v>
      </c>
      <c r="I22" s="1142">
        <v>7</v>
      </c>
      <c r="J22" s="1128">
        <f t="shared" si="0"/>
        <v>-2</v>
      </c>
      <c r="K22" s="1143">
        <f t="shared" si="1"/>
        <v>-9</v>
      </c>
      <c r="L22" s="1144">
        <f t="shared" si="2"/>
        <v>-1.6199999999999999</v>
      </c>
      <c r="M22" s="1145">
        <v>3</v>
      </c>
      <c r="N22" s="1146">
        <f t="shared" si="3"/>
        <v>0</v>
      </c>
      <c r="O22" s="1146">
        <f t="shared" si="4"/>
        <v>-3</v>
      </c>
      <c r="P22" s="1147">
        <f t="shared" si="5"/>
        <v>-0.15000000000000002</v>
      </c>
      <c r="Q22" s="1148">
        <f t="shared" si="6"/>
        <v>2.2111253530839066</v>
      </c>
      <c r="R22" s="1149">
        <f t="shared" si="7"/>
        <v>-1.77</v>
      </c>
      <c r="S22" s="1117">
        <f t="shared" si="8"/>
        <v>38</v>
      </c>
      <c r="T22" s="1150">
        <f t="shared" si="9"/>
        <v>-34</v>
      </c>
      <c r="U22" s="1151" t="str">
        <f t="shared" si="10"/>
        <v>√</v>
      </c>
      <c r="V22" s="1120"/>
      <c r="W22" s="1160" t="s">
        <v>444</v>
      </c>
      <c r="X22" s="1026"/>
      <c r="Y22" s="1026"/>
    </row>
    <row r="23" spans="1:25" s="1062" customFormat="1" ht="17.399999999999999" x14ac:dyDescent="0.35">
      <c r="A23" s="777" t="s">
        <v>132</v>
      </c>
      <c r="B23" s="544">
        <v>2019</v>
      </c>
      <c r="C23" s="1122" t="s">
        <v>305</v>
      </c>
      <c r="D23" s="1139">
        <v>57</v>
      </c>
      <c r="E23" s="1140">
        <v>0.65803496310237053</v>
      </c>
      <c r="F23" s="1106">
        <v>-3</v>
      </c>
      <c r="G23" s="1153"/>
      <c r="H23" s="1126">
        <v>-3</v>
      </c>
      <c r="I23" s="1142">
        <v>-1</v>
      </c>
      <c r="J23" s="1128">
        <f t="shared" si="0"/>
        <v>-1</v>
      </c>
      <c r="K23" s="1143">
        <f t="shared" si="1"/>
        <v>2</v>
      </c>
      <c r="L23" s="1144">
        <f t="shared" si="2"/>
        <v>0.36</v>
      </c>
      <c r="M23" s="1145">
        <v>0</v>
      </c>
      <c r="N23" s="1146">
        <f t="shared" si="3"/>
        <v>0</v>
      </c>
      <c r="O23" s="1146">
        <f t="shared" si="4"/>
        <v>0</v>
      </c>
      <c r="P23" s="1147">
        <f t="shared" si="5"/>
        <v>0</v>
      </c>
      <c r="Q23" s="1148">
        <f t="shared" si="6"/>
        <v>1.0180349631023704</v>
      </c>
      <c r="R23" s="1149">
        <f t="shared" si="7"/>
        <v>0.35999999999999988</v>
      </c>
      <c r="S23" s="1117">
        <f t="shared" si="8"/>
        <v>57</v>
      </c>
      <c r="T23" s="1150">
        <f t="shared" si="9"/>
        <v>0</v>
      </c>
      <c r="U23" s="1151" t="str">
        <f t="shared" si="10"/>
        <v xml:space="preserve"> </v>
      </c>
      <c r="V23" s="1120"/>
      <c r="W23" s="1137" t="s">
        <v>445</v>
      </c>
      <c r="X23" s="1026"/>
      <c r="Y23" s="1026"/>
    </row>
    <row r="24" spans="1:25" s="1062" customFormat="1" ht="17.399999999999999" x14ac:dyDescent="0.35">
      <c r="A24" s="777" t="s">
        <v>16</v>
      </c>
      <c r="B24" s="544">
        <v>2017</v>
      </c>
      <c r="C24" s="1156" t="s">
        <v>306</v>
      </c>
      <c r="D24" s="1139">
        <v>49</v>
      </c>
      <c r="E24" s="1140">
        <v>1.6100235290316449</v>
      </c>
      <c r="F24" s="1106">
        <v>-1</v>
      </c>
      <c r="G24" s="1157"/>
      <c r="H24" s="1126">
        <v>-2</v>
      </c>
      <c r="I24" s="1154">
        <v>0</v>
      </c>
      <c r="J24" s="1128">
        <f t="shared" si="0"/>
        <v>0</v>
      </c>
      <c r="K24" s="1143">
        <f t="shared" si="1"/>
        <v>1</v>
      </c>
      <c r="L24" s="1144">
        <f t="shared" si="2"/>
        <v>0.18</v>
      </c>
      <c r="M24" s="1145">
        <v>0</v>
      </c>
      <c r="N24" s="1146">
        <f t="shared" si="3"/>
        <v>0</v>
      </c>
      <c r="O24" s="1146">
        <f t="shared" si="4"/>
        <v>0</v>
      </c>
      <c r="P24" s="1147">
        <f t="shared" si="5"/>
        <v>0</v>
      </c>
      <c r="Q24" s="1148">
        <f t="shared" si="6"/>
        <v>1.7900235290316449</v>
      </c>
      <c r="R24" s="1149">
        <f t="shared" si="7"/>
        <v>0.17999999999999994</v>
      </c>
      <c r="S24" s="1117">
        <f t="shared" si="8"/>
        <v>48</v>
      </c>
      <c r="T24" s="1150">
        <f t="shared" si="9"/>
        <v>1</v>
      </c>
      <c r="U24" s="1151" t="str">
        <f t="shared" si="10"/>
        <v xml:space="preserve"> </v>
      </c>
      <c r="V24" s="1120"/>
      <c r="W24" s="1137"/>
      <c r="X24" s="1026"/>
      <c r="Y24" s="1026"/>
    </row>
    <row r="25" spans="1:25" s="1062" customFormat="1" ht="17.399999999999999" x14ac:dyDescent="0.35">
      <c r="A25" s="777" t="s">
        <v>6</v>
      </c>
      <c r="B25" s="544">
        <v>2011</v>
      </c>
      <c r="C25" s="1122" t="s">
        <v>305</v>
      </c>
      <c r="D25" s="1139">
        <v>8</v>
      </c>
      <c r="E25" s="1140">
        <v>3.3084915595875017</v>
      </c>
      <c r="F25" s="1106">
        <v>5</v>
      </c>
      <c r="G25" s="1153" t="s">
        <v>314</v>
      </c>
      <c r="H25" s="1126">
        <v>-3</v>
      </c>
      <c r="I25" s="1154">
        <v>7</v>
      </c>
      <c r="J25" s="1128">
        <f t="shared" si="0"/>
        <v>-2</v>
      </c>
      <c r="K25" s="1143">
        <f t="shared" si="1"/>
        <v>-7</v>
      </c>
      <c r="L25" s="1144">
        <f t="shared" si="2"/>
        <v>-1.26</v>
      </c>
      <c r="M25" s="1145">
        <v>3</v>
      </c>
      <c r="N25" s="1146">
        <f t="shared" si="3"/>
        <v>0</v>
      </c>
      <c r="O25" s="1146">
        <f t="shared" si="4"/>
        <v>-3</v>
      </c>
      <c r="P25" s="1147">
        <f t="shared" si="5"/>
        <v>-0.15000000000000002</v>
      </c>
      <c r="Q25" s="1148">
        <f t="shared" si="6"/>
        <v>1.898491559587502</v>
      </c>
      <c r="R25" s="1149">
        <f t="shared" si="7"/>
        <v>-1.4099999999999997</v>
      </c>
      <c r="S25" s="1117">
        <f t="shared" si="8"/>
        <v>45</v>
      </c>
      <c r="T25" s="1150">
        <f t="shared" si="9"/>
        <v>-37</v>
      </c>
      <c r="U25" s="1151" t="str">
        <f t="shared" si="10"/>
        <v>√</v>
      </c>
      <c r="V25" s="1120"/>
      <c r="W25" s="1137" t="s">
        <v>321</v>
      </c>
      <c r="X25" s="1026"/>
      <c r="Y25" s="1026"/>
    </row>
    <row r="26" spans="1:25" s="1062" customFormat="1" ht="17.399999999999999" x14ac:dyDescent="0.35">
      <c r="A26" s="777" t="s">
        <v>20</v>
      </c>
      <c r="B26" s="544">
        <v>2013</v>
      </c>
      <c r="C26" s="1158" t="s">
        <v>316</v>
      </c>
      <c r="D26" s="1139">
        <v>33</v>
      </c>
      <c r="E26" s="1140">
        <v>2.0858408202488712</v>
      </c>
      <c r="F26" s="1106">
        <v>2</v>
      </c>
      <c r="G26" s="1153"/>
      <c r="H26" s="1126">
        <v>-3</v>
      </c>
      <c r="I26" s="1154">
        <v>5</v>
      </c>
      <c r="J26" s="1128">
        <f t="shared" si="0"/>
        <v>5</v>
      </c>
      <c r="K26" s="1143">
        <f t="shared" si="1"/>
        <v>3</v>
      </c>
      <c r="L26" s="1144">
        <f t="shared" si="2"/>
        <v>0.54</v>
      </c>
      <c r="M26" s="1145">
        <v>5</v>
      </c>
      <c r="N26" s="1146">
        <f t="shared" si="3"/>
        <v>5</v>
      </c>
      <c r="O26" s="1146">
        <f t="shared" si="4"/>
        <v>0</v>
      </c>
      <c r="P26" s="1147">
        <f t="shared" si="5"/>
        <v>0</v>
      </c>
      <c r="Q26" s="1148">
        <f t="shared" si="6"/>
        <v>2.6258408202488712</v>
      </c>
      <c r="R26" s="1149">
        <f t="shared" si="7"/>
        <v>0.54</v>
      </c>
      <c r="S26" s="1117">
        <f t="shared" si="8"/>
        <v>23</v>
      </c>
      <c r="T26" s="1150">
        <f t="shared" si="9"/>
        <v>10</v>
      </c>
      <c r="U26" s="1151" t="str">
        <f t="shared" si="10"/>
        <v xml:space="preserve"> </v>
      </c>
      <c r="V26" s="1120"/>
      <c r="W26" s="1137"/>
      <c r="X26" s="1026"/>
      <c r="Y26" s="1026"/>
    </row>
    <row r="27" spans="1:25" s="1062" customFormat="1" ht="17.399999999999999" x14ac:dyDescent="0.35">
      <c r="A27" s="776" t="s">
        <v>150</v>
      </c>
      <c r="B27" s="544"/>
      <c r="C27" s="1138" t="s">
        <v>317</v>
      </c>
      <c r="D27" s="1139">
        <v>41</v>
      </c>
      <c r="E27" s="1140">
        <v>1.87199589842366</v>
      </c>
      <c r="F27" s="1141">
        <v>2</v>
      </c>
      <c r="G27" s="1153"/>
      <c r="H27" s="1126">
        <v>-4</v>
      </c>
      <c r="I27" s="1142">
        <v>2</v>
      </c>
      <c r="J27" s="1128">
        <f t="shared" si="0"/>
        <v>2</v>
      </c>
      <c r="K27" s="1143">
        <f t="shared" si="1"/>
        <v>0</v>
      </c>
      <c r="L27" s="1144">
        <f t="shared" si="2"/>
        <v>0</v>
      </c>
      <c r="M27" s="1145">
        <v>4</v>
      </c>
      <c r="N27" s="1146">
        <f t="shared" si="3"/>
        <v>4</v>
      </c>
      <c r="O27" s="1146">
        <f t="shared" si="4"/>
        <v>0</v>
      </c>
      <c r="P27" s="1147">
        <f t="shared" si="5"/>
        <v>0</v>
      </c>
      <c r="Q27" s="1148">
        <f t="shared" si="6"/>
        <v>1.87199589842366</v>
      </c>
      <c r="R27" s="1149">
        <f t="shared" si="7"/>
        <v>0</v>
      </c>
      <c r="S27" s="1117">
        <f t="shared" si="8"/>
        <v>46</v>
      </c>
      <c r="T27" s="1150">
        <f t="shared" si="9"/>
        <v>-5</v>
      </c>
      <c r="U27" s="1151" t="str">
        <f t="shared" si="10"/>
        <v xml:space="preserve"> </v>
      </c>
      <c r="V27" s="1120"/>
      <c r="W27" s="1137"/>
      <c r="X27" s="1026"/>
      <c r="Y27" s="1026"/>
    </row>
    <row r="28" spans="1:25" s="1062" customFormat="1" ht="17.399999999999999" x14ac:dyDescent="0.35">
      <c r="A28" s="776" t="s">
        <v>33</v>
      </c>
      <c r="B28" s="544"/>
      <c r="C28" s="1138" t="s">
        <v>317</v>
      </c>
      <c r="D28" s="1139">
        <v>28</v>
      </c>
      <c r="E28" s="1140">
        <v>2.3074778525491668</v>
      </c>
      <c r="F28" s="1141">
        <v>3</v>
      </c>
      <c r="G28" s="1153"/>
      <c r="H28" s="1126">
        <v>-4</v>
      </c>
      <c r="I28" s="1142">
        <v>4</v>
      </c>
      <c r="J28" s="1128">
        <f t="shared" si="0"/>
        <v>4</v>
      </c>
      <c r="K28" s="1143">
        <f t="shared" si="1"/>
        <v>1</v>
      </c>
      <c r="L28" s="1144">
        <f t="shared" si="2"/>
        <v>0.18</v>
      </c>
      <c r="M28" s="1145">
        <v>2</v>
      </c>
      <c r="N28" s="1146">
        <f t="shared" si="3"/>
        <v>2</v>
      </c>
      <c r="O28" s="1146">
        <f t="shared" si="4"/>
        <v>0</v>
      </c>
      <c r="P28" s="1147">
        <f t="shared" si="5"/>
        <v>0</v>
      </c>
      <c r="Q28" s="1148">
        <f t="shared" si="6"/>
        <v>2.487477852549167</v>
      </c>
      <c r="R28" s="1149">
        <f t="shared" si="7"/>
        <v>0.18000000000000016</v>
      </c>
      <c r="S28" s="1117">
        <f t="shared" si="8"/>
        <v>27</v>
      </c>
      <c r="T28" s="1150">
        <f t="shared" si="9"/>
        <v>1</v>
      </c>
      <c r="U28" s="1161" t="str">
        <f t="shared" si="10"/>
        <v xml:space="preserve"> </v>
      </c>
      <c r="V28" s="1026"/>
      <c r="W28" s="1137"/>
      <c r="X28" s="1026"/>
      <c r="Y28" s="1026"/>
    </row>
    <row r="29" spans="1:25" s="1062" customFormat="1" ht="17.399999999999999" x14ac:dyDescent="0.35">
      <c r="A29" s="776" t="s">
        <v>476</v>
      </c>
      <c r="B29" s="544">
        <v>2019</v>
      </c>
      <c r="C29" s="1122" t="s">
        <v>305</v>
      </c>
      <c r="D29" s="1139">
        <v>30</v>
      </c>
      <c r="E29" s="1140">
        <v>2.2842786120612035</v>
      </c>
      <c r="F29" s="1106">
        <v>-2</v>
      </c>
      <c r="G29" s="1153"/>
      <c r="H29" s="1126">
        <v>-2</v>
      </c>
      <c r="I29" s="1154">
        <v>2</v>
      </c>
      <c r="J29" s="1128">
        <f t="shared" si="0"/>
        <v>2</v>
      </c>
      <c r="K29" s="1143">
        <f t="shared" si="1"/>
        <v>4</v>
      </c>
      <c r="L29" s="1144">
        <f t="shared" si="2"/>
        <v>0.72</v>
      </c>
      <c r="M29" s="1145">
        <v>0</v>
      </c>
      <c r="N29" s="1146">
        <f t="shared" si="3"/>
        <v>0</v>
      </c>
      <c r="O29" s="1146">
        <f t="shared" si="4"/>
        <v>0</v>
      </c>
      <c r="P29" s="1147">
        <f t="shared" si="5"/>
        <v>0</v>
      </c>
      <c r="Q29" s="1148">
        <f t="shared" si="6"/>
        <v>3.0042786120612037</v>
      </c>
      <c r="R29" s="1149">
        <f t="shared" si="7"/>
        <v>0.7200000000000002</v>
      </c>
      <c r="S29" s="1117">
        <f t="shared" si="8"/>
        <v>13</v>
      </c>
      <c r="T29" s="1150">
        <f t="shared" si="9"/>
        <v>17</v>
      </c>
      <c r="U29" s="1161" t="str">
        <f t="shared" si="10"/>
        <v xml:space="preserve"> </v>
      </c>
      <c r="V29" s="1162"/>
      <c r="W29" s="1163" t="s">
        <v>318</v>
      </c>
      <c r="X29" s="1026"/>
      <c r="Y29" s="1026"/>
    </row>
    <row r="30" spans="1:25" s="1062" customFormat="1" ht="17.399999999999999" x14ac:dyDescent="0.35">
      <c r="A30" s="776" t="s">
        <v>151</v>
      </c>
      <c r="B30" s="544"/>
      <c r="C30" s="1138" t="s">
        <v>317</v>
      </c>
      <c r="D30" s="1139">
        <v>18</v>
      </c>
      <c r="E30" s="1140">
        <v>2.6495891611842488</v>
      </c>
      <c r="F30" s="1141">
        <v>3</v>
      </c>
      <c r="G30" s="1153"/>
      <c r="H30" s="1126">
        <v>-3</v>
      </c>
      <c r="I30" s="1142">
        <v>3</v>
      </c>
      <c r="J30" s="1128">
        <f t="shared" si="0"/>
        <v>3</v>
      </c>
      <c r="K30" s="1143">
        <f t="shared" si="1"/>
        <v>0</v>
      </c>
      <c r="L30" s="1144">
        <f t="shared" si="2"/>
        <v>0</v>
      </c>
      <c r="M30" s="1145">
        <v>4</v>
      </c>
      <c r="N30" s="1146">
        <f t="shared" si="3"/>
        <v>4</v>
      </c>
      <c r="O30" s="1146">
        <f t="shared" si="4"/>
        <v>0</v>
      </c>
      <c r="P30" s="1147">
        <f t="shared" si="5"/>
        <v>0</v>
      </c>
      <c r="Q30" s="1148">
        <f t="shared" si="6"/>
        <v>2.6495891611842488</v>
      </c>
      <c r="R30" s="1149">
        <f t="shared" si="7"/>
        <v>0</v>
      </c>
      <c r="S30" s="1117">
        <f t="shared" si="8"/>
        <v>22</v>
      </c>
      <c r="T30" s="1150">
        <f t="shared" si="9"/>
        <v>-4</v>
      </c>
      <c r="U30" s="1161" t="str">
        <f t="shared" si="10"/>
        <v xml:space="preserve"> </v>
      </c>
      <c r="V30" s="1162"/>
      <c r="W30" s="1163" t="s">
        <v>318</v>
      </c>
      <c r="X30" s="1026"/>
      <c r="Y30" s="1026"/>
    </row>
    <row r="31" spans="1:25" s="1062" customFormat="1" ht="17.399999999999999" x14ac:dyDescent="0.35">
      <c r="A31" s="776" t="s">
        <v>144</v>
      </c>
      <c r="B31" s="544">
        <v>2011</v>
      </c>
      <c r="C31" s="1122" t="s">
        <v>305</v>
      </c>
      <c r="D31" s="1139">
        <v>42</v>
      </c>
      <c r="E31" s="1140">
        <v>1.8707395286462107</v>
      </c>
      <c r="F31" s="1106">
        <v>2</v>
      </c>
      <c r="G31" s="1153"/>
      <c r="H31" s="1126">
        <v>-2</v>
      </c>
      <c r="I31" s="1154">
        <v>4</v>
      </c>
      <c r="J31" s="1128">
        <f t="shared" si="0"/>
        <v>4</v>
      </c>
      <c r="K31" s="1143">
        <f t="shared" si="1"/>
        <v>2</v>
      </c>
      <c r="L31" s="1144">
        <f t="shared" si="2"/>
        <v>0.36</v>
      </c>
      <c r="M31" s="1145">
        <v>0</v>
      </c>
      <c r="N31" s="1146">
        <f t="shared" si="3"/>
        <v>0</v>
      </c>
      <c r="O31" s="1146">
        <f t="shared" si="4"/>
        <v>0</v>
      </c>
      <c r="P31" s="1147">
        <f t="shared" si="5"/>
        <v>0</v>
      </c>
      <c r="Q31" s="1148">
        <f t="shared" si="6"/>
        <v>2.2307395286462106</v>
      </c>
      <c r="R31" s="1149">
        <f t="shared" si="7"/>
        <v>0.35999999999999988</v>
      </c>
      <c r="S31" s="1117">
        <f t="shared" si="8"/>
        <v>37</v>
      </c>
      <c r="T31" s="1150">
        <f t="shared" si="9"/>
        <v>5</v>
      </c>
      <c r="U31" s="1161" t="str">
        <f t="shared" si="10"/>
        <v xml:space="preserve"> </v>
      </c>
      <c r="V31" s="1026"/>
      <c r="W31" s="1137"/>
      <c r="X31" s="1026"/>
      <c r="Y31" s="1026"/>
    </row>
    <row r="32" spans="1:25" s="1062" customFormat="1" ht="17.399999999999999" x14ac:dyDescent="0.35">
      <c r="A32" s="776" t="s">
        <v>145</v>
      </c>
      <c r="B32" s="544">
        <v>2009</v>
      </c>
      <c r="C32" s="1122" t="s">
        <v>305</v>
      </c>
      <c r="D32" s="1139">
        <v>37</v>
      </c>
      <c r="E32" s="1140">
        <v>1.9349923585414275</v>
      </c>
      <c r="F32" s="1106">
        <v>3</v>
      </c>
      <c r="G32" s="1153"/>
      <c r="H32" s="1126">
        <v>-3</v>
      </c>
      <c r="I32" s="1154">
        <v>5</v>
      </c>
      <c r="J32" s="1128">
        <f t="shared" si="0"/>
        <v>5</v>
      </c>
      <c r="K32" s="1143">
        <f t="shared" si="1"/>
        <v>2</v>
      </c>
      <c r="L32" s="1144">
        <f t="shared" si="2"/>
        <v>0.36</v>
      </c>
      <c r="M32" s="1145">
        <v>7</v>
      </c>
      <c r="N32" s="1146">
        <f t="shared" si="3"/>
        <v>7</v>
      </c>
      <c r="O32" s="1146">
        <f t="shared" si="4"/>
        <v>0</v>
      </c>
      <c r="P32" s="1147">
        <f t="shared" si="5"/>
        <v>0</v>
      </c>
      <c r="Q32" s="1148">
        <f t="shared" si="6"/>
        <v>2.2949923585414274</v>
      </c>
      <c r="R32" s="1149">
        <f t="shared" si="7"/>
        <v>0.35999999999999988</v>
      </c>
      <c r="S32" s="1117">
        <f t="shared" si="8"/>
        <v>34</v>
      </c>
      <c r="T32" s="1150">
        <f t="shared" si="9"/>
        <v>3</v>
      </c>
      <c r="U32" s="1161" t="str">
        <f t="shared" si="10"/>
        <v xml:space="preserve"> </v>
      </c>
      <c r="V32" s="1026"/>
      <c r="W32" s="1152"/>
      <c r="X32" s="1026"/>
      <c r="Y32" s="1026"/>
    </row>
    <row r="33" spans="1:25" s="1062" customFormat="1" ht="17.399999999999999" x14ac:dyDescent="0.35">
      <c r="A33" s="776" t="s">
        <v>152</v>
      </c>
      <c r="B33" s="544"/>
      <c r="C33" s="1138" t="s">
        <v>317</v>
      </c>
      <c r="D33" s="1139">
        <v>47</v>
      </c>
      <c r="E33" s="1140">
        <v>1.7056543316972328</v>
      </c>
      <c r="F33" s="1141">
        <v>2</v>
      </c>
      <c r="G33" s="1153"/>
      <c r="H33" s="1126">
        <v>-4</v>
      </c>
      <c r="I33" s="1142">
        <v>2</v>
      </c>
      <c r="J33" s="1128">
        <f t="shared" si="0"/>
        <v>2</v>
      </c>
      <c r="K33" s="1143">
        <f t="shared" si="1"/>
        <v>0</v>
      </c>
      <c r="L33" s="1144">
        <f t="shared" si="2"/>
        <v>0</v>
      </c>
      <c r="M33" s="1145">
        <v>4</v>
      </c>
      <c r="N33" s="1146">
        <f t="shared" si="3"/>
        <v>4</v>
      </c>
      <c r="O33" s="1146">
        <f t="shared" si="4"/>
        <v>0</v>
      </c>
      <c r="P33" s="1147">
        <f t="shared" si="5"/>
        <v>0</v>
      </c>
      <c r="Q33" s="1148">
        <f t="shared" si="6"/>
        <v>1.7056543316972328</v>
      </c>
      <c r="R33" s="1149">
        <f t="shared" si="7"/>
        <v>0</v>
      </c>
      <c r="S33" s="1117">
        <f t="shared" si="8"/>
        <v>51</v>
      </c>
      <c r="T33" s="1150">
        <f t="shared" si="9"/>
        <v>-4</v>
      </c>
      <c r="U33" s="1161" t="str">
        <f t="shared" si="10"/>
        <v xml:space="preserve"> </v>
      </c>
      <c r="V33" s="1026"/>
      <c r="W33" s="1137"/>
      <c r="X33" s="1026"/>
      <c r="Y33" s="1026"/>
    </row>
    <row r="34" spans="1:25" s="1062" customFormat="1" ht="17.399999999999999" x14ac:dyDescent="0.35">
      <c r="A34" s="776" t="s">
        <v>356</v>
      </c>
      <c r="B34" s="544">
        <v>2015</v>
      </c>
      <c r="C34" s="1122" t="s">
        <v>305</v>
      </c>
      <c r="D34" s="1139">
        <v>32</v>
      </c>
      <c r="E34" s="1140">
        <v>2.1858670411734251</v>
      </c>
      <c r="F34" s="1106">
        <v>2</v>
      </c>
      <c r="G34" s="1157"/>
      <c r="H34" s="1126">
        <v>-3</v>
      </c>
      <c r="I34" s="1154">
        <v>4</v>
      </c>
      <c r="J34" s="1128">
        <f t="shared" si="0"/>
        <v>4</v>
      </c>
      <c r="K34" s="1143">
        <f t="shared" si="1"/>
        <v>2</v>
      </c>
      <c r="L34" s="1144">
        <f t="shared" si="2"/>
        <v>0.36</v>
      </c>
      <c r="M34" s="1145">
        <v>0</v>
      </c>
      <c r="N34" s="1146">
        <f t="shared" si="3"/>
        <v>0</v>
      </c>
      <c r="O34" s="1146">
        <f t="shared" si="4"/>
        <v>0</v>
      </c>
      <c r="P34" s="1147">
        <f t="shared" si="5"/>
        <v>0</v>
      </c>
      <c r="Q34" s="1148">
        <f t="shared" si="6"/>
        <v>2.545867041173425</v>
      </c>
      <c r="R34" s="1149">
        <f t="shared" si="7"/>
        <v>0.35999999999999988</v>
      </c>
      <c r="S34" s="1117">
        <f t="shared" si="8"/>
        <v>26</v>
      </c>
      <c r="T34" s="1150">
        <f t="shared" si="9"/>
        <v>6</v>
      </c>
      <c r="U34" s="1161" t="str">
        <f t="shared" si="10"/>
        <v xml:space="preserve"> </v>
      </c>
      <c r="V34" s="1026"/>
      <c r="W34" s="1137"/>
      <c r="X34" s="1026"/>
      <c r="Y34" s="1026"/>
    </row>
    <row r="35" spans="1:25" s="1062" customFormat="1" ht="17.399999999999999" x14ac:dyDescent="0.35">
      <c r="A35" s="776" t="s">
        <v>337</v>
      </c>
      <c r="B35" s="544"/>
      <c r="C35" s="1138" t="s">
        <v>317</v>
      </c>
      <c r="D35" s="1139">
        <v>36</v>
      </c>
      <c r="E35" s="1140">
        <v>2.0338433919609273</v>
      </c>
      <c r="F35" s="1141">
        <v>2</v>
      </c>
      <c r="G35" s="1153"/>
      <c r="H35" s="1126">
        <v>-4</v>
      </c>
      <c r="I35" s="1142">
        <v>2</v>
      </c>
      <c r="J35" s="1128">
        <f t="shared" si="0"/>
        <v>2</v>
      </c>
      <c r="K35" s="1143">
        <f t="shared" si="1"/>
        <v>0</v>
      </c>
      <c r="L35" s="1144">
        <f t="shared" si="2"/>
        <v>0</v>
      </c>
      <c r="M35" s="1145">
        <v>4</v>
      </c>
      <c r="N35" s="1146">
        <f t="shared" si="3"/>
        <v>4</v>
      </c>
      <c r="O35" s="1146">
        <f t="shared" si="4"/>
        <v>0</v>
      </c>
      <c r="P35" s="1147">
        <f t="shared" si="5"/>
        <v>0</v>
      </c>
      <c r="Q35" s="1148">
        <f t="shared" si="6"/>
        <v>2.0338433919609273</v>
      </c>
      <c r="R35" s="1149">
        <f t="shared" si="7"/>
        <v>0</v>
      </c>
      <c r="S35" s="1117">
        <f t="shared" si="8"/>
        <v>41</v>
      </c>
      <c r="T35" s="1150">
        <f t="shared" si="9"/>
        <v>-5</v>
      </c>
      <c r="U35" s="1161" t="str">
        <f t="shared" si="10"/>
        <v xml:space="preserve"> </v>
      </c>
      <c r="V35" s="1026"/>
      <c r="W35" s="1137"/>
      <c r="X35" s="1026"/>
      <c r="Y35" s="1026"/>
    </row>
    <row r="36" spans="1:25" s="1062" customFormat="1" ht="17.399999999999999" x14ac:dyDescent="0.35">
      <c r="A36" s="777" t="s">
        <v>128</v>
      </c>
      <c r="B36" s="544">
        <v>2017</v>
      </c>
      <c r="C36" s="1122" t="s">
        <v>305</v>
      </c>
      <c r="D36" s="1139">
        <v>7</v>
      </c>
      <c r="E36" s="1140">
        <v>3.3623912080146132</v>
      </c>
      <c r="F36" s="1106">
        <v>0</v>
      </c>
      <c r="G36" s="1157"/>
      <c r="H36" s="1126">
        <v>-2</v>
      </c>
      <c r="I36" s="1154">
        <v>3</v>
      </c>
      <c r="J36" s="1128">
        <f t="shared" si="0"/>
        <v>3</v>
      </c>
      <c r="K36" s="1143">
        <f t="shared" si="1"/>
        <v>3</v>
      </c>
      <c r="L36" s="1144">
        <f t="shared" si="2"/>
        <v>0.54</v>
      </c>
      <c r="M36" s="1145">
        <v>4</v>
      </c>
      <c r="N36" s="1146">
        <f t="shared" si="3"/>
        <v>4</v>
      </c>
      <c r="O36" s="1146">
        <f t="shared" si="4"/>
        <v>0</v>
      </c>
      <c r="P36" s="1147">
        <f t="shared" si="5"/>
        <v>0</v>
      </c>
      <c r="Q36" s="1148">
        <f t="shared" si="6"/>
        <v>3.9023912080146133</v>
      </c>
      <c r="R36" s="1149">
        <f t="shared" si="7"/>
        <v>0.54</v>
      </c>
      <c r="S36" s="1117">
        <f t="shared" si="8"/>
        <v>3</v>
      </c>
      <c r="T36" s="1150">
        <f t="shared" si="9"/>
        <v>4</v>
      </c>
      <c r="U36" s="1161" t="str">
        <f t="shared" si="10"/>
        <v xml:space="preserve"> </v>
      </c>
      <c r="V36" s="1162"/>
      <c r="W36" s="1137"/>
      <c r="X36" s="1026"/>
      <c r="Y36" s="1026"/>
    </row>
    <row r="37" spans="1:25" s="1062" customFormat="1" ht="17.399999999999999" x14ac:dyDescent="0.35">
      <c r="A37" s="778" t="s">
        <v>141</v>
      </c>
      <c r="B37" s="544">
        <v>2019</v>
      </c>
      <c r="C37" s="1122" t="s">
        <v>305</v>
      </c>
      <c r="D37" s="1139">
        <v>40</v>
      </c>
      <c r="E37" s="1140">
        <v>1.8884478153666087</v>
      </c>
      <c r="F37" s="1106">
        <v>-2</v>
      </c>
      <c r="G37" s="1153"/>
      <c r="H37" s="1126">
        <v>-2</v>
      </c>
      <c r="I37" s="1154">
        <v>0</v>
      </c>
      <c r="J37" s="1128">
        <f t="shared" si="0"/>
        <v>0</v>
      </c>
      <c r="K37" s="1143">
        <f t="shared" si="1"/>
        <v>2</v>
      </c>
      <c r="L37" s="1144">
        <f t="shared" si="2"/>
        <v>0.36</v>
      </c>
      <c r="M37" s="1145">
        <v>0</v>
      </c>
      <c r="N37" s="1146">
        <f t="shared" si="3"/>
        <v>0</v>
      </c>
      <c r="O37" s="1146">
        <f t="shared" si="4"/>
        <v>0</v>
      </c>
      <c r="P37" s="1147">
        <f t="shared" si="5"/>
        <v>0</v>
      </c>
      <c r="Q37" s="1148">
        <f t="shared" si="6"/>
        <v>2.2484478153666085</v>
      </c>
      <c r="R37" s="1149">
        <f t="shared" si="7"/>
        <v>0.35999999999999988</v>
      </c>
      <c r="S37" s="1117">
        <f t="shared" si="8"/>
        <v>35</v>
      </c>
      <c r="T37" s="1150">
        <f t="shared" si="9"/>
        <v>5</v>
      </c>
      <c r="U37" s="1161" t="str">
        <f t="shared" si="10"/>
        <v xml:space="preserve"> </v>
      </c>
      <c r="V37" s="1162"/>
      <c r="W37" s="1137" t="s">
        <v>321</v>
      </c>
      <c r="X37" s="1026"/>
      <c r="Y37" s="1026"/>
    </row>
    <row r="38" spans="1:25" s="1062" customFormat="1" ht="17.399999999999999" x14ac:dyDescent="0.35">
      <c r="A38" s="777" t="s">
        <v>125</v>
      </c>
      <c r="B38" s="544">
        <v>2013</v>
      </c>
      <c r="C38" s="1122" t="s">
        <v>305</v>
      </c>
      <c r="D38" s="1139">
        <v>38</v>
      </c>
      <c r="E38" s="1140">
        <v>1.9326194897272897</v>
      </c>
      <c r="F38" s="1106">
        <v>1</v>
      </c>
      <c r="G38" s="1153"/>
      <c r="H38" s="1126">
        <v>-2</v>
      </c>
      <c r="I38" s="1154">
        <v>4</v>
      </c>
      <c r="J38" s="1128">
        <f t="shared" si="0"/>
        <v>4</v>
      </c>
      <c r="K38" s="1143">
        <f t="shared" si="1"/>
        <v>3</v>
      </c>
      <c r="L38" s="1144">
        <f t="shared" si="2"/>
        <v>0.54</v>
      </c>
      <c r="M38" s="1145">
        <v>2</v>
      </c>
      <c r="N38" s="1146">
        <f t="shared" si="3"/>
        <v>2</v>
      </c>
      <c r="O38" s="1146">
        <f t="shared" si="4"/>
        <v>0</v>
      </c>
      <c r="P38" s="1147">
        <f t="shared" si="5"/>
        <v>0</v>
      </c>
      <c r="Q38" s="1148">
        <f t="shared" si="6"/>
        <v>2.4726194897272897</v>
      </c>
      <c r="R38" s="1149">
        <f t="shared" si="7"/>
        <v>0.54</v>
      </c>
      <c r="S38" s="1117">
        <f t="shared" si="8"/>
        <v>29</v>
      </c>
      <c r="T38" s="1150">
        <f t="shared" si="9"/>
        <v>9</v>
      </c>
      <c r="U38" s="1161" t="str">
        <f t="shared" si="10"/>
        <v xml:space="preserve"> </v>
      </c>
      <c r="V38" s="1026"/>
      <c r="W38" s="1137"/>
      <c r="X38" s="1026"/>
      <c r="Y38" s="1026"/>
    </row>
    <row r="39" spans="1:25" s="1062" customFormat="1" ht="17.399999999999999" x14ac:dyDescent="0.35">
      <c r="A39" s="776" t="s">
        <v>153</v>
      </c>
      <c r="B39" s="544"/>
      <c r="C39" s="1138" t="s">
        <v>317</v>
      </c>
      <c r="D39" s="1139">
        <v>34</v>
      </c>
      <c r="E39" s="1140">
        <v>2.0776862878154225</v>
      </c>
      <c r="F39" s="1141">
        <v>3</v>
      </c>
      <c r="G39" s="1153"/>
      <c r="H39" s="1126">
        <v>-3</v>
      </c>
      <c r="I39" s="1142">
        <v>3</v>
      </c>
      <c r="J39" s="1128">
        <f t="shared" si="0"/>
        <v>3</v>
      </c>
      <c r="K39" s="1143">
        <f t="shared" si="1"/>
        <v>0</v>
      </c>
      <c r="L39" s="1144">
        <f t="shared" si="2"/>
        <v>0</v>
      </c>
      <c r="M39" s="1145">
        <v>3</v>
      </c>
      <c r="N39" s="1146">
        <f t="shared" si="3"/>
        <v>3</v>
      </c>
      <c r="O39" s="1146">
        <f t="shared" si="4"/>
        <v>0</v>
      </c>
      <c r="P39" s="1147">
        <f t="shared" si="5"/>
        <v>0</v>
      </c>
      <c r="Q39" s="1148">
        <f t="shared" si="6"/>
        <v>2.0776862878154225</v>
      </c>
      <c r="R39" s="1149">
        <f t="shared" si="7"/>
        <v>0</v>
      </c>
      <c r="S39" s="1117">
        <f t="shared" si="8"/>
        <v>39</v>
      </c>
      <c r="T39" s="1150">
        <f t="shared" si="9"/>
        <v>-5</v>
      </c>
      <c r="U39" s="1161" t="str">
        <f t="shared" si="10"/>
        <v xml:space="preserve"> </v>
      </c>
      <c r="V39" s="1026"/>
      <c r="W39" s="1137"/>
      <c r="X39" s="1026"/>
      <c r="Y39" s="1026"/>
    </row>
    <row r="40" spans="1:25" s="1062" customFormat="1" ht="17.399999999999999" x14ac:dyDescent="0.35">
      <c r="A40" s="777" t="s">
        <v>133</v>
      </c>
      <c r="B40" s="544"/>
      <c r="C40" s="1138"/>
      <c r="D40" s="1139">
        <v>9</v>
      </c>
      <c r="E40" s="1140">
        <v>3.2262055182366689</v>
      </c>
      <c r="F40" s="1141">
        <v>5</v>
      </c>
      <c r="G40" s="1153"/>
      <c r="H40" s="1126">
        <v>-1</v>
      </c>
      <c r="I40" s="1142">
        <v>5</v>
      </c>
      <c r="J40" s="1128">
        <f t="shared" ref="J40:J64" si="11">IF(G40="X",-2,I40)</f>
        <v>5</v>
      </c>
      <c r="K40" s="1143">
        <f t="shared" ref="K40:K64" si="12">J40-F40</f>
        <v>0</v>
      </c>
      <c r="L40" s="1144">
        <f t="shared" ref="L40:L64" si="13">K40*L$6</f>
        <v>0</v>
      </c>
      <c r="M40" s="1145">
        <v>3</v>
      </c>
      <c r="N40" s="1146">
        <f t="shared" ref="N40:N64" si="14">IF(G40="X",0,M40)</f>
        <v>3</v>
      </c>
      <c r="O40" s="1146">
        <f t="shared" ref="O40:O64" si="15">IF(G40="X",N40-M40,0)</f>
        <v>0</v>
      </c>
      <c r="P40" s="1147">
        <f t="shared" ref="P40:P64" si="16">O40*P$6</f>
        <v>0</v>
      </c>
      <c r="Q40" s="1148">
        <f t="shared" ref="Q40:Q64" si="17">E40+L40+P40</f>
        <v>3.2262055182366689</v>
      </c>
      <c r="R40" s="1149">
        <f t="shared" ref="R40:R64" si="18">Q40-E40</f>
        <v>0</v>
      </c>
      <c r="S40" s="1117">
        <f t="shared" ref="S40:S64" si="19">RANK(Q40,Q$8:Q$64)</f>
        <v>6</v>
      </c>
      <c r="T40" s="1150">
        <f t="shared" ref="T40:T64" si="20">D40-S40</f>
        <v>3</v>
      </c>
      <c r="U40" s="1161" t="str">
        <f t="shared" ref="U40:U64" si="21">IF(G40="X",AB$1," ")</f>
        <v xml:space="preserve"> </v>
      </c>
      <c r="V40" s="1162"/>
      <c r="W40" s="1137" t="s">
        <v>321</v>
      </c>
      <c r="X40" s="1026"/>
      <c r="Y40" s="1026"/>
    </row>
    <row r="41" spans="1:25" s="1062" customFormat="1" ht="17.399999999999999" x14ac:dyDescent="0.35">
      <c r="A41" s="777" t="s">
        <v>357</v>
      </c>
      <c r="B41" s="544">
        <v>2017</v>
      </c>
      <c r="C41" s="1122" t="s">
        <v>305</v>
      </c>
      <c r="D41" s="1139">
        <v>54</v>
      </c>
      <c r="E41" s="1140">
        <v>1.2869806207495729</v>
      </c>
      <c r="F41" s="1106">
        <v>-1</v>
      </c>
      <c r="G41" s="1153"/>
      <c r="H41" s="1126">
        <v>-3</v>
      </c>
      <c r="I41" s="1154">
        <v>-1</v>
      </c>
      <c r="J41" s="1128">
        <f t="shared" si="11"/>
        <v>-1</v>
      </c>
      <c r="K41" s="1143">
        <f t="shared" si="12"/>
        <v>0</v>
      </c>
      <c r="L41" s="1144">
        <f t="shared" si="13"/>
        <v>0</v>
      </c>
      <c r="M41" s="1145">
        <v>0</v>
      </c>
      <c r="N41" s="1146">
        <f t="shared" si="14"/>
        <v>0</v>
      </c>
      <c r="O41" s="1146">
        <f t="shared" si="15"/>
        <v>0</v>
      </c>
      <c r="P41" s="1147">
        <f t="shared" si="16"/>
        <v>0</v>
      </c>
      <c r="Q41" s="1148">
        <f t="shared" si="17"/>
        <v>1.2869806207495729</v>
      </c>
      <c r="R41" s="1149">
        <f t="shared" si="18"/>
        <v>0</v>
      </c>
      <c r="S41" s="1117">
        <f t="shared" si="19"/>
        <v>55</v>
      </c>
      <c r="T41" s="1150">
        <f t="shared" si="20"/>
        <v>-1</v>
      </c>
      <c r="U41" s="1161" t="str">
        <f t="shared" si="21"/>
        <v xml:space="preserve"> </v>
      </c>
      <c r="V41" s="1026"/>
      <c r="W41" s="1137"/>
      <c r="X41" s="1026"/>
      <c r="Y41" s="1026"/>
    </row>
    <row r="42" spans="1:25" s="1062" customFormat="1" ht="17.399999999999999" x14ac:dyDescent="0.35">
      <c r="A42" s="776" t="s">
        <v>154</v>
      </c>
      <c r="B42" s="544"/>
      <c r="C42" s="1138" t="s">
        <v>317</v>
      </c>
      <c r="D42" s="1139">
        <v>20</v>
      </c>
      <c r="E42" s="1140">
        <v>2.5636362160197561</v>
      </c>
      <c r="F42" s="1141">
        <v>4</v>
      </c>
      <c r="G42" s="1153"/>
      <c r="H42" s="1126">
        <v>-2</v>
      </c>
      <c r="I42" s="1142">
        <v>4</v>
      </c>
      <c r="J42" s="1128">
        <f t="shared" si="11"/>
        <v>4</v>
      </c>
      <c r="K42" s="1143">
        <f t="shared" si="12"/>
        <v>0</v>
      </c>
      <c r="L42" s="1144">
        <f t="shared" si="13"/>
        <v>0</v>
      </c>
      <c r="M42" s="1145">
        <v>0</v>
      </c>
      <c r="N42" s="1146">
        <f t="shared" si="14"/>
        <v>0</v>
      </c>
      <c r="O42" s="1146">
        <f t="shared" si="15"/>
        <v>0</v>
      </c>
      <c r="P42" s="1147">
        <f t="shared" si="16"/>
        <v>0</v>
      </c>
      <c r="Q42" s="1148">
        <f t="shared" si="17"/>
        <v>2.5636362160197561</v>
      </c>
      <c r="R42" s="1149">
        <f t="shared" si="18"/>
        <v>0</v>
      </c>
      <c r="S42" s="1117">
        <f t="shared" si="19"/>
        <v>25</v>
      </c>
      <c r="T42" s="1150">
        <f t="shared" si="20"/>
        <v>-5</v>
      </c>
      <c r="U42" s="1161" t="str">
        <f t="shared" si="21"/>
        <v xml:space="preserve"> </v>
      </c>
      <c r="V42" s="1162"/>
      <c r="W42" s="1137" t="s">
        <v>322</v>
      </c>
      <c r="X42" s="1026"/>
      <c r="Y42" s="1026"/>
    </row>
    <row r="43" spans="1:25" s="1062" customFormat="1" ht="17.399999999999999" x14ac:dyDescent="0.35">
      <c r="A43" s="776" t="s">
        <v>341</v>
      </c>
      <c r="B43" s="544">
        <v>2011</v>
      </c>
      <c r="C43" s="1138"/>
      <c r="D43" s="1139">
        <v>14</v>
      </c>
      <c r="E43" s="1140">
        <v>2.8374244237091757</v>
      </c>
      <c r="F43" s="1106">
        <v>4</v>
      </c>
      <c r="G43" s="1153"/>
      <c r="H43" s="1126">
        <v>-2</v>
      </c>
      <c r="I43" s="1154">
        <v>6</v>
      </c>
      <c r="J43" s="1128">
        <f t="shared" si="11"/>
        <v>6</v>
      </c>
      <c r="K43" s="1143">
        <f t="shared" si="12"/>
        <v>2</v>
      </c>
      <c r="L43" s="1144">
        <f t="shared" si="13"/>
        <v>0.36</v>
      </c>
      <c r="M43" s="1145">
        <v>2</v>
      </c>
      <c r="N43" s="1146">
        <f t="shared" si="14"/>
        <v>2</v>
      </c>
      <c r="O43" s="1146">
        <f t="shared" si="15"/>
        <v>0</v>
      </c>
      <c r="P43" s="1147">
        <f t="shared" si="16"/>
        <v>0</v>
      </c>
      <c r="Q43" s="1148">
        <f t="shared" si="17"/>
        <v>3.1974244237091756</v>
      </c>
      <c r="R43" s="1149">
        <f t="shared" si="18"/>
        <v>0.35999999999999988</v>
      </c>
      <c r="S43" s="1117">
        <f t="shared" si="19"/>
        <v>7</v>
      </c>
      <c r="T43" s="1150">
        <f t="shared" si="20"/>
        <v>7</v>
      </c>
      <c r="U43" s="1161" t="str">
        <f t="shared" si="21"/>
        <v xml:space="preserve"> </v>
      </c>
      <c r="V43" s="1162"/>
      <c r="W43" s="1137"/>
      <c r="X43" s="1026"/>
      <c r="Y43" s="1026"/>
    </row>
    <row r="44" spans="1:25" s="1062" customFormat="1" ht="17.399999999999999" x14ac:dyDescent="0.35">
      <c r="A44" s="777" t="s">
        <v>7</v>
      </c>
      <c r="B44" s="544">
        <v>2019</v>
      </c>
      <c r="C44" s="1156" t="s">
        <v>306</v>
      </c>
      <c r="D44" s="1139">
        <v>12</v>
      </c>
      <c r="E44" s="1140">
        <v>2.9309772609754132</v>
      </c>
      <c r="F44" s="1106">
        <v>-3</v>
      </c>
      <c r="G44" s="1157"/>
      <c r="H44" s="1126">
        <v>-2</v>
      </c>
      <c r="I44" s="1154">
        <v>2</v>
      </c>
      <c r="J44" s="1128">
        <f t="shared" si="11"/>
        <v>2</v>
      </c>
      <c r="K44" s="1143">
        <f t="shared" si="12"/>
        <v>5</v>
      </c>
      <c r="L44" s="1144">
        <f t="shared" si="13"/>
        <v>0.89999999999999991</v>
      </c>
      <c r="M44" s="1145">
        <v>3</v>
      </c>
      <c r="N44" s="1146">
        <f t="shared" si="14"/>
        <v>3</v>
      </c>
      <c r="O44" s="1146">
        <f t="shared" si="15"/>
        <v>0</v>
      </c>
      <c r="P44" s="1147">
        <f t="shared" si="16"/>
        <v>0</v>
      </c>
      <c r="Q44" s="1148">
        <f t="shared" si="17"/>
        <v>3.8309772609754131</v>
      </c>
      <c r="R44" s="1149">
        <f t="shared" si="18"/>
        <v>0.89999999999999991</v>
      </c>
      <c r="S44" s="1117">
        <f t="shared" si="19"/>
        <v>4</v>
      </c>
      <c r="T44" s="1150">
        <f t="shared" si="20"/>
        <v>8</v>
      </c>
      <c r="U44" s="1161" t="str">
        <f t="shared" si="21"/>
        <v xml:space="preserve"> </v>
      </c>
      <c r="V44" s="1162"/>
      <c r="W44" s="1152" t="s">
        <v>321</v>
      </c>
      <c r="X44" s="1026"/>
      <c r="Y44" s="1026"/>
    </row>
    <row r="45" spans="1:25" s="1062" customFormat="1" ht="17.399999999999999" x14ac:dyDescent="0.35">
      <c r="A45" s="776" t="s">
        <v>155</v>
      </c>
      <c r="B45" s="544"/>
      <c r="C45" s="1138" t="s">
        <v>317</v>
      </c>
      <c r="D45" s="1139">
        <v>6</v>
      </c>
      <c r="E45" s="1140">
        <v>3.6951036446579986</v>
      </c>
      <c r="F45" s="1141">
        <v>4</v>
      </c>
      <c r="G45" s="1153"/>
      <c r="H45" s="1126">
        <v>-3</v>
      </c>
      <c r="I45" s="1142">
        <v>4</v>
      </c>
      <c r="J45" s="1128">
        <f t="shared" si="11"/>
        <v>4</v>
      </c>
      <c r="K45" s="1143">
        <f t="shared" si="12"/>
        <v>0</v>
      </c>
      <c r="L45" s="1144">
        <f t="shared" si="13"/>
        <v>0</v>
      </c>
      <c r="M45" s="1145">
        <v>5</v>
      </c>
      <c r="N45" s="1146">
        <f t="shared" si="14"/>
        <v>5</v>
      </c>
      <c r="O45" s="1146">
        <f t="shared" si="15"/>
        <v>0</v>
      </c>
      <c r="P45" s="1147">
        <f t="shared" si="16"/>
        <v>0</v>
      </c>
      <c r="Q45" s="1148">
        <f t="shared" si="17"/>
        <v>3.6951036446579986</v>
      </c>
      <c r="R45" s="1149">
        <f t="shared" si="18"/>
        <v>0</v>
      </c>
      <c r="S45" s="1117">
        <f t="shared" si="19"/>
        <v>5</v>
      </c>
      <c r="T45" s="1150">
        <f t="shared" si="20"/>
        <v>1</v>
      </c>
      <c r="U45" s="1161" t="str">
        <f t="shared" si="21"/>
        <v xml:space="preserve"> </v>
      </c>
      <c r="V45" s="1162"/>
      <c r="W45" s="1159" t="s">
        <v>319</v>
      </c>
      <c r="X45" s="1026"/>
      <c r="Y45" s="1026"/>
    </row>
    <row r="46" spans="1:25" s="1062" customFormat="1" ht="17.399999999999999" x14ac:dyDescent="0.35">
      <c r="A46" s="776" t="s">
        <v>156</v>
      </c>
      <c r="B46" s="544"/>
      <c r="C46" s="1138" t="s">
        <v>317</v>
      </c>
      <c r="D46" s="1139">
        <v>13</v>
      </c>
      <c r="E46" s="1140">
        <v>2.8605165343036627</v>
      </c>
      <c r="F46" s="1141">
        <v>3</v>
      </c>
      <c r="G46" s="1153"/>
      <c r="H46" s="1126">
        <v>-4</v>
      </c>
      <c r="I46" s="1142">
        <v>3</v>
      </c>
      <c r="J46" s="1128">
        <f t="shared" si="11"/>
        <v>3</v>
      </c>
      <c r="K46" s="1143">
        <f t="shared" si="12"/>
        <v>0</v>
      </c>
      <c r="L46" s="1144">
        <f t="shared" si="13"/>
        <v>0</v>
      </c>
      <c r="M46" s="1145">
        <v>5</v>
      </c>
      <c r="N46" s="1146">
        <f t="shared" si="14"/>
        <v>5</v>
      </c>
      <c r="O46" s="1146">
        <f t="shared" si="15"/>
        <v>0</v>
      </c>
      <c r="P46" s="1147">
        <f t="shared" si="16"/>
        <v>0</v>
      </c>
      <c r="Q46" s="1148">
        <f t="shared" si="17"/>
        <v>2.8605165343036627</v>
      </c>
      <c r="R46" s="1149">
        <f t="shared" si="18"/>
        <v>0</v>
      </c>
      <c r="S46" s="1117">
        <f t="shared" si="19"/>
        <v>17</v>
      </c>
      <c r="T46" s="1150">
        <f t="shared" si="20"/>
        <v>-4</v>
      </c>
      <c r="U46" s="1161" t="str">
        <f t="shared" si="21"/>
        <v xml:space="preserve"> </v>
      </c>
      <c r="V46" s="1162"/>
      <c r="W46" s="1137"/>
      <c r="X46" s="1026"/>
      <c r="Y46" s="1026"/>
    </row>
    <row r="47" spans="1:25" s="1062" customFormat="1" ht="17.399999999999999" x14ac:dyDescent="0.35">
      <c r="A47" s="776" t="s">
        <v>13</v>
      </c>
      <c r="B47" s="544">
        <v>2013</v>
      </c>
      <c r="C47" s="1158" t="s">
        <v>316</v>
      </c>
      <c r="D47" s="1139">
        <v>24</v>
      </c>
      <c r="E47" s="1140">
        <v>2.4680391383659335</v>
      </c>
      <c r="F47" s="1106">
        <v>3</v>
      </c>
      <c r="G47" s="1153"/>
      <c r="H47" s="1126">
        <v>-2</v>
      </c>
      <c r="I47" s="1154">
        <v>6</v>
      </c>
      <c r="J47" s="1128">
        <f t="shared" si="11"/>
        <v>6</v>
      </c>
      <c r="K47" s="1143">
        <f t="shared" si="12"/>
        <v>3</v>
      </c>
      <c r="L47" s="1144">
        <f t="shared" si="13"/>
        <v>0.54</v>
      </c>
      <c r="M47" s="1145">
        <v>3</v>
      </c>
      <c r="N47" s="1146">
        <f t="shared" si="14"/>
        <v>3</v>
      </c>
      <c r="O47" s="1146">
        <f t="shared" si="15"/>
        <v>0</v>
      </c>
      <c r="P47" s="1147">
        <f t="shared" si="16"/>
        <v>0</v>
      </c>
      <c r="Q47" s="1148">
        <f t="shared" si="17"/>
        <v>3.0080391383659335</v>
      </c>
      <c r="R47" s="1149">
        <f t="shared" si="18"/>
        <v>0.54</v>
      </c>
      <c r="S47" s="1117">
        <f t="shared" si="19"/>
        <v>12</v>
      </c>
      <c r="T47" s="1150">
        <f t="shared" si="20"/>
        <v>12</v>
      </c>
      <c r="U47" s="1161" t="str">
        <f t="shared" si="21"/>
        <v xml:space="preserve"> </v>
      </c>
      <c r="V47" s="1026"/>
      <c r="W47" s="1137"/>
      <c r="X47" s="1026"/>
      <c r="Y47" s="1026"/>
    </row>
    <row r="48" spans="1:25" s="1062" customFormat="1" ht="17.399999999999999" x14ac:dyDescent="0.35">
      <c r="A48" s="776" t="s">
        <v>25</v>
      </c>
      <c r="B48" s="544"/>
      <c r="C48" s="1138" t="s">
        <v>317</v>
      </c>
      <c r="D48" s="1139">
        <v>46</v>
      </c>
      <c r="E48" s="1140">
        <v>1.7161104807076528</v>
      </c>
      <c r="F48" s="1141">
        <v>2</v>
      </c>
      <c r="G48" s="1153"/>
      <c r="H48" s="1126">
        <v>-4</v>
      </c>
      <c r="I48" s="1142">
        <v>2</v>
      </c>
      <c r="J48" s="1128">
        <f t="shared" si="11"/>
        <v>2</v>
      </c>
      <c r="K48" s="1143">
        <f t="shared" si="12"/>
        <v>0</v>
      </c>
      <c r="L48" s="1144">
        <f t="shared" si="13"/>
        <v>0</v>
      </c>
      <c r="M48" s="1145">
        <v>0</v>
      </c>
      <c r="N48" s="1146">
        <f t="shared" si="14"/>
        <v>0</v>
      </c>
      <c r="O48" s="1146">
        <f t="shared" si="15"/>
        <v>0</v>
      </c>
      <c r="P48" s="1147">
        <f t="shared" si="16"/>
        <v>0</v>
      </c>
      <c r="Q48" s="1148">
        <f t="shared" si="17"/>
        <v>1.7161104807076528</v>
      </c>
      <c r="R48" s="1149">
        <f t="shared" si="18"/>
        <v>0</v>
      </c>
      <c r="S48" s="1117">
        <f t="shared" si="19"/>
        <v>50</v>
      </c>
      <c r="T48" s="1150">
        <f t="shared" si="20"/>
        <v>-4</v>
      </c>
      <c r="U48" s="1161" t="str">
        <f t="shared" si="21"/>
        <v xml:space="preserve"> </v>
      </c>
      <c r="V48" s="1026"/>
      <c r="W48" s="1137"/>
      <c r="X48" s="1026"/>
      <c r="Y48" s="1026"/>
    </row>
    <row r="49" spans="1:25" s="1062" customFormat="1" ht="17.399999999999999" x14ac:dyDescent="0.35">
      <c r="A49" s="776" t="s">
        <v>472</v>
      </c>
      <c r="B49" s="544">
        <v>2013</v>
      </c>
      <c r="C49" s="1122" t="s">
        <v>305</v>
      </c>
      <c r="D49" s="1139">
        <v>22</v>
      </c>
      <c r="E49" s="1140">
        <v>2.4900946439467013</v>
      </c>
      <c r="F49" s="1106">
        <v>2</v>
      </c>
      <c r="G49" s="1153"/>
      <c r="H49" s="1126">
        <v>-2</v>
      </c>
      <c r="I49" s="1154">
        <v>4</v>
      </c>
      <c r="J49" s="1128">
        <f t="shared" si="11"/>
        <v>4</v>
      </c>
      <c r="K49" s="1143">
        <f t="shared" si="12"/>
        <v>2</v>
      </c>
      <c r="L49" s="1144">
        <f t="shared" si="13"/>
        <v>0.36</v>
      </c>
      <c r="M49" s="1145">
        <v>0</v>
      </c>
      <c r="N49" s="1146">
        <f t="shared" si="14"/>
        <v>0</v>
      </c>
      <c r="O49" s="1146">
        <f t="shared" si="15"/>
        <v>0</v>
      </c>
      <c r="P49" s="1147">
        <f t="shared" si="16"/>
        <v>0</v>
      </c>
      <c r="Q49" s="1148">
        <f t="shared" si="17"/>
        <v>2.8500946439467012</v>
      </c>
      <c r="R49" s="1149">
        <f t="shared" si="18"/>
        <v>0.35999999999999988</v>
      </c>
      <c r="S49" s="1117">
        <f t="shared" si="19"/>
        <v>18</v>
      </c>
      <c r="T49" s="1150">
        <f t="shared" si="20"/>
        <v>4</v>
      </c>
      <c r="U49" s="1161" t="str">
        <f t="shared" si="21"/>
        <v xml:space="preserve"> </v>
      </c>
      <c r="V49" s="1026"/>
      <c r="W49" s="1137"/>
      <c r="X49" s="1026"/>
      <c r="Y49" s="1026"/>
    </row>
    <row r="50" spans="1:25" s="1062" customFormat="1" ht="17.399999999999999" x14ac:dyDescent="0.35">
      <c r="A50" s="778" t="s">
        <v>130</v>
      </c>
      <c r="B50" s="544">
        <v>2019</v>
      </c>
      <c r="C50" s="1122" t="s">
        <v>305</v>
      </c>
      <c r="D50" s="1139">
        <v>5</v>
      </c>
      <c r="E50" s="1140">
        <v>3.9034539373498558</v>
      </c>
      <c r="F50" s="1106">
        <v>-2</v>
      </c>
      <c r="G50" s="1153"/>
      <c r="H50" s="1126">
        <v>-2</v>
      </c>
      <c r="I50" s="1154">
        <v>1</v>
      </c>
      <c r="J50" s="1128">
        <f t="shared" si="11"/>
        <v>1</v>
      </c>
      <c r="K50" s="1143">
        <f t="shared" si="12"/>
        <v>3</v>
      </c>
      <c r="L50" s="1144">
        <f t="shared" si="13"/>
        <v>0.54</v>
      </c>
      <c r="M50" s="1145">
        <v>0</v>
      </c>
      <c r="N50" s="1146">
        <f t="shared" si="14"/>
        <v>0</v>
      </c>
      <c r="O50" s="1146">
        <f t="shared" si="15"/>
        <v>0</v>
      </c>
      <c r="P50" s="1147">
        <f t="shared" si="16"/>
        <v>0</v>
      </c>
      <c r="Q50" s="1148">
        <f t="shared" si="17"/>
        <v>4.4434539373498563</v>
      </c>
      <c r="R50" s="1149">
        <f t="shared" si="18"/>
        <v>0.54000000000000048</v>
      </c>
      <c r="S50" s="1117">
        <f t="shared" si="19"/>
        <v>2</v>
      </c>
      <c r="T50" s="1150">
        <f t="shared" si="20"/>
        <v>3</v>
      </c>
      <c r="U50" s="1161" t="str">
        <f t="shared" si="21"/>
        <v xml:space="preserve"> </v>
      </c>
      <c r="V50" s="1162"/>
      <c r="W50" s="1137" t="s">
        <v>321</v>
      </c>
      <c r="X50" s="1026"/>
      <c r="Y50" s="1026"/>
    </row>
    <row r="51" spans="1:25" s="1062" customFormat="1" ht="17.399999999999999" x14ac:dyDescent="0.35">
      <c r="A51" s="776" t="s">
        <v>19</v>
      </c>
      <c r="B51" s="544"/>
      <c r="C51" s="1138" t="s">
        <v>317</v>
      </c>
      <c r="D51" s="1139">
        <v>39</v>
      </c>
      <c r="E51" s="1140">
        <v>1.9275600769567047</v>
      </c>
      <c r="F51" s="1141">
        <v>2</v>
      </c>
      <c r="G51" s="1153"/>
      <c r="H51" s="1126">
        <v>-4</v>
      </c>
      <c r="I51" s="1142">
        <v>2</v>
      </c>
      <c r="J51" s="1128">
        <f t="shared" si="11"/>
        <v>2</v>
      </c>
      <c r="K51" s="1143">
        <f t="shared" si="12"/>
        <v>0</v>
      </c>
      <c r="L51" s="1144">
        <f t="shared" si="13"/>
        <v>0</v>
      </c>
      <c r="M51" s="1145">
        <v>1</v>
      </c>
      <c r="N51" s="1146">
        <f t="shared" si="14"/>
        <v>1</v>
      </c>
      <c r="O51" s="1146">
        <f t="shared" si="15"/>
        <v>0</v>
      </c>
      <c r="P51" s="1147">
        <f t="shared" si="16"/>
        <v>0</v>
      </c>
      <c r="Q51" s="1148">
        <f t="shared" si="17"/>
        <v>1.9275600769567047</v>
      </c>
      <c r="R51" s="1149">
        <f t="shared" si="18"/>
        <v>0</v>
      </c>
      <c r="S51" s="1117">
        <f t="shared" si="19"/>
        <v>44</v>
      </c>
      <c r="T51" s="1150">
        <f t="shared" si="20"/>
        <v>-5</v>
      </c>
      <c r="U51" s="1161" t="str">
        <f t="shared" si="21"/>
        <v xml:space="preserve"> </v>
      </c>
      <c r="V51" s="1026"/>
      <c r="W51" s="1137"/>
      <c r="X51" s="1026"/>
      <c r="Y51" s="1026"/>
    </row>
    <row r="52" spans="1:25" s="1062" customFormat="1" ht="17.399999999999999" x14ac:dyDescent="0.35">
      <c r="A52" s="776" t="s">
        <v>211</v>
      </c>
      <c r="B52" s="544">
        <v>2013</v>
      </c>
      <c r="C52" s="1158" t="s">
        <v>316</v>
      </c>
      <c r="D52" s="1139">
        <v>56</v>
      </c>
      <c r="E52" s="1140">
        <v>0.8586797538598876</v>
      </c>
      <c r="F52" s="1106">
        <v>-1</v>
      </c>
      <c r="G52" s="1153"/>
      <c r="H52" s="1126">
        <v>-3</v>
      </c>
      <c r="I52" s="1154">
        <v>1</v>
      </c>
      <c r="J52" s="1128">
        <f t="shared" si="11"/>
        <v>1</v>
      </c>
      <c r="K52" s="1143">
        <f t="shared" si="12"/>
        <v>2</v>
      </c>
      <c r="L52" s="1144">
        <f t="shared" si="13"/>
        <v>0.36</v>
      </c>
      <c r="M52" s="1145">
        <v>2</v>
      </c>
      <c r="N52" s="1146">
        <f t="shared" si="14"/>
        <v>2</v>
      </c>
      <c r="O52" s="1146">
        <f t="shared" si="15"/>
        <v>0</v>
      </c>
      <c r="P52" s="1147">
        <f t="shared" si="16"/>
        <v>0</v>
      </c>
      <c r="Q52" s="1148">
        <f t="shared" si="17"/>
        <v>1.2186797538598877</v>
      </c>
      <c r="R52" s="1149">
        <f t="shared" si="18"/>
        <v>0.3600000000000001</v>
      </c>
      <c r="S52" s="1117">
        <f t="shared" si="19"/>
        <v>56</v>
      </c>
      <c r="T52" s="1150">
        <f t="shared" si="20"/>
        <v>0</v>
      </c>
      <c r="U52" s="1161" t="str">
        <f t="shared" si="21"/>
        <v xml:space="preserve"> </v>
      </c>
      <c r="V52" s="1026"/>
      <c r="W52" s="1137"/>
      <c r="X52" s="1026"/>
      <c r="Y52" s="1026"/>
    </row>
    <row r="53" spans="1:25" s="1062" customFormat="1" ht="17.399999999999999" x14ac:dyDescent="0.35">
      <c r="A53" s="776" t="s">
        <v>157</v>
      </c>
      <c r="B53" s="544"/>
      <c r="C53" s="1138" t="s">
        <v>317</v>
      </c>
      <c r="D53" s="1139">
        <v>27</v>
      </c>
      <c r="E53" s="1140">
        <v>2.3648183423170726</v>
      </c>
      <c r="F53" s="1141">
        <v>3</v>
      </c>
      <c r="G53" s="1153"/>
      <c r="H53" s="1126">
        <v>-4</v>
      </c>
      <c r="I53" s="1142">
        <v>3</v>
      </c>
      <c r="J53" s="1128">
        <f t="shared" si="11"/>
        <v>3</v>
      </c>
      <c r="K53" s="1143">
        <f t="shared" si="12"/>
        <v>0</v>
      </c>
      <c r="L53" s="1144">
        <f t="shared" si="13"/>
        <v>0</v>
      </c>
      <c r="M53" s="1145">
        <v>4</v>
      </c>
      <c r="N53" s="1146">
        <f t="shared" si="14"/>
        <v>4</v>
      </c>
      <c r="O53" s="1146">
        <f t="shared" si="15"/>
        <v>0</v>
      </c>
      <c r="P53" s="1147">
        <f t="shared" si="16"/>
        <v>0</v>
      </c>
      <c r="Q53" s="1148">
        <f t="shared" si="17"/>
        <v>2.3648183423170726</v>
      </c>
      <c r="R53" s="1149">
        <f t="shared" si="18"/>
        <v>0</v>
      </c>
      <c r="S53" s="1117">
        <f t="shared" si="19"/>
        <v>31</v>
      </c>
      <c r="T53" s="1150">
        <f t="shared" si="20"/>
        <v>-4</v>
      </c>
      <c r="U53" s="1161" t="str">
        <f t="shared" si="21"/>
        <v xml:space="preserve"> </v>
      </c>
      <c r="V53" s="1162"/>
      <c r="W53" s="1137" t="s">
        <v>324</v>
      </c>
      <c r="X53" s="1026"/>
      <c r="Y53" s="1026"/>
    </row>
    <row r="54" spans="1:25" s="1062" customFormat="1" ht="17.399999999999999" x14ac:dyDescent="0.35">
      <c r="A54" s="777" t="s">
        <v>126</v>
      </c>
      <c r="B54" s="544">
        <v>2013</v>
      </c>
      <c r="C54" s="1122" t="s">
        <v>305</v>
      </c>
      <c r="D54" s="1139">
        <v>26</v>
      </c>
      <c r="E54" s="1140">
        <v>2.40288910599189</v>
      </c>
      <c r="F54" s="1106">
        <v>1</v>
      </c>
      <c r="G54" s="1153"/>
      <c r="H54" s="1126">
        <v>-2</v>
      </c>
      <c r="I54" s="1154">
        <v>4</v>
      </c>
      <c r="J54" s="1128">
        <f t="shared" si="11"/>
        <v>4</v>
      </c>
      <c r="K54" s="1143">
        <f t="shared" si="12"/>
        <v>3</v>
      </c>
      <c r="L54" s="1144">
        <f t="shared" si="13"/>
        <v>0.54</v>
      </c>
      <c r="M54" s="1145">
        <v>2</v>
      </c>
      <c r="N54" s="1146">
        <f t="shared" si="14"/>
        <v>2</v>
      </c>
      <c r="O54" s="1146">
        <f t="shared" si="15"/>
        <v>0</v>
      </c>
      <c r="P54" s="1147">
        <f t="shared" si="16"/>
        <v>0</v>
      </c>
      <c r="Q54" s="1148">
        <f t="shared" si="17"/>
        <v>2.94288910599189</v>
      </c>
      <c r="R54" s="1149">
        <f t="shared" si="18"/>
        <v>0.54</v>
      </c>
      <c r="S54" s="1117">
        <f t="shared" si="19"/>
        <v>14</v>
      </c>
      <c r="T54" s="1150">
        <f t="shared" si="20"/>
        <v>12</v>
      </c>
      <c r="U54" s="1161" t="str">
        <f t="shared" si="21"/>
        <v xml:space="preserve"> </v>
      </c>
      <c r="V54" s="1026"/>
      <c r="W54" s="1137"/>
      <c r="X54" s="1026"/>
      <c r="Y54" s="1026"/>
    </row>
    <row r="55" spans="1:25" s="1062" customFormat="1" ht="17.399999999999999" x14ac:dyDescent="0.35">
      <c r="A55" s="776" t="s">
        <v>158</v>
      </c>
      <c r="B55" s="544"/>
      <c r="C55" s="1138" t="s">
        <v>317</v>
      </c>
      <c r="D55" s="1139">
        <v>25</v>
      </c>
      <c r="E55" s="1140">
        <v>2.4461405568912342</v>
      </c>
      <c r="F55" s="1141">
        <v>3</v>
      </c>
      <c r="G55" s="1153"/>
      <c r="H55" s="1126">
        <v>-3</v>
      </c>
      <c r="I55" s="1142">
        <v>3</v>
      </c>
      <c r="J55" s="1128">
        <f t="shared" si="11"/>
        <v>3</v>
      </c>
      <c r="K55" s="1143">
        <f t="shared" si="12"/>
        <v>0</v>
      </c>
      <c r="L55" s="1144">
        <f t="shared" si="13"/>
        <v>0</v>
      </c>
      <c r="M55" s="1145">
        <v>3</v>
      </c>
      <c r="N55" s="1146">
        <f t="shared" si="14"/>
        <v>3</v>
      </c>
      <c r="O55" s="1146">
        <f t="shared" si="15"/>
        <v>0</v>
      </c>
      <c r="P55" s="1147">
        <f t="shared" si="16"/>
        <v>0</v>
      </c>
      <c r="Q55" s="1148">
        <f t="shared" si="17"/>
        <v>2.4461405568912342</v>
      </c>
      <c r="R55" s="1149">
        <f t="shared" si="18"/>
        <v>0</v>
      </c>
      <c r="S55" s="1117">
        <f t="shared" si="19"/>
        <v>30</v>
      </c>
      <c r="T55" s="1150">
        <f t="shared" si="20"/>
        <v>-5</v>
      </c>
      <c r="U55" s="1161" t="str">
        <f t="shared" si="21"/>
        <v xml:space="preserve"> </v>
      </c>
      <c r="V55" s="1026"/>
      <c r="W55" s="1137"/>
      <c r="X55" s="1026"/>
      <c r="Y55" s="1026"/>
    </row>
    <row r="56" spans="1:25" s="1062" customFormat="1" ht="17.399999999999999" x14ac:dyDescent="0.35">
      <c r="A56" s="776" t="s">
        <v>213</v>
      </c>
      <c r="B56" s="544">
        <v>2009</v>
      </c>
      <c r="C56" s="1122" t="s">
        <v>305</v>
      </c>
      <c r="D56" s="1139">
        <v>21</v>
      </c>
      <c r="E56" s="1140">
        <v>2.5342080113169168</v>
      </c>
      <c r="F56" s="1106">
        <v>6</v>
      </c>
      <c r="G56" s="1153"/>
      <c r="H56" s="1126">
        <v>-2</v>
      </c>
      <c r="I56" s="1154">
        <v>8</v>
      </c>
      <c r="J56" s="1128">
        <f t="shared" si="11"/>
        <v>8</v>
      </c>
      <c r="K56" s="1143">
        <f t="shared" si="12"/>
        <v>2</v>
      </c>
      <c r="L56" s="1144">
        <f t="shared" si="13"/>
        <v>0.36</v>
      </c>
      <c r="M56" s="1145">
        <v>8</v>
      </c>
      <c r="N56" s="1146">
        <f t="shared" si="14"/>
        <v>8</v>
      </c>
      <c r="O56" s="1146">
        <f t="shared" si="15"/>
        <v>0</v>
      </c>
      <c r="P56" s="1147">
        <f t="shared" si="16"/>
        <v>0</v>
      </c>
      <c r="Q56" s="1148">
        <f t="shared" si="17"/>
        <v>2.8942080113169166</v>
      </c>
      <c r="R56" s="1149">
        <f t="shared" si="18"/>
        <v>0.35999999999999988</v>
      </c>
      <c r="S56" s="1117">
        <f t="shared" si="19"/>
        <v>16</v>
      </c>
      <c r="T56" s="1150">
        <f t="shared" si="20"/>
        <v>5</v>
      </c>
      <c r="U56" s="1161" t="str">
        <f t="shared" si="21"/>
        <v xml:space="preserve"> </v>
      </c>
      <c r="V56" s="1162"/>
      <c r="W56" s="1137"/>
      <c r="X56" s="1026"/>
      <c r="Y56" s="1026"/>
    </row>
    <row r="57" spans="1:25" s="1062" customFormat="1" ht="17.399999999999999" x14ac:dyDescent="0.35">
      <c r="A57" s="776" t="s">
        <v>159</v>
      </c>
      <c r="B57" s="544"/>
      <c r="C57" s="1138" t="s">
        <v>317</v>
      </c>
      <c r="D57" s="1139">
        <v>17</v>
      </c>
      <c r="E57" s="1140">
        <v>2.6512276969897735</v>
      </c>
      <c r="F57" s="1141">
        <v>3</v>
      </c>
      <c r="G57" s="1153"/>
      <c r="H57" s="1126">
        <v>-4</v>
      </c>
      <c r="I57" s="1142">
        <v>3</v>
      </c>
      <c r="J57" s="1128">
        <f t="shared" si="11"/>
        <v>3</v>
      </c>
      <c r="K57" s="1143">
        <f t="shared" si="12"/>
        <v>0</v>
      </c>
      <c r="L57" s="1144">
        <f t="shared" si="13"/>
        <v>0</v>
      </c>
      <c r="M57" s="1145">
        <v>3</v>
      </c>
      <c r="N57" s="1146">
        <f t="shared" si="14"/>
        <v>3</v>
      </c>
      <c r="O57" s="1146">
        <f t="shared" si="15"/>
        <v>0</v>
      </c>
      <c r="P57" s="1147">
        <f t="shared" si="16"/>
        <v>0</v>
      </c>
      <c r="Q57" s="1148">
        <f t="shared" si="17"/>
        <v>2.6512276969897735</v>
      </c>
      <c r="R57" s="1149">
        <f t="shared" si="18"/>
        <v>0</v>
      </c>
      <c r="S57" s="1117">
        <f t="shared" si="19"/>
        <v>21</v>
      </c>
      <c r="T57" s="1150">
        <f t="shared" si="20"/>
        <v>-4</v>
      </c>
      <c r="U57" s="1161" t="str">
        <f t="shared" si="21"/>
        <v xml:space="preserve"> </v>
      </c>
      <c r="V57" s="1162"/>
      <c r="W57" s="1137"/>
      <c r="X57" s="1026"/>
      <c r="Y57" s="1026"/>
    </row>
    <row r="58" spans="1:25" s="1062" customFormat="1" ht="17.399999999999999" x14ac:dyDescent="0.35">
      <c r="A58" s="777" t="s">
        <v>23</v>
      </c>
      <c r="B58" s="544"/>
      <c r="C58" s="1138" t="s">
        <v>317</v>
      </c>
      <c r="D58" s="1139">
        <v>44</v>
      </c>
      <c r="E58" s="1140">
        <v>1.789372560346238</v>
      </c>
      <c r="F58" s="1141">
        <v>2</v>
      </c>
      <c r="G58" s="1153"/>
      <c r="H58" s="1126">
        <v>-4</v>
      </c>
      <c r="I58" s="1142">
        <v>2</v>
      </c>
      <c r="J58" s="1128">
        <f t="shared" si="11"/>
        <v>2</v>
      </c>
      <c r="K58" s="1143">
        <f t="shared" si="12"/>
        <v>0</v>
      </c>
      <c r="L58" s="1144">
        <f t="shared" si="13"/>
        <v>0</v>
      </c>
      <c r="M58" s="1145">
        <v>1</v>
      </c>
      <c r="N58" s="1146">
        <f t="shared" si="14"/>
        <v>1</v>
      </c>
      <c r="O58" s="1146">
        <f t="shared" si="15"/>
        <v>0</v>
      </c>
      <c r="P58" s="1147">
        <f t="shared" si="16"/>
        <v>0</v>
      </c>
      <c r="Q58" s="1148">
        <f t="shared" si="17"/>
        <v>1.789372560346238</v>
      </c>
      <c r="R58" s="1149">
        <f t="shared" si="18"/>
        <v>0</v>
      </c>
      <c r="S58" s="1117">
        <f t="shared" si="19"/>
        <v>49</v>
      </c>
      <c r="T58" s="1150">
        <f t="shared" si="20"/>
        <v>-5</v>
      </c>
      <c r="U58" s="1161" t="str">
        <f t="shared" si="21"/>
        <v xml:space="preserve"> </v>
      </c>
      <c r="V58" s="1026"/>
      <c r="W58" s="1137"/>
      <c r="X58" s="1026"/>
      <c r="Y58" s="1026"/>
    </row>
    <row r="59" spans="1:25" s="1062" customFormat="1" ht="17.399999999999999" x14ac:dyDescent="0.35">
      <c r="A59" s="776" t="s">
        <v>160</v>
      </c>
      <c r="B59" s="544"/>
      <c r="C59" s="1138" t="s">
        <v>317</v>
      </c>
      <c r="D59" s="1139">
        <v>19</v>
      </c>
      <c r="E59" s="1140">
        <v>2.5969961236794852</v>
      </c>
      <c r="F59" s="1141">
        <v>4</v>
      </c>
      <c r="G59" s="1153"/>
      <c r="H59" s="1126">
        <v>-3</v>
      </c>
      <c r="I59" s="1142">
        <v>4</v>
      </c>
      <c r="J59" s="1128">
        <f t="shared" si="11"/>
        <v>4</v>
      </c>
      <c r="K59" s="1143">
        <f t="shared" si="12"/>
        <v>0</v>
      </c>
      <c r="L59" s="1144">
        <f t="shared" si="13"/>
        <v>0</v>
      </c>
      <c r="M59" s="1145">
        <v>4</v>
      </c>
      <c r="N59" s="1146">
        <f t="shared" si="14"/>
        <v>4</v>
      </c>
      <c r="O59" s="1146">
        <f t="shared" si="15"/>
        <v>0</v>
      </c>
      <c r="P59" s="1147">
        <f t="shared" si="16"/>
        <v>0</v>
      </c>
      <c r="Q59" s="1148">
        <f t="shared" si="17"/>
        <v>2.5969961236794852</v>
      </c>
      <c r="R59" s="1149">
        <f t="shared" si="18"/>
        <v>0</v>
      </c>
      <c r="S59" s="1117">
        <f t="shared" si="19"/>
        <v>24</v>
      </c>
      <c r="T59" s="1150">
        <f t="shared" si="20"/>
        <v>-5</v>
      </c>
      <c r="U59" s="1161" t="str">
        <f t="shared" si="21"/>
        <v xml:space="preserve"> </v>
      </c>
      <c r="V59" s="1162"/>
      <c r="W59" s="1137"/>
      <c r="X59" s="1026"/>
      <c r="Y59" s="1026"/>
    </row>
    <row r="60" spans="1:25" s="1062" customFormat="1" ht="17.399999999999999" x14ac:dyDescent="0.35">
      <c r="A60" s="776" t="s">
        <v>338</v>
      </c>
      <c r="B60" s="544"/>
      <c r="C60" s="1138" t="s">
        <v>317</v>
      </c>
      <c r="D60" s="1139">
        <v>10</v>
      </c>
      <c r="E60" s="1140">
        <v>3.1094159737318972</v>
      </c>
      <c r="F60" s="1141">
        <v>4</v>
      </c>
      <c r="G60" s="1153"/>
      <c r="H60" s="1126">
        <v>-3</v>
      </c>
      <c r="I60" s="1142">
        <v>4</v>
      </c>
      <c r="J60" s="1128">
        <f t="shared" si="11"/>
        <v>4</v>
      </c>
      <c r="K60" s="1143">
        <f t="shared" si="12"/>
        <v>0</v>
      </c>
      <c r="L60" s="1144">
        <f t="shared" si="13"/>
        <v>0</v>
      </c>
      <c r="M60" s="1145">
        <v>4</v>
      </c>
      <c r="N60" s="1146">
        <f t="shared" si="14"/>
        <v>4</v>
      </c>
      <c r="O60" s="1146">
        <f t="shared" si="15"/>
        <v>0</v>
      </c>
      <c r="P60" s="1147">
        <f t="shared" si="16"/>
        <v>0</v>
      </c>
      <c r="Q60" s="1148">
        <f t="shared" si="17"/>
        <v>3.1094159737318972</v>
      </c>
      <c r="R60" s="1149">
        <f t="shared" si="18"/>
        <v>0</v>
      </c>
      <c r="S60" s="1117">
        <f t="shared" si="19"/>
        <v>9</v>
      </c>
      <c r="T60" s="1150">
        <f t="shared" si="20"/>
        <v>1</v>
      </c>
      <c r="U60" s="1161" t="str">
        <f t="shared" si="21"/>
        <v xml:space="preserve"> </v>
      </c>
      <c r="V60" s="1162"/>
      <c r="W60" s="1159" t="s">
        <v>318</v>
      </c>
      <c r="X60" s="1026"/>
      <c r="Y60" s="1026"/>
    </row>
    <row r="61" spans="1:25" s="1062" customFormat="1" ht="17.399999999999999" x14ac:dyDescent="0.35">
      <c r="A61" s="776" t="s">
        <v>446</v>
      </c>
      <c r="B61" s="544"/>
      <c r="C61" s="1138" t="s">
        <v>317</v>
      </c>
      <c r="D61" s="1139">
        <v>1</v>
      </c>
      <c r="E61" s="1140">
        <v>4.6389674414240627</v>
      </c>
      <c r="F61" s="1141">
        <v>6</v>
      </c>
      <c r="G61" s="1153" t="s">
        <v>314</v>
      </c>
      <c r="H61" s="1126">
        <v>-2</v>
      </c>
      <c r="I61" s="1142">
        <v>6</v>
      </c>
      <c r="J61" s="1128">
        <f t="shared" si="11"/>
        <v>-2</v>
      </c>
      <c r="K61" s="1143">
        <f t="shared" si="12"/>
        <v>-8</v>
      </c>
      <c r="L61" s="1144">
        <f t="shared" si="13"/>
        <v>-1.44</v>
      </c>
      <c r="M61" s="1145">
        <v>6</v>
      </c>
      <c r="N61" s="1146">
        <f t="shared" si="14"/>
        <v>0</v>
      </c>
      <c r="O61" s="1146">
        <f t="shared" si="15"/>
        <v>-6</v>
      </c>
      <c r="P61" s="1147">
        <f t="shared" si="16"/>
        <v>-0.30000000000000004</v>
      </c>
      <c r="Q61" s="1148">
        <f t="shared" si="17"/>
        <v>2.8989674414240625</v>
      </c>
      <c r="R61" s="1149">
        <f t="shared" si="18"/>
        <v>-1.7400000000000002</v>
      </c>
      <c r="S61" s="1117">
        <f t="shared" si="19"/>
        <v>15</v>
      </c>
      <c r="T61" s="1150">
        <f t="shared" si="20"/>
        <v>-14</v>
      </c>
      <c r="U61" s="1161" t="str">
        <f t="shared" si="21"/>
        <v>√</v>
      </c>
      <c r="V61" s="1162"/>
      <c r="W61" s="1137" t="s">
        <v>323</v>
      </c>
      <c r="X61" s="1026"/>
      <c r="Y61" s="1026"/>
    </row>
    <row r="62" spans="1:25" s="1062" customFormat="1" ht="17.399999999999999" x14ac:dyDescent="0.35">
      <c r="A62" s="777" t="s">
        <v>142</v>
      </c>
      <c r="B62" s="544">
        <v>2019</v>
      </c>
      <c r="C62" s="1156" t="s">
        <v>306</v>
      </c>
      <c r="D62" s="1139">
        <v>31</v>
      </c>
      <c r="E62" s="1140">
        <v>2.2606703808980813</v>
      </c>
      <c r="F62" s="1106">
        <v>-3</v>
      </c>
      <c r="G62" s="1157"/>
      <c r="H62" s="1126">
        <v>-2</v>
      </c>
      <c r="I62" s="1154">
        <v>0</v>
      </c>
      <c r="J62" s="1128">
        <f t="shared" si="11"/>
        <v>0</v>
      </c>
      <c r="K62" s="1143">
        <f t="shared" si="12"/>
        <v>3</v>
      </c>
      <c r="L62" s="1144">
        <f t="shared" si="13"/>
        <v>0.54</v>
      </c>
      <c r="M62" s="1145">
        <v>0</v>
      </c>
      <c r="N62" s="1146">
        <f t="shared" si="14"/>
        <v>0</v>
      </c>
      <c r="O62" s="1146">
        <f t="shared" si="15"/>
        <v>0</v>
      </c>
      <c r="P62" s="1147">
        <f t="shared" si="16"/>
        <v>0</v>
      </c>
      <c r="Q62" s="1148">
        <f t="shared" si="17"/>
        <v>2.8006703808980813</v>
      </c>
      <c r="R62" s="1149">
        <f t="shared" si="18"/>
        <v>0.54</v>
      </c>
      <c r="S62" s="1117">
        <f t="shared" si="19"/>
        <v>20</v>
      </c>
      <c r="T62" s="1150">
        <f t="shared" si="20"/>
        <v>11</v>
      </c>
      <c r="U62" s="1161" t="str">
        <f t="shared" si="21"/>
        <v xml:space="preserve"> </v>
      </c>
      <c r="V62" s="1162"/>
      <c r="W62" s="1137"/>
      <c r="X62" s="1026"/>
      <c r="Y62" s="1026"/>
    </row>
    <row r="63" spans="1:25" s="1062" customFormat="1" ht="17.399999999999999" x14ac:dyDescent="0.35">
      <c r="A63" s="777" t="s">
        <v>214</v>
      </c>
      <c r="B63" s="544">
        <v>2017</v>
      </c>
      <c r="C63" s="1122" t="s">
        <v>305</v>
      </c>
      <c r="D63" s="1139">
        <v>11</v>
      </c>
      <c r="E63" s="1140">
        <v>2.9955356133816546</v>
      </c>
      <c r="F63" s="1106">
        <v>-1</v>
      </c>
      <c r="G63" s="1153"/>
      <c r="H63" s="1126">
        <v>-2</v>
      </c>
      <c r="I63" s="1154">
        <v>0</v>
      </c>
      <c r="J63" s="1128">
        <f t="shared" si="11"/>
        <v>0</v>
      </c>
      <c r="K63" s="1143">
        <f t="shared" si="12"/>
        <v>1</v>
      </c>
      <c r="L63" s="1144">
        <f t="shared" si="13"/>
        <v>0.18</v>
      </c>
      <c r="M63" s="1145">
        <v>0</v>
      </c>
      <c r="N63" s="1146">
        <f t="shared" si="14"/>
        <v>0</v>
      </c>
      <c r="O63" s="1146">
        <f t="shared" si="15"/>
        <v>0</v>
      </c>
      <c r="P63" s="1147">
        <f t="shared" si="16"/>
        <v>0</v>
      </c>
      <c r="Q63" s="1148">
        <f t="shared" si="17"/>
        <v>3.1755356133816548</v>
      </c>
      <c r="R63" s="1149">
        <f t="shared" si="18"/>
        <v>0.18000000000000016</v>
      </c>
      <c r="S63" s="1117">
        <f t="shared" si="19"/>
        <v>8</v>
      </c>
      <c r="T63" s="1150">
        <f t="shared" si="20"/>
        <v>3</v>
      </c>
      <c r="U63" s="1161" t="str">
        <f t="shared" si="21"/>
        <v xml:space="preserve"> </v>
      </c>
      <c r="V63" s="1162"/>
      <c r="W63" s="1137"/>
      <c r="X63" s="1026"/>
      <c r="Y63" s="1026"/>
    </row>
    <row r="64" spans="1:25" s="1062" customFormat="1" thickBot="1" x14ac:dyDescent="0.4">
      <c r="A64" s="779" t="s">
        <v>215</v>
      </c>
      <c r="B64" s="651">
        <v>2017</v>
      </c>
      <c r="C64" s="1164" t="s">
        <v>305</v>
      </c>
      <c r="D64" s="1165">
        <v>15</v>
      </c>
      <c r="E64" s="1166">
        <v>2.7468408080555275</v>
      </c>
      <c r="F64" s="1167">
        <v>-1</v>
      </c>
      <c r="G64" s="1324"/>
      <c r="H64" s="1168">
        <v>-2</v>
      </c>
      <c r="I64" s="1327">
        <v>1</v>
      </c>
      <c r="J64" s="1169">
        <f t="shared" si="11"/>
        <v>1</v>
      </c>
      <c r="K64" s="1170">
        <f t="shared" si="12"/>
        <v>2</v>
      </c>
      <c r="L64" s="1171">
        <f t="shared" si="13"/>
        <v>0.36</v>
      </c>
      <c r="M64" s="1172">
        <v>0</v>
      </c>
      <c r="N64" s="1173">
        <f t="shared" si="14"/>
        <v>0</v>
      </c>
      <c r="O64" s="1173">
        <f t="shared" si="15"/>
        <v>0</v>
      </c>
      <c r="P64" s="1174">
        <f t="shared" si="16"/>
        <v>0</v>
      </c>
      <c r="Q64" s="1175">
        <f t="shared" si="17"/>
        <v>3.1068408080555274</v>
      </c>
      <c r="R64" s="1176">
        <f t="shared" si="18"/>
        <v>0.35999999999999988</v>
      </c>
      <c r="S64" s="1177">
        <f t="shared" si="19"/>
        <v>10</v>
      </c>
      <c r="T64" s="1178">
        <f t="shared" si="20"/>
        <v>5</v>
      </c>
      <c r="U64" s="1179" t="str">
        <f t="shared" si="21"/>
        <v xml:space="preserve"> </v>
      </c>
      <c r="V64" s="1180"/>
      <c r="W64" s="1160"/>
      <c r="X64" s="1026"/>
      <c r="Y64" s="1026"/>
    </row>
    <row r="65" spans="1:25" x14ac:dyDescent="0.35">
      <c r="A65" s="1181"/>
      <c r="B65" s="155"/>
      <c r="C65" s="495"/>
      <c r="D65" s="447"/>
      <c r="F65" s="1182"/>
      <c r="G65" s="1182"/>
      <c r="H65" s="1182"/>
      <c r="I65" s="1182"/>
      <c r="J65" s="1023"/>
      <c r="K65" s="1023"/>
      <c r="L65" s="1024"/>
      <c r="M65" s="1025"/>
      <c r="N65" s="1023"/>
      <c r="O65" s="1023"/>
      <c r="P65" s="1025"/>
      <c r="Q65" s="1023"/>
      <c r="R65" s="1023"/>
      <c r="S65" s="1023"/>
      <c r="T65" s="1023"/>
      <c r="U65" s="1023"/>
      <c r="V65" s="1023"/>
      <c r="W65" s="1026"/>
      <c r="X65" s="1023"/>
      <c r="Y65" s="1023"/>
    </row>
    <row r="66" spans="1:25" x14ac:dyDescent="0.35">
      <c r="A66" s="1181"/>
      <c r="B66" s="155"/>
      <c r="C66" s="495"/>
      <c r="D66" s="447"/>
      <c r="F66" s="1183" t="s">
        <v>447</v>
      </c>
      <c r="G66" s="1183"/>
      <c r="H66" s="1183"/>
      <c r="I66" s="1183"/>
      <c r="J66" s="1184"/>
      <c r="K66" s="1184"/>
      <c r="L66" s="1024"/>
      <c r="M66" s="1025"/>
      <c r="N66" s="1023"/>
      <c r="O66" s="1023"/>
      <c r="P66" s="1025"/>
      <c r="Q66" s="1023"/>
      <c r="R66" s="1023"/>
      <c r="S66" s="1023"/>
      <c r="T66" s="1023"/>
      <c r="U66" s="1023"/>
      <c r="V66" s="1023"/>
      <c r="W66" s="1026"/>
      <c r="X66" s="1023"/>
      <c r="Y66" s="1023"/>
    </row>
    <row r="67" spans="1:25" x14ac:dyDescent="0.35">
      <c r="A67" s="1181"/>
      <c r="B67" s="155"/>
      <c r="C67" s="495"/>
      <c r="D67" s="447"/>
      <c r="F67" s="1182"/>
      <c r="G67" s="1182"/>
      <c r="H67" s="1182"/>
      <c r="I67" s="1182"/>
      <c r="J67" s="1023"/>
      <c r="K67" s="1023"/>
      <c r="L67" s="1024"/>
      <c r="M67" s="1025"/>
      <c r="N67" s="1023"/>
      <c r="O67" s="1023"/>
      <c r="P67" s="1025"/>
      <c r="Q67" s="1023"/>
      <c r="R67" s="1023"/>
      <c r="S67" s="1023"/>
      <c r="T67" s="1023"/>
      <c r="U67" s="1023"/>
      <c r="V67" s="1023"/>
      <c r="W67" s="1026"/>
      <c r="X67" s="1023"/>
      <c r="Y67" s="1023"/>
    </row>
    <row r="68" spans="1:25" x14ac:dyDescent="0.35">
      <c r="A68" s="1185"/>
      <c r="B68" s="155"/>
      <c r="C68" s="495"/>
      <c r="D68" s="447"/>
      <c r="F68" s="1023"/>
      <c r="G68" s="1023"/>
      <c r="H68" s="1023"/>
      <c r="I68" s="1023"/>
      <c r="J68" s="1023"/>
      <c r="K68" s="1023"/>
      <c r="L68" s="1024"/>
      <c r="M68" s="1025"/>
      <c r="N68" s="1023"/>
      <c r="O68" s="1023"/>
      <c r="P68" s="1025"/>
      <c r="Q68" s="1023"/>
      <c r="R68" s="1023"/>
      <c r="S68" s="1023"/>
      <c r="T68" s="1023"/>
      <c r="U68" s="1023"/>
      <c r="V68" s="1023"/>
      <c r="W68" s="1026"/>
      <c r="X68" s="1023"/>
      <c r="Y68" s="1023"/>
    </row>
    <row r="69" spans="1:25" x14ac:dyDescent="0.35">
      <c r="A69" s="1185"/>
      <c r="B69" s="224"/>
      <c r="C69" s="495"/>
      <c r="D69" s="447"/>
      <c r="F69" s="1023"/>
      <c r="G69" s="1023"/>
      <c r="H69" s="1023"/>
      <c r="I69" s="1023"/>
      <c r="J69" s="1023"/>
      <c r="K69" s="1023"/>
      <c r="L69" s="1024"/>
      <c r="M69" s="1025"/>
      <c r="N69" s="1023"/>
      <c r="O69" s="1023"/>
      <c r="P69" s="1025"/>
      <c r="Q69" s="1023"/>
      <c r="R69" s="1023"/>
      <c r="S69" s="1023"/>
      <c r="T69" s="1023"/>
      <c r="U69" s="1023"/>
      <c r="V69" s="1023"/>
      <c r="W69" s="1026"/>
      <c r="X69" s="1023"/>
      <c r="Y69" s="1023"/>
    </row>
    <row r="70" spans="1:25" x14ac:dyDescent="0.35">
      <c r="A70" s="1185"/>
      <c r="B70" s="155"/>
      <c r="C70" s="495"/>
      <c r="D70" s="447"/>
      <c r="F70" s="1023"/>
      <c r="G70" s="1023"/>
      <c r="H70" s="1023"/>
      <c r="I70" s="1023"/>
      <c r="J70" s="1023"/>
      <c r="K70" s="1023"/>
      <c r="L70" s="1024"/>
      <c r="M70" s="1025"/>
      <c r="N70" s="1023"/>
      <c r="O70" s="1023"/>
      <c r="P70" s="1025"/>
      <c r="Q70" s="1023"/>
      <c r="R70" s="1023"/>
      <c r="S70" s="1023"/>
      <c r="T70" s="1023"/>
      <c r="U70" s="1023"/>
      <c r="V70" s="1023"/>
      <c r="W70" s="1026"/>
      <c r="X70" s="1023"/>
      <c r="Y70" s="1023"/>
    </row>
    <row r="71" spans="1:25" x14ac:dyDescent="0.35">
      <c r="A71" s="1185"/>
      <c r="B71"/>
      <c r="C71" s="495"/>
      <c r="D71" s="240"/>
      <c r="E71" s="240"/>
      <c r="F71" s="1023"/>
      <c r="G71" s="1023"/>
      <c r="H71" s="1023"/>
      <c r="I71" s="1023"/>
      <c r="J71" s="1023"/>
      <c r="K71" s="1023"/>
      <c r="L71" s="1024"/>
      <c r="M71" s="1025"/>
      <c r="N71" s="1023"/>
      <c r="O71" s="1023"/>
      <c r="P71" s="1025"/>
      <c r="Q71" s="1023"/>
      <c r="R71" s="1023"/>
      <c r="S71" s="1023"/>
      <c r="T71" s="1023"/>
      <c r="U71" s="1023"/>
      <c r="V71" s="1023"/>
      <c r="W71" s="1026"/>
      <c r="X71" s="1023"/>
      <c r="Y71" s="1023"/>
    </row>
    <row r="72" spans="1:25" x14ac:dyDescent="0.35">
      <c r="A72" s="1185"/>
      <c r="B72"/>
      <c r="D72" s="240"/>
      <c r="E72" s="240"/>
      <c r="F72" s="1023"/>
      <c r="G72" s="1023"/>
      <c r="H72" s="1023"/>
      <c r="I72" s="1023"/>
      <c r="J72" s="1023"/>
      <c r="K72" s="1023"/>
      <c r="L72" s="1024"/>
      <c r="M72" s="1025"/>
      <c r="N72" s="1023"/>
      <c r="O72" s="1023"/>
      <c r="P72" s="1025"/>
      <c r="Q72" s="1023"/>
      <c r="R72" s="1023"/>
      <c r="S72" s="1023"/>
      <c r="T72" s="1023"/>
      <c r="U72" s="1023"/>
      <c r="V72" s="1023"/>
      <c r="W72" s="1026"/>
      <c r="X72" s="1023"/>
      <c r="Y72" s="1023"/>
    </row>
    <row r="73" spans="1:25" x14ac:dyDescent="0.35">
      <c r="A73" s="1185"/>
      <c r="B73"/>
      <c r="D73" s="240"/>
      <c r="E73" s="240"/>
      <c r="F73" s="1023"/>
      <c r="G73" s="1023"/>
      <c r="H73" s="1023"/>
      <c r="I73" s="1023"/>
      <c r="J73" s="1023"/>
      <c r="K73" s="1023"/>
      <c r="L73" s="1024"/>
      <c r="M73" s="1025"/>
      <c r="N73" s="1023"/>
      <c r="O73" s="1023"/>
      <c r="P73" s="1025"/>
      <c r="Q73" s="1023"/>
      <c r="R73" s="1023"/>
      <c r="S73" s="1023"/>
      <c r="T73" s="1023"/>
      <c r="U73" s="1023"/>
      <c r="V73" s="1023"/>
      <c r="W73" s="1026"/>
      <c r="X73" s="1023"/>
      <c r="Y73" s="1023"/>
    </row>
    <row r="74" spans="1:25" x14ac:dyDescent="0.35">
      <c r="A74" s="1185"/>
      <c r="B74"/>
      <c r="D74" s="240"/>
      <c r="E74" s="240"/>
      <c r="F74" s="1023"/>
      <c r="G74" s="1023"/>
      <c r="H74" s="1023"/>
      <c r="I74" s="1023"/>
      <c r="J74" s="1023"/>
      <c r="K74" s="1023"/>
      <c r="L74" s="1024"/>
      <c r="M74" s="1025"/>
      <c r="N74" s="1023"/>
      <c r="O74" s="1023"/>
      <c r="P74" s="1025"/>
      <c r="Q74" s="1023"/>
      <c r="R74" s="1023"/>
      <c r="S74" s="1023"/>
      <c r="T74" s="1023"/>
      <c r="U74" s="1023"/>
      <c r="V74" s="1023"/>
      <c r="W74" s="1026"/>
      <c r="X74" s="1023"/>
      <c r="Y74" s="1023"/>
    </row>
    <row r="75" spans="1:25" x14ac:dyDescent="0.35">
      <c r="B75"/>
      <c r="D75" s="191"/>
      <c r="E75" s="240"/>
    </row>
  </sheetData>
  <sortState ref="A8:AB64">
    <sortCondition ref="D8:D64"/>
  </sortState>
  <conditionalFormatting sqref="D9:D64 S8:S64">
    <cfRule type="cellIs" dxfId="2" priority="4" stopIfTrue="1" operator="lessThanOrEqual">
      <formula>19</formula>
    </cfRule>
    <cfRule type="cellIs" dxfId="1" priority="5" stopIfTrue="1" operator="lessThanOrEqual">
      <formula>39</formula>
    </cfRule>
    <cfRule type="cellIs" dxfId="0" priority="6" operator="greaterThan">
      <formula>39</formula>
    </cfRule>
  </conditionalFormatting>
  <conditionalFormatting sqref="T8">
    <cfRule type="colorScale" priority="3">
      <colorScale>
        <cfvo type="min"/>
        <cfvo type="percentile" val="45"/>
        <cfvo type="max"/>
        <color rgb="FFFF8989"/>
        <color rgb="FFFFEB84"/>
        <color rgb="FFA8FF7D"/>
      </colorScale>
    </cfRule>
  </conditionalFormatting>
  <conditionalFormatting sqref="C64">
    <cfRule type="colorScale" priority="2">
      <colorScale>
        <cfvo type="min"/>
        <cfvo type="percentile" val="45"/>
        <cfvo type="max"/>
        <color rgb="FFF97B7E"/>
        <color rgb="FFFFEB84"/>
        <color rgb="FF7AC88E"/>
      </colorScale>
    </cfRule>
  </conditionalFormatting>
  <conditionalFormatting sqref="B8:B64">
    <cfRule type="colorScale" priority="1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T9:T64">
    <cfRule type="colorScale" priority="7">
      <colorScale>
        <cfvo type="min"/>
        <cfvo type="percentile" val="45"/>
        <cfvo type="max"/>
        <color rgb="FFFF8989"/>
        <color rgb="FFFFEB84"/>
        <color rgb="FFA8FF7D"/>
      </colorScale>
    </cfRule>
  </conditionalFormatting>
  <pageMargins left="0.45" right="0.45" top="0.75" bottom="0.75" header="0.3" footer="0.3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FFFF99"/>
  </sheetPr>
  <dimension ref="A1:AH72"/>
  <sheetViews>
    <sheetView zoomScaleNormal="100" workbookViewId="0">
      <pane xSplit="3" ySplit="7" topLeftCell="D8" activePane="bottomRight" state="frozen"/>
      <selection activeCell="A22" sqref="A22"/>
      <selection pane="topRight" activeCell="A22" sqref="A22"/>
      <selection pane="bottomLeft" activeCell="A22" sqref="A22"/>
      <selection pane="bottomRight" activeCell="L15" sqref="L15"/>
    </sheetView>
  </sheetViews>
  <sheetFormatPr defaultRowHeight="15.6" x14ac:dyDescent="0.3"/>
  <cols>
    <col min="1" max="1" width="28.44140625" style="23" customWidth="1"/>
    <col min="2" max="2" width="8.88671875" style="13" customWidth="1"/>
    <col min="3" max="3" width="7.5546875" style="27" customWidth="1"/>
    <col min="4" max="4" width="8.44140625" style="494" bestFit="1" customWidth="1"/>
    <col min="5" max="5" width="7.5546875" style="13" customWidth="1"/>
    <col min="6" max="6" width="6.109375" style="13" customWidth="1"/>
    <col min="7" max="7" width="11" style="155" bestFit="1" customWidth="1"/>
    <col min="8" max="8" width="8.33203125" customWidth="1"/>
    <col min="9" max="9" width="8.33203125" style="24" customWidth="1"/>
    <col min="10" max="10" width="8.33203125" style="13" customWidth="1"/>
    <col min="11" max="11" width="11.44140625" style="13" customWidth="1"/>
    <col min="12" max="12" width="8.33203125" customWidth="1"/>
    <col min="13" max="13" width="8.33203125" style="26" customWidth="1"/>
    <col min="14" max="14" width="8.33203125" customWidth="1"/>
    <col min="15" max="15" width="8.33203125" style="25" customWidth="1"/>
    <col min="16" max="17" width="13.33203125" style="13" customWidth="1"/>
    <col min="18" max="18" width="6.44140625" customWidth="1"/>
    <col min="19" max="19" width="6.6640625" bestFit="1" customWidth="1"/>
    <col min="20" max="20" width="6.5546875" customWidth="1"/>
    <col min="21" max="21" width="7.109375" customWidth="1"/>
    <col min="22" max="22" width="11.88671875" customWidth="1"/>
    <col min="23" max="23" width="7.44140625" customWidth="1"/>
    <col min="24" max="24" width="6.33203125" bestFit="1" customWidth="1"/>
    <col min="25" max="25" width="7.5546875" customWidth="1"/>
    <col min="26" max="26" width="7.6640625" style="426" bestFit="1" customWidth="1"/>
    <col min="27" max="27" width="6.44140625" customWidth="1"/>
    <col min="28" max="28" width="7.44140625" bestFit="1" customWidth="1"/>
    <col min="29" max="29" width="6.33203125" style="13" customWidth="1"/>
    <col min="30" max="30" width="10.5546875" style="27" customWidth="1"/>
  </cols>
  <sheetData>
    <row r="1" spans="1:34" ht="18" x14ac:dyDescent="0.35">
      <c r="A1" s="416" t="s">
        <v>204</v>
      </c>
      <c r="B1" s="155"/>
      <c r="C1" s="494"/>
      <c r="E1" s="155"/>
      <c r="F1" s="155"/>
      <c r="H1" s="195"/>
      <c r="I1" s="497"/>
      <c r="J1" s="155"/>
      <c r="K1" s="155"/>
      <c r="L1" s="195"/>
      <c r="M1" s="498"/>
      <c r="N1" s="195"/>
      <c r="O1" s="499"/>
      <c r="P1" s="155"/>
      <c r="Q1" s="155"/>
      <c r="R1" s="195"/>
      <c r="S1" s="195"/>
      <c r="T1" s="195"/>
      <c r="U1" s="195"/>
      <c r="V1" s="195"/>
      <c r="W1" s="195"/>
      <c r="X1" s="195"/>
      <c r="Y1" s="195"/>
      <c r="AA1" s="195"/>
      <c r="AB1" s="195"/>
      <c r="AC1" s="155"/>
      <c r="AD1" s="494"/>
      <c r="AE1" s="195"/>
      <c r="AF1" s="195"/>
      <c r="AG1" s="195"/>
      <c r="AH1" s="195"/>
    </row>
    <row r="2" spans="1:34" ht="16.2" thickBot="1" x14ac:dyDescent="0.35">
      <c r="A2" s="495"/>
      <c r="B2" s="155"/>
      <c r="C2" s="494"/>
      <c r="E2" s="162"/>
      <c r="F2" s="162"/>
      <c r="G2" s="162"/>
      <c r="H2" s="1196" t="s">
        <v>397</v>
      </c>
      <c r="I2" s="1197"/>
      <c r="J2" s="1195"/>
      <c r="K2" s="1195"/>
      <c r="L2" s="1195"/>
      <c r="M2" s="1198"/>
      <c r="N2" s="1195"/>
      <c r="O2" s="1199"/>
      <c r="P2" s="1195"/>
      <c r="Q2" s="1195"/>
      <c r="R2" s="195"/>
      <c r="S2" s="195"/>
      <c r="T2" s="195"/>
      <c r="U2" s="195"/>
      <c r="V2" s="195"/>
      <c r="W2" s="195"/>
      <c r="X2" s="195"/>
      <c r="Y2" s="195"/>
      <c r="AA2" s="195"/>
      <c r="AB2" s="195"/>
      <c r="AC2" s="155"/>
      <c r="AD2" s="494"/>
      <c r="AE2" s="195"/>
      <c r="AF2" s="195"/>
      <c r="AG2" s="195"/>
      <c r="AH2" s="195"/>
    </row>
    <row r="3" spans="1:34" x14ac:dyDescent="0.3">
      <c r="A3" s="495"/>
      <c r="B3" s="155"/>
      <c r="C3" s="494"/>
      <c r="E3" s="162"/>
      <c r="F3" s="162"/>
      <c r="G3" s="546"/>
      <c r="H3" s="636" t="s">
        <v>184</v>
      </c>
      <c r="I3" s="637"/>
      <c r="J3" s="638"/>
      <c r="K3" s="639"/>
      <c r="L3" s="640" t="s">
        <v>70</v>
      </c>
      <c r="M3" s="641"/>
      <c r="N3" s="642"/>
      <c r="O3" s="330"/>
      <c r="P3" s="643" t="s">
        <v>185</v>
      </c>
      <c r="Q3" s="1270"/>
      <c r="R3" s="500"/>
      <c r="S3" s="225" t="s">
        <v>61</v>
      </c>
      <c r="T3" s="225"/>
      <c r="U3" s="225"/>
      <c r="V3" s="225"/>
      <c r="W3" s="225"/>
      <c r="X3" s="225"/>
      <c r="Y3" s="225"/>
      <c r="Z3" s="427"/>
      <c r="AA3" s="225"/>
      <c r="AB3" s="349"/>
      <c r="AC3" s="155"/>
      <c r="AD3" s="494"/>
      <c r="AE3" s="195"/>
      <c r="AF3" s="195"/>
      <c r="AG3" s="195"/>
      <c r="AH3" s="195"/>
    </row>
    <row r="4" spans="1:34" ht="14.4" x14ac:dyDescent="0.3">
      <c r="A4" s="495"/>
      <c r="B4" s="155"/>
      <c r="C4" s="494"/>
      <c r="E4" s="162"/>
      <c r="F4" s="162"/>
      <c r="G4" s="353"/>
      <c r="H4" s="340" t="s">
        <v>0</v>
      </c>
      <c r="I4" s="341" t="s">
        <v>163</v>
      </c>
      <c r="J4" s="342" t="s">
        <v>62</v>
      </c>
      <c r="K4" s="341" t="s">
        <v>206</v>
      </c>
      <c r="L4" s="335" t="s">
        <v>63</v>
      </c>
      <c r="M4" s="336" t="s">
        <v>102</v>
      </c>
      <c r="N4" s="335" t="s">
        <v>481</v>
      </c>
      <c r="O4" s="333" t="s">
        <v>230</v>
      </c>
      <c r="P4" s="331" t="s">
        <v>66</v>
      </c>
      <c r="Q4" s="331" t="s">
        <v>282</v>
      </c>
      <c r="R4" s="1269" t="s">
        <v>272</v>
      </c>
      <c r="S4" s="340" t="s">
        <v>0</v>
      </c>
      <c r="T4" s="341" t="s">
        <v>163</v>
      </c>
      <c r="U4" s="342" t="s">
        <v>62</v>
      </c>
      <c r="V4" s="341" t="s">
        <v>206</v>
      </c>
      <c r="W4" s="335" t="s">
        <v>63</v>
      </c>
      <c r="X4" s="336" t="s">
        <v>64</v>
      </c>
      <c r="Y4" s="335" t="s">
        <v>65</v>
      </c>
      <c r="Z4" s="428" t="s">
        <v>230</v>
      </c>
      <c r="AA4" s="347" t="s">
        <v>66</v>
      </c>
      <c r="AB4" s="350" t="s">
        <v>282</v>
      </c>
      <c r="AC4" s="155"/>
      <c r="AD4" s="494"/>
      <c r="AE4" s="195"/>
      <c r="AF4" s="195"/>
      <c r="AG4" s="195"/>
      <c r="AH4" s="195"/>
    </row>
    <row r="5" spans="1:34" x14ac:dyDescent="0.3">
      <c r="A5" s="1275"/>
      <c r="B5" s="633"/>
      <c r="C5" s="629" t="s">
        <v>412</v>
      </c>
      <c r="D5" s="960">
        <v>2023</v>
      </c>
      <c r="E5" s="543" t="s">
        <v>68</v>
      </c>
      <c r="F5" s="552"/>
      <c r="G5" s="353"/>
      <c r="H5" s="340" t="s">
        <v>1</v>
      </c>
      <c r="I5" s="341" t="s">
        <v>1</v>
      </c>
      <c r="J5" s="341" t="s">
        <v>69</v>
      </c>
      <c r="K5" s="342" t="s">
        <v>205</v>
      </c>
      <c r="L5" s="335" t="s">
        <v>69</v>
      </c>
      <c r="M5" s="336" t="s">
        <v>70</v>
      </c>
      <c r="N5" s="335" t="s">
        <v>482</v>
      </c>
      <c r="O5" s="333" t="s">
        <v>231</v>
      </c>
      <c r="P5" s="331" t="s">
        <v>71</v>
      </c>
      <c r="Q5" s="331" t="s">
        <v>283</v>
      </c>
      <c r="R5" s="1269" t="s">
        <v>285</v>
      </c>
      <c r="S5" s="340" t="s">
        <v>1</v>
      </c>
      <c r="T5" s="341" t="s">
        <v>1</v>
      </c>
      <c r="U5" s="341" t="s">
        <v>69</v>
      </c>
      <c r="V5" s="342" t="s">
        <v>205</v>
      </c>
      <c r="W5" s="335" t="s">
        <v>69</v>
      </c>
      <c r="X5" s="336" t="s">
        <v>70</v>
      </c>
      <c r="Y5" s="335" t="s">
        <v>70</v>
      </c>
      <c r="Z5" s="428" t="s">
        <v>231</v>
      </c>
      <c r="AA5" s="347" t="s">
        <v>71</v>
      </c>
      <c r="AB5" s="351" t="s">
        <v>283</v>
      </c>
      <c r="AC5" s="496"/>
      <c r="AD5" s="107" t="s">
        <v>67</v>
      </c>
      <c r="AE5" s="195"/>
      <c r="AF5" s="195"/>
      <c r="AG5" s="195"/>
      <c r="AH5" s="195"/>
    </row>
    <row r="6" spans="1:34" x14ac:dyDescent="0.3">
      <c r="A6" s="1275"/>
      <c r="B6" s="633"/>
      <c r="C6" s="629" t="s">
        <v>38</v>
      </c>
      <c r="D6" s="956" t="s">
        <v>413</v>
      </c>
      <c r="E6" s="541" t="s">
        <v>72</v>
      </c>
      <c r="F6" s="553"/>
      <c r="G6" s="547" t="s">
        <v>69</v>
      </c>
      <c r="H6" s="343" t="s">
        <v>2</v>
      </c>
      <c r="I6" s="344" t="s">
        <v>2</v>
      </c>
      <c r="J6" s="344" t="s">
        <v>2</v>
      </c>
      <c r="K6" s="344" t="s">
        <v>69</v>
      </c>
      <c r="L6" s="337" t="s">
        <v>2</v>
      </c>
      <c r="M6" s="338" t="s">
        <v>2</v>
      </c>
      <c r="N6" s="339" t="s">
        <v>2</v>
      </c>
      <c r="O6" s="334" t="s">
        <v>73</v>
      </c>
      <c r="P6" s="332" t="s">
        <v>2</v>
      </c>
      <c r="Q6" s="332" t="s">
        <v>2</v>
      </c>
      <c r="R6" s="1269" t="s">
        <v>271</v>
      </c>
      <c r="S6" s="343" t="s">
        <v>2</v>
      </c>
      <c r="T6" s="344" t="s">
        <v>2</v>
      </c>
      <c r="U6" s="344" t="s">
        <v>2</v>
      </c>
      <c r="V6" s="344" t="s">
        <v>69</v>
      </c>
      <c r="W6" s="337" t="s">
        <v>2</v>
      </c>
      <c r="X6" s="338" t="s">
        <v>2</v>
      </c>
      <c r="Y6" s="339" t="s">
        <v>2</v>
      </c>
      <c r="Z6" s="429" t="s">
        <v>73</v>
      </c>
      <c r="AA6" s="348" t="s">
        <v>2</v>
      </c>
      <c r="AB6" s="352" t="s">
        <v>2</v>
      </c>
      <c r="AC6" s="496"/>
      <c r="AD6" s="107" t="s">
        <v>38</v>
      </c>
      <c r="AE6" s="195"/>
      <c r="AF6" s="195"/>
      <c r="AG6" s="195"/>
      <c r="AH6" s="195"/>
    </row>
    <row r="7" spans="1:34" ht="16.2" thickBot="1" x14ac:dyDescent="0.35">
      <c r="A7" s="1276" t="s">
        <v>4</v>
      </c>
      <c r="B7" s="1274" t="s">
        <v>3</v>
      </c>
      <c r="C7" s="630" t="s">
        <v>2</v>
      </c>
      <c r="D7" s="957" t="s">
        <v>414</v>
      </c>
      <c r="E7" s="542" t="s">
        <v>295</v>
      </c>
      <c r="F7" s="554" t="s">
        <v>315</v>
      </c>
      <c r="G7" s="548" t="s">
        <v>273</v>
      </c>
      <c r="H7" s="834">
        <v>0.21</v>
      </c>
      <c r="I7" s="835">
        <v>0.09</v>
      </c>
      <c r="J7" s="835">
        <v>0.05</v>
      </c>
      <c r="K7" s="836">
        <v>0.11</v>
      </c>
      <c r="L7" s="836">
        <v>0.1</v>
      </c>
      <c r="M7" s="837">
        <v>0.08</v>
      </c>
      <c r="N7" s="837">
        <v>0.08</v>
      </c>
      <c r="O7" s="838">
        <v>0.05</v>
      </c>
      <c r="P7" s="838">
        <v>0.05</v>
      </c>
      <c r="Q7" s="838">
        <v>0.18</v>
      </c>
      <c r="R7" s="839">
        <f>SUM(H7:Q7)</f>
        <v>1</v>
      </c>
      <c r="S7" s="226" t="s">
        <v>270</v>
      </c>
      <c r="T7" s="227"/>
      <c r="U7" s="228"/>
      <c r="V7" s="228"/>
      <c r="W7" s="159"/>
      <c r="X7" s="159"/>
      <c r="Y7" s="159"/>
      <c r="Z7" s="430"/>
      <c r="AA7" s="159"/>
      <c r="AB7" s="160"/>
      <c r="AC7" s="311" t="s">
        <v>3</v>
      </c>
      <c r="AD7" s="312" t="s">
        <v>2</v>
      </c>
      <c r="AE7" s="195"/>
      <c r="AF7" s="195"/>
      <c r="AG7" s="195"/>
      <c r="AH7" s="195"/>
    </row>
    <row r="8" spans="1:34" ht="18" thickBot="1" x14ac:dyDescent="0.4">
      <c r="A8" s="1273" t="s">
        <v>10</v>
      </c>
      <c r="B8" s="1272">
        <f>RANK(C8,C$8:C$64)</f>
        <v>41</v>
      </c>
      <c r="C8" s="944">
        <f t="shared" ref="C8:C39" si="0">SUM(S8:AB8)</f>
        <v>1.1193186193866771</v>
      </c>
      <c r="D8" s="1253"/>
      <c r="E8" s="1254">
        <v>2017</v>
      </c>
      <c r="F8" s="1255" t="s">
        <v>306</v>
      </c>
      <c r="G8" s="1256"/>
      <c r="H8" s="1257">
        <f>Commercial!C7</f>
        <v>4.0212272981087569</v>
      </c>
      <c r="I8" s="1259">
        <f>Recreational!C7</f>
        <v>1.5066921456690607</v>
      </c>
      <c r="J8" s="1259">
        <f>Tribal!C7</f>
        <v>1.1851718734724539</v>
      </c>
      <c r="K8" s="1259"/>
      <c r="L8" s="1259"/>
      <c r="M8" s="1259">
        <f>'Stock Status'!C8</f>
        <v>1</v>
      </c>
      <c r="N8" s="1259"/>
      <c r="O8" s="1259"/>
      <c r="P8" s="1258"/>
      <c r="Q8" s="1260"/>
      <c r="R8" s="1262"/>
      <c r="S8" s="1263">
        <f t="shared" ref="S8:S39" si="1">H8*H$7</f>
        <v>0.84445773260283896</v>
      </c>
      <c r="T8" s="1263">
        <f t="shared" ref="T8:T39" si="2">I8*I$7</f>
        <v>0.13560229311021546</v>
      </c>
      <c r="U8" s="1263">
        <f t="shared" ref="U8:U39" si="3">J8*J$7</f>
        <v>5.9258593673622698E-2</v>
      </c>
      <c r="V8" s="1263">
        <f t="shared" ref="V8:V39" si="4">K8*K$7</f>
        <v>0</v>
      </c>
      <c r="W8" s="1263">
        <f t="shared" ref="W8:W39" si="5">L8*L$7</f>
        <v>0</v>
      </c>
      <c r="X8" s="1263">
        <f t="shared" ref="X8:X39" si="6">M8*M$7</f>
        <v>0.08</v>
      </c>
      <c r="Y8" s="1263">
        <f t="shared" ref="Y8:Y39" si="7">N8*N$7</f>
        <v>0</v>
      </c>
      <c r="Z8" s="1263">
        <f t="shared" ref="Z8:Z39" si="8">O8*O$7</f>
        <v>0</v>
      </c>
      <c r="AA8" s="1263">
        <f t="shared" ref="AA8:AA39" si="9">P8*P$7</f>
        <v>0</v>
      </c>
      <c r="AB8" s="1264">
        <f t="shared" ref="AB8:AB39" si="10">Q8*Q$7</f>
        <v>0</v>
      </c>
      <c r="AC8" s="108">
        <f>RANK(AD8,AD$8:AD$64)</f>
        <v>41</v>
      </c>
      <c r="AD8" s="1271">
        <f t="shared" ref="AD8:AD39" si="11">SUM(S8:AB8)</f>
        <v>1.1193186193866771</v>
      </c>
      <c r="AE8" s="195"/>
      <c r="AF8" s="195"/>
      <c r="AG8" s="195"/>
      <c r="AH8" s="195"/>
    </row>
    <row r="9" spans="1:34" ht="18" thickBot="1" x14ac:dyDescent="0.4">
      <c r="A9" s="955" t="s">
        <v>209</v>
      </c>
      <c r="B9" s="634">
        <f t="shared" ref="B9:B40" si="12">RANK(C9,C$9:C$64)</f>
        <v>53</v>
      </c>
      <c r="C9" s="631">
        <f t="shared" si="0"/>
        <v>0.75463140561641906</v>
      </c>
      <c r="D9" s="958"/>
      <c r="E9" s="545">
        <v>2013</v>
      </c>
      <c r="F9" s="555" t="s">
        <v>305</v>
      </c>
      <c r="G9" s="549"/>
      <c r="H9" s="1257">
        <f>Commercial!C8</f>
        <v>2.8315781219829477</v>
      </c>
      <c r="I9" s="1259">
        <f>Recreational!C8</f>
        <v>0</v>
      </c>
      <c r="J9" s="1259">
        <f>Tribal!C8</f>
        <v>0</v>
      </c>
      <c r="K9" s="28"/>
      <c r="L9" s="28"/>
      <c r="M9" s="1259">
        <f>'Stock Status'!C9</f>
        <v>2</v>
      </c>
      <c r="N9" s="28"/>
      <c r="O9" s="28"/>
      <c r="P9" s="923"/>
      <c r="Q9" s="1261"/>
      <c r="R9" s="163"/>
      <c r="S9" s="28">
        <f t="shared" si="1"/>
        <v>0.59463140561641903</v>
      </c>
      <c r="T9" s="28">
        <f t="shared" si="2"/>
        <v>0</v>
      </c>
      <c r="U9" s="28">
        <f>J9*J$7</f>
        <v>0</v>
      </c>
      <c r="V9" s="28">
        <f t="shared" si="4"/>
        <v>0</v>
      </c>
      <c r="W9" s="28">
        <f t="shared" si="5"/>
        <v>0</v>
      </c>
      <c r="X9" s="28">
        <f t="shared" si="6"/>
        <v>0.16</v>
      </c>
      <c r="Y9" s="28">
        <f t="shared" si="7"/>
        <v>0</v>
      </c>
      <c r="Z9" s="431">
        <f t="shared" si="8"/>
        <v>0</v>
      </c>
      <c r="AA9" s="28">
        <f t="shared" si="9"/>
        <v>0</v>
      </c>
      <c r="AB9" s="345">
        <f t="shared" si="10"/>
        <v>0</v>
      </c>
      <c r="AC9" s="110">
        <f t="shared" ref="AC9:AC40" si="13">RANK(AD9,AD$9:AD$64)</f>
        <v>53</v>
      </c>
      <c r="AD9" s="109">
        <f t="shared" si="11"/>
        <v>0.75463140561641906</v>
      </c>
      <c r="AE9" s="195"/>
      <c r="AF9" s="195"/>
      <c r="AG9" s="195"/>
      <c r="AH9" s="195"/>
    </row>
    <row r="10" spans="1:34" ht="18" thickBot="1" x14ac:dyDescent="0.4">
      <c r="A10" s="776" t="s">
        <v>146</v>
      </c>
      <c r="B10" s="635">
        <f t="shared" si="12"/>
        <v>31</v>
      </c>
      <c r="C10" s="632">
        <f t="shared" si="0"/>
        <v>1.2729853158439421</v>
      </c>
      <c r="D10" s="959"/>
      <c r="E10" s="1268"/>
      <c r="F10" s="556" t="s">
        <v>317</v>
      </c>
      <c r="G10" s="550"/>
      <c r="H10" s="1257">
        <f>Commercial!C9</f>
        <v>3.3450200987511782</v>
      </c>
      <c r="I10" s="1259">
        <f>Recreational!C9</f>
        <v>2.4591344959510311</v>
      </c>
      <c r="J10" s="1259">
        <f>Tribal!C9</f>
        <v>0.58417980941204062</v>
      </c>
      <c r="K10" s="29"/>
      <c r="L10" s="29"/>
      <c r="M10" s="1259">
        <f>'Stock Status'!C10</f>
        <v>4</v>
      </c>
      <c r="N10" s="29"/>
      <c r="O10" s="29"/>
      <c r="P10" s="29"/>
      <c r="Q10" s="833"/>
      <c r="R10" s="163"/>
      <c r="S10" s="29">
        <f t="shared" si="1"/>
        <v>0.70245422073774744</v>
      </c>
      <c r="T10" s="29">
        <f t="shared" si="2"/>
        <v>0.22132210463559279</v>
      </c>
      <c r="U10" s="29">
        <f t="shared" si="3"/>
        <v>2.9208990470602034E-2</v>
      </c>
      <c r="V10" s="29">
        <f t="shared" si="4"/>
        <v>0</v>
      </c>
      <c r="W10" s="29">
        <f t="shared" si="5"/>
        <v>0</v>
      </c>
      <c r="X10" s="29">
        <f t="shared" si="6"/>
        <v>0.32</v>
      </c>
      <c r="Y10" s="29">
        <f t="shared" si="7"/>
        <v>0</v>
      </c>
      <c r="Z10" s="432">
        <f t="shared" si="8"/>
        <v>0</v>
      </c>
      <c r="AA10" s="29">
        <f t="shared" si="9"/>
        <v>0</v>
      </c>
      <c r="AB10" s="346">
        <f t="shared" si="10"/>
        <v>0</v>
      </c>
      <c r="AC10" s="111">
        <f t="shared" si="13"/>
        <v>31</v>
      </c>
      <c r="AD10" s="109">
        <f t="shared" si="11"/>
        <v>1.2729853158439421</v>
      </c>
      <c r="AE10" s="195"/>
      <c r="AF10" s="195"/>
      <c r="AG10" s="195"/>
      <c r="AH10" s="195"/>
    </row>
    <row r="11" spans="1:34" ht="18" thickBot="1" x14ac:dyDescent="0.4">
      <c r="A11" s="776" t="s">
        <v>147</v>
      </c>
      <c r="B11" s="635">
        <f t="shared" si="12"/>
        <v>40</v>
      </c>
      <c r="C11" s="632">
        <f t="shared" si="0"/>
        <v>1.1311440811880304</v>
      </c>
      <c r="D11" s="959"/>
      <c r="E11" s="544">
        <v>2019</v>
      </c>
      <c r="F11" s="555" t="s">
        <v>305</v>
      </c>
      <c r="G11" s="550"/>
      <c r="H11" s="1257">
        <f>Commercial!C10</f>
        <v>4.1117278675998499</v>
      </c>
      <c r="I11" s="1259">
        <f>Recreational!C10</f>
        <v>0</v>
      </c>
      <c r="J11" s="1259">
        <f>Tribal!C10</f>
        <v>2.153624579841241</v>
      </c>
      <c r="K11" s="29"/>
      <c r="L11" s="29"/>
      <c r="M11" s="1259">
        <f>'Stock Status'!C11</f>
        <v>2</v>
      </c>
      <c r="N11" s="29"/>
      <c r="O11" s="29"/>
      <c r="P11" s="922"/>
      <c r="Q11" s="832"/>
      <c r="R11" s="163"/>
      <c r="S11" s="29">
        <f t="shared" si="1"/>
        <v>0.86346285219596841</v>
      </c>
      <c r="T11" s="29">
        <f t="shared" si="2"/>
        <v>0</v>
      </c>
      <c r="U11" s="29">
        <f t="shared" si="3"/>
        <v>0.10768122899206206</v>
      </c>
      <c r="V11" s="29">
        <f t="shared" si="4"/>
        <v>0</v>
      </c>
      <c r="W11" s="29">
        <f t="shared" si="5"/>
        <v>0</v>
      </c>
      <c r="X11" s="29">
        <f t="shared" si="6"/>
        <v>0.16</v>
      </c>
      <c r="Y11" s="29">
        <f t="shared" si="7"/>
        <v>0</v>
      </c>
      <c r="Z11" s="432">
        <f t="shared" si="8"/>
        <v>0</v>
      </c>
      <c r="AA11" s="29">
        <f t="shared" si="9"/>
        <v>0</v>
      </c>
      <c r="AB11" s="346">
        <f t="shared" si="10"/>
        <v>0</v>
      </c>
      <c r="AC11" s="111">
        <f t="shared" si="13"/>
        <v>40</v>
      </c>
      <c r="AD11" s="109">
        <f t="shared" si="11"/>
        <v>1.1311440811880304</v>
      </c>
      <c r="AE11" s="195"/>
      <c r="AF11" s="195"/>
      <c r="AG11" s="195"/>
      <c r="AH11" s="195"/>
    </row>
    <row r="12" spans="1:34" ht="18" thickBot="1" x14ac:dyDescent="0.4">
      <c r="A12" s="777" t="s">
        <v>5</v>
      </c>
      <c r="B12" s="635">
        <f t="shared" si="12"/>
        <v>3</v>
      </c>
      <c r="C12" s="632">
        <f t="shared" si="0"/>
        <v>2.4078288713459437</v>
      </c>
      <c r="D12" s="959" t="s">
        <v>454</v>
      </c>
      <c r="E12" s="544">
        <v>2015</v>
      </c>
      <c r="F12" s="555" t="s">
        <v>305</v>
      </c>
      <c r="G12" s="550"/>
      <c r="H12" s="1257">
        <f>Commercial!C11</f>
        <v>5.4587317502185577</v>
      </c>
      <c r="I12" s="1259">
        <f>Recreational!C11</f>
        <v>9.7465731314616111</v>
      </c>
      <c r="J12" s="1259">
        <f>Tribal!C11</f>
        <v>1.2860724393700358</v>
      </c>
      <c r="K12" s="29"/>
      <c r="L12" s="29"/>
      <c r="M12" s="1259">
        <f>'Stock Status'!C12</f>
        <v>4</v>
      </c>
      <c r="N12" s="29"/>
      <c r="O12" s="29"/>
      <c r="P12" s="922"/>
      <c r="Q12" s="832"/>
      <c r="R12" s="163"/>
      <c r="S12" s="29">
        <f t="shared" si="1"/>
        <v>1.1463336675458971</v>
      </c>
      <c r="T12" s="29">
        <f t="shared" si="2"/>
        <v>0.877191581831545</v>
      </c>
      <c r="U12" s="29">
        <f t="shared" si="3"/>
        <v>6.4303621968501798E-2</v>
      </c>
      <c r="V12" s="29">
        <f t="shared" si="4"/>
        <v>0</v>
      </c>
      <c r="W12" s="29">
        <f t="shared" si="5"/>
        <v>0</v>
      </c>
      <c r="X12" s="29">
        <f t="shared" si="6"/>
        <v>0.32</v>
      </c>
      <c r="Y12" s="29">
        <f t="shared" si="7"/>
        <v>0</v>
      </c>
      <c r="Z12" s="432">
        <f t="shared" si="8"/>
        <v>0</v>
      </c>
      <c r="AA12" s="29">
        <f t="shared" si="9"/>
        <v>0</v>
      </c>
      <c r="AB12" s="346">
        <f t="shared" si="10"/>
        <v>0</v>
      </c>
      <c r="AC12" s="111">
        <f t="shared" si="13"/>
        <v>3</v>
      </c>
      <c r="AD12" s="109">
        <f t="shared" si="11"/>
        <v>2.4078288713459437</v>
      </c>
      <c r="AE12" s="195"/>
      <c r="AF12" s="195"/>
      <c r="AG12" s="195"/>
      <c r="AH12" s="195"/>
    </row>
    <row r="13" spans="1:34" ht="18" thickBot="1" x14ac:dyDescent="0.4">
      <c r="A13" s="776" t="s">
        <v>210</v>
      </c>
      <c r="B13" s="635">
        <f t="shared" si="12"/>
        <v>36</v>
      </c>
      <c r="C13" s="632">
        <f t="shared" si="0"/>
        <v>1.2026272952991348</v>
      </c>
      <c r="D13" s="959" t="s">
        <v>304</v>
      </c>
      <c r="E13" s="544">
        <v>2017</v>
      </c>
      <c r="F13" s="557" t="s">
        <v>306</v>
      </c>
      <c r="G13" s="550"/>
      <c r="H13" s="1257">
        <f>Commercial!C12</f>
        <v>3.946432950400161</v>
      </c>
      <c r="I13" s="1259">
        <f>Recreational!C12</f>
        <v>0</v>
      </c>
      <c r="J13" s="1259">
        <f>Tribal!C12</f>
        <v>1.0775275143020195</v>
      </c>
      <c r="K13" s="29"/>
      <c r="L13" s="29"/>
      <c r="M13" s="1259">
        <f>'Stock Status'!C13</f>
        <v>4</v>
      </c>
      <c r="N13" s="29"/>
      <c r="O13" s="29"/>
      <c r="P13" s="922"/>
      <c r="Q13" s="832"/>
      <c r="R13" s="163"/>
      <c r="S13" s="29">
        <f t="shared" si="1"/>
        <v>0.8287509195840338</v>
      </c>
      <c r="T13" s="29">
        <f t="shared" si="2"/>
        <v>0</v>
      </c>
      <c r="U13" s="29">
        <f t="shared" si="3"/>
        <v>5.3876375715100983E-2</v>
      </c>
      <c r="V13" s="29">
        <f t="shared" si="4"/>
        <v>0</v>
      </c>
      <c r="W13" s="29">
        <f t="shared" si="5"/>
        <v>0</v>
      </c>
      <c r="X13" s="29">
        <f t="shared" si="6"/>
        <v>0.32</v>
      </c>
      <c r="Y13" s="29">
        <f t="shared" si="7"/>
        <v>0</v>
      </c>
      <c r="Z13" s="432">
        <f t="shared" si="8"/>
        <v>0</v>
      </c>
      <c r="AA13" s="29">
        <f t="shared" si="9"/>
        <v>0</v>
      </c>
      <c r="AB13" s="346">
        <f t="shared" si="10"/>
        <v>0</v>
      </c>
      <c r="AC13" s="111">
        <f t="shared" si="13"/>
        <v>36</v>
      </c>
      <c r="AD13" s="109">
        <f t="shared" si="11"/>
        <v>1.2026272952991348</v>
      </c>
      <c r="AE13" s="195"/>
      <c r="AF13" s="195"/>
      <c r="AG13" s="195"/>
      <c r="AH13" s="195"/>
    </row>
    <row r="14" spans="1:34" ht="18" thickBot="1" x14ac:dyDescent="0.4">
      <c r="A14" s="776" t="s">
        <v>339</v>
      </c>
      <c r="B14" s="635">
        <f t="shared" si="12"/>
        <v>16</v>
      </c>
      <c r="C14" s="632">
        <f t="shared" si="0"/>
        <v>1.7895653646778256</v>
      </c>
      <c r="D14" s="959" t="s">
        <v>415</v>
      </c>
      <c r="E14" s="544">
        <v>2017</v>
      </c>
      <c r="F14" s="555" t="s">
        <v>305</v>
      </c>
      <c r="G14" s="550"/>
      <c r="H14" s="1257">
        <f>Commercial!C13</f>
        <v>3.751329954629671</v>
      </c>
      <c r="I14" s="1259">
        <f>Recreational!C13</f>
        <v>7.5754008245066089</v>
      </c>
      <c r="J14" s="1259">
        <f>Tribal!C13</f>
        <v>0</v>
      </c>
      <c r="K14" s="921"/>
      <c r="L14" s="29"/>
      <c r="M14" s="1259">
        <f>'Stock Status'!C14</f>
        <v>4</v>
      </c>
      <c r="N14" s="29"/>
      <c r="O14" s="29"/>
      <c r="P14" s="922"/>
      <c r="Q14" s="832"/>
      <c r="R14" s="163"/>
      <c r="S14" s="29">
        <f t="shared" si="1"/>
        <v>0.78777929047223083</v>
      </c>
      <c r="T14" s="29">
        <f t="shared" si="2"/>
        <v>0.68178607420559478</v>
      </c>
      <c r="U14" s="29">
        <f t="shared" si="3"/>
        <v>0</v>
      </c>
      <c r="V14" s="29">
        <f t="shared" si="4"/>
        <v>0</v>
      </c>
      <c r="W14" s="29">
        <f t="shared" si="5"/>
        <v>0</v>
      </c>
      <c r="X14" s="29">
        <f t="shared" si="6"/>
        <v>0.32</v>
      </c>
      <c r="Y14" s="29">
        <f t="shared" si="7"/>
        <v>0</v>
      </c>
      <c r="Z14" s="432">
        <f t="shared" si="8"/>
        <v>0</v>
      </c>
      <c r="AA14" s="29">
        <f t="shared" si="9"/>
        <v>0</v>
      </c>
      <c r="AB14" s="346">
        <f t="shared" si="10"/>
        <v>0</v>
      </c>
      <c r="AC14" s="111">
        <f t="shared" si="13"/>
        <v>16</v>
      </c>
      <c r="AD14" s="109">
        <f t="shared" si="11"/>
        <v>1.7895653646778256</v>
      </c>
      <c r="AE14" s="195"/>
      <c r="AF14" s="195"/>
      <c r="AG14" s="195"/>
      <c r="AH14" s="195"/>
    </row>
    <row r="15" spans="1:34" ht="18" thickBot="1" x14ac:dyDescent="0.4">
      <c r="A15" s="777" t="s">
        <v>134</v>
      </c>
      <c r="B15" s="635">
        <f t="shared" si="12"/>
        <v>11</v>
      </c>
      <c r="C15" s="632">
        <f t="shared" si="0"/>
        <v>1.9244736634202044</v>
      </c>
      <c r="D15" s="959" t="s">
        <v>304</v>
      </c>
      <c r="E15" s="544">
        <v>2017</v>
      </c>
      <c r="F15" s="557" t="s">
        <v>306</v>
      </c>
      <c r="G15" s="550"/>
      <c r="H15" s="1257">
        <f>Commercial!C14</f>
        <v>4.5868021627512965</v>
      </c>
      <c r="I15" s="1259">
        <f>Recreational!C14</f>
        <v>6.910398455791162</v>
      </c>
      <c r="J15" s="1259">
        <f>Tribal!C14</f>
        <v>1.9861869644245502</v>
      </c>
      <c r="K15" s="29"/>
      <c r="L15" s="29"/>
      <c r="M15" s="1259">
        <f>'Stock Status'!C15</f>
        <v>3</v>
      </c>
      <c r="N15" s="29"/>
      <c r="O15" s="29"/>
      <c r="P15" s="922"/>
      <c r="Q15" s="832"/>
      <c r="R15" s="163"/>
      <c r="S15" s="29">
        <f t="shared" si="1"/>
        <v>0.96322845417777225</v>
      </c>
      <c r="T15" s="29">
        <f t="shared" si="2"/>
        <v>0.62193586102120457</v>
      </c>
      <c r="U15" s="29">
        <f t="shared" si="3"/>
        <v>9.9309348221227514E-2</v>
      </c>
      <c r="V15" s="29">
        <f t="shared" si="4"/>
        <v>0</v>
      </c>
      <c r="W15" s="29">
        <f t="shared" si="5"/>
        <v>0</v>
      </c>
      <c r="X15" s="29">
        <f t="shared" si="6"/>
        <v>0.24</v>
      </c>
      <c r="Y15" s="29">
        <f t="shared" si="7"/>
        <v>0</v>
      </c>
      <c r="Z15" s="432">
        <f t="shared" si="8"/>
        <v>0</v>
      </c>
      <c r="AA15" s="29">
        <f t="shared" si="9"/>
        <v>0</v>
      </c>
      <c r="AB15" s="346">
        <f t="shared" si="10"/>
        <v>0</v>
      </c>
      <c r="AC15" s="111">
        <f t="shared" si="13"/>
        <v>11</v>
      </c>
      <c r="AD15" s="109">
        <f t="shared" si="11"/>
        <v>1.9244736634202044</v>
      </c>
      <c r="AE15" s="195"/>
      <c r="AF15" s="195"/>
      <c r="AG15" s="195"/>
      <c r="AH15" s="195"/>
    </row>
    <row r="16" spans="1:34" ht="18" thickBot="1" x14ac:dyDescent="0.4">
      <c r="A16" s="776" t="s">
        <v>148</v>
      </c>
      <c r="B16" s="635">
        <f t="shared" si="12"/>
        <v>13</v>
      </c>
      <c r="C16" s="632">
        <f t="shared" si="0"/>
        <v>1.8193442569409246</v>
      </c>
      <c r="D16" s="959" t="s">
        <v>416</v>
      </c>
      <c r="E16" s="544">
        <v>2013</v>
      </c>
      <c r="F16" s="558" t="s">
        <v>316</v>
      </c>
      <c r="G16" s="551"/>
      <c r="H16" s="1257">
        <f>Commercial!C15</f>
        <v>4.4870772599962532</v>
      </c>
      <c r="I16" s="1259">
        <f>Recreational!C15</f>
        <v>6.1895336926856821</v>
      </c>
      <c r="J16" s="1259">
        <f>Tribal!C15</f>
        <v>0</v>
      </c>
      <c r="K16" s="29"/>
      <c r="L16" s="29"/>
      <c r="M16" s="1259">
        <f>'Stock Status'!C16</f>
        <v>4</v>
      </c>
      <c r="N16" s="29"/>
      <c r="O16" s="29"/>
      <c r="P16" s="29"/>
      <c r="Q16" s="833"/>
      <c r="R16" s="163"/>
      <c r="S16" s="29">
        <f t="shared" si="1"/>
        <v>0.94228622459921318</v>
      </c>
      <c r="T16" s="29">
        <f t="shared" si="2"/>
        <v>0.55705803234171136</v>
      </c>
      <c r="U16" s="29">
        <f t="shared" si="3"/>
        <v>0</v>
      </c>
      <c r="V16" s="29">
        <f t="shared" si="4"/>
        <v>0</v>
      </c>
      <c r="W16" s="29">
        <f t="shared" si="5"/>
        <v>0</v>
      </c>
      <c r="X16" s="29">
        <f t="shared" si="6"/>
        <v>0.32</v>
      </c>
      <c r="Y16" s="29">
        <f t="shared" si="7"/>
        <v>0</v>
      </c>
      <c r="Z16" s="432">
        <f t="shared" si="8"/>
        <v>0</v>
      </c>
      <c r="AA16" s="29">
        <f t="shared" si="9"/>
        <v>0</v>
      </c>
      <c r="AB16" s="346">
        <f t="shared" si="10"/>
        <v>0</v>
      </c>
      <c r="AC16" s="111">
        <f t="shared" si="13"/>
        <v>13</v>
      </c>
      <c r="AD16" s="109">
        <f t="shared" si="11"/>
        <v>1.8193442569409246</v>
      </c>
      <c r="AE16" s="195"/>
      <c r="AF16" s="195"/>
      <c r="AG16" s="195"/>
      <c r="AH16" s="195"/>
    </row>
    <row r="17" spans="1:34" ht="18" thickBot="1" x14ac:dyDescent="0.4">
      <c r="A17" s="776" t="s">
        <v>9</v>
      </c>
      <c r="B17" s="635">
        <f t="shared" si="12"/>
        <v>14</v>
      </c>
      <c r="C17" s="632">
        <f t="shared" si="0"/>
        <v>1.8089672323060981</v>
      </c>
      <c r="D17" s="959"/>
      <c r="E17" s="544">
        <v>2019</v>
      </c>
      <c r="F17" s="555" t="s">
        <v>305</v>
      </c>
      <c r="G17" s="550"/>
      <c r="H17" s="1257">
        <f>Commercial!C16</f>
        <v>5.0860353657661559</v>
      </c>
      <c r="I17" s="1259">
        <f>Recreational!C16</f>
        <v>5.5655533943911708</v>
      </c>
      <c r="J17" s="1259">
        <f>Tribal!C16</f>
        <v>0</v>
      </c>
      <c r="K17" s="922"/>
      <c r="L17" s="29"/>
      <c r="M17" s="1259">
        <f>'Stock Status'!C17</f>
        <v>3</v>
      </c>
      <c r="N17" s="29"/>
      <c r="O17" s="29"/>
      <c r="P17" s="922"/>
      <c r="Q17" s="832"/>
      <c r="R17" s="163"/>
      <c r="S17" s="29">
        <f t="shared" si="1"/>
        <v>1.0680674268108927</v>
      </c>
      <c r="T17" s="29">
        <f t="shared" si="2"/>
        <v>0.50089980549520541</v>
      </c>
      <c r="U17" s="29">
        <f t="shared" si="3"/>
        <v>0</v>
      </c>
      <c r="V17" s="29">
        <f t="shared" si="4"/>
        <v>0</v>
      </c>
      <c r="W17" s="29">
        <f t="shared" si="5"/>
        <v>0</v>
      </c>
      <c r="X17" s="29">
        <f t="shared" si="6"/>
        <v>0.24</v>
      </c>
      <c r="Y17" s="29">
        <f t="shared" si="7"/>
        <v>0</v>
      </c>
      <c r="Z17" s="432">
        <f t="shared" si="8"/>
        <v>0</v>
      </c>
      <c r="AA17" s="29">
        <f t="shared" si="9"/>
        <v>0</v>
      </c>
      <c r="AB17" s="346">
        <f t="shared" si="10"/>
        <v>0</v>
      </c>
      <c r="AC17" s="111">
        <f t="shared" si="13"/>
        <v>14</v>
      </c>
      <c r="AD17" s="109">
        <f t="shared" si="11"/>
        <v>1.8089672323060981</v>
      </c>
      <c r="AE17" s="195"/>
      <c r="AF17" s="195"/>
      <c r="AG17" s="195"/>
      <c r="AH17" s="195"/>
    </row>
    <row r="18" spans="1:34" ht="18" thickBot="1" x14ac:dyDescent="0.4">
      <c r="A18" s="777" t="s">
        <v>129</v>
      </c>
      <c r="B18" s="635">
        <f t="shared" si="12"/>
        <v>23</v>
      </c>
      <c r="C18" s="632">
        <f t="shared" si="0"/>
        <v>1.4481884507018126</v>
      </c>
      <c r="D18" s="959" t="s">
        <v>304</v>
      </c>
      <c r="E18" s="544">
        <v>2017</v>
      </c>
      <c r="F18" s="555" t="s">
        <v>305</v>
      </c>
      <c r="G18" s="550"/>
      <c r="H18" s="1257">
        <f>Commercial!C17</f>
        <v>2.8553881813797837</v>
      </c>
      <c r="I18" s="1259">
        <f>Recreational!C17</f>
        <v>6.7617436956895336</v>
      </c>
      <c r="J18" s="1259">
        <f>Tribal!C17</f>
        <v>0</v>
      </c>
      <c r="K18" s="29"/>
      <c r="L18" s="29"/>
      <c r="M18" s="1259">
        <f>'Stock Status'!C18</f>
        <v>3</v>
      </c>
      <c r="N18" s="29"/>
      <c r="O18" s="29"/>
      <c r="P18" s="922"/>
      <c r="Q18" s="832"/>
      <c r="R18" s="163"/>
      <c r="S18" s="29">
        <f t="shared" si="1"/>
        <v>0.59963151808975457</v>
      </c>
      <c r="T18" s="29">
        <f t="shared" si="2"/>
        <v>0.60855693261205801</v>
      </c>
      <c r="U18" s="29">
        <f t="shared" si="3"/>
        <v>0</v>
      </c>
      <c r="V18" s="29">
        <f t="shared" si="4"/>
        <v>0</v>
      </c>
      <c r="W18" s="29">
        <f t="shared" si="5"/>
        <v>0</v>
      </c>
      <c r="X18" s="29">
        <f t="shared" si="6"/>
        <v>0.24</v>
      </c>
      <c r="Y18" s="29">
        <f t="shared" si="7"/>
        <v>0</v>
      </c>
      <c r="Z18" s="432">
        <f t="shared" si="8"/>
        <v>0</v>
      </c>
      <c r="AA18" s="29">
        <f t="shared" si="9"/>
        <v>0</v>
      </c>
      <c r="AB18" s="346">
        <f t="shared" si="10"/>
        <v>0</v>
      </c>
      <c r="AC18" s="111">
        <f t="shared" si="13"/>
        <v>23</v>
      </c>
      <c r="AD18" s="109">
        <f t="shared" si="11"/>
        <v>1.4481884507018126</v>
      </c>
      <c r="AE18" s="195"/>
      <c r="AF18" s="195"/>
      <c r="AG18" s="195"/>
      <c r="AH18" s="195"/>
    </row>
    <row r="19" spans="1:34" ht="18" thickBot="1" x14ac:dyDescent="0.4">
      <c r="A19" s="777" t="s">
        <v>18</v>
      </c>
      <c r="B19" s="635">
        <f t="shared" si="12"/>
        <v>10</v>
      </c>
      <c r="C19" s="632">
        <f t="shared" si="0"/>
        <v>1.9345634555903775</v>
      </c>
      <c r="D19" s="959"/>
      <c r="E19" s="544">
        <v>2015</v>
      </c>
      <c r="F19" s="555" t="s">
        <v>305</v>
      </c>
      <c r="G19" s="550"/>
      <c r="H19" s="1257">
        <f>Commercial!C18</f>
        <v>4.5835613234585573</v>
      </c>
      <c r="I19" s="1259">
        <f>Recreational!C18</f>
        <v>6.6650644551654752</v>
      </c>
      <c r="J19" s="1259">
        <f>Tribal!C18</f>
        <v>2.6431955339837558</v>
      </c>
      <c r="K19" s="29"/>
      <c r="L19" s="29"/>
      <c r="M19" s="1259">
        <f>'Stock Status'!C19</f>
        <v>3</v>
      </c>
      <c r="N19" s="29"/>
      <c r="O19" s="29"/>
      <c r="P19" s="922"/>
      <c r="Q19" s="832"/>
      <c r="R19" s="163"/>
      <c r="S19" s="29">
        <f t="shared" si="1"/>
        <v>0.96254787792629704</v>
      </c>
      <c r="T19" s="29">
        <f t="shared" si="2"/>
        <v>0.59985580096489277</v>
      </c>
      <c r="U19" s="29">
        <f t="shared" si="3"/>
        <v>0.1321597766991878</v>
      </c>
      <c r="V19" s="29">
        <f t="shared" si="4"/>
        <v>0</v>
      </c>
      <c r="W19" s="29">
        <f t="shared" si="5"/>
        <v>0</v>
      </c>
      <c r="X19" s="29">
        <f t="shared" si="6"/>
        <v>0.24</v>
      </c>
      <c r="Y19" s="29">
        <f t="shared" si="7"/>
        <v>0</v>
      </c>
      <c r="Z19" s="432">
        <f t="shared" si="8"/>
        <v>0</v>
      </c>
      <c r="AA19" s="29">
        <f t="shared" si="9"/>
        <v>0</v>
      </c>
      <c r="AB19" s="346">
        <f t="shared" si="10"/>
        <v>0</v>
      </c>
      <c r="AC19" s="111">
        <f t="shared" si="13"/>
        <v>10</v>
      </c>
      <c r="AD19" s="109">
        <f t="shared" si="11"/>
        <v>1.9345634555903775</v>
      </c>
      <c r="AE19" s="195"/>
      <c r="AF19" s="195"/>
      <c r="AG19" s="195"/>
      <c r="AH19" s="195"/>
    </row>
    <row r="20" spans="1:34" ht="18" thickBot="1" x14ac:dyDescent="0.4">
      <c r="A20" s="777" t="s">
        <v>140</v>
      </c>
      <c r="B20" s="635">
        <f t="shared" si="12"/>
        <v>20</v>
      </c>
      <c r="C20" s="632">
        <f t="shared" si="0"/>
        <v>1.5137481669853632</v>
      </c>
      <c r="D20" s="959" t="s">
        <v>304</v>
      </c>
      <c r="E20" s="544">
        <v>2015</v>
      </c>
      <c r="F20" s="557" t="s">
        <v>306</v>
      </c>
      <c r="G20" s="550"/>
      <c r="H20" s="1257">
        <f>Commercial!C19</f>
        <v>4.7807186184641459</v>
      </c>
      <c r="I20" s="1259">
        <f>Recreational!C19</f>
        <v>3.6094088780762541</v>
      </c>
      <c r="J20" s="1259">
        <f>Tribal!C19</f>
        <v>0.49900916162059628</v>
      </c>
      <c r="K20" s="29"/>
      <c r="L20" s="29"/>
      <c r="M20" s="1259">
        <f>'Stock Status'!C20</f>
        <v>2</v>
      </c>
      <c r="N20" s="29"/>
      <c r="O20" s="29"/>
      <c r="P20" s="922"/>
      <c r="Q20" s="832"/>
      <c r="R20" s="163"/>
      <c r="S20" s="29">
        <f t="shared" si="1"/>
        <v>1.0039509098774706</v>
      </c>
      <c r="T20" s="29">
        <f t="shared" si="2"/>
        <v>0.32484679902686286</v>
      </c>
      <c r="U20" s="29">
        <f t="shared" si="3"/>
        <v>2.4950458081029817E-2</v>
      </c>
      <c r="V20" s="29">
        <f t="shared" si="4"/>
        <v>0</v>
      </c>
      <c r="W20" s="29">
        <f t="shared" si="5"/>
        <v>0</v>
      </c>
      <c r="X20" s="29">
        <f t="shared" si="6"/>
        <v>0.16</v>
      </c>
      <c r="Y20" s="29">
        <f t="shared" si="7"/>
        <v>0</v>
      </c>
      <c r="Z20" s="432">
        <f t="shared" si="8"/>
        <v>0</v>
      </c>
      <c r="AA20" s="29">
        <f t="shared" si="9"/>
        <v>0</v>
      </c>
      <c r="AB20" s="346">
        <f t="shared" si="10"/>
        <v>0</v>
      </c>
      <c r="AC20" s="111">
        <f t="shared" si="13"/>
        <v>20</v>
      </c>
      <c r="AD20" s="109">
        <f t="shared" si="11"/>
        <v>1.5137481669853632</v>
      </c>
      <c r="AE20" s="195"/>
      <c r="AF20" s="195"/>
      <c r="AG20" s="195"/>
      <c r="AH20" s="195"/>
    </row>
    <row r="21" spans="1:34" ht="18" thickBot="1" x14ac:dyDescent="0.4">
      <c r="A21" s="776" t="s">
        <v>143</v>
      </c>
      <c r="B21" s="635">
        <f t="shared" si="12"/>
        <v>24</v>
      </c>
      <c r="C21" s="632">
        <f t="shared" si="0"/>
        <v>1.4172813114465901</v>
      </c>
      <c r="D21" s="959"/>
      <c r="E21" s="544">
        <v>2015</v>
      </c>
      <c r="F21" s="555" t="s">
        <v>305</v>
      </c>
      <c r="G21" s="550"/>
      <c r="H21" s="1257">
        <f>Commercial!C20</f>
        <v>3.702746152095171</v>
      </c>
      <c r="I21" s="1259">
        <f>Recreational!C20</f>
        <v>4.4411624389622686</v>
      </c>
      <c r="J21" s="1259">
        <f>Tribal!C20</f>
        <v>0</v>
      </c>
      <c r="K21" s="29"/>
      <c r="L21" s="29"/>
      <c r="M21" s="1259">
        <f>'Stock Status'!C21</f>
        <v>3</v>
      </c>
      <c r="N21" s="29"/>
      <c r="O21" s="29"/>
      <c r="P21" s="922"/>
      <c r="Q21" s="832"/>
      <c r="R21" s="163"/>
      <c r="S21" s="29">
        <f t="shared" si="1"/>
        <v>0.77757669193998591</v>
      </c>
      <c r="T21" s="29">
        <f t="shared" si="2"/>
        <v>0.39970461950660413</v>
      </c>
      <c r="U21" s="29">
        <f t="shared" si="3"/>
        <v>0</v>
      </c>
      <c r="V21" s="29">
        <f t="shared" si="4"/>
        <v>0</v>
      </c>
      <c r="W21" s="29">
        <f t="shared" si="5"/>
        <v>0</v>
      </c>
      <c r="X21" s="29">
        <f t="shared" si="6"/>
        <v>0.24</v>
      </c>
      <c r="Y21" s="29">
        <f t="shared" si="7"/>
        <v>0</v>
      </c>
      <c r="Z21" s="432">
        <f t="shared" si="8"/>
        <v>0</v>
      </c>
      <c r="AA21" s="29">
        <f t="shared" si="9"/>
        <v>0</v>
      </c>
      <c r="AB21" s="346">
        <f t="shared" si="10"/>
        <v>0</v>
      </c>
      <c r="AC21" s="111">
        <f t="shared" si="13"/>
        <v>24</v>
      </c>
      <c r="AD21" s="109">
        <f t="shared" si="11"/>
        <v>1.4172813114465901</v>
      </c>
      <c r="AE21" s="195"/>
      <c r="AF21" s="195"/>
      <c r="AG21" s="195"/>
      <c r="AH21" s="195"/>
    </row>
    <row r="22" spans="1:34" ht="18" thickBot="1" x14ac:dyDescent="0.4">
      <c r="A22" s="776" t="s">
        <v>149</v>
      </c>
      <c r="B22" s="635">
        <f t="shared" si="12"/>
        <v>9</v>
      </c>
      <c r="C22" s="632">
        <f t="shared" si="0"/>
        <v>1.9491359680014262</v>
      </c>
      <c r="D22" s="959" t="s">
        <v>454</v>
      </c>
      <c r="E22" s="544">
        <v>2021</v>
      </c>
      <c r="F22" s="558" t="s">
        <v>316</v>
      </c>
      <c r="G22" s="550"/>
      <c r="H22" s="1257">
        <f>Commercial!C21</f>
        <v>4.0910824110525459</v>
      </c>
      <c r="I22" s="1259">
        <f>Recreational!C21</f>
        <v>7.3585966636466793</v>
      </c>
      <c r="J22" s="1259">
        <f>Tribal!C21</f>
        <v>0.55469923904380503</v>
      </c>
      <c r="K22" s="29"/>
      <c r="L22" s="29"/>
      <c r="M22" s="1259">
        <f>'Stock Status'!C22</f>
        <v>5</v>
      </c>
      <c r="N22" s="29"/>
      <c r="O22" s="29"/>
      <c r="P22" s="29"/>
      <c r="Q22" s="833"/>
      <c r="R22" s="163"/>
      <c r="S22" s="29">
        <f t="shared" si="1"/>
        <v>0.85912730632103462</v>
      </c>
      <c r="T22" s="29">
        <f t="shared" si="2"/>
        <v>0.66227369972820116</v>
      </c>
      <c r="U22" s="29">
        <f t="shared" si="3"/>
        <v>2.7734961952190253E-2</v>
      </c>
      <c r="V22" s="29">
        <f t="shared" si="4"/>
        <v>0</v>
      </c>
      <c r="W22" s="29">
        <f t="shared" si="5"/>
        <v>0</v>
      </c>
      <c r="X22" s="29">
        <f t="shared" si="6"/>
        <v>0.4</v>
      </c>
      <c r="Y22" s="29">
        <f t="shared" si="7"/>
        <v>0</v>
      </c>
      <c r="Z22" s="432">
        <f t="shared" si="8"/>
        <v>0</v>
      </c>
      <c r="AA22" s="29">
        <f t="shared" si="9"/>
        <v>0</v>
      </c>
      <c r="AB22" s="346">
        <f t="shared" si="10"/>
        <v>0</v>
      </c>
      <c r="AC22" s="111">
        <f t="shared" si="13"/>
        <v>9</v>
      </c>
      <c r="AD22" s="109">
        <f t="shared" si="11"/>
        <v>1.9491359680014262</v>
      </c>
      <c r="AE22" s="195"/>
      <c r="AF22" s="195"/>
      <c r="AG22" s="195"/>
      <c r="AH22" s="195"/>
    </row>
    <row r="23" spans="1:34" ht="18" thickBot="1" x14ac:dyDescent="0.4">
      <c r="A23" s="777" t="s">
        <v>132</v>
      </c>
      <c r="B23" s="635">
        <f t="shared" si="12"/>
        <v>55</v>
      </c>
      <c r="C23" s="632">
        <f t="shared" si="0"/>
        <v>0.72242969385408584</v>
      </c>
      <c r="D23" s="959" t="s">
        <v>454</v>
      </c>
      <c r="E23" s="544">
        <v>2019</v>
      </c>
      <c r="F23" s="555" t="s">
        <v>305</v>
      </c>
      <c r="G23" s="550"/>
      <c r="H23" s="1257">
        <f>Commercial!C22</f>
        <v>1.4931254574072874</v>
      </c>
      <c r="I23" s="1259">
        <f>Recreational!C22</f>
        <v>1.8763705310950614</v>
      </c>
      <c r="J23" s="1259">
        <f>Tribal!C22</f>
        <v>0</v>
      </c>
      <c r="K23" s="29"/>
      <c r="L23" s="29"/>
      <c r="M23" s="1259">
        <f>'Stock Status'!C23</f>
        <v>3</v>
      </c>
      <c r="N23" s="29"/>
      <c r="O23" s="29"/>
      <c r="P23" s="922"/>
      <c r="Q23" s="832"/>
      <c r="R23" s="163"/>
      <c r="S23" s="29">
        <f t="shared" si="1"/>
        <v>0.31355634605553034</v>
      </c>
      <c r="T23" s="29">
        <f t="shared" si="2"/>
        <v>0.16887334779855551</v>
      </c>
      <c r="U23" s="29">
        <f t="shared" si="3"/>
        <v>0</v>
      </c>
      <c r="V23" s="29">
        <f t="shared" si="4"/>
        <v>0</v>
      </c>
      <c r="W23" s="29">
        <f t="shared" si="5"/>
        <v>0</v>
      </c>
      <c r="X23" s="29">
        <f t="shared" si="6"/>
        <v>0.24</v>
      </c>
      <c r="Y23" s="29">
        <f t="shared" si="7"/>
        <v>0</v>
      </c>
      <c r="Z23" s="432">
        <f t="shared" si="8"/>
        <v>0</v>
      </c>
      <c r="AA23" s="29">
        <f t="shared" si="9"/>
        <v>0</v>
      </c>
      <c r="AB23" s="346">
        <f t="shared" si="10"/>
        <v>0</v>
      </c>
      <c r="AC23" s="111">
        <f t="shared" si="13"/>
        <v>55</v>
      </c>
      <c r="AD23" s="109">
        <f t="shared" si="11"/>
        <v>0.72242969385408584</v>
      </c>
      <c r="AE23" s="195"/>
      <c r="AF23" s="195"/>
      <c r="AG23" s="195"/>
      <c r="AH23" s="195"/>
    </row>
    <row r="24" spans="1:34" ht="18" thickBot="1" x14ac:dyDescent="0.4">
      <c r="A24" s="777" t="s">
        <v>16</v>
      </c>
      <c r="B24" s="635">
        <f t="shared" si="12"/>
        <v>30</v>
      </c>
      <c r="C24" s="632">
        <f t="shared" si="0"/>
        <v>1.2746564499993873</v>
      </c>
      <c r="D24" s="959" t="s">
        <v>304</v>
      </c>
      <c r="E24" s="544">
        <v>2017</v>
      </c>
      <c r="F24" s="557" t="s">
        <v>306</v>
      </c>
      <c r="G24" s="550"/>
      <c r="H24" s="1257">
        <f>Commercial!C23</f>
        <v>4.1923477804301443</v>
      </c>
      <c r="I24" s="1259">
        <f>Recreational!C23</f>
        <v>0</v>
      </c>
      <c r="J24" s="1259">
        <f>Tribal!C23</f>
        <v>1.4852683221811402</v>
      </c>
      <c r="K24" s="29"/>
      <c r="L24" s="29"/>
      <c r="M24" s="1259">
        <f>'Stock Status'!C24</f>
        <v>4</v>
      </c>
      <c r="N24" s="29"/>
      <c r="O24" s="29"/>
      <c r="P24" s="922"/>
      <c r="Q24" s="832"/>
      <c r="R24" s="163"/>
      <c r="S24" s="29">
        <f t="shared" si="1"/>
        <v>0.8803930338903303</v>
      </c>
      <c r="T24" s="29">
        <f t="shared" si="2"/>
        <v>0</v>
      </c>
      <c r="U24" s="29">
        <f t="shared" si="3"/>
        <v>7.4263416109057012E-2</v>
      </c>
      <c r="V24" s="29">
        <f t="shared" si="4"/>
        <v>0</v>
      </c>
      <c r="W24" s="29">
        <f t="shared" si="5"/>
        <v>0</v>
      </c>
      <c r="X24" s="29">
        <f t="shared" si="6"/>
        <v>0.32</v>
      </c>
      <c r="Y24" s="29">
        <f t="shared" si="7"/>
        <v>0</v>
      </c>
      <c r="Z24" s="432">
        <f t="shared" si="8"/>
        <v>0</v>
      </c>
      <c r="AA24" s="29">
        <f t="shared" si="9"/>
        <v>0</v>
      </c>
      <c r="AB24" s="346">
        <f t="shared" si="10"/>
        <v>0</v>
      </c>
      <c r="AC24" s="111">
        <f t="shared" si="13"/>
        <v>30</v>
      </c>
      <c r="AD24" s="109">
        <f t="shared" si="11"/>
        <v>1.2746564499993873</v>
      </c>
      <c r="AE24" s="195"/>
      <c r="AF24" s="195"/>
      <c r="AG24" s="195"/>
      <c r="AH24" s="195"/>
    </row>
    <row r="25" spans="1:34" ht="18" thickBot="1" x14ac:dyDescent="0.4">
      <c r="A25" s="777" t="s">
        <v>6</v>
      </c>
      <c r="B25" s="635">
        <f t="shared" si="12"/>
        <v>7</v>
      </c>
      <c r="C25" s="632">
        <f t="shared" si="0"/>
        <v>2.0363420784638442</v>
      </c>
      <c r="D25" s="959" t="s">
        <v>304</v>
      </c>
      <c r="E25" s="544">
        <v>2021</v>
      </c>
      <c r="F25" s="555" t="s">
        <v>305</v>
      </c>
      <c r="G25" s="550"/>
      <c r="H25" s="1257">
        <f>Commercial!C24</f>
        <v>7.8708016664396272</v>
      </c>
      <c r="I25" s="1259">
        <f>Recreational!C24</f>
        <v>1.3637010661504583</v>
      </c>
      <c r="J25" s="1259">
        <f>Tribal!C24</f>
        <v>3.6148126511596268</v>
      </c>
      <c r="K25" s="29"/>
      <c r="L25" s="29"/>
      <c r="M25" s="1259">
        <f>'Stock Status'!C25</f>
        <v>1</v>
      </c>
      <c r="N25" s="29"/>
      <c r="O25" s="29"/>
      <c r="P25" s="29"/>
      <c r="Q25" s="832"/>
      <c r="R25" s="163"/>
      <c r="S25" s="29">
        <f t="shared" si="1"/>
        <v>1.6528683499523216</v>
      </c>
      <c r="T25" s="29">
        <f t="shared" si="2"/>
        <v>0.12273309595354125</v>
      </c>
      <c r="U25" s="29">
        <f t="shared" si="3"/>
        <v>0.18074063255798134</v>
      </c>
      <c r="V25" s="29">
        <f t="shared" si="4"/>
        <v>0</v>
      </c>
      <c r="W25" s="29">
        <f t="shared" si="5"/>
        <v>0</v>
      </c>
      <c r="X25" s="29">
        <f t="shared" si="6"/>
        <v>0.08</v>
      </c>
      <c r="Y25" s="29">
        <f t="shared" si="7"/>
        <v>0</v>
      </c>
      <c r="Z25" s="432">
        <f t="shared" si="8"/>
        <v>0</v>
      </c>
      <c r="AA25" s="29">
        <f t="shared" si="9"/>
        <v>0</v>
      </c>
      <c r="AB25" s="346">
        <f t="shared" si="10"/>
        <v>0</v>
      </c>
      <c r="AC25" s="111">
        <f t="shared" si="13"/>
        <v>7</v>
      </c>
      <c r="AD25" s="109">
        <f t="shared" si="11"/>
        <v>2.0363420784638442</v>
      </c>
      <c r="AE25" s="195"/>
      <c r="AF25" s="195"/>
      <c r="AG25" s="195"/>
      <c r="AH25" s="195"/>
    </row>
    <row r="26" spans="1:34" ht="18" thickBot="1" x14ac:dyDescent="0.4">
      <c r="A26" s="777" t="s">
        <v>20</v>
      </c>
      <c r="B26" s="635">
        <f t="shared" si="12"/>
        <v>38</v>
      </c>
      <c r="C26" s="632">
        <f t="shared" si="0"/>
        <v>1.1448881652536422</v>
      </c>
      <c r="D26" s="959"/>
      <c r="E26" s="544">
        <v>2013</v>
      </c>
      <c r="F26" s="558" t="s">
        <v>316</v>
      </c>
      <c r="G26" s="550"/>
      <c r="H26" s="1257">
        <f>Commercial!C25</f>
        <v>3.9367506537991726</v>
      </c>
      <c r="I26" s="1259">
        <f>Recreational!C25</f>
        <v>0.83351239774091856</v>
      </c>
      <c r="J26" s="1259">
        <f>Tribal!C25</f>
        <v>3.2630882431826636</v>
      </c>
      <c r="K26" s="29"/>
      <c r="L26" s="29"/>
      <c r="M26" s="1259">
        <f>'Stock Status'!C26</f>
        <v>1</v>
      </c>
      <c r="N26" s="29"/>
      <c r="O26" s="29"/>
      <c r="P26" s="29"/>
      <c r="Q26" s="832"/>
      <c r="R26" s="163"/>
      <c r="S26" s="29">
        <f t="shared" si="1"/>
        <v>0.82671763729782621</v>
      </c>
      <c r="T26" s="29">
        <f t="shared" si="2"/>
        <v>7.5016115796682672E-2</v>
      </c>
      <c r="U26" s="29">
        <f t="shared" si="3"/>
        <v>0.16315441215913318</v>
      </c>
      <c r="V26" s="29">
        <f t="shared" si="4"/>
        <v>0</v>
      </c>
      <c r="W26" s="29">
        <f t="shared" si="5"/>
        <v>0</v>
      </c>
      <c r="X26" s="29">
        <f t="shared" si="6"/>
        <v>0.08</v>
      </c>
      <c r="Y26" s="29">
        <f t="shared" si="7"/>
        <v>0</v>
      </c>
      <c r="Z26" s="432">
        <f t="shared" si="8"/>
        <v>0</v>
      </c>
      <c r="AA26" s="29">
        <f t="shared" si="9"/>
        <v>0</v>
      </c>
      <c r="AB26" s="346">
        <f t="shared" si="10"/>
        <v>0</v>
      </c>
      <c r="AC26" s="111">
        <f t="shared" si="13"/>
        <v>38</v>
      </c>
      <c r="AD26" s="109">
        <f t="shared" si="11"/>
        <v>1.1448881652536422</v>
      </c>
      <c r="AE26" s="195"/>
      <c r="AF26" s="195"/>
      <c r="AG26" s="195"/>
      <c r="AH26" s="195"/>
    </row>
    <row r="27" spans="1:34" ht="18" thickBot="1" x14ac:dyDescent="0.4">
      <c r="A27" s="776" t="s">
        <v>150</v>
      </c>
      <c r="B27" s="635">
        <f t="shared" si="12"/>
        <v>44</v>
      </c>
      <c r="C27" s="632">
        <f t="shared" si="0"/>
        <v>1.0602687508405586</v>
      </c>
      <c r="D27" s="959"/>
      <c r="E27" s="1267"/>
      <c r="F27" s="556" t="s">
        <v>317</v>
      </c>
      <c r="G27" s="550"/>
      <c r="H27" s="1257">
        <f>Commercial!C26</f>
        <v>1.691537769421634</v>
      </c>
      <c r="I27" s="1259">
        <f>Recreational!C26</f>
        <v>4.2782868806890608</v>
      </c>
      <c r="J27" s="1259">
        <f>Tribal!C26</f>
        <v>0</v>
      </c>
      <c r="K27" s="922"/>
      <c r="L27" s="29"/>
      <c r="M27" s="1259">
        <f>'Stock Status'!C27</f>
        <v>4</v>
      </c>
      <c r="N27" s="29"/>
      <c r="O27" s="29"/>
      <c r="P27" s="29"/>
      <c r="Q27" s="833"/>
      <c r="R27" s="163"/>
      <c r="S27" s="29">
        <f t="shared" si="1"/>
        <v>0.35522293157854312</v>
      </c>
      <c r="T27" s="29">
        <f t="shared" si="2"/>
        <v>0.38504581926201548</v>
      </c>
      <c r="U27" s="29">
        <f t="shared" si="3"/>
        <v>0</v>
      </c>
      <c r="V27" s="29">
        <f t="shared" si="4"/>
        <v>0</v>
      </c>
      <c r="W27" s="29">
        <f t="shared" si="5"/>
        <v>0</v>
      </c>
      <c r="X27" s="29">
        <f t="shared" si="6"/>
        <v>0.32</v>
      </c>
      <c r="Y27" s="29">
        <f t="shared" si="7"/>
        <v>0</v>
      </c>
      <c r="Z27" s="432">
        <f t="shared" si="8"/>
        <v>0</v>
      </c>
      <c r="AA27" s="29">
        <f t="shared" si="9"/>
        <v>0</v>
      </c>
      <c r="AB27" s="346">
        <f t="shared" si="10"/>
        <v>0</v>
      </c>
      <c r="AC27" s="111">
        <f t="shared" si="13"/>
        <v>44</v>
      </c>
      <c r="AD27" s="109">
        <f t="shared" si="11"/>
        <v>1.0602687508405586</v>
      </c>
      <c r="AE27" s="195"/>
      <c r="AF27" s="195"/>
      <c r="AG27" s="195"/>
      <c r="AH27" s="195"/>
    </row>
    <row r="28" spans="1:34" ht="18" thickBot="1" x14ac:dyDescent="0.4">
      <c r="A28" s="776" t="s">
        <v>33</v>
      </c>
      <c r="B28" s="635">
        <f t="shared" si="12"/>
        <v>54</v>
      </c>
      <c r="C28" s="632">
        <f t="shared" si="0"/>
        <v>0.72743133222019862</v>
      </c>
      <c r="D28" s="959"/>
      <c r="E28" s="1267"/>
      <c r="F28" s="556" t="s">
        <v>317</v>
      </c>
      <c r="G28" s="550"/>
      <c r="H28" s="1257">
        <f>Commercial!C27</f>
        <v>2.3211015820009462</v>
      </c>
      <c r="I28" s="1259">
        <f>Recreational!C27</f>
        <v>0</v>
      </c>
      <c r="J28" s="1259">
        <f>Tribal!C27</f>
        <v>0</v>
      </c>
      <c r="K28" s="29"/>
      <c r="L28" s="29"/>
      <c r="M28" s="1259">
        <f>'Stock Status'!C28</f>
        <v>3</v>
      </c>
      <c r="N28" s="29"/>
      <c r="O28" s="29"/>
      <c r="P28" s="29"/>
      <c r="Q28" s="833"/>
      <c r="R28" s="163"/>
      <c r="S28" s="29">
        <f t="shared" si="1"/>
        <v>0.48743133222019869</v>
      </c>
      <c r="T28" s="29">
        <f t="shared" si="2"/>
        <v>0</v>
      </c>
      <c r="U28" s="29">
        <f t="shared" si="3"/>
        <v>0</v>
      </c>
      <c r="V28" s="29">
        <f t="shared" si="4"/>
        <v>0</v>
      </c>
      <c r="W28" s="29">
        <f t="shared" si="5"/>
        <v>0</v>
      </c>
      <c r="X28" s="29">
        <f t="shared" si="6"/>
        <v>0.24</v>
      </c>
      <c r="Y28" s="29">
        <f t="shared" si="7"/>
        <v>0</v>
      </c>
      <c r="Z28" s="432">
        <f t="shared" si="8"/>
        <v>0</v>
      </c>
      <c r="AA28" s="29">
        <f t="shared" si="9"/>
        <v>0</v>
      </c>
      <c r="AB28" s="346">
        <f t="shared" si="10"/>
        <v>0</v>
      </c>
      <c r="AC28" s="111">
        <f t="shared" si="13"/>
        <v>54</v>
      </c>
      <c r="AD28" s="109">
        <f t="shared" si="11"/>
        <v>0.72743133222019862</v>
      </c>
      <c r="AE28" s="195"/>
      <c r="AF28" s="195"/>
      <c r="AG28" s="195"/>
      <c r="AH28" s="195"/>
    </row>
    <row r="29" spans="1:34" ht="18" thickBot="1" x14ac:dyDescent="0.4">
      <c r="A29" s="776" t="s">
        <v>336</v>
      </c>
      <c r="B29" s="635">
        <f t="shared" si="12"/>
        <v>12</v>
      </c>
      <c r="C29" s="632">
        <f t="shared" si="0"/>
        <v>1.9125704825826289</v>
      </c>
      <c r="D29" s="959"/>
      <c r="E29" s="544">
        <v>2019</v>
      </c>
      <c r="F29" s="555" t="s">
        <v>305</v>
      </c>
      <c r="G29" s="550"/>
      <c r="H29" s="1257">
        <f>Commercial!C28</f>
        <v>5.2090722667887102</v>
      </c>
      <c r="I29" s="1259">
        <f>Recreational!C28</f>
        <v>5.5407256284111082</v>
      </c>
      <c r="J29" s="1259">
        <f>Tribal!C28</f>
        <v>0</v>
      </c>
      <c r="K29" s="29"/>
      <c r="L29" s="29"/>
      <c r="M29" s="1259">
        <f>'Stock Status'!C29</f>
        <v>4</v>
      </c>
      <c r="N29" s="29"/>
      <c r="O29" s="29"/>
      <c r="P29" s="922"/>
      <c r="Q29" s="832"/>
      <c r="R29" s="163"/>
      <c r="S29" s="29">
        <f t="shared" si="1"/>
        <v>1.0939051760256291</v>
      </c>
      <c r="T29" s="29">
        <f t="shared" si="2"/>
        <v>0.4986653065569997</v>
      </c>
      <c r="U29" s="29">
        <f t="shared" si="3"/>
        <v>0</v>
      </c>
      <c r="V29" s="29">
        <f t="shared" si="4"/>
        <v>0</v>
      </c>
      <c r="W29" s="29">
        <f t="shared" si="5"/>
        <v>0</v>
      </c>
      <c r="X29" s="29">
        <f t="shared" si="6"/>
        <v>0.32</v>
      </c>
      <c r="Y29" s="29">
        <f t="shared" si="7"/>
        <v>0</v>
      </c>
      <c r="Z29" s="432">
        <f t="shared" si="8"/>
        <v>0</v>
      </c>
      <c r="AA29" s="29">
        <f t="shared" si="9"/>
        <v>0</v>
      </c>
      <c r="AB29" s="346">
        <f t="shared" si="10"/>
        <v>0</v>
      </c>
      <c r="AC29" s="111">
        <f t="shared" si="13"/>
        <v>12</v>
      </c>
      <c r="AD29" s="109">
        <f t="shared" si="11"/>
        <v>1.9125704825826289</v>
      </c>
      <c r="AE29" s="195"/>
      <c r="AF29" s="195"/>
      <c r="AG29" s="195"/>
      <c r="AH29" s="195"/>
    </row>
    <row r="30" spans="1:34" ht="18" thickBot="1" x14ac:dyDescent="0.4">
      <c r="A30" s="776" t="s">
        <v>151</v>
      </c>
      <c r="B30" s="635">
        <f t="shared" si="12"/>
        <v>19</v>
      </c>
      <c r="C30" s="632">
        <f t="shared" si="0"/>
        <v>1.5264182458113931</v>
      </c>
      <c r="D30" s="959"/>
      <c r="E30" s="1267"/>
      <c r="F30" s="556" t="s">
        <v>317</v>
      </c>
      <c r="G30" s="550"/>
      <c r="H30" s="1257">
        <f>Commercial!C29</f>
        <v>4.3309543275807032</v>
      </c>
      <c r="I30" s="1259">
        <f>Recreational!C29</f>
        <v>3.2990870779938382</v>
      </c>
      <c r="J30" s="1259">
        <f>Tribal!C29</f>
        <v>0</v>
      </c>
      <c r="K30" s="29"/>
      <c r="L30" s="29"/>
      <c r="M30" s="1259">
        <f>'Stock Status'!C30</f>
        <v>4</v>
      </c>
      <c r="N30" s="29"/>
      <c r="O30" s="29"/>
      <c r="P30" s="29"/>
      <c r="Q30" s="833"/>
      <c r="R30" s="163"/>
      <c r="S30" s="29">
        <f t="shared" si="1"/>
        <v>0.9095004087919476</v>
      </c>
      <c r="T30" s="29">
        <f t="shared" si="2"/>
        <v>0.29691783701944541</v>
      </c>
      <c r="U30" s="29">
        <f t="shared" si="3"/>
        <v>0</v>
      </c>
      <c r="V30" s="29">
        <f t="shared" si="4"/>
        <v>0</v>
      </c>
      <c r="W30" s="29">
        <f t="shared" si="5"/>
        <v>0</v>
      </c>
      <c r="X30" s="29">
        <f t="shared" si="6"/>
        <v>0.32</v>
      </c>
      <c r="Y30" s="29">
        <f t="shared" si="7"/>
        <v>0</v>
      </c>
      <c r="Z30" s="432">
        <f t="shared" si="8"/>
        <v>0</v>
      </c>
      <c r="AA30" s="29">
        <f t="shared" si="9"/>
        <v>0</v>
      </c>
      <c r="AB30" s="346">
        <f t="shared" si="10"/>
        <v>0</v>
      </c>
      <c r="AC30" s="111">
        <f t="shared" si="13"/>
        <v>19</v>
      </c>
      <c r="AD30" s="109">
        <f t="shared" si="11"/>
        <v>1.5264182458113931</v>
      </c>
      <c r="AE30" s="195"/>
      <c r="AF30" s="195"/>
      <c r="AG30" s="195"/>
      <c r="AH30" s="195"/>
    </row>
    <row r="31" spans="1:34" ht="18" thickBot="1" x14ac:dyDescent="0.4">
      <c r="A31" s="776" t="s">
        <v>144</v>
      </c>
      <c r="B31" s="635">
        <f t="shared" si="12"/>
        <v>25</v>
      </c>
      <c r="C31" s="632">
        <f t="shared" si="0"/>
        <v>1.3874374464269097</v>
      </c>
      <c r="D31" s="959"/>
      <c r="E31" s="544">
        <v>2011</v>
      </c>
      <c r="F31" s="555" t="s">
        <v>305</v>
      </c>
      <c r="G31" s="550"/>
      <c r="H31" s="1257">
        <f>Commercial!C30</f>
        <v>2.6390096424648002</v>
      </c>
      <c r="I31" s="1259">
        <f>Recreational!C30</f>
        <v>4.4892936782077753</v>
      </c>
      <c r="J31" s="1259">
        <f>Tribal!C30</f>
        <v>0.58417980941204062</v>
      </c>
      <c r="K31" s="922"/>
      <c r="L31" s="29"/>
      <c r="M31" s="1259">
        <f>'Stock Status'!C31</f>
        <v>5</v>
      </c>
      <c r="N31" s="29"/>
      <c r="O31" s="29"/>
      <c r="P31" s="922"/>
      <c r="Q31" s="832"/>
      <c r="R31" s="163"/>
      <c r="S31" s="29">
        <f t="shared" si="1"/>
        <v>0.55419202491760799</v>
      </c>
      <c r="T31" s="29">
        <f t="shared" si="2"/>
        <v>0.40403643103869974</v>
      </c>
      <c r="U31" s="29">
        <f t="shared" si="3"/>
        <v>2.9208990470602034E-2</v>
      </c>
      <c r="V31" s="29">
        <f t="shared" si="4"/>
        <v>0</v>
      </c>
      <c r="W31" s="29">
        <f t="shared" si="5"/>
        <v>0</v>
      </c>
      <c r="X31" s="29">
        <f t="shared" si="6"/>
        <v>0.4</v>
      </c>
      <c r="Y31" s="29">
        <f t="shared" si="7"/>
        <v>0</v>
      </c>
      <c r="Z31" s="432">
        <f t="shared" si="8"/>
        <v>0</v>
      </c>
      <c r="AA31" s="29">
        <f t="shared" si="9"/>
        <v>0</v>
      </c>
      <c r="AB31" s="346">
        <f t="shared" si="10"/>
        <v>0</v>
      </c>
      <c r="AC31" s="111">
        <f t="shared" si="13"/>
        <v>25</v>
      </c>
      <c r="AD31" s="109">
        <f t="shared" si="11"/>
        <v>1.3874374464269097</v>
      </c>
      <c r="AE31" s="195"/>
      <c r="AF31" s="195"/>
      <c r="AG31" s="195"/>
      <c r="AH31" s="195"/>
    </row>
    <row r="32" spans="1:34" ht="18" thickBot="1" x14ac:dyDescent="0.4">
      <c r="A32" s="776" t="s">
        <v>145</v>
      </c>
      <c r="B32" s="635">
        <f t="shared" si="12"/>
        <v>50</v>
      </c>
      <c r="C32" s="632">
        <f t="shared" si="0"/>
        <v>0.8824505822804013</v>
      </c>
      <c r="D32" s="959"/>
      <c r="E32" s="544">
        <v>2009</v>
      </c>
      <c r="F32" s="555" t="s">
        <v>305</v>
      </c>
      <c r="G32" s="550"/>
      <c r="H32" s="1257">
        <f>Commercial!C31</f>
        <v>2.3906476332391247</v>
      </c>
      <c r="I32" s="1259">
        <f>Recreational!C31</f>
        <v>2.6169088225099846</v>
      </c>
      <c r="J32" s="1259">
        <f>Tribal!C31</f>
        <v>1.2978557054857338</v>
      </c>
      <c r="K32" s="29"/>
      <c r="L32" s="29"/>
      <c r="M32" s="1259">
        <f>'Stock Status'!C32</f>
        <v>1</v>
      </c>
      <c r="N32" s="29"/>
      <c r="O32" s="29"/>
      <c r="P32" s="29"/>
      <c r="Q32" s="832"/>
      <c r="R32" s="163"/>
      <c r="S32" s="29">
        <f t="shared" si="1"/>
        <v>0.50203600298021611</v>
      </c>
      <c r="T32" s="29">
        <f t="shared" si="2"/>
        <v>0.2355217940258986</v>
      </c>
      <c r="U32" s="29">
        <f t="shared" si="3"/>
        <v>6.4892785274286699E-2</v>
      </c>
      <c r="V32" s="29">
        <f t="shared" si="4"/>
        <v>0</v>
      </c>
      <c r="W32" s="29">
        <f t="shared" si="5"/>
        <v>0</v>
      </c>
      <c r="X32" s="29">
        <f t="shared" si="6"/>
        <v>0.08</v>
      </c>
      <c r="Y32" s="29">
        <f t="shared" si="7"/>
        <v>0</v>
      </c>
      <c r="Z32" s="432">
        <f t="shared" si="8"/>
        <v>0</v>
      </c>
      <c r="AA32" s="29">
        <f t="shared" si="9"/>
        <v>0</v>
      </c>
      <c r="AB32" s="346">
        <f t="shared" si="10"/>
        <v>0</v>
      </c>
      <c r="AC32" s="111">
        <f t="shared" si="13"/>
        <v>50</v>
      </c>
      <c r="AD32" s="109">
        <f t="shared" si="11"/>
        <v>0.8824505822804013</v>
      </c>
      <c r="AE32" s="195"/>
      <c r="AF32" s="195"/>
      <c r="AG32" s="195"/>
      <c r="AH32" s="195"/>
    </row>
    <row r="33" spans="1:34" ht="18" thickBot="1" x14ac:dyDescent="0.4">
      <c r="A33" s="776" t="s">
        <v>152</v>
      </c>
      <c r="B33" s="635">
        <f t="shared" si="12"/>
        <v>49</v>
      </c>
      <c r="C33" s="632">
        <f t="shared" si="0"/>
        <v>0.91374874619214053</v>
      </c>
      <c r="D33" s="959"/>
      <c r="E33" s="1267"/>
      <c r="F33" s="556" t="s">
        <v>317</v>
      </c>
      <c r="G33" s="550"/>
      <c r="H33" s="1257">
        <f>Commercial!C32</f>
        <v>1.2252211195711986</v>
      </c>
      <c r="I33" s="1259">
        <f>Recreational!C32</f>
        <v>3.7383590120243206</v>
      </c>
      <c r="J33" s="1259">
        <f>Tribal!C32</f>
        <v>0</v>
      </c>
      <c r="K33" s="922"/>
      <c r="L33" s="29"/>
      <c r="M33" s="1259">
        <f>'Stock Status'!C33</f>
        <v>4</v>
      </c>
      <c r="N33" s="29"/>
      <c r="O33" s="29"/>
      <c r="P33" s="29"/>
      <c r="Q33" s="833"/>
      <c r="R33" s="163"/>
      <c r="S33" s="29">
        <f t="shared" si="1"/>
        <v>0.2572964351099517</v>
      </c>
      <c r="T33" s="29">
        <f t="shared" si="2"/>
        <v>0.33645231108218887</v>
      </c>
      <c r="U33" s="29">
        <f t="shared" si="3"/>
        <v>0</v>
      </c>
      <c r="V33" s="29">
        <f t="shared" si="4"/>
        <v>0</v>
      </c>
      <c r="W33" s="29">
        <f t="shared" si="5"/>
        <v>0</v>
      </c>
      <c r="X33" s="29">
        <f t="shared" si="6"/>
        <v>0.32</v>
      </c>
      <c r="Y33" s="29">
        <f t="shared" si="7"/>
        <v>0</v>
      </c>
      <c r="Z33" s="432">
        <f t="shared" si="8"/>
        <v>0</v>
      </c>
      <c r="AA33" s="29">
        <f t="shared" si="9"/>
        <v>0</v>
      </c>
      <c r="AB33" s="346">
        <f t="shared" si="10"/>
        <v>0</v>
      </c>
      <c r="AC33" s="111">
        <f t="shared" si="13"/>
        <v>49</v>
      </c>
      <c r="AD33" s="109">
        <f t="shared" si="11"/>
        <v>0.91374874619214053</v>
      </c>
      <c r="AE33" s="195"/>
      <c r="AF33" s="195"/>
      <c r="AG33" s="195"/>
      <c r="AH33" s="195"/>
    </row>
    <row r="34" spans="1:34" ht="18" thickBot="1" x14ac:dyDescent="0.4">
      <c r="A34" s="776" t="s">
        <v>356</v>
      </c>
      <c r="B34" s="635">
        <f t="shared" si="12"/>
        <v>28</v>
      </c>
      <c r="C34" s="632">
        <f t="shared" si="0"/>
        <v>1.3192783717096486</v>
      </c>
      <c r="D34" s="959" t="s">
        <v>415</v>
      </c>
      <c r="E34" s="544">
        <v>2015</v>
      </c>
      <c r="F34" s="555" t="s">
        <v>305</v>
      </c>
      <c r="G34" s="550"/>
      <c r="H34" s="1257">
        <f>Commercial!C33</f>
        <v>4.1465464252566093</v>
      </c>
      <c r="I34" s="1259">
        <f>Recreational!C33</f>
        <v>4.09448469339734</v>
      </c>
      <c r="J34" s="1259">
        <f>Tribal!C33</f>
        <v>0</v>
      </c>
      <c r="K34" s="29"/>
      <c r="L34" s="29"/>
      <c r="M34" s="1259">
        <f>'Stock Status'!C34</f>
        <v>1</v>
      </c>
      <c r="N34" s="29"/>
      <c r="O34" s="29"/>
      <c r="P34" s="922"/>
      <c r="Q34" s="832"/>
      <c r="R34" s="163"/>
      <c r="S34" s="29">
        <f t="shared" si="1"/>
        <v>0.87077474930388787</v>
      </c>
      <c r="T34" s="29">
        <f t="shared" si="2"/>
        <v>0.36850362240576057</v>
      </c>
      <c r="U34" s="29">
        <f t="shared" si="3"/>
        <v>0</v>
      </c>
      <c r="V34" s="29">
        <f t="shared" si="4"/>
        <v>0</v>
      </c>
      <c r="W34" s="29">
        <f t="shared" si="5"/>
        <v>0</v>
      </c>
      <c r="X34" s="29">
        <f t="shared" si="6"/>
        <v>0.08</v>
      </c>
      <c r="Y34" s="29">
        <f t="shared" si="7"/>
        <v>0</v>
      </c>
      <c r="Z34" s="432">
        <f t="shared" si="8"/>
        <v>0</v>
      </c>
      <c r="AA34" s="29">
        <f t="shared" si="9"/>
        <v>0</v>
      </c>
      <c r="AB34" s="346">
        <f t="shared" si="10"/>
        <v>0</v>
      </c>
      <c r="AC34" s="111">
        <f t="shared" si="13"/>
        <v>28</v>
      </c>
      <c r="AD34" s="109">
        <f t="shared" si="11"/>
        <v>1.3192783717096486</v>
      </c>
      <c r="AE34" s="195"/>
      <c r="AF34" s="195"/>
      <c r="AG34" s="195"/>
      <c r="AH34" s="195"/>
    </row>
    <row r="35" spans="1:34" ht="18" thickBot="1" x14ac:dyDescent="0.4">
      <c r="A35" s="776" t="s">
        <v>337</v>
      </c>
      <c r="B35" s="635">
        <f t="shared" si="12"/>
        <v>41</v>
      </c>
      <c r="C35" s="632">
        <f t="shared" si="0"/>
        <v>1.1186245150341318</v>
      </c>
      <c r="D35" s="959"/>
      <c r="E35" s="544">
        <v>2010</v>
      </c>
      <c r="F35" s="556" t="s">
        <v>317</v>
      </c>
      <c r="G35" s="550"/>
      <c r="H35" s="1257">
        <f>Commercial!C34</f>
        <v>2.4864349743936369</v>
      </c>
      <c r="I35" s="1259">
        <f>Recreational!C34</f>
        <v>3.9608130045718664</v>
      </c>
      <c r="J35" s="1259">
        <f>Tribal!C34</f>
        <v>0</v>
      </c>
      <c r="K35" s="29"/>
      <c r="L35" s="29"/>
      <c r="M35" s="1259">
        <f>'Stock Status'!C35</f>
        <v>3</v>
      </c>
      <c r="N35" s="29"/>
      <c r="O35" s="29"/>
      <c r="P35" s="29"/>
      <c r="Q35" s="833"/>
      <c r="R35" s="163"/>
      <c r="S35" s="29">
        <f t="shared" si="1"/>
        <v>0.52215134462266377</v>
      </c>
      <c r="T35" s="29">
        <f t="shared" si="2"/>
        <v>0.35647317041146798</v>
      </c>
      <c r="U35" s="29">
        <f t="shared" si="3"/>
        <v>0</v>
      </c>
      <c r="V35" s="29">
        <f t="shared" si="4"/>
        <v>0</v>
      </c>
      <c r="W35" s="29">
        <f t="shared" si="5"/>
        <v>0</v>
      </c>
      <c r="X35" s="29">
        <f t="shared" si="6"/>
        <v>0.24</v>
      </c>
      <c r="Y35" s="29">
        <f t="shared" si="7"/>
        <v>0</v>
      </c>
      <c r="Z35" s="432">
        <f t="shared" si="8"/>
        <v>0</v>
      </c>
      <c r="AA35" s="29">
        <f t="shared" si="9"/>
        <v>0</v>
      </c>
      <c r="AB35" s="346">
        <f t="shared" si="10"/>
        <v>0</v>
      </c>
      <c r="AC35" s="111">
        <f t="shared" si="13"/>
        <v>41</v>
      </c>
      <c r="AD35" s="109">
        <f t="shared" si="11"/>
        <v>1.1186245150341318</v>
      </c>
      <c r="AE35" s="195"/>
      <c r="AF35" s="195"/>
      <c r="AG35" s="195"/>
      <c r="AH35" s="195"/>
    </row>
    <row r="36" spans="1:34" ht="18" thickBot="1" x14ac:dyDescent="0.4">
      <c r="A36" s="777" t="s">
        <v>128</v>
      </c>
      <c r="B36" s="635">
        <f t="shared" si="12"/>
        <v>2</v>
      </c>
      <c r="C36" s="632">
        <f t="shared" si="0"/>
        <v>2.6741248504734205</v>
      </c>
      <c r="D36" s="959"/>
      <c r="E36" s="544">
        <v>2021</v>
      </c>
      <c r="F36" s="555" t="s">
        <v>305</v>
      </c>
      <c r="G36" s="550"/>
      <c r="H36" s="1257">
        <f>Commercial!C35</f>
        <v>6.4486785436726324</v>
      </c>
      <c r="I36" s="1259">
        <f>Recreational!C35</f>
        <v>10</v>
      </c>
      <c r="J36" s="1259">
        <f>Tribal!C35</f>
        <v>3.5980471260433577</v>
      </c>
      <c r="K36" s="922"/>
      <c r="L36" s="29"/>
      <c r="M36" s="1259">
        <f>'Stock Status'!C36</f>
        <v>3</v>
      </c>
      <c r="N36" s="29"/>
      <c r="O36" s="29"/>
      <c r="P36" s="29"/>
      <c r="Q36" s="832"/>
      <c r="R36" s="163"/>
      <c r="S36" s="29">
        <f t="shared" si="1"/>
        <v>1.3542224941712528</v>
      </c>
      <c r="T36" s="29">
        <f t="shared" si="2"/>
        <v>0.89999999999999991</v>
      </c>
      <c r="U36" s="29">
        <f t="shared" si="3"/>
        <v>0.17990235630216789</v>
      </c>
      <c r="V36" s="29">
        <f t="shared" si="4"/>
        <v>0</v>
      </c>
      <c r="W36" s="29">
        <f t="shared" si="5"/>
        <v>0</v>
      </c>
      <c r="X36" s="29">
        <f t="shared" si="6"/>
        <v>0.24</v>
      </c>
      <c r="Y36" s="29">
        <f t="shared" si="7"/>
        <v>0</v>
      </c>
      <c r="Z36" s="432">
        <f t="shared" si="8"/>
        <v>0</v>
      </c>
      <c r="AA36" s="29">
        <f t="shared" si="9"/>
        <v>0</v>
      </c>
      <c r="AB36" s="346">
        <f t="shared" si="10"/>
        <v>0</v>
      </c>
      <c r="AC36" s="111">
        <f t="shared" si="13"/>
        <v>2</v>
      </c>
      <c r="AD36" s="109">
        <f t="shared" si="11"/>
        <v>2.6741248504734205</v>
      </c>
      <c r="AE36" s="195"/>
      <c r="AF36" s="195"/>
      <c r="AG36" s="195"/>
      <c r="AH36" s="195"/>
    </row>
    <row r="37" spans="1:34" ht="18" thickBot="1" x14ac:dyDescent="0.4">
      <c r="A37" s="778" t="s">
        <v>141</v>
      </c>
      <c r="B37" s="635">
        <f t="shared" si="12"/>
        <v>18</v>
      </c>
      <c r="C37" s="632">
        <f t="shared" si="0"/>
        <v>1.564283875433105</v>
      </c>
      <c r="D37" s="959"/>
      <c r="E37" s="544">
        <v>2019</v>
      </c>
      <c r="F37" s="555" t="s">
        <v>305</v>
      </c>
      <c r="G37" s="550"/>
      <c r="H37" s="1257">
        <f>Commercial!C36</f>
        <v>5.0385552059698941</v>
      </c>
      <c r="I37" s="1259">
        <f>Recreational!C36</f>
        <v>1.6086065735683588</v>
      </c>
      <c r="J37" s="1259">
        <f>Tribal!C36</f>
        <v>2.4282538111655025</v>
      </c>
      <c r="K37" s="29"/>
      <c r="L37" s="29"/>
      <c r="M37" s="1259">
        <f>'Stock Status'!C37</f>
        <v>3</v>
      </c>
      <c r="N37" s="29"/>
      <c r="O37" s="29"/>
      <c r="P37" s="922"/>
      <c r="Q37" s="832"/>
      <c r="R37" s="163"/>
      <c r="S37" s="29">
        <f t="shared" si="1"/>
        <v>1.0580965932536777</v>
      </c>
      <c r="T37" s="29">
        <f t="shared" si="2"/>
        <v>0.14477459162115228</v>
      </c>
      <c r="U37" s="29">
        <f t="shared" si="3"/>
        <v>0.12141269055827514</v>
      </c>
      <c r="V37" s="29">
        <f t="shared" si="4"/>
        <v>0</v>
      </c>
      <c r="W37" s="29">
        <f t="shared" si="5"/>
        <v>0</v>
      </c>
      <c r="X37" s="29">
        <f t="shared" si="6"/>
        <v>0.24</v>
      </c>
      <c r="Y37" s="29">
        <f t="shared" si="7"/>
        <v>0</v>
      </c>
      <c r="Z37" s="432">
        <f t="shared" si="8"/>
        <v>0</v>
      </c>
      <c r="AA37" s="29">
        <f t="shared" si="9"/>
        <v>0</v>
      </c>
      <c r="AB37" s="346">
        <f t="shared" si="10"/>
        <v>0</v>
      </c>
      <c r="AC37" s="111">
        <f t="shared" si="13"/>
        <v>18</v>
      </c>
      <c r="AD37" s="109">
        <f t="shared" si="11"/>
        <v>1.564283875433105</v>
      </c>
      <c r="AE37" s="195"/>
      <c r="AF37" s="195"/>
      <c r="AG37" s="195"/>
      <c r="AH37" s="195"/>
    </row>
    <row r="38" spans="1:34" ht="18" thickBot="1" x14ac:dyDescent="0.4">
      <c r="A38" s="777" t="s">
        <v>125</v>
      </c>
      <c r="B38" s="635">
        <f t="shared" si="12"/>
        <v>26</v>
      </c>
      <c r="C38" s="632">
        <f t="shared" si="0"/>
        <v>1.3326836684880297</v>
      </c>
      <c r="D38" s="959"/>
      <c r="E38" s="544">
        <v>2013</v>
      </c>
      <c r="F38" s="555" t="s">
        <v>305</v>
      </c>
      <c r="G38" s="550"/>
      <c r="H38" s="1257">
        <f>Commercial!C37</f>
        <v>5.1898813583921326</v>
      </c>
      <c r="I38" s="1259">
        <f>Recreational!C37</f>
        <v>0</v>
      </c>
      <c r="J38" s="1259">
        <f>Tribal!C37</f>
        <v>1.6561716645136388</v>
      </c>
      <c r="K38" s="29"/>
      <c r="L38" s="29"/>
      <c r="M38" s="1259">
        <f>'Stock Status'!C38</f>
        <v>2</v>
      </c>
      <c r="N38" s="29"/>
      <c r="O38" s="29"/>
      <c r="P38" s="29"/>
      <c r="Q38" s="832"/>
      <c r="R38" s="163"/>
      <c r="S38" s="29">
        <f t="shared" si="1"/>
        <v>1.0898750852623478</v>
      </c>
      <c r="T38" s="29">
        <f t="shared" si="2"/>
        <v>0</v>
      </c>
      <c r="U38" s="29">
        <f t="shared" si="3"/>
        <v>8.280858322568195E-2</v>
      </c>
      <c r="V38" s="29">
        <f t="shared" si="4"/>
        <v>0</v>
      </c>
      <c r="W38" s="29">
        <f t="shared" si="5"/>
        <v>0</v>
      </c>
      <c r="X38" s="29">
        <f t="shared" si="6"/>
        <v>0.16</v>
      </c>
      <c r="Y38" s="29">
        <f t="shared" si="7"/>
        <v>0</v>
      </c>
      <c r="Z38" s="432">
        <f t="shared" si="8"/>
        <v>0</v>
      </c>
      <c r="AA38" s="29">
        <f t="shared" si="9"/>
        <v>0</v>
      </c>
      <c r="AB38" s="346">
        <f t="shared" si="10"/>
        <v>0</v>
      </c>
      <c r="AC38" s="111">
        <f t="shared" si="13"/>
        <v>26</v>
      </c>
      <c r="AD38" s="109">
        <f t="shared" si="11"/>
        <v>1.3326836684880297</v>
      </c>
      <c r="AE38" s="195"/>
      <c r="AF38" s="195"/>
      <c r="AG38" s="195"/>
      <c r="AH38" s="195"/>
    </row>
    <row r="39" spans="1:34" ht="18" thickBot="1" x14ac:dyDescent="0.4">
      <c r="A39" s="776" t="s">
        <v>153</v>
      </c>
      <c r="B39" s="635">
        <f t="shared" si="12"/>
        <v>27</v>
      </c>
      <c r="C39" s="632">
        <f t="shared" si="0"/>
        <v>1.3285576943621131</v>
      </c>
      <c r="D39" s="959"/>
      <c r="E39" s="1267"/>
      <c r="F39" s="556" t="s">
        <v>317</v>
      </c>
      <c r="G39" s="550"/>
      <c r="H39" s="1257">
        <f>Commercial!C38</f>
        <v>2.4501467036081692</v>
      </c>
      <c r="I39" s="1259">
        <f>Recreational!C38</f>
        <v>5.489187628937751</v>
      </c>
      <c r="J39" s="1259">
        <f>Tribal!C38</f>
        <v>0</v>
      </c>
      <c r="K39" s="922"/>
      <c r="L39" s="29"/>
      <c r="M39" s="1259">
        <f>'Stock Status'!C39</f>
        <v>4</v>
      </c>
      <c r="N39" s="29"/>
      <c r="O39" s="29"/>
      <c r="P39" s="29"/>
      <c r="Q39" s="833"/>
      <c r="R39" s="163"/>
      <c r="S39" s="29">
        <f t="shared" si="1"/>
        <v>0.51453080775771554</v>
      </c>
      <c r="T39" s="29">
        <f t="shared" si="2"/>
        <v>0.49402688660439759</v>
      </c>
      <c r="U39" s="29">
        <f t="shared" si="3"/>
        <v>0</v>
      </c>
      <c r="V39" s="29">
        <f t="shared" si="4"/>
        <v>0</v>
      </c>
      <c r="W39" s="29">
        <f t="shared" si="5"/>
        <v>0</v>
      </c>
      <c r="X39" s="29">
        <f t="shared" si="6"/>
        <v>0.32</v>
      </c>
      <c r="Y39" s="29">
        <f t="shared" si="7"/>
        <v>0</v>
      </c>
      <c r="Z39" s="432">
        <f t="shared" si="8"/>
        <v>0</v>
      </c>
      <c r="AA39" s="29">
        <f t="shared" si="9"/>
        <v>0</v>
      </c>
      <c r="AB39" s="346">
        <f t="shared" si="10"/>
        <v>0</v>
      </c>
      <c r="AC39" s="111">
        <f t="shared" si="13"/>
        <v>27</v>
      </c>
      <c r="AD39" s="109">
        <f t="shared" si="11"/>
        <v>1.3285576943621131</v>
      </c>
      <c r="AE39" s="195"/>
      <c r="AF39" s="195"/>
      <c r="AG39" s="195"/>
      <c r="AH39" s="195"/>
    </row>
    <row r="40" spans="1:34" ht="18" thickBot="1" x14ac:dyDescent="0.4">
      <c r="A40" s="777" t="s">
        <v>133</v>
      </c>
      <c r="B40" s="635">
        <f t="shared" si="12"/>
        <v>22</v>
      </c>
      <c r="C40" s="632">
        <f t="shared" ref="C40:C64" si="14">SUM(S40:AB40)</f>
        <v>1.4496901201684802</v>
      </c>
      <c r="D40" s="959"/>
      <c r="E40" s="544"/>
      <c r="F40" s="556"/>
      <c r="G40" s="550"/>
      <c r="H40" s="1257">
        <f>Commercial!C39</f>
        <v>3.8980282155473431</v>
      </c>
      <c r="I40" s="1259">
        <f>Recreational!C39</f>
        <v>2.1475626147451341</v>
      </c>
      <c r="J40" s="1259">
        <f>Tribal!C39</f>
        <v>3.9564711915295248</v>
      </c>
      <c r="K40" s="29"/>
      <c r="L40" s="29"/>
      <c r="M40" s="1259">
        <f>'Stock Status'!C40</f>
        <v>3</v>
      </c>
      <c r="N40" s="29"/>
      <c r="O40" s="29"/>
      <c r="P40" s="29"/>
      <c r="Q40" s="833"/>
      <c r="R40" s="163"/>
      <c r="S40" s="29">
        <f t="shared" ref="S40:S64" si="15">H40*H$7</f>
        <v>0.818585925264942</v>
      </c>
      <c r="T40" s="29">
        <f t="shared" ref="T40:T64" si="16">I40*I$7</f>
        <v>0.19328063532706205</v>
      </c>
      <c r="U40" s="29">
        <f t="shared" ref="U40:U64" si="17">J40*J$7</f>
        <v>0.19782355957647624</v>
      </c>
      <c r="V40" s="29">
        <f t="shared" ref="V40:V64" si="18">K40*K$7</f>
        <v>0</v>
      </c>
      <c r="W40" s="29">
        <f t="shared" ref="W40:W64" si="19">L40*L$7</f>
        <v>0</v>
      </c>
      <c r="X40" s="29">
        <f t="shared" ref="X40:X64" si="20">M40*M$7</f>
        <v>0.24</v>
      </c>
      <c r="Y40" s="29">
        <f t="shared" ref="Y40:Y64" si="21">N40*N$7</f>
        <v>0</v>
      </c>
      <c r="Z40" s="432">
        <f t="shared" ref="Z40:Z64" si="22">O40*O$7</f>
        <v>0</v>
      </c>
      <c r="AA40" s="29">
        <f t="shared" ref="AA40:AA64" si="23">P40*P$7</f>
        <v>0</v>
      </c>
      <c r="AB40" s="346">
        <f t="shared" ref="AB40:AB64" si="24">Q40*Q$7</f>
        <v>0</v>
      </c>
      <c r="AC40" s="111">
        <f t="shared" si="13"/>
        <v>22</v>
      </c>
      <c r="AD40" s="109">
        <f t="shared" ref="AD40:AD64" si="25">SUM(S40:AB40)</f>
        <v>1.4496901201684802</v>
      </c>
      <c r="AE40" s="195"/>
      <c r="AF40" s="195"/>
      <c r="AG40" s="195"/>
      <c r="AH40" s="195"/>
    </row>
    <row r="41" spans="1:34" ht="18" thickBot="1" x14ac:dyDescent="0.4">
      <c r="A41" s="777" t="s">
        <v>357</v>
      </c>
      <c r="B41" s="635">
        <f t="shared" ref="B41:B64" si="26">RANK(C41,C$9:C$64)</f>
        <v>42</v>
      </c>
      <c r="C41" s="632">
        <f t="shared" si="14"/>
        <v>1.1034466147408859</v>
      </c>
      <c r="D41" s="959"/>
      <c r="E41" s="544">
        <v>2017</v>
      </c>
      <c r="F41" s="555" t="s">
        <v>305</v>
      </c>
      <c r="G41" s="550"/>
      <c r="H41" s="1257">
        <f>Commercial!C40</f>
        <v>4.1179185618759622</v>
      </c>
      <c r="I41" s="1259">
        <f>Recreational!C40</f>
        <v>0</v>
      </c>
      <c r="J41" s="1259">
        <f>Tribal!C40</f>
        <v>1.5736743349386775</v>
      </c>
      <c r="K41" s="29"/>
      <c r="L41" s="29"/>
      <c r="M41" s="1259">
        <f>'Stock Status'!C41</f>
        <v>2</v>
      </c>
      <c r="N41" s="29"/>
      <c r="O41" s="29"/>
      <c r="P41" s="922"/>
      <c r="Q41" s="832"/>
      <c r="R41" s="163"/>
      <c r="S41" s="29">
        <f t="shared" si="15"/>
        <v>0.86476289799395201</v>
      </c>
      <c r="T41" s="29">
        <f t="shared" si="16"/>
        <v>0</v>
      </c>
      <c r="U41" s="29">
        <f t="shared" si="17"/>
        <v>7.8683716746933877E-2</v>
      </c>
      <c r="V41" s="29">
        <f t="shared" si="18"/>
        <v>0</v>
      </c>
      <c r="W41" s="29">
        <f t="shared" si="19"/>
        <v>0</v>
      </c>
      <c r="X41" s="29">
        <f t="shared" si="20"/>
        <v>0.16</v>
      </c>
      <c r="Y41" s="29">
        <f t="shared" si="21"/>
        <v>0</v>
      </c>
      <c r="Z41" s="432">
        <f t="shared" si="22"/>
        <v>0</v>
      </c>
      <c r="AA41" s="29">
        <f t="shared" si="23"/>
        <v>0</v>
      </c>
      <c r="AB41" s="346">
        <f t="shared" si="24"/>
        <v>0</v>
      </c>
      <c r="AC41" s="111">
        <f t="shared" ref="AC41:AC64" si="27">RANK(AD41,AD$9:AD$64)</f>
        <v>42</v>
      </c>
      <c r="AD41" s="109">
        <f t="shared" si="25"/>
        <v>1.1034466147408859</v>
      </c>
      <c r="AE41" s="195"/>
      <c r="AF41" s="195"/>
      <c r="AG41" s="195"/>
      <c r="AH41" s="195"/>
    </row>
    <row r="42" spans="1:34" ht="18" thickBot="1" x14ac:dyDescent="0.4">
      <c r="A42" s="776" t="s">
        <v>154</v>
      </c>
      <c r="B42" s="635">
        <f t="shared" si="26"/>
        <v>21</v>
      </c>
      <c r="C42" s="632">
        <f t="shared" si="14"/>
        <v>1.4831301167956144</v>
      </c>
      <c r="D42" s="959"/>
      <c r="E42" s="1267"/>
      <c r="F42" s="556" t="s">
        <v>317</v>
      </c>
      <c r="G42" s="550"/>
      <c r="H42" s="1257">
        <f>Commercial!C41</f>
        <v>3.9192649962602299</v>
      </c>
      <c r="I42" s="1259">
        <f>Recreational!C41</f>
        <v>4.6676051953440671</v>
      </c>
      <c r="J42" s="1259">
        <f>Tribal!C41</f>
        <v>0</v>
      </c>
      <c r="K42" s="29"/>
      <c r="L42" s="29"/>
      <c r="M42" s="1259">
        <f>'Stock Status'!C42</f>
        <v>3</v>
      </c>
      <c r="N42" s="29"/>
      <c r="O42" s="29"/>
      <c r="P42" s="922"/>
      <c r="Q42" s="833"/>
      <c r="R42" s="163"/>
      <c r="S42" s="29">
        <f t="shared" si="15"/>
        <v>0.82304564921464829</v>
      </c>
      <c r="T42" s="29">
        <f t="shared" si="16"/>
        <v>0.42008446758096601</v>
      </c>
      <c r="U42" s="29">
        <f t="shared" si="17"/>
        <v>0</v>
      </c>
      <c r="V42" s="29">
        <f t="shared" si="18"/>
        <v>0</v>
      </c>
      <c r="W42" s="29">
        <f t="shared" si="19"/>
        <v>0</v>
      </c>
      <c r="X42" s="29">
        <f t="shared" si="20"/>
        <v>0.24</v>
      </c>
      <c r="Y42" s="29">
        <f t="shared" si="21"/>
        <v>0</v>
      </c>
      <c r="Z42" s="432">
        <f t="shared" si="22"/>
        <v>0</v>
      </c>
      <c r="AA42" s="29">
        <f t="shared" si="23"/>
        <v>0</v>
      </c>
      <c r="AB42" s="346">
        <f t="shared" si="24"/>
        <v>0</v>
      </c>
      <c r="AC42" s="111">
        <f t="shared" si="27"/>
        <v>21</v>
      </c>
      <c r="AD42" s="109">
        <f t="shared" si="25"/>
        <v>1.4831301167956144</v>
      </c>
      <c r="AE42" s="195"/>
      <c r="AF42" s="195"/>
      <c r="AG42" s="195"/>
      <c r="AH42" s="195"/>
    </row>
    <row r="43" spans="1:34" ht="18" thickBot="1" x14ac:dyDescent="0.4">
      <c r="A43" s="776" t="s">
        <v>341</v>
      </c>
      <c r="B43" s="635">
        <f t="shared" si="26"/>
        <v>29</v>
      </c>
      <c r="C43" s="632">
        <f t="shared" si="14"/>
        <v>1.3137844739982243</v>
      </c>
      <c r="D43" s="959"/>
      <c r="E43" s="544">
        <v>2021</v>
      </c>
      <c r="F43" s="555" t="s">
        <v>305</v>
      </c>
      <c r="G43" s="550"/>
      <c r="H43" s="1257">
        <f>Commercial!C42</f>
        <v>2.6963152743062522</v>
      </c>
      <c r="I43" s="1259">
        <f>Recreational!C42</f>
        <v>2.7461000527396506</v>
      </c>
      <c r="J43" s="1259">
        <f>Tribal!C42</f>
        <v>2.008185232946853</v>
      </c>
      <c r="K43" s="29"/>
      <c r="L43" s="29"/>
      <c r="M43" s="1259">
        <f>'Stock Status'!C43</f>
        <v>5</v>
      </c>
      <c r="N43" s="29"/>
      <c r="O43" s="29"/>
      <c r="P43" s="29"/>
      <c r="Q43" s="832"/>
      <c r="R43" s="163"/>
      <c r="S43" s="29">
        <f t="shared" si="15"/>
        <v>0.56622620760431297</v>
      </c>
      <c r="T43" s="29">
        <f t="shared" si="16"/>
        <v>0.24714900474656853</v>
      </c>
      <c r="U43" s="29">
        <f t="shared" si="17"/>
        <v>0.10040926164734265</v>
      </c>
      <c r="V43" s="29">
        <f t="shared" si="18"/>
        <v>0</v>
      </c>
      <c r="W43" s="29">
        <f t="shared" si="19"/>
        <v>0</v>
      </c>
      <c r="X43" s="29">
        <f t="shared" si="20"/>
        <v>0.4</v>
      </c>
      <c r="Y43" s="29">
        <f t="shared" si="21"/>
        <v>0</v>
      </c>
      <c r="Z43" s="432">
        <f t="shared" si="22"/>
        <v>0</v>
      </c>
      <c r="AA43" s="29">
        <f t="shared" si="23"/>
        <v>0</v>
      </c>
      <c r="AB43" s="346">
        <f t="shared" si="24"/>
        <v>0</v>
      </c>
      <c r="AC43" s="111">
        <f t="shared" si="27"/>
        <v>29</v>
      </c>
      <c r="AD43" s="109">
        <f t="shared" si="25"/>
        <v>1.3137844739982243</v>
      </c>
      <c r="AE43" s="195"/>
      <c r="AF43" s="195"/>
      <c r="AG43" s="195"/>
      <c r="AH43" s="195"/>
    </row>
    <row r="44" spans="1:34" ht="18" thickBot="1" x14ac:dyDescent="0.4">
      <c r="A44" s="777" t="s">
        <v>7</v>
      </c>
      <c r="B44" s="635">
        <f t="shared" si="26"/>
        <v>4</v>
      </c>
      <c r="C44" s="632">
        <f t="shared" si="14"/>
        <v>2.4076438147440609</v>
      </c>
      <c r="D44" s="959" t="s">
        <v>415</v>
      </c>
      <c r="E44" s="544">
        <v>2019</v>
      </c>
      <c r="F44" s="557" t="s">
        <v>306</v>
      </c>
      <c r="G44" s="550"/>
      <c r="H44" s="1257">
        <f>Commercial!C43</f>
        <v>7.9799126043586641</v>
      </c>
      <c r="I44" s="1259">
        <f>Recreational!C43</f>
        <v>3.4393268323190775</v>
      </c>
      <c r="J44" s="1259">
        <f>Tribal!C43</f>
        <v>5.246455058400489</v>
      </c>
      <c r="K44" s="29"/>
      <c r="L44" s="29"/>
      <c r="M44" s="1259">
        <f>'Stock Status'!C44</f>
        <v>2</v>
      </c>
      <c r="N44" s="29"/>
      <c r="O44" s="29"/>
      <c r="P44" s="29"/>
      <c r="Q44" s="832"/>
      <c r="R44" s="163"/>
      <c r="S44" s="29">
        <f t="shared" si="15"/>
        <v>1.6757816469153195</v>
      </c>
      <c r="T44" s="29">
        <f t="shared" si="16"/>
        <v>0.30953941490871695</v>
      </c>
      <c r="U44" s="29">
        <f t="shared" si="17"/>
        <v>0.26232275292002444</v>
      </c>
      <c r="V44" s="29">
        <f t="shared" si="18"/>
        <v>0</v>
      </c>
      <c r="W44" s="29">
        <f t="shared" si="19"/>
        <v>0</v>
      </c>
      <c r="X44" s="29">
        <f t="shared" si="20"/>
        <v>0.16</v>
      </c>
      <c r="Y44" s="29">
        <f t="shared" si="21"/>
        <v>0</v>
      </c>
      <c r="Z44" s="432">
        <f t="shared" si="22"/>
        <v>0</v>
      </c>
      <c r="AA44" s="29">
        <f t="shared" si="23"/>
        <v>0</v>
      </c>
      <c r="AB44" s="346">
        <f t="shared" si="24"/>
        <v>0</v>
      </c>
      <c r="AC44" s="111">
        <f t="shared" si="27"/>
        <v>4</v>
      </c>
      <c r="AD44" s="109">
        <f t="shared" si="25"/>
        <v>2.4076438147440609</v>
      </c>
      <c r="AE44" s="195"/>
      <c r="AF44" s="195"/>
      <c r="AG44" s="195"/>
      <c r="AH44" s="195"/>
    </row>
    <row r="45" spans="1:34" ht="18" thickBot="1" x14ac:dyDescent="0.4">
      <c r="A45" s="776" t="s">
        <v>155</v>
      </c>
      <c r="B45" s="635">
        <f t="shared" si="26"/>
        <v>17</v>
      </c>
      <c r="C45" s="632">
        <f t="shared" si="14"/>
        <v>1.6865202701510524</v>
      </c>
      <c r="D45" s="959"/>
      <c r="E45" s="544">
        <v>2021</v>
      </c>
      <c r="F45" s="558" t="s">
        <v>316</v>
      </c>
      <c r="G45" s="550"/>
      <c r="H45" s="1257">
        <f>Commercial!C44</f>
        <v>3.2932416817661561</v>
      </c>
      <c r="I45" s="1259">
        <f>Recreational!C44</f>
        <v>4.3662328149163532</v>
      </c>
      <c r="J45" s="1259">
        <f>Tribal!C44</f>
        <v>0.83957127275375643</v>
      </c>
      <c r="K45" s="29"/>
      <c r="L45" s="29"/>
      <c r="M45" s="1259">
        <f>'Stock Status'!C45</f>
        <v>7</v>
      </c>
      <c r="N45" s="29"/>
      <c r="O45" s="29"/>
      <c r="P45" s="29"/>
      <c r="Q45" s="833"/>
      <c r="R45" s="163"/>
      <c r="S45" s="29">
        <f t="shared" si="15"/>
        <v>0.69158075317089274</v>
      </c>
      <c r="T45" s="29">
        <f t="shared" si="16"/>
        <v>0.39296095334247177</v>
      </c>
      <c r="U45" s="29">
        <f t="shared" si="17"/>
        <v>4.1978563637687823E-2</v>
      </c>
      <c r="V45" s="29">
        <f t="shared" si="18"/>
        <v>0</v>
      </c>
      <c r="W45" s="29">
        <f t="shared" si="19"/>
        <v>0</v>
      </c>
      <c r="X45" s="29">
        <f t="shared" si="20"/>
        <v>0.56000000000000005</v>
      </c>
      <c r="Y45" s="29">
        <f t="shared" si="21"/>
        <v>0</v>
      </c>
      <c r="Z45" s="432">
        <f t="shared" si="22"/>
        <v>0</v>
      </c>
      <c r="AA45" s="29">
        <f t="shared" si="23"/>
        <v>0</v>
      </c>
      <c r="AB45" s="346">
        <f t="shared" si="24"/>
        <v>0</v>
      </c>
      <c r="AC45" s="111">
        <f t="shared" si="27"/>
        <v>17</v>
      </c>
      <c r="AD45" s="109">
        <f t="shared" si="25"/>
        <v>1.6865202701510524</v>
      </c>
      <c r="AE45" s="195"/>
      <c r="AF45" s="195"/>
      <c r="AG45" s="195"/>
      <c r="AH45" s="195"/>
    </row>
    <row r="46" spans="1:34" ht="18" thickBot="1" x14ac:dyDescent="0.4">
      <c r="A46" s="776" t="s">
        <v>156</v>
      </c>
      <c r="B46" s="635">
        <f t="shared" si="26"/>
        <v>37</v>
      </c>
      <c r="C46" s="632">
        <f t="shared" si="14"/>
        <v>1.1501807680369114</v>
      </c>
      <c r="D46" s="959"/>
      <c r="E46" s="1267"/>
      <c r="F46" s="556" t="s">
        <v>317</v>
      </c>
      <c r="G46" s="550"/>
      <c r="H46" s="1257">
        <f>Commercial!C45</f>
        <v>3.314870537172574</v>
      </c>
      <c r="I46" s="1259">
        <f>Recreational!C45</f>
        <v>0</v>
      </c>
      <c r="J46" s="1259">
        <f>Tribal!C45</f>
        <v>2.6811591046134167</v>
      </c>
      <c r="K46" s="29"/>
      <c r="L46" s="29"/>
      <c r="M46" s="1259">
        <f>'Stock Status'!C46</f>
        <v>4</v>
      </c>
      <c r="N46" s="29"/>
      <c r="O46" s="29"/>
      <c r="P46" s="29"/>
      <c r="Q46" s="833"/>
      <c r="R46" s="163"/>
      <c r="S46" s="29">
        <f t="shared" si="15"/>
        <v>0.69612281280624055</v>
      </c>
      <c r="T46" s="29">
        <f t="shared" si="16"/>
        <v>0</v>
      </c>
      <c r="U46" s="29">
        <f t="shared" si="17"/>
        <v>0.13405795523067085</v>
      </c>
      <c r="V46" s="29">
        <f t="shared" si="18"/>
        <v>0</v>
      </c>
      <c r="W46" s="29">
        <f t="shared" si="19"/>
        <v>0</v>
      </c>
      <c r="X46" s="29">
        <f t="shared" si="20"/>
        <v>0.32</v>
      </c>
      <c r="Y46" s="29">
        <f t="shared" si="21"/>
        <v>0</v>
      </c>
      <c r="Z46" s="432">
        <f t="shared" si="22"/>
        <v>0</v>
      </c>
      <c r="AA46" s="29">
        <f t="shared" si="23"/>
        <v>0</v>
      </c>
      <c r="AB46" s="346">
        <f t="shared" si="24"/>
        <v>0</v>
      </c>
      <c r="AC46" s="111">
        <f t="shared" si="27"/>
        <v>37</v>
      </c>
      <c r="AD46" s="109">
        <f t="shared" si="25"/>
        <v>1.1501807680369114</v>
      </c>
      <c r="AE46" s="195"/>
      <c r="AF46" s="195"/>
      <c r="AG46" s="195"/>
      <c r="AH46" s="195"/>
    </row>
    <row r="47" spans="1:34" ht="18" thickBot="1" x14ac:dyDescent="0.4">
      <c r="A47" s="776" t="s">
        <v>13</v>
      </c>
      <c r="B47" s="635">
        <f t="shared" si="26"/>
        <v>34</v>
      </c>
      <c r="C47" s="632">
        <f t="shared" si="14"/>
        <v>1.2147770226331893</v>
      </c>
      <c r="D47" s="959"/>
      <c r="E47" s="544">
        <v>2013</v>
      </c>
      <c r="F47" s="558" t="s">
        <v>316</v>
      </c>
      <c r="G47" s="550"/>
      <c r="H47" s="1257">
        <f>Commercial!C46</f>
        <v>4.6352355409937749</v>
      </c>
      <c r="I47" s="1259">
        <f>Recreational!C46</f>
        <v>0</v>
      </c>
      <c r="J47" s="1259">
        <f>Tribal!C46</f>
        <v>3.2275511804899297</v>
      </c>
      <c r="K47" s="29"/>
      <c r="L47" s="29"/>
      <c r="M47" s="1259">
        <f>'Stock Status'!C47</f>
        <v>1</v>
      </c>
      <c r="N47" s="29"/>
      <c r="O47" s="29"/>
      <c r="P47" s="29"/>
      <c r="Q47" s="832"/>
      <c r="R47" s="163"/>
      <c r="S47" s="29">
        <f t="shared" si="15"/>
        <v>0.97339946360869267</v>
      </c>
      <c r="T47" s="29">
        <f t="shared" si="16"/>
        <v>0</v>
      </c>
      <c r="U47" s="29">
        <f t="shared" si="17"/>
        <v>0.16137755902449649</v>
      </c>
      <c r="V47" s="29">
        <f t="shared" si="18"/>
        <v>0</v>
      </c>
      <c r="W47" s="29">
        <f t="shared" si="19"/>
        <v>0</v>
      </c>
      <c r="X47" s="29">
        <f t="shared" si="20"/>
        <v>0.08</v>
      </c>
      <c r="Y47" s="29">
        <f t="shared" si="21"/>
        <v>0</v>
      </c>
      <c r="Z47" s="432">
        <f t="shared" si="22"/>
        <v>0</v>
      </c>
      <c r="AA47" s="29">
        <f t="shared" si="23"/>
        <v>0</v>
      </c>
      <c r="AB47" s="346">
        <f t="shared" si="24"/>
        <v>0</v>
      </c>
      <c r="AC47" s="111">
        <f t="shared" si="27"/>
        <v>34</v>
      </c>
      <c r="AD47" s="109">
        <f t="shared" si="25"/>
        <v>1.2147770226331893</v>
      </c>
      <c r="AE47" s="195"/>
      <c r="AF47" s="195"/>
      <c r="AG47" s="195"/>
      <c r="AH47" s="195"/>
    </row>
    <row r="48" spans="1:34" ht="18" thickBot="1" x14ac:dyDescent="0.4">
      <c r="A48" s="776" t="s">
        <v>25</v>
      </c>
      <c r="B48" s="635">
        <f t="shared" si="26"/>
        <v>47</v>
      </c>
      <c r="C48" s="632">
        <f t="shared" si="14"/>
        <v>0.99089613446454838</v>
      </c>
      <c r="D48" s="959"/>
      <c r="E48" s="1267"/>
      <c r="F48" s="556" t="s">
        <v>317</v>
      </c>
      <c r="G48" s="550"/>
      <c r="H48" s="1257">
        <f>Commercial!C47</f>
        <v>1.9702326905609353</v>
      </c>
      <c r="I48" s="1259">
        <f>Recreational!C47</f>
        <v>2.5920820881734534</v>
      </c>
      <c r="J48" s="1259">
        <f>Tribal!C47</f>
        <v>2.0771976302228232</v>
      </c>
      <c r="K48" s="29"/>
      <c r="L48" s="29"/>
      <c r="M48" s="1259">
        <f>'Stock Status'!C48</f>
        <v>3</v>
      </c>
      <c r="N48" s="29"/>
      <c r="O48" s="29"/>
      <c r="P48" s="922"/>
      <c r="Q48" s="833"/>
      <c r="R48" s="163"/>
      <c r="S48" s="29">
        <f t="shared" si="15"/>
        <v>0.4137488650177964</v>
      </c>
      <c r="T48" s="29">
        <f t="shared" si="16"/>
        <v>0.2332873879356108</v>
      </c>
      <c r="U48" s="29">
        <f t="shared" si="17"/>
        <v>0.10385988151114117</v>
      </c>
      <c r="V48" s="29">
        <f t="shared" si="18"/>
        <v>0</v>
      </c>
      <c r="W48" s="29">
        <f t="shared" si="19"/>
        <v>0</v>
      </c>
      <c r="X48" s="29">
        <f t="shared" si="20"/>
        <v>0.24</v>
      </c>
      <c r="Y48" s="29">
        <f t="shared" si="21"/>
        <v>0</v>
      </c>
      <c r="Z48" s="432">
        <f t="shared" si="22"/>
        <v>0</v>
      </c>
      <c r="AA48" s="29">
        <f t="shared" si="23"/>
        <v>0</v>
      </c>
      <c r="AB48" s="346">
        <f t="shared" si="24"/>
        <v>0</v>
      </c>
      <c r="AC48" s="111">
        <f t="shared" si="27"/>
        <v>47</v>
      </c>
      <c r="AD48" s="109">
        <f t="shared" si="25"/>
        <v>0.99089613446454838</v>
      </c>
      <c r="AE48" s="195"/>
      <c r="AF48" s="195"/>
      <c r="AG48" s="195"/>
      <c r="AH48" s="195"/>
    </row>
    <row r="49" spans="1:34" ht="18" thickBot="1" x14ac:dyDescent="0.4">
      <c r="A49" s="776" t="s">
        <v>355</v>
      </c>
      <c r="B49" s="635">
        <f t="shared" si="26"/>
        <v>46</v>
      </c>
      <c r="C49" s="632">
        <f t="shared" si="14"/>
        <v>0.99581015366163261</v>
      </c>
      <c r="D49" s="959" t="s">
        <v>415</v>
      </c>
      <c r="E49" s="544">
        <v>2013</v>
      </c>
      <c r="F49" s="555" t="s">
        <v>305</v>
      </c>
      <c r="G49" s="550"/>
      <c r="H49" s="1257">
        <f>Commercial!C48</f>
        <v>3.5990959698172982</v>
      </c>
      <c r="I49" s="1259">
        <f>Recreational!C48</f>
        <v>0</v>
      </c>
      <c r="J49" s="1259">
        <f>Tribal!C48</f>
        <v>0</v>
      </c>
      <c r="K49" s="29"/>
      <c r="L49" s="29"/>
      <c r="M49" s="1259">
        <f>'Stock Status'!C49</f>
        <v>3</v>
      </c>
      <c r="N49" s="29"/>
      <c r="O49" s="29"/>
      <c r="P49" s="922"/>
      <c r="Q49" s="832"/>
      <c r="R49" s="163"/>
      <c r="S49" s="29">
        <f t="shared" si="15"/>
        <v>0.75581015366163262</v>
      </c>
      <c r="T49" s="29">
        <f t="shared" si="16"/>
        <v>0</v>
      </c>
      <c r="U49" s="29">
        <f t="shared" si="17"/>
        <v>0</v>
      </c>
      <c r="V49" s="29">
        <f t="shared" si="18"/>
        <v>0</v>
      </c>
      <c r="W49" s="29">
        <f t="shared" si="19"/>
        <v>0</v>
      </c>
      <c r="X49" s="29">
        <f t="shared" si="20"/>
        <v>0.24</v>
      </c>
      <c r="Y49" s="29">
        <f t="shared" si="21"/>
        <v>0</v>
      </c>
      <c r="Z49" s="432">
        <f t="shared" si="22"/>
        <v>0</v>
      </c>
      <c r="AA49" s="29">
        <f t="shared" si="23"/>
        <v>0</v>
      </c>
      <c r="AB49" s="346">
        <f t="shared" si="24"/>
        <v>0</v>
      </c>
      <c r="AC49" s="111">
        <f t="shared" si="27"/>
        <v>46</v>
      </c>
      <c r="AD49" s="109">
        <f t="shared" si="25"/>
        <v>0.99581015366163261</v>
      </c>
      <c r="AE49" s="195"/>
      <c r="AF49" s="195"/>
      <c r="AG49" s="195"/>
      <c r="AH49" s="195"/>
    </row>
    <row r="50" spans="1:34" ht="18" thickBot="1" x14ac:dyDescent="0.4">
      <c r="A50" s="778" t="s">
        <v>130</v>
      </c>
      <c r="B50" s="635">
        <f t="shared" si="26"/>
        <v>1</v>
      </c>
      <c r="C50" s="632">
        <f t="shared" si="14"/>
        <v>2.9514385455002037</v>
      </c>
      <c r="D50" s="959"/>
      <c r="E50" s="544">
        <v>2021</v>
      </c>
      <c r="F50" s="557" t="s">
        <v>306</v>
      </c>
      <c r="G50" s="550"/>
      <c r="H50" s="1257">
        <f>Commercial!C49</f>
        <v>10</v>
      </c>
      <c r="I50" s="1259">
        <f>Recreational!C49</f>
        <v>2.9048727277800404</v>
      </c>
      <c r="J50" s="1259">
        <f>Tribal!C49</f>
        <v>7</v>
      </c>
      <c r="K50" s="29"/>
      <c r="L50" s="29"/>
      <c r="M50" s="1259">
        <f>'Stock Status'!C50</f>
        <v>3</v>
      </c>
      <c r="N50" s="29"/>
      <c r="O50" s="29"/>
      <c r="P50" s="922"/>
      <c r="Q50" s="832"/>
      <c r="R50" s="163"/>
      <c r="S50" s="29">
        <f t="shared" si="15"/>
        <v>2.1</v>
      </c>
      <c r="T50" s="29">
        <f t="shared" si="16"/>
        <v>0.26143854550020362</v>
      </c>
      <c r="U50" s="29">
        <f t="shared" si="17"/>
        <v>0.35000000000000003</v>
      </c>
      <c r="V50" s="29">
        <f t="shared" si="18"/>
        <v>0</v>
      </c>
      <c r="W50" s="29">
        <f t="shared" si="19"/>
        <v>0</v>
      </c>
      <c r="X50" s="29">
        <f t="shared" si="20"/>
        <v>0.24</v>
      </c>
      <c r="Y50" s="29">
        <f t="shared" si="21"/>
        <v>0</v>
      </c>
      <c r="Z50" s="432">
        <f t="shared" si="22"/>
        <v>0</v>
      </c>
      <c r="AA50" s="29">
        <f t="shared" si="23"/>
        <v>0</v>
      </c>
      <c r="AB50" s="346">
        <f t="shared" si="24"/>
        <v>0</v>
      </c>
      <c r="AC50" s="111">
        <f t="shared" si="27"/>
        <v>1</v>
      </c>
      <c r="AD50" s="109">
        <f t="shared" si="25"/>
        <v>2.9514385455002037</v>
      </c>
      <c r="AE50" s="195"/>
      <c r="AF50" s="195"/>
      <c r="AG50" s="195"/>
      <c r="AH50" s="195"/>
    </row>
    <row r="51" spans="1:34" ht="18" thickBot="1" x14ac:dyDescent="0.4">
      <c r="A51" s="776" t="s">
        <v>19</v>
      </c>
      <c r="B51" s="635">
        <f t="shared" si="26"/>
        <v>35</v>
      </c>
      <c r="C51" s="632">
        <f t="shared" si="14"/>
        <v>1.2033231592068256</v>
      </c>
      <c r="D51" s="959"/>
      <c r="E51" s="1267"/>
      <c r="F51" s="556" t="s">
        <v>317</v>
      </c>
      <c r="G51" s="550"/>
      <c r="H51" s="1257">
        <f>Commercial!C50</f>
        <v>3.008372392430823</v>
      </c>
      <c r="I51" s="1259">
        <f>Recreational!C50</f>
        <v>2.1422597983679901</v>
      </c>
      <c r="J51" s="1259">
        <f>Tribal!C50</f>
        <v>2.7752314988646787</v>
      </c>
      <c r="K51" s="29"/>
      <c r="L51" s="29"/>
      <c r="M51" s="1259">
        <f>'Stock Status'!C51</f>
        <v>3</v>
      </c>
      <c r="N51" s="29"/>
      <c r="O51" s="29"/>
      <c r="P51" s="29"/>
      <c r="Q51" s="833"/>
      <c r="R51" s="163"/>
      <c r="S51" s="29">
        <f t="shared" si="15"/>
        <v>0.63175820241047276</v>
      </c>
      <c r="T51" s="29">
        <f t="shared" si="16"/>
        <v>0.1928033818531191</v>
      </c>
      <c r="U51" s="29">
        <f t="shared" si="17"/>
        <v>0.13876157494323393</v>
      </c>
      <c r="V51" s="29">
        <f t="shared" si="18"/>
        <v>0</v>
      </c>
      <c r="W51" s="29">
        <f t="shared" si="19"/>
        <v>0</v>
      </c>
      <c r="X51" s="29">
        <f t="shared" si="20"/>
        <v>0.24</v>
      </c>
      <c r="Y51" s="29">
        <f t="shared" si="21"/>
        <v>0</v>
      </c>
      <c r="Z51" s="432">
        <f t="shared" si="22"/>
        <v>0</v>
      </c>
      <c r="AA51" s="29">
        <f t="shared" si="23"/>
        <v>0</v>
      </c>
      <c r="AB51" s="346">
        <f t="shared" si="24"/>
        <v>0</v>
      </c>
      <c r="AC51" s="111">
        <f t="shared" si="27"/>
        <v>35</v>
      </c>
      <c r="AD51" s="109">
        <f t="shared" si="25"/>
        <v>1.2033231592068256</v>
      </c>
      <c r="AE51" s="195"/>
      <c r="AF51" s="195"/>
      <c r="AG51" s="195"/>
      <c r="AH51" s="195"/>
    </row>
    <row r="52" spans="1:34" ht="18" thickBot="1" x14ac:dyDescent="0.4">
      <c r="A52" s="776" t="s">
        <v>211</v>
      </c>
      <c r="B52" s="635">
        <f t="shared" si="26"/>
        <v>56</v>
      </c>
      <c r="C52" s="632">
        <f t="shared" si="14"/>
        <v>0.66558416382769547</v>
      </c>
      <c r="D52" s="959" t="s">
        <v>416</v>
      </c>
      <c r="E52" s="544">
        <v>2013</v>
      </c>
      <c r="F52" s="558" t="s">
        <v>316</v>
      </c>
      <c r="G52" s="550"/>
      <c r="H52" s="1257">
        <f>Commercial!C51</f>
        <v>2.2174812270772075</v>
      </c>
      <c r="I52" s="1259">
        <f>Recreational!C51</f>
        <v>0</v>
      </c>
      <c r="J52" s="1259">
        <f>Tribal!C51</f>
        <v>0.7982621228296366</v>
      </c>
      <c r="K52" s="29"/>
      <c r="L52" s="29"/>
      <c r="M52" s="1259">
        <f>'Stock Status'!C52</f>
        <v>2</v>
      </c>
      <c r="N52" s="29"/>
      <c r="O52" s="29"/>
      <c r="P52" s="29"/>
      <c r="Q52" s="832"/>
      <c r="R52" s="163"/>
      <c r="S52" s="29">
        <f t="shared" si="15"/>
        <v>0.46567105768621359</v>
      </c>
      <c r="T52" s="29">
        <f t="shared" si="16"/>
        <v>0</v>
      </c>
      <c r="U52" s="29">
        <f t="shared" si="17"/>
        <v>3.991310614148183E-2</v>
      </c>
      <c r="V52" s="29">
        <f t="shared" si="18"/>
        <v>0</v>
      </c>
      <c r="W52" s="29">
        <f t="shared" si="19"/>
        <v>0</v>
      </c>
      <c r="X52" s="29">
        <f t="shared" si="20"/>
        <v>0.16</v>
      </c>
      <c r="Y52" s="29">
        <f t="shared" si="21"/>
        <v>0</v>
      </c>
      <c r="Z52" s="432">
        <f t="shared" si="22"/>
        <v>0</v>
      </c>
      <c r="AA52" s="29">
        <f t="shared" si="23"/>
        <v>0</v>
      </c>
      <c r="AB52" s="346">
        <f t="shared" si="24"/>
        <v>0</v>
      </c>
      <c r="AC52" s="111">
        <f t="shared" si="27"/>
        <v>56</v>
      </c>
      <c r="AD52" s="109">
        <f t="shared" si="25"/>
        <v>0.66558416382769547</v>
      </c>
      <c r="AE52" s="195"/>
      <c r="AF52" s="195"/>
      <c r="AG52" s="195"/>
      <c r="AH52" s="195"/>
    </row>
    <row r="53" spans="1:34" ht="18" thickBot="1" x14ac:dyDescent="0.4">
      <c r="A53" s="776" t="s">
        <v>157</v>
      </c>
      <c r="B53" s="635">
        <f t="shared" si="26"/>
        <v>48</v>
      </c>
      <c r="C53" s="632">
        <f t="shared" si="14"/>
        <v>0.93658047785881937</v>
      </c>
      <c r="D53" s="959"/>
      <c r="E53" s="1267"/>
      <c r="F53" s="556" t="s">
        <v>317</v>
      </c>
      <c r="G53" s="550"/>
      <c r="H53" s="1257">
        <f>Commercial!C52</f>
        <v>2.5037106161254155</v>
      </c>
      <c r="I53" s="1259">
        <f>Recreational!C52</f>
        <v>0</v>
      </c>
      <c r="J53" s="1259">
        <f>Tribal!C52</f>
        <v>1.8160249694496433</v>
      </c>
      <c r="K53" s="922"/>
      <c r="L53" s="29"/>
      <c r="M53" s="1259">
        <f>'Stock Status'!C53</f>
        <v>4</v>
      </c>
      <c r="N53" s="29"/>
      <c r="O53" s="29"/>
      <c r="P53" s="29"/>
      <c r="Q53" s="833"/>
      <c r="R53" s="163"/>
      <c r="S53" s="29">
        <f t="shared" si="15"/>
        <v>0.52577922938633725</v>
      </c>
      <c r="T53" s="29">
        <f t="shared" si="16"/>
        <v>0</v>
      </c>
      <c r="U53" s="29">
        <f t="shared" si="17"/>
        <v>9.0801248472482166E-2</v>
      </c>
      <c r="V53" s="29">
        <f t="shared" si="18"/>
        <v>0</v>
      </c>
      <c r="W53" s="29">
        <f t="shared" si="19"/>
        <v>0</v>
      </c>
      <c r="X53" s="29">
        <f t="shared" si="20"/>
        <v>0.32</v>
      </c>
      <c r="Y53" s="29">
        <f t="shared" si="21"/>
        <v>0</v>
      </c>
      <c r="Z53" s="432">
        <f t="shared" si="22"/>
        <v>0</v>
      </c>
      <c r="AA53" s="29">
        <f t="shared" si="23"/>
        <v>0</v>
      </c>
      <c r="AB53" s="346">
        <f t="shared" si="24"/>
        <v>0</v>
      </c>
      <c r="AC53" s="111">
        <f t="shared" si="27"/>
        <v>48</v>
      </c>
      <c r="AD53" s="109">
        <f t="shared" si="25"/>
        <v>0.93658047785881937</v>
      </c>
      <c r="AE53" s="195"/>
      <c r="AF53" s="195"/>
      <c r="AG53" s="195"/>
      <c r="AH53" s="195"/>
    </row>
    <row r="54" spans="1:34" ht="18" thickBot="1" x14ac:dyDescent="0.4">
      <c r="A54" s="777" t="s">
        <v>126</v>
      </c>
      <c r="B54" s="635">
        <f t="shared" si="26"/>
        <v>15</v>
      </c>
      <c r="C54" s="632">
        <f t="shared" si="14"/>
        <v>1.7944571032803924</v>
      </c>
      <c r="D54" s="959"/>
      <c r="E54" s="544">
        <v>2013</v>
      </c>
      <c r="F54" s="555" t="s">
        <v>305</v>
      </c>
      <c r="G54" s="550"/>
      <c r="H54" s="1257">
        <f>Commercial!C53</f>
        <v>6.9728714006232515</v>
      </c>
      <c r="I54" s="1259">
        <f>Recreational!C53</f>
        <v>0</v>
      </c>
      <c r="J54" s="1259">
        <f>Tribal!C53</f>
        <v>3.403082182990194</v>
      </c>
      <c r="K54" s="922"/>
      <c r="L54" s="29"/>
      <c r="M54" s="1259">
        <f>'Stock Status'!C54</f>
        <v>2</v>
      </c>
      <c r="N54" s="29"/>
      <c r="O54" s="29"/>
      <c r="P54" s="29"/>
      <c r="Q54" s="832"/>
      <c r="R54" s="163"/>
      <c r="S54" s="29">
        <f t="shared" si="15"/>
        <v>1.4643029941308827</v>
      </c>
      <c r="T54" s="29">
        <f t="shared" si="16"/>
        <v>0</v>
      </c>
      <c r="U54" s="29">
        <f t="shared" si="17"/>
        <v>0.17015410914950971</v>
      </c>
      <c r="V54" s="29">
        <f t="shared" si="18"/>
        <v>0</v>
      </c>
      <c r="W54" s="29">
        <f t="shared" si="19"/>
        <v>0</v>
      </c>
      <c r="X54" s="29">
        <f t="shared" si="20"/>
        <v>0.16</v>
      </c>
      <c r="Y54" s="29">
        <f t="shared" si="21"/>
        <v>0</v>
      </c>
      <c r="Z54" s="432">
        <f t="shared" si="22"/>
        <v>0</v>
      </c>
      <c r="AA54" s="29">
        <f t="shared" si="23"/>
        <v>0</v>
      </c>
      <c r="AB54" s="346">
        <f t="shared" si="24"/>
        <v>0</v>
      </c>
      <c r="AC54" s="111">
        <f t="shared" si="27"/>
        <v>15</v>
      </c>
      <c r="AD54" s="109">
        <f t="shared" si="25"/>
        <v>1.7944571032803924</v>
      </c>
      <c r="AE54" s="195"/>
      <c r="AF54" s="195"/>
      <c r="AG54" s="195"/>
      <c r="AH54" s="195"/>
    </row>
    <row r="55" spans="1:34" ht="18" thickBot="1" x14ac:dyDescent="0.4">
      <c r="A55" s="776" t="s">
        <v>158</v>
      </c>
      <c r="B55" s="635">
        <f t="shared" si="26"/>
        <v>39</v>
      </c>
      <c r="C55" s="632">
        <f t="shared" si="14"/>
        <v>1.1434476191865628</v>
      </c>
      <c r="D55" s="959"/>
      <c r="E55" s="1267"/>
      <c r="F55" s="556" t="s">
        <v>317</v>
      </c>
      <c r="G55" s="550"/>
      <c r="H55" s="1257">
        <f>Commercial!C54</f>
        <v>2.1008733573370164</v>
      </c>
      <c r="I55" s="1259">
        <f>Recreational!C54</f>
        <v>4.2473801571754377</v>
      </c>
      <c r="J55" s="1259">
        <f>Tribal!C54</f>
        <v>0</v>
      </c>
      <c r="K55" s="29"/>
      <c r="L55" s="29"/>
      <c r="M55" s="1259">
        <f>'Stock Status'!C55</f>
        <v>4</v>
      </c>
      <c r="N55" s="29"/>
      <c r="O55" s="29"/>
      <c r="P55" s="29"/>
      <c r="Q55" s="833"/>
      <c r="R55" s="163"/>
      <c r="S55" s="29">
        <f t="shared" si="15"/>
        <v>0.44118340504077341</v>
      </c>
      <c r="T55" s="29">
        <f t="shared" si="16"/>
        <v>0.38226421414578937</v>
      </c>
      <c r="U55" s="29">
        <f t="shared" si="17"/>
        <v>0</v>
      </c>
      <c r="V55" s="29">
        <f t="shared" si="18"/>
        <v>0</v>
      </c>
      <c r="W55" s="29">
        <f t="shared" si="19"/>
        <v>0</v>
      </c>
      <c r="X55" s="29">
        <f t="shared" si="20"/>
        <v>0.32</v>
      </c>
      <c r="Y55" s="29">
        <f t="shared" si="21"/>
        <v>0</v>
      </c>
      <c r="Z55" s="432">
        <f t="shared" si="22"/>
        <v>0</v>
      </c>
      <c r="AA55" s="29">
        <f t="shared" si="23"/>
        <v>0</v>
      </c>
      <c r="AB55" s="346">
        <f t="shared" si="24"/>
        <v>0</v>
      </c>
      <c r="AC55" s="111">
        <f t="shared" si="27"/>
        <v>39</v>
      </c>
      <c r="AD55" s="109">
        <f t="shared" si="25"/>
        <v>1.1434476191865628</v>
      </c>
      <c r="AE55" s="195"/>
      <c r="AF55" s="195"/>
      <c r="AG55" s="195"/>
      <c r="AH55" s="195"/>
    </row>
    <row r="56" spans="1:34" ht="18" thickBot="1" x14ac:dyDescent="0.4">
      <c r="A56" s="776" t="s">
        <v>213</v>
      </c>
      <c r="B56" s="635">
        <f t="shared" si="26"/>
        <v>51</v>
      </c>
      <c r="C56" s="632">
        <f t="shared" si="14"/>
        <v>0.83258460728507278</v>
      </c>
      <c r="D56" s="959"/>
      <c r="E56" s="544">
        <v>2009</v>
      </c>
      <c r="F56" s="555" t="s">
        <v>305</v>
      </c>
      <c r="G56" s="550"/>
      <c r="H56" s="1257">
        <f>Commercial!C55</f>
        <v>2.9546617478096158</v>
      </c>
      <c r="I56" s="1259">
        <f>Recreational!C55</f>
        <v>0</v>
      </c>
      <c r="J56" s="1259">
        <f>Tribal!C55</f>
        <v>1.0421128049010688</v>
      </c>
      <c r="K56" s="29"/>
      <c r="L56" s="29"/>
      <c r="M56" s="1259">
        <f>'Stock Status'!C56</f>
        <v>2</v>
      </c>
      <c r="N56" s="29"/>
      <c r="O56" s="29"/>
      <c r="P56" s="29"/>
      <c r="Q56" s="832"/>
      <c r="R56" s="163"/>
      <c r="S56" s="29">
        <f t="shared" si="15"/>
        <v>0.62047896704001926</v>
      </c>
      <c r="T56" s="29">
        <f t="shared" si="16"/>
        <v>0</v>
      </c>
      <c r="U56" s="29">
        <f t="shared" si="17"/>
        <v>5.2105640245053444E-2</v>
      </c>
      <c r="V56" s="29">
        <f t="shared" si="18"/>
        <v>0</v>
      </c>
      <c r="W56" s="29">
        <f t="shared" si="19"/>
        <v>0</v>
      </c>
      <c r="X56" s="29">
        <f t="shared" si="20"/>
        <v>0.16</v>
      </c>
      <c r="Y56" s="29">
        <f t="shared" si="21"/>
        <v>0</v>
      </c>
      <c r="Z56" s="432">
        <f t="shared" si="22"/>
        <v>0</v>
      </c>
      <c r="AA56" s="29">
        <f t="shared" si="23"/>
        <v>0</v>
      </c>
      <c r="AB56" s="346">
        <f t="shared" si="24"/>
        <v>0</v>
      </c>
      <c r="AC56" s="111">
        <f t="shared" si="27"/>
        <v>51</v>
      </c>
      <c r="AD56" s="109">
        <f t="shared" si="25"/>
        <v>0.83258460728507278</v>
      </c>
      <c r="AE56" s="195"/>
      <c r="AF56" s="195"/>
      <c r="AG56" s="195"/>
      <c r="AH56" s="195"/>
    </row>
    <row r="57" spans="1:34" ht="18" thickBot="1" x14ac:dyDescent="0.4">
      <c r="A57" s="776" t="s">
        <v>159</v>
      </c>
      <c r="B57" s="635">
        <f t="shared" si="26"/>
        <v>52</v>
      </c>
      <c r="C57" s="632">
        <f t="shared" si="14"/>
        <v>0.76598928983528236</v>
      </c>
      <c r="D57" s="959"/>
      <c r="E57" s="544">
        <v>2021</v>
      </c>
      <c r="F57" s="558" t="s">
        <v>316</v>
      </c>
      <c r="G57" s="550"/>
      <c r="H57" s="1257">
        <f>Commercial!C56</f>
        <v>0</v>
      </c>
      <c r="I57" s="1259">
        <f>Recreational!C56</f>
        <v>4.9554365537253595</v>
      </c>
      <c r="J57" s="1259">
        <f>Tribal!C56</f>
        <v>0</v>
      </c>
      <c r="K57" s="29"/>
      <c r="L57" s="29"/>
      <c r="M57" s="1259">
        <f>'Stock Status'!C57</f>
        <v>4</v>
      </c>
      <c r="N57" s="29"/>
      <c r="O57" s="29"/>
      <c r="P57" s="29"/>
      <c r="Q57" s="833"/>
      <c r="R57" s="163"/>
      <c r="S57" s="29">
        <f t="shared" si="15"/>
        <v>0</v>
      </c>
      <c r="T57" s="29">
        <f t="shared" si="16"/>
        <v>0.44598928983528235</v>
      </c>
      <c r="U57" s="29">
        <f t="shared" si="17"/>
        <v>0</v>
      </c>
      <c r="V57" s="29">
        <f t="shared" si="18"/>
        <v>0</v>
      </c>
      <c r="W57" s="29">
        <f t="shared" si="19"/>
        <v>0</v>
      </c>
      <c r="X57" s="29">
        <f t="shared" si="20"/>
        <v>0.32</v>
      </c>
      <c r="Y57" s="29">
        <f t="shared" si="21"/>
        <v>0</v>
      </c>
      <c r="Z57" s="432">
        <f t="shared" si="22"/>
        <v>0</v>
      </c>
      <c r="AA57" s="29">
        <f t="shared" si="23"/>
        <v>0</v>
      </c>
      <c r="AB57" s="346">
        <f t="shared" si="24"/>
        <v>0</v>
      </c>
      <c r="AC57" s="111">
        <f t="shared" si="27"/>
        <v>52</v>
      </c>
      <c r="AD57" s="109">
        <f t="shared" si="25"/>
        <v>0.76598928983528236</v>
      </c>
      <c r="AE57" s="195"/>
      <c r="AF57" s="195"/>
      <c r="AG57" s="195"/>
      <c r="AH57" s="195"/>
    </row>
    <row r="58" spans="1:34" ht="18" thickBot="1" x14ac:dyDescent="0.4">
      <c r="A58" s="777" t="s">
        <v>23</v>
      </c>
      <c r="B58" s="635">
        <f t="shared" si="26"/>
        <v>43</v>
      </c>
      <c r="C58" s="632">
        <f t="shared" si="14"/>
        <v>1.0745569013470262</v>
      </c>
      <c r="D58" s="959"/>
      <c r="E58" s="1267"/>
      <c r="F58" s="556" t="s">
        <v>317</v>
      </c>
      <c r="G58" s="550"/>
      <c r="H58" s="1257">
        <f>Commercial!C57</f>
        <v>2.7862706245289708</v>
      </c>
      <c r="I58" s="1259">
        <f>Recreational!C57</f>
        <v>2.447011996948226</v>
      </c>
      <c r="J58" s="1259">
        <f>Tribal!C57</f>
        <v>0.58417980941204062</v>
      </c>
      <c r="K58" s="29"/>
      <c r="L58" s="29"/>
      <c r="M58" s="1259">
        <f>'Stock Status'!C58</f>
        <v>3</v>
      </c>
      <c r="N58" s="29"/>
      <c r="O58" s="29"/>
      <c r="P58" s="29"/>
      <c r="Q58" s="833"/>
      <c r="R58" s="163"/>
      <c r="S58" s="29">
        <f t="shared" si="15"/>
        <v>0.58511683115108382</v>
      </c>
      <c r="T58" s="29">
        <f t="shared" si="16"/>
        <v>0.22023107972534034</v>
      </c>
      <c r="U58" s="29">
        <f t="shared" si="17"/>
        <v>2.9208990470602034E-2</v>
      </c>
      <c r="V58" s="29">
        <f t="shared" si="18"/>
        <v>0</v>
      </c>
      <c r="W58" s="29">
        <f t="shared" si="19"/>
        <v>0</v>
      </c>
      <c r="X58" s="29">
        <f t="shared" si="20"/>
        <v>0.24</v>
      </c>
      <c r="Y58" s="29">
        <f t="shared" si="21"/>
        <v>0</v>
      </c>
      <c r="Z58" s="432">
        <f t="shared" si="22"/>
        <v>0</v>
      </c>
      <c r="AA58" s="29">
        <f t="shared" si="23"/>
        <v>0</v>
      </c>
      <c r="AB58" s="346">
        <f t="shared" si="24"/>
        <v>0</v>
      </c>
      <c r="AC58" s="111">
        <f t="shared" si="27"/>
        <v>43</v>
      </c>
      <c r="AD58" s="109">
        <f t="shared" si="25"/>
        <v>1.0745569013470262</v>
      </c>
      <c r="AE58" s="195"/>
      <c r="AF58" s="195"/>
      <c r="AG58" s="195"/>
      <c r="AH58" s="195"/>
    </row>
    <row r="59" spans="1:34" ht="18" thickBot="1" x14ac:dyDescent="0.4">
      <c r="A59" s="776" t="s">
        <v>160</v>
      </c>
      <c r="B59" s="635">
        <f t="shared" si="26"/>
        <v>33</v>
      </c>
      <c r="C59" s="632">
        <f t="shared" si="14"/>
        <v>1.2373614216227387</v>
      </c>
      <c r="D59" s="959"/>
      <c r="E59" s="1267"/>
      <c r="F59" s="556" t="s">
        <v>317</v>
      </c>
      <c r="G59" s="550"/>
      <c r="H59" s="1257">
        <f>Commercial!C58</f>
        <v>2.5446702539451307</v>
      </c>
      <c r="I59" s="1259">
        <f>Recreational!C58</f>
        <v>5.1442296477140141</v>
      </c>
      <c r="J59" s="1259">
        <f>Tribal!C58</f>
        <v>0</v>
      </c>
      <c r="K59" s="29"/>
      <c r="L59" s="29"/>
      <c r="M59" s="1259">
        <f>'Stock Status'!C59</f>
        <v>3</v>
      </c>
      <c r="N59" s="29"/>
      <c r="O59" s="29"/>
      <c r="P59" s="29"/>
      <c r="Q59" s="833"/>
      <c r="R59" s="163"/>
      <c r="S59" s="29">
        <f t="shared" si="15"/>
        <v>0.53438075332847745</v>
      </c>
      <c r="T59" s="29">
        <f t="shared" si="16"/>
        <v>0.46298066829426127</v>
      </c>
      <c r="U59" s="29">
        <f t="shared" si="17"/>
        <v>0</v>
      </c>
      <c r="V59" s="29">
        <f t="shared" si="18"/>
        <v>0</v>
      </c>
      <c r="W59" s="29">
        <f t="shared" si="19"/>
        <v>0</v>
      </c>
      <c r="X59" s="29">
        <f t="shared" si="20"/>
        <v>0.24</v>
      </c>
      <c r="Y59" s="29">
        <f t="shared" si="21"/>
        <v>0</v>
      </c>
      <c r="Z59" s="432">
        <f t="shared" si="22"/>
        <v>0</v>
      </c>
      <c r="AA59" s="29">
        <f t="shared" si="23"/>
        <v>0</v>
      </c>
      <c r="AB59" s="346">
        <f t="shared" si="24"/>
        <v>0</v>
      </c>
      <c r="AC59" s="111">
        <f t="shared" si="27"/>
        <v>33</v>
      </c>
      <c r="AD59" s="109">
        <f t="shared" si="25"/>
        <v>1.2373614216227387</v>
      </c>
      <c r="AE59" s="195"/>
      <c r="AF59" s="195"/>
      <c r="AG59" s="195"/>
      <c r="AH59" s="195"/>
    </row>
    <row r="60" spans="1:34" ht="18" thickBot="1" x14ac:dyDescent="0.4">
      <c r="A60" s="776" t="s">
        <v>338</v>
      </c>
      <c r="B60" s="635">
        <f t="shared" si="26"/>
        <v>32</v>
      </c>
      <c r="C60" s="632">
        <f t="shared" si="14"/>
        <v>1.2698779999860303</v>
      </c>
      <c r="D60" s="959"/>
      <c r="E60" s="1267"/>
      <c r="F60" s="556" t="s">
        <v>317</v>
      </c>
      <c r="G60" s="550"/>
      <c r="H60" s="1257">
        <f>Commercial!C59</f>
        <v>3.2608099292808879</v>
      </c>
      <c r="I60" s="1259">
        <f>Recreational!C59</f>
        <v>3.8345323870782666</v>
      </c>
      <c r="J60" s="1259">
        <f>Tribal!C59</f>
        <v>0</v>
      </c>
      <c r="K60" s="29"/>
      <c r="L60" s="29"/>
      <c r="M60" s="1259">
        <f>'Stock Status'!C60</f>
        <v>3</v>
      </c>
      <c r="N60" s="29"/>
      <c r="O60" s="29"/>
      <c r="P60" s="29"/>
      <c r="Q60" s="833"/>
      <c r="R60" s="163"/>
      <c r="S60" s="29">
        <f t="shared" si="15"/>
        <v>0.68477008514898641</v>
      </c>
      <c r="T60" s="29">
        <f t="shared" si="16"/>
        <v>0.34510791483704401</v>
      </c>
      <c r="U60" s="29">
        <f t="shared" si="17"/>
        <v>0</v>
      </c>
      <c r="V60" s="29">
        <f t="shared" si="18"/>
        <v>0</v>
      </c>
      <c r="W60" s="29">
        <f t="shared" si="19"/>
        <v>0</v>
      </c>
      <c r="X60" s="29">
        <f t="shared" si="20"/>
        <v>0.24</v>
      </c>
      <c r="Y60" s="29">
        <f t="shared" si="21"/>
        <v>0</v>
      </c>
      <c r="Z60" s="432">
        <f t="shared" si="22"/>
        <v>0</v>
      </c>
      <c r="AA60" s="29">
        <f t="shared" si="23"/>
        <v>0</v>
      </c>
      <c r="AB60" s="346">
        <f t="shared" si="24"/>
        <v>0</v>
      </c>
      <c r="AC60" s="111">
        <f t="shared" si="27"/>
        <v>32</v>
      </c>
      <c r="AD60" s="109">
        <f t="shared" si="25"/>
        <v>1.2698779999860303</v>
      </c>
      <c r="AE60" s="195"/>
      <c r="AF60" s="195"/>
      <c r="AG60" s="195"/>
      <c r="AH60" s="195"/>
    </row>
    <row r="61" spans="1:34" ht="18" thickBot="1" x14ac:dyDescent="0.4">
      <c r="A61" s="776" t="s">
        <v>384</v>
      </c>
      <c r="B61" s="635">
        <f t="shared" si="26"/>
        <v>8</v>
      </c>
      <c r="C61" s="632">
        <f t="shared" si="14"/>
        <v>1.990697674214787</v>
      </c>
      <c r="D61" s="959"/>
      <c r="E61" s="544">
        <v>2021</v>
      </c>
      <c r="F61" s="555" t="s">
        <v>305</v>
      </c>
      <c r="G61" s="550"/>
      <c r="H61" s="1257">
        <f>Commercial!C60</f>
        <v>4.7364795923450131</v>
      </c>
      <c r="I61" s="1259">
        <f>Recreational!C60</f>
        <v>8.400410664692604</v>
      </c>
      <c r="J61" s="1259">
        <f>Tribal!C60</f>
        <v>0</v>
      </c>
      <c r="K61" s="29"/>
      <c r="L61" s="29"/>
      <c r="M61" s="1259">
        <f>'Stock Status'!C61</f>
        <v>3</v>
      </c>
      <c r="N61" s="29"/>
      <c r="O61" s="29"/>
      <c r="P61" s="29"/>
      <c r="Q61" s="833"/>
      <c r="R61" s="163"/>
      <c r="S61" s="29">
        <f t="shared" si="15"/>
        <v>0.99466071439245274</v>
      </c>
      <c r="T61" s="29">
        <f t="shared" si="16"/>
        <v>0.75603695982233432</v>
      </c>
      <c r="U61" s="29">
        <f t="shared" si="17"/>
        <v>0</v>
      </c>
      <c r="V61" s="29">
        <f t="shared" si="18"/>
        <v>0</v>
      </c>
      <c r="W61" s="29">
        <f t="shared" si="19"/>
        <v>0</v>
      </c>
      <c r="X61" s="29">
        <f t="shared" si="20"/>
        <v>0.24</v>
      </c>
      <c r="Y61" s="29">
        <f t="shared" si="21"/>
        <v>0</v>
      </c>
      <c r="Z61" s="432">
        <f t="shared" si="22"/>
        <v>0</v>
      </c>
      <c r="AA61" s="29">
        <f t="shared" si="23"/>
        <v>0</v>
      </c>
      <c r="AB61" s="346">
        <f t="shared" si="24"/>
        <v>0</v>
      </c>
      <c r="AC61" s="111">
        <f t="shared" si="27"/>
        <v>8</v>
      </c>
      <c r="AD61" s="109">
        <f t="shared" si="25"/>
        <v>1.990697674214787</v>
      </c>
      <c r="AE61" s="195"/>
      <c r="AF61" s="195"/>
      <c r="AG61" s="195"/>
      <c r="AH61" s="195"/>
    </row>
    <row r="62" spans="1:34" ht="18" thickBot="1" x14ac:dyDescent="0.4">
      <c r="A62" s="777" t="s">
        <v>142</v>
      </c>
      <c r="B62" s="635">
        <f t="shared" si="26"/>
        <v>6</v>
      </c>
      <c r="C62" s="632">
        <f t="shared" si="14"/>
        <v>2.1229407517426071</v>
      </c>
      <c r="D62" s="959" t="s">
        <v>415</v>
      </c>
      <c r="E62" s="544">
        <v>2019</v>
      </c>
      <c r="F62" s="557" t="s">
        <v>306</v>
      </c>
      <c r="G62" s="550"/>
      <c r="H62" s="1257">
        <f>Commercial!C61</f>
        <v>7.2756927704275833</v>
      </c>
      <c r="I62" s="1259">
        <f>Recreational!C61</f>
        <v>4.3790794009400651</v>
      </c>
      <c r="J62" s="1259">
        <f>Tribal!C61</f>
        <v>2.4185624773641772</v>
      </c>
      <c r="K62" s="29"/>
      <c r="L62" s="29"/>
      <c r="M62" s="1259">
        <f>'Stock Status'!C62</f>
        <v>1</v>
      </c>
      <c r="N62" s="29"/>
      <c r="O62" s="29"/>
      <c r="P62" s="922"/>
      <c r="Q62" s="832"/>
      <c r="R62" s="163"/>
      <c r="S62" s="29">
        <f t="shared" si="15"/>
        <v>1.5278954817897925</v>
      </c>
      <c r="T62" s="29">
        <f t="shared" si="16"/>
        <v>0.39411714608460585</v>
      </c>
      <c r="U62" s="29">
        <f t="shared" si="17"/>
        <v>0.12092812386820886</v>
      </c>
      <c r="V62" s="29">
        <f t="shared" si="18"/>
        <v>0</v>
      </c>
      <c r="W62" s="29">
        <f t="shared" si="19"/>
        <v>0</v>
      </c>
      <c r="X62" s="29">
        <f t="shared" si="20"/>
        <v>0.08</v>
      </c>
      <c r="Y62" s="29">
        <f t="shared" si="21"/>
        <v>0</v>
      </c>
      <c r="Z62" s="432">
        <f t="shared" si="22"/>
        <v>0</v>
      </c>
      <c r="AA62" s="29">
        <f t="shared" si="23"/>
        <v>0</v>
      </c>
      <c r="AB62" s="346">
        <f t="shared" si="24"/>
        <v>0</v>
      </c>
      <c r="AC62" s="111">
        <f t="shared" si="27"/>
        <v>6</v>
      </c>
      <c r="AD62" s="109">
        <f t="shared" si="25"/>
        <v>2.1229407517426071</v>
      </c>
      <c r="AE62" s="195"/>
      <c r="AF62" s="195"/>
      <c r="AG62" s="195"/>
      <c r="AH62" s="195"/>
    </row>
    <row r="63" spans="1:34" ht="18" thickBot="1" x14ac:dyDescent="0.4">
      <c r="A63" s="777" t="s">
        <v>214</v>
      </c>
      <c r="B63" s="635">
        <f t="shared" si="26"/>
        <v>45</v>
      </c>
      <c r="C63" s="632">
        <f t="shared" si="14"/>
        <v>1.0444367383914348</v>
      </c>
      <c r="D63" s="959" t="s">
        <v>304</v>
      </c>
      <c r="E63" s="544">
        <v>2017</v>
      </c>
      <c r="F63" s="555" t="s">
        <v>305</v>
      </c>
      <c r="G63" s="550"/>
      <c r="H63" s="1257">
        <f>Commercial!C62</f>
        <v>1.3880332622862877</v>
      </c>
      <c r="I63" s="1259">
        <f>Recreational!C62</f>
        <v>2.9228134789117233</v>
      </c>
      <c r="J63" s="1259">
        <f>Tribal!C62</f>
        <v>1.7979308041851889</v>
      </c>
      <c r="K63" s="29"/>
      <c r="L63" s="29"/>
      <c r="M63" s="1259">
        <f>'Stock Status'!C63</f>
        <v>5</v>
      </c>
      <c r="N63" s="29"/>
      <c r="O63" s="29"/>
      <c r="P63" s="922"/>
      <c r="Q63" s="832"/>
      <c r="R63" s="163"/>
      <c r="S63" s="29">
        <f t="shared" si="15"/>
        <v>0.29148698508012039</v>
      </c>
      <c r="T63" s="29">
        <f t="shared" si="16"/>
        <v>0.26305321310205509</v>
      </c>
      <c r="U63" s="29">
        <f t="shared" si="17"/>
        <v>8.9896540209259454E-2</v>
      </c>
      <c r="V63" s="29">
        <f t="shared" si="18"/>
        <v>0</v>
      </c>
      <c r="W63" s="29">
        <f t="shared" si="19"/>
        <v>0</v>
      </c>
      <c r="X63" s="29">
        <f t="shared" si="20"/>
        <v>0.4</v>
      </c>
      <c r="Y63" s="29">
        <f t="shared" si="21"/>
        <v>0</v>
      </c>
      <c r="Z63" s="432">
        <f t="shared" si="22"/>
        <v>0</v>
      </c>
      <c r="AA63" s="29">
        <f t="shared" si="23"/>
        <v>0</v>
      </c>
      <c r="AB63" s="346">
        <f t="shared" si="24"/>
        <v>0</v>
      </c>
      <c r="AC63" s="111">
        <f t="shared" si="27"/>
        <v>45</v>
      </c>
      <c r="AD63" s="109">
        <f t="shared" si="25"/>
        <v>1.0444367383914348</v>
      </c>
      <c r="AE63" s="195"/>
      <c r="AF63" s="195"/>
      <c r="AG63" s="195"/>
      <c r="AH63" s="195"/>
    </row>
    <row r="64" spans="1:34" ht="18" thickBot="1" x14ac:dyDescent="0.4">
      <c r="A64" s="777" t="s">
        <v>215</v>
      </c>
      <c r="B64" s="635">
        <f t="shared" si="26"/>
        <v>5</v>
      </c>
      <c r="C64" s="632">
        <f t="shared" si="14"/>
        <v>2.2870311093911622</v>
      </c>
      <c r="D64" s="959" t="s">
        <v>415</v>
      </c>
      <c r="E64" s="544">
        <v>2017</v>
      </c>
      <c r="F64" s="555" t="s">
        <v>305</v>
      </c>
      <c r="G64" s="550"/>
      <c r="H64" s="1257">
        <f>Commercial!C63</f>
        <v>6.2650212340112255</v>
      </c>
      <c r="I64" s="1259">
        <f>Recreational!C63</f>
        <v>6.6925867798470557</v>
      </c>
      <c r="J64" s="1259">
        <f>Tribal!C63</f>
        <v>4.1808768012513919</v>
      </c>
      <c r="K64" s="29"/>
      <c r="L64" s="29"/>
      <c r="M64" s="1259">
        <f>'Stock Status'!C64</f>
        <v>2</v>
      </c>
      <c r="N64" s="29"/>
      <c r="O64" s="29"/>
      <c r="P64" s="922"/>
      <c r="Q64" s="832"/>
      <c r="R64" s="163"/>
      <c r="S64" s="29">
        <f t="shared" si="15"/>
        <v>1.3156544591423573</v>
      </c>
      <c r="T64" s="29">
        <f t="shared" si="16"/>
        <v>0.60233281018623497</v>
      </c>
      <c r="U64" s="29">
        <f t="shared" si="17"/>
        <v>0.2090438400625696</v>
      </c>
      <c r="V64" s="29">
        <f t="shared" si="18"/>
        <v>0</v>
      </c>
      <c r="W64" s="29">
        <f t="shared" si="19"/>
        <v>0</v>
      </c>
      <c r="X64" s="29">
        <f t="shared" si="20"/>
        <v>0.16</v>
      </c>
      <c r="Y64" s="29">
        <f t="shared" si="21"/>
        <v>0</v>
      </c>
      <c r="Z64" s="432">
        <f t="shared" si="22"/>
        <v>0</v>
      </c>
      <c r="AA64" s="29">
        <f t="shared" si="23"/>
        <v>0</v>
      </c>
      <c r="AB64" s="346">
        <f t="shared" si="24"/>
        <v>0</v>
      </c>
      <c r="AC64" s="111">
        <f t="shared" si="27"/>
        <v>5</v>
      </c>
      <c r="AD64" s="109">
        <f t="shared" si="25"/>
        <v>2.2870311093911622</v>
      </c>
      <c r="AE64" s="195"/>
      <c r="AF64" s="195"/>
      <c r="AG64" s="195"/>
      <c r="AH64" s="195"/>
    </row>
    <row r="65" spans="1:34" ht="16.2" thickBot="1" x14ac:dyDescent="0.35">
      <c r="A65" s="495"/>
      <c r="B65" s="155"/>
      <c r="C65" s="494"/>
      <c r="E65" s="155"/>
      <c r="F65" s="155"/>
      <c r="H65" s="195"/>
      <c r="I65" s="1259">
        <f>Recreational!C64</f>
        <v>0</v>
      </c>
      <c r="J65" s="502"/>
      <c r="K65" s="155"/>
      <c r="L65" s="195"/>
      <c r="M65" s="1259">
        <f>'Stock Status'!C65</f>
        <v>0</v>
      </c>
      <c r="N65" s="195"/>
      <c r="O65" s="503"/>
      <c r="P65" s="155"/>
      <c r="Q65" s="929" t="s">
        <v>74</v>
      </c>
      <c r="R65" s="930"/>
      <c r="S65" s="930"/>
      <c r="T65" s="930"/>
      <c r="U65" s="195"/>
      <c r="V65" s="195"/>
      <c r="W65" s="195"/>
      <c r="X65" s="195"/>
      <c r="Y65" s="195"/>
      <c r="AA65" s="195"/>
      <c r="AB65" s="195"/>
      <c r="AC65" s="155"/>
      <c r="AD65" s="494"/>
      <c r="AE65" s="195"/>
      <c r="AF65" s="195"/>
      <c r="AG65" s="195"/>
      <c r="AH65" s="195"/>
    </row>
    <row r="66" spans="1:34" x14ac:dyDescent="0.3">
      <c r="A66" s="195"/>
      <c r="B66" s="195"/>
      <c r="C66" s="195"/>
      <c r="D66" s="195"/>
      <c r="E66" s="195"/>
      <c r="F66" s="195"/>
      <c r="G66" s="195"/>
      <c r="H66" s="644"/>
      <c r="I66" s="645"/>
      <c r="J66" s="155"/>
      <c r="K66" s="155"/>
      <c r="L66" s="195"/>
      <c r="M66" s="498"/>
      <c r="N66" s="195"/>
      <c r="O66" s="499"/>
      <c r="P66" s="155"/>
      <c r="Q66" s="155"/>
      <c r="R66" s="195"/>
      <c r="S66" s="195"/>
      <c r="T66" s="195"/>
      <c r="U66" s="195"/>
      <c r="V66" s="195"/>
      <c r="W66" s="195"/>
      <c r="X66" s="195"/>
      <c r="Y66" s="195"/>
      <c r="Z66" s="195"/>
      <c r="AA66" s="195"/>
      <c r="AB66" s="195"/>
      <c r="AC66" s="195"/>
      <c r="AD66" s="195"/>
      <c r="AE66" s="195"/>
      <c r="AF66" s="195"/>
      <c r="AG66" s="195"/>
      <c r="AH66" s="195"/>
    </row>
    <row r="67" spans="1:34" x14ac:dyDescent="0.3">
      <c r="A67" s="195"/>
      <c r="B67" s="195"/>
      <c r="C67" s="195"/>
      <c r="D67" s="195"/>
      <c r="E67" s="195"/>
      <c r="F67" s="195"/>
      <c r="G67" s="195"/>
      <c r="H67" s="644"/>
      <c r="I67" s="645"/>
      <c r="J67" s="155"/>
      <c r="K67" s="155"/>
      <c r="L67" s="195"/>
      <c r="M67" s="498"/>
      <c r="N67" s="195"/>
      <c r="O67" s="499"/>
      <c r="P67" s="155"/>
      <c r="Q67" s="155"/>
      <c r="R67" s="195"/>
      <c r="S67" s="195"/>
      <c r="T67" s="195"/>
      <c r="U67" s="195"/>
      <c r="V67" s="195"/>
      <c r="W67" s="195"/>
      <c r="X67" s="195"/>
      <c r="Y67" s="195"/>
      <c r="Z67" s="195"/>
      <c r="AA67" s="195"/>
      <c r="AB67" s="195"/>
      <c r="AC67" s="195"/>
      <c r="AD67" s="195"/>
      <c r="AE67" s="195"/>
      <c r="AF67" s="195"/>
      <c r="AG67" s="195"/>
      <c r="AH67" s="195"/>
    </row>
    <row r="68" spans="1:34" x14ac:dyDescent="0.3">
      <c r="A68" s="195"/>
      <c r="B68" s="195"/>
      <c r="C68" s="195"/>
      <c r="D68" s="195"/>
      <c r="E68" s="195"/>
      <c r="F68" s="195"/>
      <c r="G68" s="195"/>
      <c r="H68" s="644"/>
      <c r="I68" s="645"/>
      <c r="J68" s="155"/>
      <c r="K68" s="155"/>
      <c r="L68" s="195"/>
      <c r="M68" s="498"/>
      <c r="N68" s="195"/>
      <c r="O68" s="499"/>
      <c r="P68" s="155"/>
      <c r="Q68" s="155"/>
      <c r="R68" s="195"/>
      <c r="S68" s="195"/>
      <c r="T68" s="195"/>
      <c r="U68" s="195"/>
      <c r="V68" s="195"/>
      <c r="W68" s="195"/>
      <c r="X68" s="195"/>
      <c r="Y68" s="195"/>
      <c r="Z68" s="195"/>
      <c r="AA68" s="195"/>
      <c r="AB68" s="195"/>
      <c r="AC68" s="195"/>
      <c r="AD68" s="195"/>
      <c r="AE68" s="195"/>
      <c r="AF68" s="195"/>
      <c r="AG68" s="195"/>
      <c r="AH68" s="195"/>
    </row>
    <row r="69" spans="1:34" x14ac:dyDescent="0.3">
      <c r="A69" s="195"/>
      <c r="B69" s="195"/>
      <c r="C69" s="195"/>
      <c r="D69" s="195"/>
      <c r="E69" s="195"/>
      <c r="F69" s="195"/>
      <c r="G69" s="195"/>
      <c r="H69" s="644"/>
      <c r="I69" s="645"/>
      <c r="J69" s="155"/>
      <c r="K69" s="155"/>
      <c r="L69" s="195"/>
      <c r="M69" s="498"/>
      <c r="N69" s="195"/>
      <c r="O69" s="499"/>
      <c r="P69" s="155"/>
      <c r="Q69" s="155"/>
      <c r="R69" s="195"/>
      <c r="S69" s="195"/>
      <c r="T69" s="195"/>
      <c r="U69" s="195"/>
      <c r="V69" s="195"/>
      <c r="W69" s="195"/>
      <c r="X69" s="195"/>
      <c r="Y69" s="195"/>
      <c r="Z69" s="195"/>
      <c r="AA69" s="195"/>
      <c r="AB69" s="195"/>
      <c r="AC69" s="195"/>
      <c r="AD69" s="195"/>
      <c r="AE69" s="195"/>
      <c r="AF69" s="195"/>
      <c r="AG69" s="195"/>
      <c r="AH69" s="195"/>
    </row>
    <row r="70" spans="1:34" x14ac:dyDescent="0.3">
      <c r="A70" s="195"/>
      <c r="B70" s="195"/>
      <c r="C70" s="195"/>
      <c r="D70" s="195"/>
      <c r="E70" s="195"/>
      <c r="F70" s="195"/>
      <c r="G70" s="195"/>
      <c r="H70" s="644"/>
      <c r="I70" s="645"/>
      <c r="J70" s="155"/>
      <c r="K70" s="155"/>
      <c r="L70" s="195"/>
      <c r="M70" s="498"/>
      <c r="N70" s="195"/>
      <c r="O70" s="499"/>
      <c r="P70" s="155"/>
      <c r="Q70" s="155"/>
      <c r="R70" s="195"/>
      <c r="S70" s="195"/>
      <c r="T70" s="195"/>
      <c r="U70" s="195"/>
      <c r="V70" s="195"/>
      <c r="W70" s="195"/>
      <c r="X70" s="195"/>
      <c r="Y70" s="195"/>
      <c r="Z70" s="195"/>
      <c r="AA70" s="195"/>
      <c r="AB70" s="195"/>
      <c r="AC70" s="195"/>
      <c r="AD70" s="195"/>
      <c r="AE70" s="195"/>
      <c r="AF70" s="195"/>
      <c r="AG70" s="195"/>
      <c r="AH70" s="195"/>
    </row>
    <row r="71" spans="1:34" x14ac:dyDescent="0.3">
      <c r="A71" s="495"/>
      <c r="B71" s="155"/>
      <c r="C71" s="494"/>
      <c r="E71" s="155"/>
      <c r="F71" s="155"/>
      <c r="H71" s="195"/>
      <c r="I71" s="497"/>
      <c r="J71" s="155"/>
      <c r="K71" s="155"/>
      <c r="L71" s="195"/>
      <c r="M71" s="498"/>
      <c r="N71" s="195"/>
      <c r="O71" s="499"/>
      <c r="P71" s="155"/>
      <c r="Q71" s="155"/>
      <c r="R71" s="195"/>
      <c r="S71" s="195"/>
      <c r="T71" s="195"/>
      <c r="U71" s="195"/>
      <c r="V71" s="195"/>
      <c r="W71" s="195"/>
      <c r="X71" s="195"/>
      <c r="Y71" s="195"/>
      <c r="AA71" s="195"/>
      <c r="AB71" s="195"/>
      <c r="AC71" s="155"/>
      <c r="AD71" s="494"/>
      <c r="AE71" s="195"/>
      <c r="AF71" s="195"/>
      <c r="AG71" s="195"/>
      <c r="AH71" s="195"/>
    </row>
    <row r="72" spans="1:34" x14ac:dyDescent="0.3">
      <c r="A72" s="495"/>
      <c r="B72" s="155"/>
      <c r="C72" s="494"/>
      <c r="E72" s="155"/>
      <c r="F72" s="155"/>
      <c r="H72" s="195"/>
      <c r="I72" s="497"/>
      <c r="J72" s="155"/>
      <c r="K72" s="155"/>
      <c r="L72" s="195"/>
      <c r="M72" s="498"/>
      <c r="N72" s="195"/>
      <c r="O72" s="499"/>
      <c r="P72" s="155"/>
      <c r="Q72" s="155"/>
      <c r="R72" s="195"/>
      <c r="S72" s="195"/>
      <c r="T72" s="195"/>
      <c r="U72" s="195"/>
      <c r="V72" s="195"/>
      <c r="W72" s="195"/>
      <c r="X72" s="195"/>
      <c r="Y72" s="195"/>
      <c r="AA72" s="195"/>
      <c r="AB72" s="195"/>
      <c r="AC72" s="155"/>
      <c r="AD72" s="494"/>
      <c r="AE72" s="195"/>
      <c r="AF72" s="195"/>
      <c r="AG72" s="195"/>
      <c r="AH72" s="195"/>
    </row>
  </sheetData>
  <sortState ref="A9:AI65">
    <sortCondition ref="B9:B65"/>
  </sortState>
  <conditionalFormatting sqref="B9:B64 AC9:AC64">
    <cfRule type="cellIs" dxfId="21" priority="93" stopIfTrue="1" operator="lessThanOrEqual">
      <formula>19</formula>
    </cfRule>
    <cfRule type="cellIs" dxfId="20" priority="94" stopIfTrue="1" operator="lessThanOrEqual">
      <formula>39</formula>
    </cfRule>
    <cfRule type="cellIs" dxfId="19" priority="95" operator="greaterThan">
      <formula>39</formula>
    </cfRule>
  </conditionalFormatting>
  <conditionalFormatting sqref="G17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B64">
    <cfRule type="colorScale" priority="3">
      <colorScale>
        <cfvo type="min"/>
        <cfvo type="percentile" val="50"/>
        <cfvo type="max"/>
        <color rgb="FF62BC2A"/>
        <color rgb="FFFFEB84"/>
        <color rgb="FFE95DAD"/>
      </colorScale>
    </cfRule>
  </conditionalFormatting>
  <conditionalFormatting sqref="S9:S64">
    <cfRule type="cellIs" dxfId="18" priority="1831" operator="equal">
      <formula>0</formula>
    </cfRule>
    <cfRule type="colorScale" priority="1832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T9:T64">
    <cfRule type="cellIs" dxfId="17" priority="1833" operator="equal">
      <formula>0</formula>
    </cfRule>
    <cfRule type="colorScale" priority="1834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U9:U64">
    <cfRule type="cellIs" dxfId="16" priority="1835" operator="equal">
      <formula>0</formula>
    </cfRule>
    <cfRule type="colorScale" priority="1836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V9:V64">
    <cfRule type="cellIs" dxfId="15" priority="1837" operator="equal">
      <formula>0</formula>
    </cfRule>
    <cfRule type="colorScale" priority="1838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W9:W64">
    <cfRule type="cellIs" dxfId="14" priority="1839" operator="equal">
      <formula>0</formula>
    </cfRule>
    <cfRule type="colorScale" priority="1840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X9:X64">
    <cfRule type="cellIs" dxfId="13" priority="1841" operator="equal">
      <formula>0</formula>
    </cfRule>
    <cfRule type="colorScale" priority="1842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Y9:Y64">
    <cfRule type="cellIs" dxfId="12" priority="1843" operator="equal">
      <formula>0</formula>
    </cfRule>
    <cfRule type="colorScale" priority="1844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Z9:Z64">
    <cfRule type="cellIs" dxfId="11" priority="1845" operator="equal">
      <formula>0</formula>
    </cfRule>
    <cfRule type="colorScale" priority="1846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AA9:AA64">
    <cfRule type="cellIs" dxfId="10" priority="1847" operator="equal">
      <formula>0</formula>
    </cfRule>
    <cfRule type="colorScale" priority="1848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AB9:AB64">
    <cfRule type="cellIs" dxfId="9" priority="1849" operator="equal">
      <formula>0</formula>
    </cfRule>
    <cfRule type="colorScale" priority="1850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E9:E64">
    <cfRule type="colorScale" priority="1851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18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53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L9:L64">
    <cfRule type="cellIs" dxfId="8" priority="1854" operator="equal">
      <formula>0</formula>
    </cfRule>
    <cfRule type="colorScale" priority="1855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N9:N64">
    <cfRule type="cellIs" dxfId="7" priority="1858" operator="equal">
      <formula>0</formula>
    </cfRule>
    <cfRule type="colorScale" priority="1859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P9:P64">
    <cfRule type="colorScale" priority="1860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O9:O64">
    <cfRule type="cellIs" dxfId="6" priority="1861" operator="equal">
      <formula>0</formula>
    </cfRule>
    <cfRule type="colorScale" priority="1862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K9:K64">
    <cfRule type="colorScale" priority="1863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B9:B64">
    <cfRule type="colorScale" priority="1865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1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:AC64">
    <cfRule type="colorScale" priority="1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:E64">
    <cfRule type="colorScale" priority="2">
      <colorScale>
        <cfvo type="min"/>
        <cfvo type="percentile" val="50"/>
        <cfvo type="max"/>
        <color rgb="FFE95DAD"/>
        <color rgb="FFFFEB84"/>
        <color rgb="FF62BC2A"/>
      </colorScale>
    </cfRule>
  </conditionalFormatting>
  <conditionalFormatting sqref="S8:AC64">
    <cfRule type="colorScale" priority="1">
      <colorScale>
        <cfvo type="min"/>
        <cfvo type="percentile" val="50"/>
        <cfvo type="max"/>
        <color rgb="FF62BC2A"/>
        <color rgb="FFFFEB84"/>
        <color rgb="FFE95DAD"/>
      </colorScale>
    </cfRule>
  </conditionalFormatting>
  <pageMargins left="0.7" right="0.7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0"/>
  </sheetPr>
  <dimension ref="A1:J75"/>
  <sheetViews>
    <sheetView zoomScaleNormal="100" workbookViewId="0">
      <pane ySplit="6" topLeftCell="A45" activePane="bottomLeft" state="frozen"/>
      <selection activeCell="A22" sqref="A22"/>
      <selection pane="bottomLeft" activeCell="A48" sqref="A48"/>
    </sheetView>
  </sheetViews>
  <sheetFormatPr defaultColWidth="8.88671875" defaultRowHeight="18" x14ac:dyDescent="0.35"/>
  <cols>
    <col min="1" max="1" width="36.77734375" style="33" customWidth="1"/>
    <col min="2" max="3" width="10.33203125" style="4" customWidth="1"/>
    <col min="4" max="4" width="13" style="31" bestFit="1" customWidth="1"/>
    <col min="5" max="5" width="23.5546875" style="1" customWidth="1"/>
    <col min="6" max="6" width="7.5546875" style="30" customWidth="1"/>
    <col min="7" max="7" width="8.88671875" style="8"/>
    <col min="8" max="8" width="16.88671875" style="1" customWidth="1"/>
    <col min="9" max="9" width="12.109375" style="1" customWidth="1"/>
    <col min="10" max="10" width="11.44140625" style="1" bestFit="1" customWidth="1"/>
    <col min="11" max="16384" width="8.88671875" style="1"/>
  </cols>
  <sheetData>
    <row r="1" spans="1:10" ht="21" x14ac:dyDescent="0.4">
      <c r="A1" s="114" t="s">
        <v>309</v>
      </c>
      <c r="B1" s="36"/>
      <c r="C1" s="36"/>
      <c r="E1" s="33"/>
      <c r="F1" s="76"/>
      <c r="G1" s="577"/>
      <c r="H1" s="33"/>
      <c r="I1" s="33"/>
    </row>
    <row r="2" spans="1:10" ht="21" x14ac:dyDescent="0.4">
      <c r="A2" s="114"/>
      <c r="B2" s="36"/>
      <c r="C2" s="36"/>
      <c r="E2" s="33"/>
      <c r="F2" s="76"/>
      <c r="G2" s="577"/>
      <c r="H2" s="33"/>
      <c r="I2" s="33"/>
    </row>
    <row r="3" spans="1:10" x14ac:dyDescent="0.35">
      <c r="A3" s="72"/>
      <c r="B3" s="1210"/>
      <c r="C3" s="215"/>
      <c r="D3" s="328" t="s">
        <v>261</v>
      </c>
      <c r="E3" s="1206" t="s">
        <v>455</v>
      </c>
      <c r="F3" s="76"/>
      <c r="G3" s="577"/>
      <c r="H3" s="33"/>
      <c r="I3" s="33"/>
    </row>
    <row r="4" spans="1:10" x14ac:dyDescent="0.35">
      <c r="A4" s="75"/>
      <c r="B4" s="1210"/>
      <c r="C4" s="216"/>
      <c r="D4" s="324">
        <v>0.18</v>
      </c>
      <c r="E4" s="1206" t="s">
        <v>380</v>
      </c>
      <c r="F4" s="212" t="s">
        <v>76</v>
      </c>
      <c r="G4" s="577"/>
      <c r="H4" s="33"/>
      <c r="I4" s="33"/>
    </row>
    <row r="5" spans="1:10" x14ac:dyDescent="0.35">
      <c r="A5" s="97"/>
      <c r="B5" s="1210"/>
      <c r="C5" s="216" t="s">
        <v>1</v>
      </c>
      <c r="D5" s="325" t="s">
        <v>75</v>
      </c>
      <c r="E5" s="529" t="s">
        <v>379</v>
      </c>
      <c r="F5" s="212"/>
      <c r="G5" s="577"/>
      <c r="H5" s="33"/>
      <c r="I5" s="33"/>
    </row>
    <row r="6" spans="1:10" ht="18.600000000000001" thickBot="1" x14ac:dyDescent="0.4">
      <c r="A6" s="97" t="s">
        <v>4</v>
      </c>
      <c r="B6" s="1211" t="s">
        <v>3</v>
      </c>
      <c r="C6" s="217" t="s">
        <v>2</v>
      </c>
      <c r="D6" s="326">
        <f>MAX(D7:D63)</f>
        <v>8.1617920555432377</v>
      </c>
      <c r="E6" s="38" t="s">
        <v>378</v>
      </c>
      <c r="F6" s="76"/>
      <c r="G6" s="577"/>
      <c r="H6" s="33"/>
      <c r="I6" s="33"/>
    </row>
    <row r="7" spans="1:10" ht="18.600000000000001" thickBot="1" x14ac:dyDescent="0.4">
      <c r="A7" s="164" t="s">
        <v>10</v>
      </c>
      <c r="B7" s="42">
        <f t="shared" ref="B7:B38" si="0">RANK(E7,E$7:E$63,0)</f>
        <v>25</v>
      </c>
      <c r="C7" s="218">
        <f t="shared" ref="C7:C26" si="1">D7*10/D$6</f>
        <v>4.0212272981087569</v>
      </c>
      <c r="D7" s="41">
        <f>E7^D$4</f>
        <v>3.2820421015237646</v>
      </c>
      <c r="E7" s="1207">
        <v>737</v>
      </c>
      <c r="F7" s="587"/>
      <c r="G7" s="577"/>
      <c r="H7" s="33"/>
      <c r="I7"/>
      <c r="J7" s="696"/>
    </row>
    <row r="8" spans="1:10" ht="18.600000000000001" thickBot="1" x14ac:dyDescent="0.4">
      <c r="A8" s="214" t="s">
        <v>209</v>
      </c>
      <c r="B8" s="42">
        <f t="shared" si="0"/>
        <v>40</v>
      </c>
      <c r="C8" s="218">
        <f t="shared" si="1"/>
        <v>2.8315781219829477</v>
      </c>
      <c r="D8" s="41">
        <f t="shared" ref="D8:D26" si="2">$E8^D$4</f>
        <v>2.3110751820650464</v>
      </c>
      <c r="E8" s="1208">
        <v>105</v>
      </c>
      <c r="F8" s="587"/>
      <c r="G8" s="577"/>
      <c r="H8" s="33"/>
      <c r="I8"/>
      <c r="J8" s="696"/>
    </row>
    <row r="9" spans="1:10" ht="18.600000000000001" thickBot="1" x14ac:dyDescent="0.4">
      <c r="A9" s="214" t="s">
        <v>146</v>
      </c>
      <c r="B9" s="42">
        <f t="shared" si="0"/>
        <v>33</v>
      </c>
      <c r="C9" s="218">
        <f t="shared" si="1"/>
        <v>3.3450200987511782</v>
      </c>
      <c r="D9" s="41">
        <f t="shared" si="2"/>
        <v>2.7301358467619825</v>
      </c>
      <c r="E9" s="1208">
        <v>265</v>
      </c>
      <c r="F9" s="587"/>
      <c r="G9" s="577"/>
      <c r="H9" s="33"/>
      <c r="I9"/>
      <c r="J9" s="696"/>
    </row>
    <row r="10" spans="1:10" ht="18.600000000000001" thickBot="1" x14ac:dyDescent="0.4">
      <c r="A10" s="214" t="s">
        <v>147</v>
      </c>
      <c r="B10" s="42">
        <f t="shared" si="0"/>
        <v>23</v>
      </c>
      <c r="C10" s="218">
        <f t="shared" si="1"/>
        <v>4.1117278675998499</v>
      </c>
      <c r="D10" s="41">
        <f t="shared" si="2"/>
        <v>3.3559067844332189</v>
      </c>
      <c r="E10" s="1208">
        <v>834</v>
      </c>
      <c r="F10" s="587"/>
      <c r="G10" s="577"/>
      <c r="H10" s="33"/>
      <c r="I10"/>
      <c r="J10" s="696"/>
    </row>
    <row r="11" spans="1:10" ht="18.600000000000001" thickBot="1" x14ac:dyDescent="0.4">
      <c r="A11" s="95" t="s">
        <v>5</v>
      </c>
      <c r="B11" s="42">
        <f t="shared" si="0"/>
        <v>8</v>
      </c>
      <c r="C11" s="218">
        <f t="shared" si="1"/>
        <v>5.4587317502185577</v>
      </c>
      <c r="D11" s="41">
        <f t="shared" si="2"/>
        <v>4.4553033432275457</v>
      </c>
      <c r="E11" s="1208">
        <v>4026</v>
      </c>
      <c r="F11" s="587"/>
      <c r="G11" s="577"/>
      <c r="H11" s="33"/>
      <c r="I11"/>
      <c r="J11" s="901"/>
    </row>
    <row r="12" spans="1:10" ht="18.600000000000001" thickBot="1" x14ac:dyDescent="0.4">
      <c r="A12" s="214" t="s">
        <v>210</v>
      </c>
      <c r="B12" s="42">
        <f t="shared" si="0"/>
        <v>26</v>
      </c>
      <c r="C12" s="218">
        <f t="shared" si="1"/>
        <v>3.946432950400161</v>
      </c>
      <c r="D12" s="41">
        <f t="shared" si="2"/>
        <v>3.220996510231009</v>
      </c>
      <c r="E12" s="1208">
        <v>664</v>
      </c>
      <c r="F12" s="587"/>
      <c r="G12" s="577"/>
      <c r="H12" s="33"/>
      <c r="I12"/>
      <c r="J12" s="696"/>
    </row>
    <row r="13" spans="1:10" ht="18.600000000000001" thickBot="1" x14ac:dyDescent="0.4">
      <c r="A13" s="214" t="s">
        <v>339</v>
      </c>
      <c r="B13" s="42">
        <f t="shared" si="0"/>
        <v>30</v>
      </c>
      <c r="C13" s="218">
        <f t="shared" si="1"/>
        <v>3.751329954629671</v>
      </c>
      <c r="D13" s="41">
        <f t="shared" si="2"/>
        <v>3.0617575021417824</v>
      </c>
      <c r="E13" s="1208">
        <v>501</v>
      </c>
      <c r="F13" s="587"/>
      <c r="G13" s="577"/>
      <c r="H13" s="33"/>
      <c r="I13"/>
      <c r="J13" s="696"/>
    </row>
    <row r="14" spans="1:10" ht="18.600000000000001" thickBot="1" x14ac:dyDescent="0.4">
      <c r="A14" s="95" t="s">
        <v>134</v>
      </c>
      <c r="B14" s="42">
        <f t="shared" si="0"/>
        <v>16</v>
      </c>
      <c r="C14" s="218">
        <f t="shared" si="1"/>
        <v>4.5868021627512965</v>
      </c>
      <c r="D14" s="41">
        <f t="shared" si="2"/>
        <v>3.7436525452292075</v>
      </c>
      <c r="E14" s="1208">
        <v>1531</v>
      </c>
      <c r="F14" s="587"/>
      <c r="G14" s="577"/>
      <c r="H14" s="33"/>
      <c r="I14"/>
      <c r="J14" s="696"/>
    </row>
    <row r="15" spans="1:10" ht="18.600000000000001" thickBot="1" x14ac:dyDescent="0.4">
      <c r="A15" s="214" t="s">
        <v>148</v>
      </c>
      <c r="B15" s="42">
        <f t="shared" si="0"/>
        <v>18</v>
      </c>
      <c r="C15" s="218">
        <f t="shared" si="1"/>
        <v>4.4870772599962532</v>
      </c>
      <c r="D15" s="41">
        <f t="shared" si="2"/>
        <v>3.662259153324614</v>
      </c>
      <c r="E15" s="1208">
        <v>1355</v>
      </c>
      <c r="F15" s="587"/>
      <c r="G15" s="577"/>
      <c r="H15" s="33"/>
      <c r="I15"/>
      <c r="J15" s="900"/>
    </row>
    <row r="16" spans="1:10" ht="18.600000000000001" thickBot="1" x14ac:dyDescent="0.4">
      <c r="A16" s="214" t="s">
        <v>9</v>
      </c>
      <c r="B16" s="42">
        <f t="shared" si="0"/>
        <v>11</v>
      </c>
      <c r="C16" s="218">
        <f t="shared" si="1"/>
        <v>5.0860353657661559</v>
      </c>
      <c r="D16" s="41">
        <f t="shared" si="2"/>
        <v>4.1511163042522154</v>
      </c>
      <c r="E16" s="1208">
        <v>2718</v>
      </c>
      <c r="F16" s="587"/>
      <c r="G16" s="577"/>
      <c r="H16" s="33"/>
      <c r="I16"/>
      <c r="J16" s="900"/>
    </row>
    <row r="17" spans="1:10" ht="18.600000000000001" thickBot="1" x14ac:dyDescent="0.4">
      <c r="A17" s="95" t="s">
        <v>129</v>
      </c>
      <c r="B17" s="42">
        <f t="shared" si="0"/>
        <v>39</v>
      </c>
      <c r="C17" s="218">
        <f t="shared" si="1"/>
        <v>2.8553881813797837</v>
      </c>
      <c r="D17" s="41">
        <f t="shared" si="2"/>
        <v>2.330508457427757</v>
      </c>
      <c r="E17" s="1208">
        <v>110</v>
      </c>
      <c r="F17" s="587"/>
      <c r="G17" s="577"/>
      <c r="H17" s="33"/>
      <c r="I17"/>
      <c r="J17" s="696"/>
    </row>
    <row r="18" spans="1:10" ht="18.600000000000001" thickBot="1" x14ac:dyDescent="0.4">
      <c r="A18" s="95" t="s">
        <v>18</v>
      </c>
      <c r="B18" s="42">
        <f t="shared" si="0"/>
        <v>17</v>
      </c>
      <c r="C18" s="218">
        <f t="shared" si="1"/>
        <v>4.5835613234585573</v>
      </c>
      <c r="D18" s="41">
        <f t="shared" si="2"/>
        <v>3.7410074395899304</v>
      </c>
      <c r="E18" s="1208">
        <v>1525</v>
      </c>
      <c r="F18" s="587"/>
      <c r="G18" s="577"/>
      <c r="H18" s="33"/>
      <c r="I18"/>
      <c r="J18" s="696"/>
    </row>
    <row r="19" spans="1:10" ht="18.600000000000001" thickBot="1" x14ac:dyDescent="0.4">
      <c r="A19" s="95" t="s">
        <v>140</v>
      </c>
      <c r="B19" s="42">
        <f t="shared" si="0"/>
        <v>13</v>
      </c>
      <c r="C19" s="218">
        <f t="shared" si="1"/>
        <v>4.7807186184641459</v>
      </c>
      <c r="D19" s="41">
        <f t="shared" si="2"/>
        <v>3.9019231239968306</v>
      </c>
      <c r="E19" s="1208">
        <v>1927</v>
      </c>
      <c r="F19" s="587"/>
      <c r="G19" s="577"/>
      <c r="H19" s="33"/>
      <c r="I19"/>
      <c r="J19" s="696"/>
    </row>
    <row r="20" spans="1:10" ht="18.600000000000001" thickBot="1" x14ac:dyDescent="0.4">
      <c r="A20" s="214" t="s">
        <v>143</v>
      </c>
      <c r="B20" s="42">
        <f t="shared" si="0"/>
        <v>31</v>
      </c>
      <c r="C20" s="218">
        <f t="shared" si="1"/>
        <v>3.702746152095171</v>
      </c>
      <c r="D20" s="41">
        <f t="shared" si="2"/>
        <v>3.0221044127863661</v>
      </c>
      <c r="E20" s="1208">
        <v>466</v>
      </c>
      <c r="F20" s="587"/>
      <c r="G20" s="577"/>
      <c r="H20" s="33"/>
      <c r="I20"/>
      <c r="J20" s="696"/>
    </row>
    <row r="21" spans="1:10" ht="18.600000000000001" thickBot="1" x14ac:dyDescent="0.4">
      <c r="A21" s="214" t="s">
        <v>149</v>
      </c>
      <c r="B21" s="42">
        <f t="shared" si="0"/>
        <v>24</v>
      </c>
      <c r="C21" s="218">
        <f t="shared" si="1"/>
        <v>4.0910824110525459</v>
      </c>
      <c r="D21" s="41">
        <f t="shared" si="2"/>
        <v>3.3390563921101344</v>
      </c>
      <c r="E21" s="1208">
        <v>811</v>
      </c>
      <c r="F21" s="587"/>
      <c r="G21" s="577"/>
      <c r="H21" s="33"/>
      <c r="I21"/>
      <c r="J21" s="696"/>
    </row>
    <row r="22" spans="1:10" ht="18.600000000000001" thickBot="1" x14ac:dyDescent="0.4">
      <c r="A22" s="95" t="s">
        <v>132</v>
      </c>
      <c r="B22" s="42">
        <f t="shared" si="0"/>
        <v>54</v>
      </c>
      <c r="C22" s="218">
        <f t="shared" si="1"/>
        <v>1.4931254574072874</v>
      </c>
      <c r="D22" s="41">
        <f t="shared" si="2"/>
        <v>1.2186579496196162</v>
      </c>
      <c r="E22" s="1208">
        <v>3</v>
      </c>
      <c r="F22" s="587"/>
      <c r="G22" s="577"/>
      <c r="H22" s="33"/>
      <c r="I22"/>
      <c r="J22" s="696"/>
    </row>
    <row r="23" spans="1:10" ht="18.600000000000001" thickBot="1" x14ac:dyDescent="0.4">
      <c r="A23" s="95" t="s">
        <v>16</v>
      </c>
      <c r="B23" s="42">
        <f t="shared" si="0"/>
        <v>20</v>
      </c>
      <c r="C23" s="218">
        <f t="shared" si="1"/>
        <v>4.1923477804301443</v>
      </c>
      <c r="D23" s="41">
        <f t="shared" si="2"/>
        <v>3.4217070808389081</v>
      </c>
      <c r="E23" s="1208">
        <v>929</v>
      </c>
      <c r="F23" s="587"/>
      <c r="G23" s="577"/>
      <c r="H23" s="33"/>
      <c r="I23"/>
      <c r="J23" s="696"/>
    </row>
    <row r="24" spans="1:10" ht="18.600000000000001" thickBot="1" x14ac:dyDescent="0.4">
      <c r="A24" s="95" t="s">
        <v>6</v>
      </c>
      <c r="B24" s="42">
        <f t="shared" si="0"/>
        <v>3</v>
      </c>
      <c r="C24" s="218">
        <f t="shared" si="1"/>
        <v>7.8708016664396272</v>
      </c>
      <c r="D24" s="41">
        <f t="shared" si="2"/>
        <v>6.4239846511903425</v>
      </c>
      <c r="E24" s="1208">
        <v>30747</v>
      </c>
      <c r="F24" s="587"/>
      <c r="G24" s="577"/>
      <c r="H24" s="33"/>
      <c r="I24"/>
      <c r="J24" s="900"/>
    </row>
    <row r="25" spans="1:10" ht="18.600000000000001" thickBot="1" x14ac:dyDescent="0.4">
      <c r="A25" s="95" t="s">
        <v>20</v>
      </c>
      <c r="B25" s="42">
        <f t="shared" si="0"/>
        <v>27</v>
      </c>
      <c r="C25" s="218">
        <f t="shared" si="1"/>
        <v>3.9367506537991726</v>
      </c>
      <c r="D25" s="41">
        <f t="shared" si="2"/>
        <v>3.2130940210832732</v>
      </c>
      <c r="E25" s="1208">
        <v>655</v>
      </c>
      <c r="F25" s="587"/>
      <c r="G25" s="577"/>
      <c r="H25" s="33"/>
      <c r="I25"/>
      <c r="J25" s="696"/>
    </row>
    <row r="26" spans="1:10" ht="18.600000000000001" thickBot="1" x14ac:dyDescent="0.4">
      <c r="A26" s="214" t="s">
        <v>150</v>
      </c>
      <c r="B26" s="42">
        <f t="shared" si="0"/>
        <v>53</v>
      </c>
      <c r="C26" s="218">
        <f t="shared" si="1"/>
        <v>1.691537769421634</v>
      </c>
      <c r="D26" s="41">
        <f t="shared" si="2"/>
        <v>1.3805979528116823</v>
      </c>
      <c r="E26" s="1208">
        <v>6</v>
      </c>
      <c r="F26" s="587"/>
      <c r="G26" s="577"/>
      <c r="H26" s="33"/>
      <c r="I26"/>
      <c r="J26" s="696"/>
    </row>
    <row r="27" spans="1:10" ht="18.600000000000001" thickBot="1" x14ac:dyDescent="0.4">
      <c r="A27" s="214" t="s">
        <v>33</v>
      </c>
      <c r="B27" s="42">
        <f t="shared" si="0"/>
        <v>49</v>
      </c>
      <c r="C27" s="218">
        <v>2.3211015820009462</v>
      </c>
      <c r="D27" s="41">
        <v>1.8998870585080376</v>
      </c>
      <c r="E27" s="1208">
        <v>39</v>
      </c>
      <c r="F27" s="587"/>
      <c r="G27" s="577"/>
      <c r="H27" s="33"/>
      <c r="I27"/>
      <c r="J27" s="696"/>
    </row>
    <row r="28" spans="1:10" ht="18.600000000000001" thickBot="1" x14ac:dyDescent="0.4">
      <c r="A28" s="214" t="s">
        <v>476</v>
      </c>
      <c r="B28" s="42">
        <f t="shared" si="0"/>
        <v>9</v>
      </c>
      <c r="C28" s="218">
        <f t="shared" ref="C28:C63" si="3">D28*10/D$6</f>
        <v>5.2090722667887102</v>
      </c>
      <c r="D28" s="41">
        <f t="shared" ref="D28:D63" si="4">$E28^D$4</f>
        <v>4.2515364643826699</v>
      </c>
      <c r="E28" s="1208">
        <v>3104</v>
      </c>
      <c r="F28" s="587"/>
      <c r="G28" s="577"/>
      <c r="H28" s="33"/>
      <c r="I28"/>
      <c r="J28" s="901"/>
    </row>
    <row r="29" spans="1:10" ht="18.600000000000001" thickBot="1" x14ac:dyDescent="0.4">
      <c r="A29" s="214" t="s">
        <v>151</v>
      </c>
      <c r="B29" s="42">
        <f t="shared" si="0"/>
        <v>19</v>
      </c>
      <c r="C29" s="218">
        <f t="shared" si="3"/>
        <v>4.3309543275807032</v>
      </c>
      <c r="D29" s="41">
        <f t="shared" si="4"/>
        <v>3.5348348623768784</v>
      </c>
      <c r="E29" s="1208">
        <v>1113</v>
      </c>
      <c r="F29" s="587"/>
      <c r="G29" s="577"/>
      <c r="H29" s="33"/>
      <c r="I29"/>
      <c r="J29" s="696"/>
    </row>
    <row r="30" spans="1:10" ht="18.600000000000001" thickBot="1" x14ac:dyDescent="0.4">
      <c r="A30" s="214" t="s">
        <v>144</v>
      </c>
      <c r="B30" s="42">
        <f t="shared" si="0"/>
        <v>43</v>
      </c>
      <c r="C30" s="218">
        <f t="shared" si="3"/>
        <v>2.6390096424648002</v>
      </c>
      <c r="D30" s="41">
        <f t="shared" si="4"/>
        <v>2.1539047934371207</v>
      </c>
      <c r="E30" s="1208">
        <v>71</v>
      </c>
      <c r="F30" s="587"/>
      <c r="G30" s="577"/>
      <c r="H30" s="33"/>
      <c r="I30"/>
      <c r="J30" s="696"/>
    </row>
    <row r="31" spans="1:10" ht="18.600000000000001" thickBot="1" x14ac:dyDescent="0.4">
      <c r="A31" s="214" t="s">
        <v>145</v>
      </c>
      <c r="B31" s="42">
        <f t="shared" si="0"/>
        <v>48</v>
      </c>
      <c r="C31" s="218">
        <f t="shared" si="3"/>
        <v>2.3906476332391247</v>
      </c>
      <c r="D31" s="41">
        <f t="shared" si="4"/>
        <v>1.9511968860574331</v>
      </c>
      <c r="E31" s="1208">
        <v>41</v>
      </c>
      <c r="F31" s="587"/>
      <c r="G31" s="577"/>
      <c r="H31" s="33"/>
      <c r="I31"/>
      <c r="J31" s="696"/>
    </row>
    <row r="32" spans="1:10" ht="18.600000000000001" thickBot="1" x14ac:dyDescent="0.4">
      <c r="A32" s="214" t="s">
        <v>152</v>
      </c>
      <c r="B32" s="42">
        <f t="shared" si="0"/>
        <v>56</v>
      </c>
      <c r="C32" s="218">
        <f t="shared" si="3"/>
        <v>1.2252211195711986</v>
      </c>
      <c r="D32" s="41">
        <f t="shared" si="4"/>
        <v>1</v>
      </c>
      <c r="E32" s="1208">
        <v>1</v>
      </c>
      <c r="F32" s="587"/>
      <c r="G32" s="577"/>
      <c r="H32" s="33"/>
      <c r="I32"/>
      <c r="J32" s="696"/>
    </row>
    <row r="33" spans="1:10" ht="18.600000000000001" thickBot="1" x14ac:dyDescent="0.4">
      <c r="A33" s="214" t="s">
        <v>356</v>
      </c>
      <c r="B33" s="42">
        <f t="shared" si="0"/>
        <v>21</v>
      </c>
      <c r="C33" s="218">
        <f t="shared" si="3"/>
        <v>4.1465464252566093</v>
      </c>
      <c r="D33" s="41">
        <f t="shared" si="4"/>
        <v>3.3843249671600604</v>
      </c>
      <c r="E33" s="1208">
        <v>874</v>
      </c>
      <c r="F33" s="587"/>
      <c r="G33" s="577"/>
      <c r="H33" s="33"/>
      <c r="I33"/>
      <c r="J33" s="696"/>
    </row>
    <row r="34" spans="1:10" ht="18.600000000000001" thickBot="1" x14ac:dyDescent="0.4">
      <c r="A34" s="214" t="s">
        <v>337</v>
      </c>
      <c r="B34" s="42">
        <f t="shared" si="0"/>
        <v>46</v>
      </c>
      <c r="C34" s="218">
        <f t="shared" si="3"/>
        <v>2.4864349743936369</v>
      </c>
      <c r="D34" s="41">
        <f t="shared" si="4"/>
        <v>2.0293765220630839</v>
      </c>
      <c r="E34" s="1208">
        <v>51</v>
      </c>
      <c r="F34" s="587"/>
      <c r="G34" s="577"/>
      <c r="H34" s="33"/>
      <c r="I34"/>
      <c r="J34" s="696"/>
    </row>
    <row r="35" spans="1:10" ht="18.600000000000001" thickBot="1" x14ac:dyDescent="0.4">
      <c r="A35" s="95" t="s">
        <v>128</v>
      </c>
      <c r="B35" s="42">
        <f t="shared" si="0"/>
        <v>6</v>
      </c>
      <c r="C35" s="218">
        <f t="shared" si="3"/>
        <v>6.4486785436726324</v>
      </c>
      <c r="D35" s="41">
        <f t="shared" si="4"/>
        <v>5.2632773306499425</v>
      </c>
      <c r="E35" s="1208">
        <v>10162</v>
      </c>
      <c r="F35" s="587"/>
      <c r="G35" s="577"/>
      <c r="H35" s="33"/>
      <c r="I35"/>
      <c r="J35" s="900"/>
    </row>
    <row r="36" spans="1:10" ht="18.600000000000001" thickBot="1" x14ac:dyDescent="0.4">
      <c r="A36" s="96" t="s">
        <v>141</v>
      </c>
      <c r="B36" s="42">
        <f t="shared" si="0"/>
        <v>12</v>
      </c>
      <c r="C36" s="218">
        <f t="shared" si="3"/>
        <v>5.0385552059698941</v>
      </c>
      <c r="D36" s="41">
        <f t="shared" si="4"/>
        <v>4.1123639851501101</v>
      </c>
      <c r="E36" s="1208">
        <v>2580</v>
      </c>
      <c r="F36" s="587"/>
      <c r="G36" s="577"/>
      <c r="H36" s="33"/>
      <c r="I36"/>
      <c r="J36" s="901"/>
    </row>
    <row r="37" spans="1:10" ht="18.600000000000001" thickBot="1" x14ac:dyDescent="0.4">
      <c r="A37" s="95" t="s">
        <v>125</v>
      </c>
      <c r="B37" s="42">
        <f t="shared" si="0"/>
        <v>10</v>
      </c>
      <c r="C37" s="218">
        <f t="shared" si="3"/>
        <v>5.1898813583921326</v>
      </c>
      <c r="D37" s="41">
        <f t="shared" si="4"/>
        <v>4.2358732440136855</v>
      </c>
      <c r="E37" s="1208">
        <v>3041</v>
      </c>
      <c r="F37" s="587"/>
      <c r="G37" s="577"/>
      <c r="H37" s="33"/>
      <c r="I37"/>
      <c r="J37" s="901"/>
    </row>
    <row r="38" spans="1:10" ht="18.600000000000001" thickBot="1" x14ac:dyDescent="0.4">
      <c r="A38" s="214" t="s">
        <v>153</v>
      </c>
      <c r="B38" s="42">
        <f t="shared" si="0"/>
        <v>47</v>
      </c>
      <c r="C38" s="218">
        <f t="shared" si="3"/>
        <v>2.4501467036081692</v>
      </c>
      <c r="D38" s="41">
        <f t="shared" si="4"/>
        <v>1.9997587900424609</v>
      </c>
      <c r="E38" s="1208">
        <v>47</v>
      </c>
      <c r="F38" s="587"/>
      <c r="G38" s="577"/>
      <c r="H38" s="33"/>
      <c r="I38"/>
      <c r="J38" s="696"/>
    </row>
    <row r="39" spans="1:10" ht="18.600000000000001" thickBot="1" x14ac:dyDescent="0.4">
      <c r="A39" s="95" t="s">
        <v>133</v>
      </c>
      <c r="B39" s="42">
        <f t="shared" ref="B39:B63" si="5">RANK(E39,E$7:E$63,0)</f>
        <v>29</v>
      </c>
      <c r="C39" s="218">
        <f t="shared" si="3"/>
        <v>3.8980282155473431</v>
      </c>
      <c r="D39" s="41">
        <f t="shared" si="4"/>
        <v>3.1814895721937688</v>
      </c>
      <c r="E39" s="1208">
        <v>620</v>
      </c>
      <c r="F39" s="587"/>
      <c r="G39" s="577"/>
      <c r="H39" s="33"/>
      <c r="I39"/>
      <c r="J39" s="696"/>
    </row>
    <row r="40" spans="1:10" ht="18.600000000000001" thickBot="1" x14ac:dyDescent="0.4">
      <c r="A40" s="95" t="s">
        <v>357</v>
      </c>
      <c r="B40" s="42">
        <f t="shared" si="5"/>
        <v>22</v>
      </c>
      <c r="C40" s="218">
        <f t="shared" si="3"/>
        <v>4.1179185618759622</v>
      </c>
      <c r="D40" s="41">
        <f t="shared" si="4"/>
        <v>3.3609595003693262</v>
      </c>
      <c r="E40" s="1208">
        <v>841</v>
      </c>
      <c r="F40" s="587"/>
      <c r="G40" s="577"/>
      <c r="H40" s="33"/>
      <c r="I40"/>
      <c r="J40" s="696"/>
    </row>
    <row r="41" spans="1:10" ht="18.600000000000001" thickBot="1" x14ac:dyDescent="0.4">
      <c r="A41" s="214" t="s">
        <v>154</v>
      </c>
      <c r="B41" s="42">
        <f t="shared" si="5"/>
        <v>28</v>
      </c>
      <c r="C41" s="218">
        <f t="shared" si="3"/>
        <v>3.9192649962602299</v>
      </c>
      <c r="D41" s="41">
        <f t="shared" si="4"/>
        <v>3.1988225910045442</v>
      </c>
      <c r="E41" s="1208">
        <v>639</v>
      </c>
      <c r="F41" s="587"/>
      <c r="G41" s="577"/>
      <c r="H41" s="33"/>
      <c r="I41"/>
      <c r="J41" s="696"/>
    </row>
    <row r="42" spans="1:10" ht="18.600000000000001" thickBot="1" x14ac:dyDescent="0.4">
      <c r="A42" s="214" t="s">
        <v>341</v>
      </c>
      <c r="B42" s="42">
        <f t="shared" si="5"/>
        <v>42</v>
      </c>
      <c r="C42" s="218">
        <f t="shared" si="3"/>
        <v>2.6963152743062522</v>
      </c>
      <c r="D42" s="41">
        <f t="shared" si="4"/>
        <v>2.2006764585072656</v>
      </c>
      <c r="E42" s="1208">
        <v>80</v>
      </c>
      <c r="F42" s="587"/>
      <c r="G42" s="577"/>
      <c r="H42" s="33"/>
      <c r="I42"/>
      <c r="J42" s="696"/>
    </row>
    <row r="43" spans="1:10" ht="18.600000000000001" thickBot="1" x14ac:dyDescent="0.4">
      <c r="A43" s="95" t="s">
        <v>7</v>
      </c>
      <c r="B43" s="42">
        <f t="shared" si="5"/>
        <v>2</v>
      </c>
      <c r="C43" s="218">
        <f t="shared" si="3"/>
        <v>7.9799126043586641</v>
      </c>
      <c r="D43" s="41">
        <f t="shared" si="4"/>
        <v>6.5130387298183896</v>
      </c>
      <c r="E43" s="1208">
        <v>33191</v>
      </c>
      <c r="F43" s="587"/>
      <c r="G43" s="577"/>
      <c r="H43" s="33"/>
      <c r="I43"/>
      <c r="J43" s="900"/>
    </row>
    <row r="44" spans="1:10" ht="18.600000000000001" thickBot="1" x14ac:dyDescent="0.4">
      <c r="A44" s="214" t="s">
        <v>155</v>
      </c>
      <c r="B44" s="42">
        <f t="shared" si="5"/>
        <v>35</v>
      </c>
      <c r="C44" s="218">
        <f t="shared" si="3"/>
        <v>3.2932416817661561</v>
      </c>
      <c r="D44" s="41">
        <f t="shared" si="4"/>
        <v>2.6878753795222865</v>
      </c>
      <c r="E44" s="1208">
        <v>243</v>
      </c>
      <c r="F44" s="587"/>
      <c r="G44" s="577"/>
      <c r="H44" s="33"/>
      <c r="I44"/>
      <c r="J44" s="696"/>
    </row>
    <row r="45" spans="1:10" ht="18.600000000000001" thickBot="1" x14ac:dyDescent="0.4">
      <c r="A45" s="214" t="s">
        <v>156</v>
      </c>
      <c r="B45" s="42">
        <f t="shared" si="5"/>
        <v>34</v>
      </c>
      <c r="C45" s="218">
        <f t="shared" si="3"/>
        <v>3.314870537172574</v>
      </c>
      <c r="D45" s="41">
        <f t="shared" si="4"/>
        <v>2.7055284015449459</v>
      </c>
      <c r="E45" s="1208">
        <v>252</v>
      </c>
      <c r="F45" s="587"/>
      <c r="G45" s="577"/>
      <c r="H45" s="33"/>
      <c r="I45"/>
      <c r="J45" s="696"/>
    </row>
    <row r="46" spans="1:10" ht="18.600000000000001" thickBot="1" x14ac:dyDescent="0.4">
      <c r="A46" s="214" t="s">
        <v>13</v>
      </c>
      <c r="B46" s="42">
        <f t="shared" si="5"/>
        <v>15</v>
      </c>
      <c r="C46" s="218">
        <f t="shared" si="3"/>
        <v>4.6352355409937749</v>
      </c>
      <c r="D46" s="41">
        <f t="shared" si="4"/>
        <v>3.7831828614054652</v>
      </c>
      <c r="E46" s="1208">
        <v>1623</v>
      </c>
      <c r="F46" s="587"/>
      <c r="G46" s="577"/>
      <c r="H46" s="33"/>
      <c r="I46"/>
      <c r="J46" s="900"/>
    </row>
    <row r="47" spans="1:10" ht="18.600000000000001" thickBot="1" x14ac:dyDescent="0.4">
      <c r="A47" s="214" t="s">
        <v>25</v>
      </c>
      <c r="B47" s="42">
        <f t="shared" si="5"/>
        <v>52</v>
      </c>
      <c r="C47" s="218">
        <f t="shared" si="3"/>
        <v>1.9702326905609353</v>
      </c>
      <c r="D47" s="41">
        <f t="shared" si="4"/>
        <v>1.608062952139182</v>
      </c>
      <c r="E47" s="1208">
        <v>14</v>
      </c>
      <c r="F47" s="587"/>
      <c r="G47" s="577"/>
      <c r="H47" s="33"/>
      <c r="I47"/>
      <c r="J47" s="696"/>
    </row>
    <row r="48" spans="1:10" ht="18.600000000000001" thickBot="1" x14ac:dyDescent="0.4">
      <c r="A48" s="214" t="s">
        <v>472</v>
      </c>
      <c r="B48" s="42">
        <f t="shared" si="5"/>
        <v>32</v>
      </c>
      <c r="C48" s="218">
        <f t="shared" si="3"/>
        <v>3.5990959698172982</v>
      </c>
      <c r="D48" s="41">
        <f t="shared" si="4"/>
        <v>2.9375072893592509</v>
      </c>
      <c r="E48" s="1208">
        <v>398</v>
      </c>
      <c r="F48" s="587"/>
      <c r="G48" s="577"/>
      <c r="H48" s="33"/>
      <c r="I48"/>
      <c r="J48" s="696"/>
    </row>
    <row r="49" spans="1:10" ht="18.600000000000001" thickBot="1" x14ac:dyDescent="0.4">
      <c r="A49" s="96" t="s">
        <v>130</v>
      </c>
      <c r="B49" s="42">
        <f t="shared" si="5"/>
        <v>1</v>
      </c>
      <c r="C49" s="218">
        <f t="shared" si="3"/>
        <v>10</v>
      </c>
      <c r="D49" s="41">
        <f t="shared" si="4"/>
        <v>8.1617920555432377</v>
      </c>
      <c r="E49" s="1208">
        <v>116272</v>
      </c>
      <c r="F49" s="587"/>
      <c r="G49" s="577"/>
      <c r="H49" s="33"/>
      <c r="I49"/>
      <c r="J49" s="900"/>
    </row>
    <row r="50" spans="1:10" ht="18.600000000000001" thickBot="1" x14ac:dyDescent="0.4">
      <c r="A50" s="214" t="s">
        <v>19</v>
      </c>
      <c r="B50" s="42">
        <f t="shared" si="5"/>
        <v>37</v>
      </c>
      <c r="C50" s="218">
        <f t="shared" si="3"/>
        <v>3.008372392430823</v>
      </c>
      <c r="D50" s="41">
        <f t="shared" si="4"/>
        <v>2.4553709892657496</v>
      </c>
      <c r="E50" s="1208">
        <v>147</v>
      </c>
      <c r="F50" s="587"/>
      <c r="G50" s="577"/>
      <c r="H50" s="33"/>
      <c r="I50"/>
      <c r="J50" s="696"/>
    </row>
    <row r="51" spans="1:10" ht="18.600000000000001" thickBot="1" x14ac:dyDescent="0.4">
      <c r="A51" s="214" t="s">
        <v>211</v>
      </c>
      <c r="B51" s="42">
        <f t="shared" si="5"/>
        <v>50</v>
      </c>
      <c r="C51" s="218">
        <f t="shared" si="3"/>
        <v>2.2174812270772075</v>
      </c>
      <c r="D51" s="41">
        <f t="shared" si="4"/>
        <v>1.809862066247502</v>
      </c>
      <c r="E51" s="1208">
        <v>27</v>
      </c>
      <c r="F51" s="587"/>
      <c r="G51" s="577"/>
      <c r="H51" s="33"/>
      <c r="I51"/>
      <c r="J51" s="696"/>
    </row>
    <row r="52" spans="1:10" ht="18.600000000000001" thickBot="1" x14ac:dyDescent="0.4">
      <c r="A52" s="214" t="s">
        <v>157</v>
      </c>
      <c r="B52" s="42">
        <f t="shared" si="5"/>
        <v>45</v>
      </c>
      <c r="C52" s="218">
        <f t="shared" si="3"/>
        <v>2.5037106161254155</v>
      </c>
      <c r="D52" s="41">
        <f t="shared" si="4"/>
        <v>2.0434765416071681</v>
      </c>
      <c r="E52" s="1208">
        <v>53</v>
      </c>
      <c r="F52" s="587"/>
      <c r="G52" s="577"/>
      <c r="H52" s="33"/>
      <c r="I52"/>
      <c r="J52" s="696"/>
    </row>
    <row r="53" spans="1:10" ht="18.600000000000001" thickBot="1" x14ac:dyDescent="0.4">
      <c r="A53" s="95" t="s">
        <v>126</v>
      </c>
      <c r="B53" s="42">
        <f t="shared" si="5"/>
        <v>5</v>
      </c>
      <c r="C53" s="218">
        <f t="shared" si="3"/>
        <v>6.9728714006232515</v>
      </c>
      <c r="D53" s="41">
        <f t="shared" si="4"/>
        <v>5.6911126401931504</v>
      </c>
      <c r="E53" s="1208">
        <v>15687</v>
      </c>
      <c r="F53" s="587"/>
      <c r="G53" s="577"/>
      <c r="H53" s="33"/>
      <c r="I53"/>
      <c r="J53" s="900"/>
    </row>
    <row r="54" spans="1:10" ht="18.600000000000001" thickBot="1" x14ac:dyDescent="0.4">
      <c r="A54" s="214" t="s">
        <v>158</v>
      </c>
      <c r="B54" s="42">
        <f t="shared" si="5"/>
        <v>51</v>
      </c>
      <c r="C54" s="218">
        <f t="shared" si="3"/>
        <v>2.1008733573370164</v>
      </c>
      <c r="D54" s="41">
        <f t="shared" si="4"/>
        <v>1.7146891477615709</v>
      </c>
      <c r="E54" s="1208">
        <v>20</v>
      </c>
      <c r="F54" s="587"/>
      <c r="G54" s="577"/>
      <c r="H54" s="33"/>
      <c r="I54"/>
      <c r="J54" s="696"/>
    </row>
    <row r="55" spans="1:10" ht="18.600000000000001" thickBot="1" x14ac:dyDescent="0.4">
      <c r="A55" s="214" t="s">
        <v>213</v>
      </c>
      <c r="B55" s="42">
        <f t="shared" si="5"/>
        <v>38</v>
      </c>
      <c r="C55" s="218">
        <f t="shared" si="3"/>
        <v>2.9546617478096158</v>
      </c>
      <c r="D55" s="41">
        <f t="shared" si="4"/>
        <v>2.4115334780090021</v>
      </c>
      <c r="E55" s="1208">
        <v>133</v>
      </c>
      <c r="F55" s="587"/>
      <c r="G55" s="577"/>
      <c r="H55" s="33"/>
      <c r="I55"/>
      <c r="J55" s="696"/>
    </row>
    <row r="56" spans="1:10" ht="18.600000000000001" thickBot="1" x14ac:dyDescent="0.4">
      <c r="A56" s="214" t="s">
        <v>159</v>
      </c>
      <c r="B56" s="42">
        <f t="shared" si="5"/>
        <v>57</v>
      </c>
      <c r="C56" s="218">
        <f t="shared" si="3"/>
        <v>0</v>
      </c>
      <c r="D56" s="41">
        <f t="shared" si="4"/>
        <v>0</v>
      </c>
      <c r="E56" s="1208">
        <v>0</v>
      </c>
      <c r="F56" s="587"/>
      <c r="G56" s="577"/>
      <c r="H56" s="33"/>
      <c r="I56"/>
      <c r="J56" s="696"/>
    </row>
    <row r="57" spans="1:10" ht="18.600000000000001" thickBot="1" x14ac:dyDescent="0.4">
      <c r="A57" s="95" t="s">
        <v>23</v>
      </c>
      <c r="B57" s="42">
        <f t="shared" si="5"/>
        <v>41</v>
      </c>
      <c r="C57" s="218">
        <f t="shared" si="3"/>
        <v>2.7862706245289708</v>
      </c>
      <c r="D57" s="41">
        <f t="shared" si="4"/>
        <v>2.2740961447874048</v>
      </c>
      <c r="E57" s="1208">
        <v>96</v>
      </c>
      <c r="F57" s="587"/>
      <c r="G57" s="577"/>
      <c r="H57" s="33"/>
      <c r="I57"/>
      <c r="J57" s="696"/>
    </row>
    <row r="58" spans="1:10" ht="18.600000000000001" thickBot="1" x14ac:dyDescent="0.4">
      <c r="A58" s="214" t="s">
        <v>160</v>
      </c>
      <c r="B58" s="42">
        <f t="shared" si="5"/>
        <v>44</v>
      </c>
      <c r="C58" s="218">
        <f t="shared" si="3"/>
        <v>2.5446702539451307</v>
      </c>
      <c r="D58" s="41">
        <f t="shared" si="4"/>
        <v>2.0769069462626559</v>
      </c>
      <c r="E58" s="1208">
        <v>58</v>
      </c>
      <c r="F58" s="587"/>
      <c r="G58" s="577"/>
      <c r="H58" s="33"/>
      <c r="I58"/>
      <c r="J58" s="696"/>
    </row>
    <row r="59" spans="1:10" ht="18.600000000000001" thickBot="1" x14ac:dyDescent="0.4">
      <c r="A59" s="214" t="s">
        <v>338</v>
      </c>
      <c r="B59" s="42">
        <f t="shared" si="5"/>
        <v>36</v>
      </c>
      <c r="C59" s="218">
        <f t="shared" si="3"/>
        <v>3.2608099292808879</v>
      </c>
      <c r="D59" s="41">
        <f t="shared" si="4"/>
        <v>2.6614052575441258</v>
      </c>
      <c r="E59" s="1208">
        <v>230</v>
      </c>
      <c r="F59" s="587"/>
      <c r="G59" s="577"/>
      <c r="H59" s="33"/>
      <c r="I59"/>
      <c r="J59" s="696"/>
    </row>
    <row r="60" spans="1:10" ht="18.600000000000001" thickBot="1" x14ac:dyDescent="0.4">
      <c r="A60" s="214" t="s">
        <v>384</v>
      </c>
      <c r="B60" s="42">
        <f t="shared" si="5"/>
        <v>14</v>
      </c>
      <c r="C60" s="218">
        <f t="shared" si="3"/>
        <v>4.7364795923450131</v>
      </c>
      <c r="D60" s="41">
        <f t="shared" si="4"/>
        <v>3.8658161508044202</v>
      </c>
      <c r="E60" s="1208">
        <v>1830</v>
      </c>
      <c r="F60" s="587"/>
      <c r="G60" s="577"/>
      <c r="H60" s="33"/>
      <c r="I60"/>
      <c r="J60" s="696"/>
    </row>
    <row r="61" spans="1:10" ht="18.600000000000001" thickBot="1" x14ac:dyDescent="0.4">
      <c r="A61" s="95" t="s">
        <v>142</v>
      </c>
      <c r="B61" s="42">
        <f t="shared" si="5"/>
        <v>4</v>
      </c>
      <c r="C61" s="218">
        <f t="shared" si="3"/>
        <v>7.2756927704275833</v>
      </c>
      <c r="D61" s="41">
        <f t="shared" si="4"/>
        <v>5.9382691452249219</v>
      </c>
      <c r="E61" s="1208">
        <v>19866</v>
      </c>
      <c r="F61" s="587"/>
      <c r="G61" s="577"/>
      <c r="H61" s="33"/>
      <c r="I61"/>
      <c r="J61" s="900"/>
    </row>
    <row r="62" spans="1:10" ht="18.600000000000001" thickBot="1" x14ac:dyDescent="0.4">
      <c r="A62" s="95" t="s">
        <v>214</v>
      </c>
      <c r="B62" s="42">
        <f t="shared" si="5"/>
        <v>55</v>
      </c>
      <c r="C62" s="218">
        <f t="shared" si="3"/>
        <v>1.3880332622862877</v>
      </c>
      <c r="D62" s="41">
        <f t="shared" si="4"/>
        <v>1.1328838852957985</v>
      </c>
      <c r="E62" s="1208">
        <v>2</v>
      </c>
      <c r="F62" s="587"/>
      <c r="G62" s="577"/>
      <c r="H62" s="33"/>
      <c r="I62"/>
      <c r="J62" s="696"/>
    </row>
    <row r="63" spans="1:10" ht="18.600000000000001" thickBot="1" x14ac:dyDescent="0.4">
      <c r="A63" s="165" t="s">
        <v>215</v>
      </c>
      <c r="B63" s="42">
        <f t="shared" si="5"/>
        <v>7</v>
      </c>
      <c r="C63" s="218">
        <f t="shared" si="3"/>
        <v>6.2650212340112255</v>
      </c>
      <c r="D63" s="41">
        <f t="shared" si="4"/>
        <v>5.1133800535562512</v>
      </c>
      <c r="E63" s="1209">
        <v>8655</v>
      </c>
      <c r="F63" s="587"/>
      <c r="G63" s="577"/>
      <c r="H63" s="33"/>
      <c r="I63"/>
      <c r="J63" s="901"/>
    </row>
    <row r="64" spans="1:10" x14ac:dyDescent="0.35">
      <c r="B64" s="36"/>
      <c r="C64" s="501"/>
      <c r="E64" s="33"/>
      <c r="F64" s="76"/>
      <c r="G64" s="577"/>
      <c r="H64" s="33"/>
      <c r="I64" s="33"/>
    </row>
    <row r="65" spans="2:9" x14ac:dyDescent="0.35">
      <c r="B65" s="36"/>
      <c r="C65" s="501"/>
      <c r="E65" s="33"/>
      <c r="F65" s="76"/>
      <c r="G65" s="577"/>
      <c r="H65" s="33"/>
      <c r="I65" s="33"/>
    </row>
    <row r="66" spans="2:9" x14ac:dyDescent="0.35">
      <c r="B66" s="36"/>
      <c r="C66" s="36"/>
      <c r="E66" s="33"/>
      <c r="F66" s="76"/>
      <c r="G66" s="577"/>
      <c r="H66" s="33"/>
      <c r="I66" s="33"/>
    </row>
    <row r="67" spans="2:9" x14ac:dyDescent="0.35">
      <c r="B67" s="36"/>
      <c r="C67" s="36"/>
      <c r="E67" s="33"/>
      <c r="F67" s="76"/>
      <c r="G67" s="577"/>
      <c r="H67" s="33"/>
      <c r="I67" s="33"/>
    </row>
    <row r="68" spans="2:9" x14ac:dyDescent="0.35">
      <c r="B68" s="36"/>
      <c r="C68" s="36"/>
      <c r="E68" s="33"/>
      <c r="F68" s="76"/>
      <c r="G68" s="577"/>
      <c r="H68" s="33"/>
      <c r="I68" s="33"/>
    </row>
    <row r="69" spans="2:9" x14ac:dyDescent="0.35">
      <c r="B69" s="36"/>
      <c r="C69" s="36"/>
      <c r="E69" s="33"/>
      <c r="F69" s="76"/>
      <c r="G69" s="577"/>
      <c r="H69" s="33"/>
      <c r="I69" s="33"/>
    </row>
    <row r="70" spans="2:9" x14ac:dyDescent="0.35">
      <c r="B70" s="36"/>
      <c r="C70" s="36"/>
      <c r="E70" s="33"/>
      <c r="F70" s="76"/>
      <c r="G70" s="577"/>
      <c r="H70" s="33"/>
      <c r="I70" s="33"/>
    </row>
    <row r="71" spans="2:9" x14ac:dyDescent="0.35">
      <c r="B71" s="36"/>
      <c r="C71" s="36"/>
      <c r="E71" s="33"/>
      <c r="F71" s="76"/>
      <c r="G71" s="577"/>
      <c r="H71" s="33"/>
      <c r="I71" s="33"/>
    </row>
    <row r="72" spans="2:9" x14ac:dyDescent="0.35">
      <c r="B72" s="36"/>
      <c r="C72" s="36"/>
      <c r="E72" s="33"/>
      <c r="F72" s="76"/>
      <c r="G72" s="577"/>
      <c r="H72" s="33"/>
      <c r="I72" s="33"/>
    </row>
    <row r="73" spans="2:9" x14ac:dyDescent="0.35">
      <c r="B73" s="36"/>
      <c r="C73" s="36"/>
      <c r="E73" s="33"/>
      <c r="F73" s="76"/>
      <c r="G73" s="577"/>
      <c r="H73" s="33"/>
      <c r="I73" s="33"/>
    </row>
    <row r="74" spans="2:9" x14ac:dyDescent="0.35">
      <c r="B74" s="36"/>
      <c r="C74" s="36"/>
      <c r="E74" s="33"/>
      <c r="F74" s="76"/>
      <c r="G74" s="577"/>
      <c r="H74" s="33"/>
      <c r="I74" s="33"/>
    </row>
    <row r="75" spans="2:9" x14ac:dyDescent="0.35">
      <c r="B75" s="36"/>
      <c r="C75" s="36"/>
      <c r="E75" s="33"/>
      <c r="F75" s="76"/>
      <c r="G75" s="577"/>
      <c r="H75" s="33"/>
      <c r="I75" s="33"/>
    </row>
  </sheetData>
  <conditionalFormatting sqref="B7:B63">
    <cfRule type="colorScale" priority="7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C7:C63">
    <cfRule type="colorScale" priority="1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2BC2A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97B7E"/>
        <color rgb="FFFFEB84"/>
        <color rgb="FF6AC281"/>
      </colorScale>
    </cfRule>
  </conditionalFormatting>
  <conditionalFormatting sqref="B7:C63">
    <cfRule type="colorScale" priority="5">
      <colorScale>
        <cfvo type="min"/>
        <cfvo type="percentile" val="50"/>
        <cfvo type="max"/>
        <color rgb="FF62BC2A"/>
        <color rgb="FFFFEB84"/>
        <color rgb="FFE95DAD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">
    <cfRule type="colorScale" priority="3">
      <colorScale>
        <cfvo type="min"/>
        <cfvo type="percentile" val="50"/>
        <cfvo type="max"/>
        <color rgb="FFF8696B"/>
        <color rgb="FFFFEB84"/>
        <color rgb="FF62BC2A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0"/>
  </sheetPr>
  <dimension ref="A1:AB78"/>
  <sheetViews>
    <sheetView zoomScaleNormal="100" workbookViewId="0">
      <pane xSplit="1" ySplit="6" topLeftCell="B7" activePane="bottomRight" state="frozen"/>
      <selection activeCell="A22" sqref="A22"/>
      <selection pane="topRight" activeCell="A22" sqref="A22"/>
      <selection pane="bottomLeft" activeCell="A22" sqref="A22"/>
      <selection pane="bottomRight" activeCell="A29" sqref="A29"/>
    </sheetView>
  </sheetViews>
  <sheetFormatPr defaultColWidth="8.88671875" defaultRowHeight="18" x14ac:dyDescent="0.35"/>
  <cols>
    <col min="1" max="1" width="36.88671875" style="9" customWidth="1"/>
    <col min="2" max="2" width="12.109375" style="37" customWidth="1"/>
    <col min="3" max="3" width="9.44140625" style="1" customWidth="1"/>
    <col min="4" max="4" width="17.77734375" style="1" customWidth="1"/>
    <col min="5" max="5" width="13.33203125" style="1" customWidth="1"/>
    <col min="6" max="8" width="7.6640625" style="7" bestFit="1" customWidth="1"/>
    <col min="9" max="9" width="0.88671875" style="1" customWidth="1"/>
    <col min="10" max="10" width="7.33203125" style="57" customWidth="1"/>
    <col min="11" max="12" width="7.33203125" style="56" customWidth="1"/>
    <col min="13" max="13" width="0.88671875" style="1" customWidth="1"/>
    <col min="14" max="14" width="11.88671875" style="139" customWidth="1"/>
    <col min="15" max="15" width="8.5546875" style="1" bestFit="1" customWidth="1"/>
    <col min="16" max="17" width="7.6640625" style="1" bestFit="1" customWidth="1"/>
    <col min="18" max="18" width="4.6640625" style="1" customWidth="1"/>
    <col min="19" max="16384" width="8.88671875" style="1"/>
  </cols>
  <sheetData>
    <row r="1" spans="1:26" s="87" customFormat="1" ht="21" x14ac:dyDescent="0.3">
      <c r="A1" s="113" t="s">
        <v>478</v>
      </c>
      <c r="B1" s="132"/>
      <c r="C1" s="133"/>
      <c r="D1" s="134"/>
      <c r="E1" s="134"/>
      <c r="F1" s="135"/>
      <c r="G1" s="135"/>
      <c r="H1" s="135"/>
      <c r="I1" s="134"/>
      <c r="J1" s="136"/>
      <c r="K1" s="133"/>
      <c r="L1" s="133"/>
      <c r="M1" s="134"/>
      <c r="N1" s="138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spans="1:26" s="87" customFormat="1" ht="21" x14ac:dyDescent="0.3">
      <c r="A2" s="113"/>
      <c r="B2" s="132"/>
      <c r="C2" s="133"/>
      <c r="D2" s="134"/>
      <c r="E2" s="134"/>
      <c r="F2" s="135"/>
      <c r="G2" s="135"/>
      <c r="H2" s="135"/>
      <c r="I2" s="134"/>
      <c r="J2" s="136"/>
      <c r="K2" s="133"/>
      <c r="L2" s="133"/>
      <c r="M2" s="134"/>
      <c r="N2" s="138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spans="1:26" x14ac:dyDescent="0.35">
      <c r="A3" s="75"/>
      <c r="B3" s="116"/>
      <c r="C3" s="508"/>
      <c r="D3" s="328" t="s">
        <v>261</v>
      </c>
      <c r="E3" s="33"/>
      <c r="F3" s="130"/>
      <c r="G3" s="115"/>
      <c r="H3" s="115"/>
      <c r="I3" s="131"/>
      <c r="J3" s="112" t="s">
        <v>81</v>
      </c>
      <c r="K3" s="128"/>
      <c r="L3" s="112"/>
      <c r="M3" s="131"/>
      <c r="N3" s="168"/>
      <c r="O3" s="169"/>
      <c r="P3" s="169"/>
      <c r="Q3" s="169"/>
      <c r="R3" s="33"/>
      <c r="S3" s="33"/>
      <c r="T3" s="33"/>
      <c r="U3" s="33"/>
      <c r="V3" s="33"/>
      <c r="W3" s="33"/>
      <c r="X3" s="33"/>
      <c r="Y3" s="33"/>
      <c r="Z3" s="33"/>
    </row>
    <row r="4" spans="1:26" x14ac:dyDescent="0.35">
      <c r="A4" s="75"/>
      <c r="B4" s="116"/>
      <c r="C4" s="508"/>
      <c r="D4" s="324">
        <v>0.18</v>
      </c>
      <c r="E4" s="321" t="s">
        <v>82</v>
      </c>
      <c r="F4" s="128"/>
      <c r="G4" s="118"/>
      <c r="H4" s="118"/>
      <c r="I4" s="131"/>
      <c r="J4" s="128" t="s">
        <v>262</v>
      </c>
      <c r="K4" s="128"/>
      <c r="L4" s="128"/>
      <c r="M4" s="131"/>
      <c r="N4" s="128" t="s">
        <v>221</v>
      </c>
      <c r="O4" s="101"/>
      <c r="P4" s="100"/>
      <c r="Q4" s="101"/>
      <c r="R4" s="33"/>
      <c r="S4" s="33"/>
      <c r="T4" s="33"/>
      <c r="U4" s="33"/>
      <c r="V4" s="33"/>
      <c r="W4" s="33"/>
      <c r="X4" s="33"/>
      <c r="Y4" s="33"/>
      <c r="Z4" s="33"/>
    </row>
    <row r="5" spans="1:26" ht="18.600000000000001" thickBot="1" x14ac:dyDescent="0.4">
      <c r="A5" s="75"/>
      <c r="B5" s="362" t="s">
        <v>327</v>
      </c>
      <c r="C5" s="407"/>
      <c r="D5" s="325" t="s">
        <v>75</v>
      </c>
      <c r="E5" s="322" t="s">
        <v>83</v>
      </c>
      <c r="F5" s="121"/>
      <c r="G5" s="120"/>
      <c r="H5" s="119"/>
      <c r="I5" s="129"/>
      <c r="J5" s="119" t="s">
        <v>84</v>
      </c>
      <c r="K5" s="119"/>
      <c r="L5" s="119"/>
      <c r="M5" s="129"/>
      <c r="N5" s="166" t="s">
        <v>456</v>
      </c>
      <c r="O5" s="123"/>
      <c r="P5" s="122"/>
      <c r="Q5" s="123"/>
      <c r="R5" s="33"/>
      <c r="S5" s="33"/>
      <c r="T5" s="33"/>
      <c r="U5" s="33"/>
      <c r="V5" s="33"/>
      <c r="W5" s="33"/>
      <c r="X5" s="33"/>
      <c r="Y5" s="33"/>
      <c r="Z5" s="33"/>
    </row>
    <row r="6" spans="1:26" ht="18.600000000000001" thickBot="1" x14ac:dyDescent="0.4">
      <c r="A6" s="58" t="s">
        <v>4</v>
      </c>
      <c r="B6" s="40" t="s">
        <v>3</v>
      </c>
      <c r="C6" s="38" t="s">
        <v>326</v>
      </c>
      <c r="D6" s="326">
        <f>MAX(D7:D63)</f>
        <v>4.9636083258534702</v>
      </c>
      <c r="E6" s="792" t="s">
        <v>85</v>
      </c>
      <c r="F6" s="318" t="s">
        <v>39</v>
      </c>
      <c r="G6" s="319" t="s">
        <v>40</v>
      </c>
      <c r="H6" s="320" t="s">
        <v>41</v>
      </c>
      <c r="I6" s="46"/>
      <c r="J6" s="127" t="s">
        <v>39</v>
      </c>
      <c r="K6" s="126" t="s">
        <v>40</v>
      </c>
      <c r="L6" s="125" t="s">
        <v>41</v>
      </c>
      <c r="M6" s="46"/>
      <c r="N6" s="167" t="s">
        <v>85</v>
      </c>
      <c r="O6" s="902" t="s">
        <v>39</v>
      </c>
      <c r="P6" s="315" t="s">
        <v>40</v>
      </c>
      <c r="Q6" s="907" t="s">
        <v>41</v>
      </c>
      <c r="R6" s="33"/>
      <c r="S6" s="33"/>
      <c r="T6" s="33"/>
      <c r="U6" s="33"/>
      <c r="V6" s="33"/>
      <c r="W6" s="33"/>
      <c r="X6" s="33"/>
      <c r="Y6" s="33"/>
      <c r="Z6" s="33"/>
    </row>
    <row r="7" spans="1:26" ht="18.600000000000001" thickBot="1" x14ac:dyDescent="0.4">
      <c r="A7" s="164" t="s">
        <v>10</v>
      </c>
      <c r="B7" s="258">
        <f t="shared" ref="B7:B38" si="0">RANK(C7,C$7:C$63,0)</f>
        <v>41</v>
      </c>
      <c r="C7" s="45">
        <f>D7*10/D$6</f>
        <v>1.5066921456690607</v>
      </c>
      <c r="D7" s="327">
        <f>E7^D$4</f>
        <v>0.74786296787409801</v>
      </c>
      <c r="E7" s="793">
        <f t="shared" ref="E7:E38" si="1">SUM(F7:H7)</f>
        <v>0.19907250000000001</v>
      </c>
      <c r="F7" s="573"/>
      <c r="G7" s="572">
        <v>0.19907250000000001</v>
      </c>
      <c r="H7" s="571"/>
      <c r="I7" s="46"/>
      <c r="J7" s="48"/>
      <c r="K7" s="47">
        <v>0.5</v>
      </c>
      <c r="L7" s="1212"/>
      <c r="M7" s="46"/>
      <c r="N7" s="1229">
        <f>SUM(O7:Q7)</f>
        <v>0.39814500000000003</v>
      </c>
      <c r="O7" s="1231">
        <v>0</v>
      </c>
      <c r="P7" s="1233">
        <v>0.39814500000000003</v>
      </c>
      <c r="Q7" s="1229">
        <v>0</v>
      </c>
      <c r="R7" s="33"/>
      <c r="S7" s="33"/>
      <c r="T7" s="33"/>
      <c r="U7" s="33"/>
      <c r="V7" s="33"/>
      <c r="W7" s="33"/>
      <c r="X7" s="33"/>
      <c r="Y7" s="33"/>
      <c r="Z7" s="33"/>
    </row>
    <row r="8" spans="1:26" ht="18.600000000000001" thickBot="1" x14ac:dyDescent="0.4">
      <c r="A8" s="214" t="s">
        <v>209</v>
      </c>
      <c r="B8" s="256">
        <f t="shared" si="0"/>
        <v>44</v>
      </c>
      <c r="C8" s="45">
        <f t="shared" ref="C8:C38" si="2">D8*10/D$6</f>
        <v>0</v>
      </c>
      <c r="D8" s="585">
        <f t="shared" ref="D8:D38" si="3">E8^D$4</f>
        <v>0</v>
      </c>
      <c r="E8" s="793">
        <f t="shared" si="1"/>
        <v>0</v>
      </c>
      <c r="F8" s="574"/>
      <c r="G8" s="563"/>
      <c r="H8" s="562"/>
      <c r="I8" s="49"/>
      <c r="J8" s="52"/>
      <c r="K8" s="51"/>
      <c r="L8" s="1214"/>
      <c r="M8" s="49"/>
      <c r="N8" s="1229">
        <f t="shared" ref="N8:N63" si="4">SUM(O8:Q8)</f>
        <v>0</v>
      </c>
      <c r="O8" s="905">
        <v>0</v>
      </c>
      <c r="P8" s="560">
        <v>0</v>
      </c>
      <c r="Q8" s="559">
        <v>0</v>
      </c>
      <c r="R8" s="33"/>
      <c r="S8" s="33"/>
      <c r="T8" s="33"/>
      <c r="U8" s="33"/>
      <c r="V8" s="33"/>
      <c r="W8" s="33"/>
      <c r="X8" s="33"/>
      <c r="Y8" s="33"/>
      <c r="Z8" s="33"/>
    </row>
    <row r="9" spans="1:26" ht="18.600000000000001" thickBot="1" x14ac:dyDescent="0.4">
      <c r="A9" s="214" t="s">
        <v>146</v>
      </c>
      <c r="B9" s="256">
        <f t="shared" si="0"/>
        <v>35</v>
      </c>
      <c r="C9" s="584">
        <f t="shared" si="2"/>
        <v>2.4591344959510311</v>
      </c>
      <c r="D9" s="585">
        <f t="shared" si="3"/>
        <v>1.2206180458496014</v>
      </c>
      <c r="E9" s="793">
        <f t="shared" si="1"/>
        <v>3.0269051558361002</v>
      </c>
      <c r="F9" s="574">
        <v>3.0269051558361002</v>
      </c>
      <c r="G9" s="563"/>
      <c r="H9" s="562"/>
      <c r="I9" s="49"/>
      <c r="J9" s="52">
        <v>0.9</v>
      </c>
      <c r="K9" s="51"/>
      <c r="L9" s="1214"/>
      <c r="M9" s="49"/>
      <c r="N9" s="1229">
        <f t="shared" si="4"/>
        <v>3.3632279509290002</v>
      </c>
      <c r="O9" s="905">
        <v>3.3632279509290002</v>
      </c>
      <c r="P9" s="560">
        <v>0</v>
      </c>
      <c r="Q9" s="559">
        <v>0</v>
      </c>
      <c r="R9" s="33"/>
      <c r="S9" s="33"/>
      <c r="T9" s="33"/>
      <c r="U9" s="33"/>
      <c r="V9" s="33"/>
      <c r="W9" s="33"/>
      <c r="X9" s="33"/>
      <c r="Y9" s="33"/>
      <c r="Z9" s="33"/>
    </row>
    <row r="10" spans="1:26" ht="18.600000000000001" thickBot="1" x14ac:dyDescent="0.4">
      <c r="A10" s="214" t="s">
        <v>147</v>
      </c>
      <c r="B10" s="256">
        <f t="shared" si="0"/>
        <v>44</v>
      </c>
      <c r="C10" s="584">
        <f t="shared" si="2"/>
        <v>0</v>
      </c>
      <c r="D10" s="585">
        <f t="shared" si="3"/>
        <v>0</v>
      </c>
      <c r="E10" s="793">
        <f t="shared" si="1"/>
        <v>0</v>
      </c>
      <c r="F10" s="574">
        <v>0</v>
      </c>
      <c r="G10" s="563"/>
      <c r="H10" s="562">
        <v>0</v>
      </c>
      <c r="I10" s="49"/>
      <c r="J10" s="54">
        <v>0.5</v>
      </c>
      <c r="K10" s="53"/>
      <c r="L10" s="1213">
        <v>0.5</v>
      </c>
      <c r="M10" s="49"/>
      <c r="N10" s="1229">
        <f t="shared" si="4"/>
        <v>0.32605666666666699</v>
      </c>
      <c r="O10" s="905">
        <v>0</v>
      </c>
      <c r="P10" s="560">
        <v>0.32605666666666699</v>
      </c>
      <c r="Q10" s="559">
        <v>0</v>
      </c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8.600000000000001" thickBot="1" x14ac:dyDescent="0.4">
      <c r="A11" s="95" t="s">
        <v>5</v>
      </c>
      <c r="B11" s="256">
        <f t="shared" si="0"/>
        <v>2</v>
      </c>
      <c r="C11" s="584">
        <f t="shared" si="2"/>
        <v>9.7465731314616111</v>
      </c>
      <c r="D11" s="585">
        <f t="shared" si="3"/>
        <v>4.8378171543862587</v>
      </c>
      <c r="E11" s="793">
        <f t="shared" si="1"/>
        <v>6362.2108267927706</v>
      </c>
      <c r="F11" s="574">
        <v>1011.41449437425</v>
      </c>
      <c r="G11" s="563">
        <v>3248.6045133283201</v>
      </c>
      <c r="H11" s="562">
        <v>2102.1918190902002</v>
      </c>
      <c r="I11" s="49"/>
      <c r="J11" s="54">
        <v>2</v>
      </c>
      <c r="K11" s="53">
        <v>1.9</v>
      </c>
      <c r="L11" s="1213">
        <v>1.8</v>
      </c>
      <c r="M11" s="49"/>
      <c r="N11" s="1229">
        <f t="shared" si="4"/>
        <v>3383.3834402462935</v>
      </c>
      <c r="O11" s="903">
        <v>505.70724718712398</v>
      </c>
      <c r="P11" s="562">
        <v>1709.7918491201699</v>
      </c>
      <c r="Q11" s="561">
        <v>1167.884343939</v>
      </c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8.600000000000001" thickBot="1" x14ac:dyDescent="0.4">
      <c r="A12" s="214" t="s">
        <v>210</v>
      </c>
      <c r="B12" s="256">
        <f t="shared" si="0"/>
        <v>44</v>
      </c>
      <c r="C12" s="584">
        <f t="shared" si="2"/>
        <v>0</v>
      </c>
      <c r="D12" s="585">
        <f t="shared" si="3"/>
        <v>0</v>
      </c>
      <c r="E12" s="793">
        <f t="shared" si="1"/>
        <v>0</v>
      </c>
      <c r="F12" s="574"/>
      <c r="G12" s="563"/>
      <c r="H12" s="562"/>
      <c r="I12" s="49"/>
      <c r="J12" s="52"/>
      <c r="K12" s="51"/>
      <c r="L12" s="1214"/>
      <c r="M12" s="49"/>
      <c r="N12" s="1229">
        <f t="shared" si="4"/>
        <v>0</v>
      </c>
      <c r="O12" s="905">
        <v>0</v>
      </c>
      <c r="P12" s="560">
        <v>0</v>
      </c>
      <c r="Q12" s="559">
        <v>0</v>
      </c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8.600000000000001" thickBot="1" x14ac:dyDescent="0.4">
      <c r="A13" s="214" t="s">
        <v>339</v>
      </c>
      <c r="B13" s="256">
        <f t="shared" si="0"/>
        <v>4</v>
      </c>
      <c r="C13" s="584">
        <f t="shared" si="2"/>
        <v>7.5754008245066089</v>
      </c>
      <c r="D13" s="585">
        <f t="shared" si="3"/>
        <v>3.7601322604198248</v>
      </c>
      <c r="E13" s="793">
        <f t="shared" si="1"/>
        <v>1568.8192000326521</v>
      </c>
      <c r="F13" s="574">
        <v>1391.0350904383899</v>
      </c>
      <c r="G13" s="563">
        <v>166.676103008262</v>
      </c>
      <c r="H13" s="562">
        <v>11.108006586</v>
      </c>
      <c r="I13" s="49"/>
      <c r="J13" s="54">
        <v>1.8181516936671573</v>
      </c>
      <c r="K13" s="53">
        <v>1.9</v>
      </c>
      <c r="L13" s="1213">
        <v>1.8</v>
      </c>
      <c r="M13" s="49"/>
      <c r="N13" s="1229">
        <f t="shared" si="4"/>
        <v>858.20037425755652</v>
      </c>
      <c r="O13" s="903">
        <v>764.30499474636599</v>
      </c>
      <c r="P13" s="562">
        <v>87.724264741190495</v>
      </c>
      <c r="Q13" s="561">
        <v>6.17111477</v>
      </c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8.600000000000001" thickBot="1" x14ac:dyDescent="0.4">
      <c r="A14" s="95" t="s">
        <v>134</v>
      </c>
      <c r="B14" s="256">
        <f t="shared" si="0"/>
        <v>6</v>
      </c>
      <c r="C14" s="584">
        <f t="shared" si="2"/>
        <v>6.910398455791162</v>
      </c>
      <c r="D14" s="585">
        <f t="shared" si="3"/>
        <v>3.4300511310129975</v>
      </c>
      <c r="E14" s="793">
        <f t="shared" si="1"/>
        <v>941.65580713306019</v>
      </c>
      <c r="F14" s="574">
        <v>934.51564790229099</v>
      </c>
      <c r="G14" s="563">
        <v>0.78168265306921303</v>
      </c>
      <c r="H14" s="562">
        <v>6.3584765777000003</v>
      </c>
      <c r="I14" s="49"/>
      <c r="J14" s="54">
        <v>1.8607329842931937</v>
      </c>
      <c r="K14" s="53">
        <v>0.6</v>
      </c>
      <c r="L14" s="1213">
        <v>1.3</v>
      </c>
      <c r="M14" s="49"/>
      <c r="N14" s="1229">
        <f t="shared" si="4"/>
        <v>508.62170794018601</v>
      </c>
      <c r="O14" s="903">
        <v>502.42776768940399</v>
      </c>
      <c r="P14" s="562">
        <v>1.3028044217820201</v>
      </c>
      <c r="Q14" s="561">
        <v>4.8911358290000004</v>
      </c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8.600000000000001" thickBot="1" x14ac:dyDescent="0.4">
      <c r="A15" s="214" t="s">
        <v>148</v>
      </c>
      <c r="B15" s="256">
        <f t="shared" si="0"/>
        <v>10</v>
      </c>
      <c r="C15" s="584">
        <f t="shared" si="2"/>
        <v>6.1895336926856821</v>
      </c>
      <c r="D15" s="585">
        <f t="shared" si="3"/>
        <v>3.0722420970165225</v>
      </c>
      <c r="E15" s="793">
        <f t="shared" si="1"/>
        <v>510.60581218580307</v>
      </c>
      <c r="F15" s="574">
        <v>510.377657052247</v>
      </c>
      <c r="G15" s="563">
        <v>0.22815513355605399</v>
      </c>
      <c r="H15" s="562"/>
      <c r="I15" s="49"/>
      <c r="J15" s="54">
        <v>1.4514375738479715</v>
      </c>
      <c r="K15" s="47">
        <v>0.5</v>
      </c>
      <c r="L15" s="1214"/>
      <c r="M15" s="49"/>
      <c r="N15" s="1229">
        <f t="shared" si="4"/>
        <v>352.44090133762711</v>
      </c>
      <c r="O15" s="903">
        <v>351.98459107051502</v>
      </c>
      <c r="P15" s="562">
        <v>0.45631026711210698</v>
      </c>
      <c r="Q15" s="561">
        <v>0</v>
      </c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8.600000000000001" thickBot="1" x14ac:dyDescent="0.4">
      <c r="A16" s="214" t="s">
        <v>9</v>
      </c>
      <c r="B16" s="256">
        <f t="shared" si="0"/>
        <v>11</v>
      </c>
      <c r="C16" s="584">
        <f t="shared" si="2"/>
        <v>5.5655533943911708</v>
      </c>
      <c r="D16" s="585">
        <f t="shared" si="3"/>
        <v>2.7625227166382058</v>
      </c>
      <c r="E16" s="793">
        <f t="shared" si="1"/>
        <v>282.94316743981096</v>
      </c>
      <c r="F16" s="575">
        <v>155.704510563638</v>
      </c>
      <c r="G16" s="566">
        <v>105.78640478892299</v>
      </c>
      <c r="H16" s="565">
        <v>21.452252087249999</v>
      </c>
      <c r="I16" s="131"/>
      <c r="J16" s="581">
        <v>1.1414343928280359</v>
      </c>
      <c r="K16" s="580">
        <v>1.5</v>
      </c>
      <c r="L16" s="1215">
        <v>0.75</v>
      </c>
      <c r="M16" s="131"/>
      <c r="N16" s="1229">
        <f t="shared" si="4"/>
        <v>235.71017664547279</v>
      </c>
      <c r="O16" s="904">
        <v>136.582904003191</v>
      </c>
      <c r="P16" s="565">
        <v>70.524269859281802</v>
      </c>
      <c r="Q16" s="564">
        <v>28.603002783000001</v>
      </c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8.600000000000001" thickBot="1" x14ac:dyDescent="0.4">
      <c r="A17" s="95" t="s">
        <v>129</v>
      </c>
      <c r="B17" s="256">
        <f t="shared" si="0"/>
        <v>7</v>
      </c>
      <c r="C17" s="584">
        <f t="shared" si="2"/>
        <v>6.7617436956895336</v>
      </c>
      <c r="D17" s="585">
        <f t="shared" si="3"/>
        <v>3.3562647305211786</v>
      </c>
      <c r="E17" s="793">
        <f t="shared" si="1"/>
        <v>834.49431841495402</v>
      </c>
      <c r="F17" s="574">
        <v>834.49431841495402</v>
      </c>
      <c r="G17" s="563"/>
      <c r="H17" s="562"/>
      <c r="I17" s="49"/>
      <c r="J17" s="54">
        <v>2</v>
      </c>
      <c r="K17" s="51"/>
      <c r="L17" s="1214"/>
      <c r="M17" s="49"/>
      <c r="N17" s="1229">
        <f t="shared" si="4"/>
        <v>417.24715920747701</v>
      </c>
      <c r="O17" s="903">
        <v>417.24715920747701</v>
      </c>
      <c r="P17" s="562">
        <v>0</v>
      </c>
      <c r="Q17" s="561">
        <v>0</v>
      </c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8.600000000000001" thickBot="1" x14ac:dyDescent="0.4">
      <c r="A18" s="95" t="s">
        <v>479</v>
      </c>
      <c r="B18" s="256">
        <f t="shared" si="0"/>
        <v>9</v>
      </c>
      <c r="C18" s="584">
        <f t="shared" si="2"/>
        <v>6.6650644551654752</v>
      </c>
      <c r="D18" s="585">
        <f t="shared" si="3"/>
        <v>3.3082769422009379</v>
      </c>
      <c r="E18" s="793">
        <f t="shared" si="1"/>
        <v>770.33031488303311</v>
      </c>
      <c r="F18" s="575">
        <v>406.94442560705602</v>
      </c>
      <c r="G18" s="566">
        <v>311.34751884557699</v>
      </c>
      <c r="H18" s="565">
        <v>52.038370430400001</v>
      </c>
      <c r="I18" s="131"/>
      <c r="J18" s="581">
        <v>1.78</v>
      </c>
      <c r="K18" s="580">
        <v>1.8</v>
      </c>
      <c r="L18" s="1215">
        <v>1.9</v>
      </c>
      <c r="M18" s="131"/>
      <c r="N18" s="1229">
        <f t="shared" si="4"/>
        <v>428.97992364328798</v>
      </c>
      <c r="O18" s="904">
        <v>228.62046382418899</v>
      </c>
      <c r="P18" s="565">
        <v>172.970843803099</v>
      </c>
      <c r="Q18" s="564">
        <v>27.388616016</v>
      </c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8.600000000000001" thickBot="1" x14ac:dyDescent="0.4">
      <c r="A19" s="95" t="s">
        <v>140</v>
      </c>
      <c r="B19" s="256">
        <f t="shared" si="0"/>
        <v>27</v>
      </c>
      <c r="C19" s="584">
        <f t="shared" si="2"/>
        <v>3.6094088780762541</v>
      </c>
      <c r="D19" s="585">
        <f t="shared" si="3"/>
        <v>1.7915691958628728</v>
      </c>
      <c r="E19" s="793">
        <f t="shared" si="1"/>
        <v>25.518389317875201</v>
      </c>
      <c r="F19" s="574">
        <v>25.518389317875201</v>
      </c>
      <c r="G19" s="563"/>
      <c r="H19" s="562"/>
      <c r="I19" s="49"/>
      <c r="J19" s="54">
        <v>1.6</v>
      </c>
      <c r="K19" s="51"/>
      <c r="L19" s="1214"/>
      <c r="M19" s="49"/>
      <c r="N19" s="1229">
        <f t="shared" si="4"/>
        <v>16.012834879227555</v>
      </c>
      <c r="O19" s="903">
        <v>15.948993323671999</v>
      </c>
      <c r="P19" s="562">
        <v>6.3841555555555596E-2</v>
      </c>
      <c r="Q19" s="561">
        <v>0</v>
      </c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8.600000000000001" thickBot="1" x14ac:dyDescent="0.4">
      <c r="A20" s="214" t="s">
        <v>480</v>
      </c>
      <c r="B20" s="256">
        <f t="shared" si="0"/>
        <v>18</v>
      </c>
      <c r="C20" s="584">
        <f t="shared" si="2"/>
        <v>4.4411624389622686</v>
      </c>
      <c r="D20" s="585">
        <f t="shared" si="3"/>
        <v>2.2044190858500818</v>
      </c>
      <c r="E20" s="793">
        <f t="shared" si="1"/>
        <v>80.758787819304032</v>
      </c>
      <c r="F20" s="574">
        <v>67.320771118976793</v>
      </c>
      <c r="G20" s="563">
        <v>7.6979444293272401</v>
      </c>
      <c r="H20" s="562">
        <v>5.7400722709999998</v>
      </c>
      <c r="I20" s="49"/>
      <c r="J20" s="54">
        <v>1.06</v>
      </c>
      <c r="K20" s="53">
        <v>1</v>
      </c>
      <c r="L20" s="1213">
        <v>1</v>
      </c>
      <c r="M20" s="49"/>
      <c r="N20" s="1229">
        <f t="shared" si="4"/>
        <v>76.948178133324248</v>
      </c>
      <c r="O20" s="903">
        <v>63.510161432997002</v>
      </c>
      <c r="P20" s="562">
        <v>7.6979444293272401</v>
      </c>
      <c r="Q20" s="561">
        <v>5.7400722709999998</v>
      </c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8.600000000000001" thickBot="1" x14ac:dyDescent="0.4">
      <c r="A21" s="214" t="s">
        <v>149</v>
      </c>
      <c r="B21" s="256">
        <f t="shared" si="0"/>
        <v>5</v>
      </c>
      <c r="C21" s="584">
        <f t="shared" si="2"/>
        <v>7.3585966636466793</v>
      </c>
      <c r="D21" s="585">
        <f t="shared" si="3"/>
        <v>3.6525191666274228</v>
      </c>
      <c r="E21" s="793">
        <f t="shared" si="1"/>
        <v>1335.1003469351108</v>
      </c>
      <c r="F21" s="574">
        <v>1301.9929255064601</v>
      </c>
      <c r="G21" s="563">
        <v>26.1896343596507</v>
      </c>
      <c r="H21" s="562">
        <v>6.9177870690000001</v>
      </c>
      <c r="I21" s="49"/>
      <c r="J21" s="54">
        <v>1.6546696696696699</v>
      </c>
      <c r="K21" s="53">
        <v>1</v>
      </c>
      <c r="L21" s="1213">
        <v>1</v>
      </c>
      <c r="M21" s="49"/>
      <c r="N21" s="1229">
        <f t="shared" si="4"/>
        <v>822.19404294771766</v>
      </c>
      <c r="O21" s="903">
        <v>789.08662151906697</v>
      </c>
      <c r="P21" s="562">
        <v>26.1896343596507</v>
      </c>
      <c r="Q21" s="561">
        <v>6.9177870690000001</v>
      </c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8.600000000000001" thickBot="1" x14ac:dyDescent="0.4">
      <c r="A22" s="95" t="s">
        <v>132</v>
      </c>
      <c r="B22" s="256">
        <f t="shared" si="0"/>
        <v>39</v>
      </c>
      <c r="C22" s="584">
        <f t="shared" si="2"/>
        <v>1.8763705310950614</v>
      </c>
      <c r="D22" s="585">
        <f t="shared" si="3"/>
        <v>0.93135683905295452</v>
      </c>
      <c r="E22" s="793">
        <f t="shared" si="1"/>
        <v>0.673632174601</v>
      </c>
      <c r="F22" s="574">
        <v>0.673632174601</v>
      </c>
      <c r="G22" s="563"/>
      <c r="H22" s="562"/>
      <c r="I22" s="49"/>
      <c r="J22" s="52">
        <v>1.9</v>
      </c>
      <c r="K22" s="51"/>
      <c r="L22" s="1214"/>
      <c r="M22" s="49"/>
      <c r="N22" s="1229">
        <f t="shared" si="4"/>
        <v>0.36914804978999999</v>
      </c>
      <c r="O22" s="905">
        <v>0.35454324979000001</v>
      </c>
      <c r="P22" s="560">
        <v>1.4604799999999999E-2</v>
      </c>
      <c r="Q22" s="559">
        <v>0</v>
      </c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8.600000000000001" thickBot="1" x14ac:dyDescent="0.4">
      <c r="A23" s="95" t="s">
        <v>16</v>
      </c>
      <c r="B23" s="256">
        <f t="shared" si="0"/>
        <v>44</v>
      </c>
      <c r="C23" s="584">
        <f t="shared" si="2"/>
        <v>0</v>
      </c>
      <c r="D23" s="585">
        <f t="shared" si="3"/>
        <v>0</v>
      </c>
      <c r="E23" s="793">
        <f t="shared" si="1"/>
        <v>0</v>
      </c>
      <c r="F23" s="574"/>
      <c r="G23" s="563"/>
      <c r="H23" s="562"/>
      <c r="I23" s="49"/>
      <c r="J23" s="52"/>
      <c r="K23" s="51"/>
      <c r="L23" s="1214"/>
      <c r="M23" s="49"/>
      <c r="N23" s="1229">
        <f t="shared" si="4"/>
        <v>4.4099999999999999E-3</v>
      </c>
      <c r="O23" s="905">
        <v>0</v>
      </c>
      <c r="P23" s="560">
        <v>4.4099999999999999E-3</v>
      </c>
      <c r="Q23" s="559">
        <v>0</v>
      </c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8.600000000000001" thickBot="1" x14ac:dyDescent="0.4">
      <c r="A24" s="95" t="s">
        <v>6</v>
      </c>
      <c r="B24" s="256">
        <f t="shared" si="0"/>
        <v>42</v>
      </c>
      <c r="C24" s="584">
        <f t="shared" si="2"/>
        <v>1.3637010661504583</v>
      </c>
      <c r="D24" s="585">
        <f t="shared" si="3"/>
        <v>0.67688779659196685</v>
      </c>
      <c r="E24" s="793">
        <f t="shared" si="1"/>
        <v>0.1144</v>
      </c>
      <c r="F24" s="574">
        <v>0</v>
      </c>
      <c r="G24" s="563">
        <v>0.1144</v>
      </c>
      <c r="H24" s="562">
        <v>0</v>
      </c>
      <c r="I24" s="49"/>
      <c r="J24" s="54">
        <v>0.5</v>
      </c>
      <c r="K24" s="53">
        <v>0.7</v>
      </c>
      <c r="L24" s="1213">
        <v>0.5</v>
      </c>
      <c r="M24" s="49"/>
      <c r="N24" s="1229">
        <f t="shared" si="4"/>
        <v>0.16342857142857101</v>
      </c>
      <c r="O24" s="905">
        <v>0</v>
      </c>
      <c r="P24" s="560">
        <v>0.16342857142857101</v>
      </c>
      <c r="Q24" s="559">
        <v>0</v>
      </c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8.600000000000001" thickBot="1" x14ac:dyDescent="0.4">
      <c r="A25" s="95" t="s">
        <v>20</v>
      </c>
      <c r="B25" s="256">
        <f t="shared" si="0"/>
        <v>43</v>
      </c>
      <c r="C25" s="584">
        <f t="shared" si="2"/>
        <v>0.83351239774091856</v>
      </c>
      <c r="D25" s="585">
        <f t="shared" si="3"/>
        <v>0.41372290771289127</v>
      </c>
      <c r="E25" s="793">
        <f t="shared" si="1"/>
        <v>7.4235000000000004E-3</v>
      </c>
      <c r="F25" s="575">
        <v>0</v>
      </c>
      <c r="G25" s="566">
        <v>7.4235000000000004E-3</v>
      </c>
      <c r="H25" s="565">
        <v>0</v>
      </c>
      <c r="I25" s="131"/>
      <c r="J25" s="581">
        <v>0.5</v>
      </c>
      <c r="K25" s="580">
        <v>0.7</v>
      </c>
      <c r="L25" s="1215">
        <v>0.5</v>
      </c>
      <c r="M25" s="131"/>
      <c r="N25" s="1229">
        <f t="shared" si="4"/>
        <v>1.0605E-2</v>
      </c>
      <c r="O25" s="906">
        <v>0</v>
      </c>
      <c r="P25" s="568">
        <v>1.0605E-2</v>
      </c>
      <c r="Q25" s="567">
        <v>0</v>
      </c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8.600000000000001" thickBot="1" x14ac:dyDescent="0.4">
      <c r="A26" s="214" t="s">
        <v>150</v>
      </c>
      <c r="B26" s="256">
        <f t="shared" si="0"/>
        <v>21</v>
      </c>
      <c r="C26" s="584">
        <f t="shared" si="2"/>
        <v>4.2782868806890608</v>
      </c>
      <c r="D26" s="585">
        <f t="shared" si="3"/>
        <v>2.1235740381377894</v>
      </c>
      <c r="E26" s="793">
        <f t="shared" si="1"/>
        <v>65.620744169802606</v>
      </c>
      <c r="F26" s="574">
        <v>65.620744169802606</v>
      </c>
      <c r="G26" s="563"/>
      <c r="H26" s="562"/>
      <c r="I26" s="49"/>
      <c r="J26" s="54">
        <v>1.476923076923077</v>
      </c>
      <c r="K26" s="51"/>
      <c r="L26" s="1214"/>
      <c r="M26" s="49"/>
      <c r="N26" s="1229">
        <f t="shared" si="4"/>
        <v>44.376354940986282</v>
      </c>
      <c r="O26" s="903">
        <v>44.338340655271999</v>
      </c>
      <c r="P26" s="562">
        <v>3.8014285714285702E-2</v>
      </c>
      <c r="Q26" s="561">
        <v>0</v>
      </c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8.600000000000001" thickBot="1" x14ac:dyDescent="0.4">
      <c r="A27" s="214" t="s">
        <v>33</v>
      </c>
      <c r="B27" s="256">
        <f t="shared" si="0"/>
        <v>44</v>
      </c>
      <c r="C27" s="584">
        <f t="shared" si="2"/>
        <v>0</v>
      </c>
      <c r="D27" s="585">
        <f t="shared" si="3"/>
        <v>0</v>
      </c>
      <c r="E27" s="793">
        <f t="shared" si="1"/>
        <v>0</v>
      </c>
      <c r="F27" s="574"/>
      <c r="G27" s="563">
        <v>0</v>
      </c>
      <c r="H27" s="562">
        <v>0</v>
      </c>
      <c r="I27" s="49"/>
      <c r="J27" s="54"/>
      <c r="K27" s="53">
        <v>0.7</v>
      </c>
      <c r="L27" s="1213">
        <v>0.5</v>
      </c>
      <c r="M27" s="49"/>
      <c r="N27" s="1229">
        <f t="shared" si="4"/>
        <v>0</v>
      </c>
      <c r="O27" s="905">
        <v>0</v>
      </c>
      <c r="P27" s="560">
        <v>0</v>
      </c>
      <c r="Q27" s="559">
        <v>0</v>
      </c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8.600000000000001" thickBot="1" x14ac:dyDescent="0.4">
      <c r="A28" s="214" t="s">
        <v>476</v>
      </c>
      <c r="B28" s="256">
        <f t="shared" si="0"/>
        <v>12</v>
      </c>
      <c r="C28" s="584">
        <f t="shared" si="2"/>
        <v>5.5407256284111082</v>
      </c>
      <c r="D28" s="585">
        <f t="shared" si="3"/>
        <v>2.7501991860451076</v>
      </c>
      <c r="E28" s="793">
        <f t="shared" si="1"/>
        <v>276.00181626308199</v>
      </c>
      <c r="F28" s="574">
        <v>276.00181626308199</v>
      </c>
      <c r="G28" s="563"/>
      <c r="H28" s="562"/>
      <c r="I28" s="49"/>
      <c r="J28" s="54">
        <v>1.1299999999999999</v>
      </c>
      <c r="K28" s="51"/>
      <c r="L28" s="1214"/>
      <c r="M28" s="49"/>
      <c r="N28" s="1229">
        <f t="shared" si="4"/>
        <v>244.33844358379531</v>
      </c>
      <c r="O28" s="903">
        <v>244.24939492308101</v>
      </c>
      <c r="P28" s="562">
        <v>8.9048660714285702E-2</v>
      </c>
      <c r="Q28" s="561">
        <v>0</v>
      </c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8.600000000000001" thickBot="1" x14ac:dyDescent="0.4">
      <c r="A29" s="214" t="s">
        <v>151</v>
      </c>
      <c r="B29" s="256">
        <f t="shared" si="0"/>
        <v>29</v>
      </c>
      <c r="C29" s="584">
        <f t="shared" si="2"/>
        <v>3.2990870779938382</v>
      </c>
      <c r="D29" s="585">
        <f t="shared" si="3"/>
        <v>1.637537608804581</v>
      </c>
      <c r="E29" s="793">
        <f t="shared" si="1"/>
        <v>15.486439230383001</v>
      </c>
      <c r="F29" s="574">
        <v>15.486439230383001</v>
      </c>
      <c r="G29" s="563"/>
      <c r="H29" s="562"/>
      <c r="I29" s="49"/>
      <c r="J29" s="54">
        <v>0.90936170212765954</v>
      </c>
      <c r="K29" s="51"/>
      <c r="L29" s="1214"/>
      <c r="M29" s="49"/>
      <c r="N29" s="1229">
        <f t="shared" si="4"/>
        <v>17.18100449511266</v>
      </c>
      <c r="O29" s="903">
        <v>17.018065088333</v>
      </c>
      <c r="P29" s="562">
        <v>0.16293940677966101</v>
      </c>
      <c r="Q29" s="561">
        <v>0</v>
      </c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8.600000000000001" thickBot="1" x14ac:dyDescent="0.4">
      <c r="A30" s="214" t="s">
        <v>144</v>
      </c>
      <c r="B30" s="256">
        <f t="shared" si="0"/>
        <v>17</v>
      </c>
      <c r="C30" s="584">
        <f t="shared" si="2"/>
        <v>4.4892936782077753</v>
      </c>
      <c r="D30" s="585">
        <f t="shared" si="3"/>
        <v>2.2283095478353463</v>
      </c>
      <c r="E30" s="793">
        <f t="shared" si="1"/>
        <v>85.742736434811405</v>
      </c>
      <c r="F30" s="575">
        <v>85.742736434811405</v>
      </c>
      <c r="G30" s="566"/>
      <c r="H30" s="565"/>
      <c r="I30" s="131"/>
      <c r="J30" s="581">
        <v>1.3667590027700829</v>
      </c>
      <c r="K30" s="582"/>
      <c r="L30" s="1216"/>
      <c r="M30" s="131"/>
      <c r="N30" s="1229">
        <f t="shared" si="4"/>
        <v>62.767207185330186</v>
      </c>
      <c r="O30" s="904">
        <v>62.585939003512003</v>
      </c>
      <c r="P30" s="565">
        <v>0.18126818181818199</v>
      </c>
      <c r="Q30" s="564">
        <v>0</v>
      </c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8.600000000000001" thickBot="1" x14ac:dyDescent="0.4">
      <c r="A31" s="214" t="s">
        <v>145</v>
      </c>
      <c r="B31" s="256">
        <f t="shared" si="0"/>
        <v>33</v>
      </c>
      <c r="C31" s="584">
        <f t="shared" si="2"/>
        <v>2.6169088225099846</v>
      </c>
      <c r="D31" s="585">
        <f t="shared" si="3"/>
        <v>1.2989310419409961</v>
      </c>
      <c r="E31" s="793">
        <f t="shared" si="1"/>
        <v>4.275962276684</v>
      </c>
      <c r="F31" s="574">
        <v>4.275962276684</v>
      </c>
      <c r="G31" s="563"/>
      <c r="H31" s="562"/>
      <c r="I31" s="49"/>
      <c r="J31" s="52">
        <v>1</v>
      </c>
      <c r="K31" s="51"/>
      <c r="L31" s="1214"/>
      <c r="M31" s="49"/>
      <c r="N31" s="1229">
        <f t="shared" si="4"/>
        <v>4.5835904936551861</v>
      </c>
      <c r="O31" s="905">
        <v>4.275962276684</v>
      </c>
      <c r="P31" s="560">
        <v>0.30762821697118597</v>
      </c>
      <c r="Q31" s="559">
        <v>0</v>
      </c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8.600000000000001" thickBot="1" x14ac:dyDescent="0.4">
      <c r="A32" s="214" t="s">
        <v>152</v>
      </c>
      <c r="B32" s="256">
        <f t="shared" si="0"/>
        <v>26</v>
      </c>
      <c r="C32" s="584">
        <f t="shared" si="2"/>
        <v>3.7383590120243206</v>
      </c>
      <c r="D32" s="585">
        <f t="shared" si="3"/>
        <v>1.8555749917113271</v>
      </c>
      <c r="E32" s="793">
        <f t="shared" si="1"/>
        <v>31.0132501296656</v>
      </c>
      <c r="F32" s="574">
        <v>31.0132501296656</v>
      </c>
      <c r="G32" s="563"/>
      <c r="H32" s="562"/>
      <c r="I32" s="49"/>
      <c r="J32" s="54">
        <v>1.6</v>
      </c>
      <c r="K32" s="51"/>
      <c r="L32" s="1214"/>
      <c r="M32" s="49"/>
      <c r="N32" s="1229">
        <f t="shared" si="4"/>
        <v>19.383281331041001</v>
      </c>
      <c r="O32" s="903">
        <v>19.383281331041001</v>
      </c>
      <c r="P32" s="562">
        <v>0</v>
      </c>
      <c r="Q32" s="561">
        <v>0</v>
      </c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8.600000000000001" thickBot="1" x14ac:dyDescent="0.4">
      <c r="A33" s="214" t="s">
        <v>356</v>
      </c>
      <c r="B33" s="256">
        <f t="shared" si="0"/>
        <v>23</v>
      </c>
      <c r="C33" s="584">
        <f t="shared" si="2"/>
        <v>4.09448469339734</v>
      </c>
      <c r="D33" s="585">
        <f t="shared" si="3"/>
        <v>2.0323418314226629</v>
      </c>
      <c r="E33" s="793">
        <f t="shared" si="1"/>
        <v>51.415384794402698</v>
      </c>
      <c r="F33" s="575">
        <v>35.056659589637398</v>
      </c>
      <c r="G33" s="566">
        <v>11.5869817871653</v>
      </c>
      <c r="H33" s="565">
        <v>4.7717434175999998</v>
      </c>
      <c r="I33" s="131"/>
      <c r="J33" s="581">
        <v>1.1916528925619834</v>
      </c>
      <c r="K33" s="580">
        <v>0.8</v>
      </c>
      <c r="L33" s="1215">
        <v>0.8</v>
      </c>
      <c r="M33" s="131"/>
      <c r="N33" s="1229">
        <f t="shared" si="4"/>
        <v>49.907784312374602</v>
      </c>
      <c r="O33" s="904">
        <v>29.459377806418001</v>
      </c>
      <c r="P33" s="565">
        <v>14.4837272339566</v>
      </c>
      <c r="Q33" s="564">
        <v>5.9646792719999997</v>
      </c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8.600000000000001" thickBot="1" x14ac:dyDescent="0.4">
      <c r="A34" s="214" t="s">
        <v>337</v>
      </c>
      <c r="B34" s="256">
        <f t="shared" si="0"/>
        <v>24</v>
      </c>
      <c r="C34" s="584">
        <f t="shared" si="2"/>
        <v>3.9608130045718664</v>
      </c>
      <c r="D34" s="585">
        <f t="shared" si="3"/>
        <v>1.9659924406641613</v>
      </c>
      <c r="E34" s="793">
        <f t="shared" si="1"/>
        <v>42.7572969825478</v>
      </c>
      <c r="F34" s="574">
        <v>42.7572969825478</v>
      </c>
      <c r="G34" s="563"/>
      <c r="H34" s="562">
        <v>0</v>
      </c>
      <c r="I34" s="49"/>
      <c r="J34" s="54">
        <v>1.138175046554935</v>
      </c>
      <c r="K34" s="51"/>
      <c r="L34" s="1217">
        <v>0.75</v>
      </c>
      <c r="M34" s="49"/>
      <c r="N34" s="1229">
        <f t="shared" si="4"/>
        <v>37.528842561884005</v>
      </c>
      <c r="O34" s="903">
        <v>37.506400861884003</v>
      </c>
      <c r="P34" s="562">
        <v>2.2441699999999998E-2</v>
      </c>
      <c r="Q34" s="561">
        <v>0</v>
      </c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8.600000000000001" thickBot="1" x14ac:dyDescent="0.4">
      <c r="A35" s="95" t="s">
        <v>128</v>
      </c>
      <c r="B35" s="256">
        <f t="shared" si="0"/>
        <v>1</v>
      </c>
      <c r="C35" s="584">
        <f t="shared" si="2"/>
        <v>10</v>
      </c>
      <c r="D35" s="585">
        <f t="shared" si="3"/>
        <v>4.9636083258534702</v>
      </c>
      <c r="E35" s="793">
        <f t="shared" si="1"/>
        <v>7337.39147731922</v>
      </c>
      <c r="F35" s="574">
        <v>4100.0422491192903</v>
      </c>
      <c r="G35" s="563">
        <v>1709.78939576993</v>
      </c>
      <c r="H35" s="562">
        <v>1527.5598324299999</v>
      </c>
      <c r="I35" s="49"/>
      <c r="J35" s="54">
        <v>1.9669477982954542</v>
      </c>
      <c r="K35" s="53">
        <v>2</v>
      </c>
      <c r="L35" s="1213">
        <v>2</v>
      </c>
      <c r="M35" s="49"/>
      <c r="N35" s="1229">
        <f t="shared" si="4"/>
        <v>3699.9143344650861</v>
      </c>
      <c r="O35" s="903">
        <v>2081.2397203651199</v>
      </c>
      <c r="P35" s="562">
        <v>854.89469788496604</v>
      </c>
      <c r="Q35" s="561">
        <v>763.77991621499996</v>
      </c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8.600000000000001" thickBot="1" x14ac:dyDescent="0.4">
      <c r="A36" s="96" t="s">
        <v>141</v>
      </c>
      <c r="B36" s="256">
        <f t="shared" si="0"/>
        <v>40</v>
      </c>
      <c r="C36" s="584">
        <f t="shared" si="2"/>
        <v>1.6086065735683588</v>
      </c>
      <c r="D36" s="585">
        <f t="shared" si="3"/>
        <v>0.79844929815865284</v>
      </c>
      <c r="E36" s="793">
        <f t="shared" si="1"/>
        <v>0.286371428571429</v>
      </c>
      <c r="F36" s="574"/>
      <c r="G36" s="563">
        <v>0.286371428571429</v>
      </c>
      <c r="H36" s="562"/>
      <c r="I36" s="49"/>
      <c r="J36" s="52"/>
      <c r="K36" s="53">
        <v>0.5</v>
      </c>
      <c r="L36" s="1214"/>
      <c r="M36" s="49"/>
      <c r="N36" s="1229">
        <f t="shared" si="4"/>
        <v>0.572742857142857</v>
      </c>
      <c r="O36" s="905">
        <v>0</v>
      </c>
      <c r="P36" s="560">
        <v>0.572742857142857</v>
      </c>
      <c r="Q36" s="559">
        <v>0</v>
      </c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8.600000000000001" thickBot="1" x14ac:dyDescent="0.4">
      <c r="A37" s="95" t="s">
        <v>125</v>
      </c>
      <c r="B37" s="256">
        <f t="shared" si="0"/>
        <v>44</v>
      </c>
      <c r="C37" s="584">
        <f t="shared" si="2"/>
        <v>0</v>
      </c>
      <c r="D37" s="585">
        <f t="shared" si="3"/>
        <v>0</v>
      </c>
      <c r="E37" s="793">
        <f t="shared" si="1"/>
        <v>0</v>
      </c>
      <c r="F37" s="574"/>
      <c r="G37" s="563"/>
      <c r="H37" s="562"/>
      <c r="I37" s="49"/>
      <c r="J37" s="52"/>
      <c r="K37" s="51"/>
      <c r="L37" s="1214"/>
      <c r="M37" s="49"/>
      <c r="N37" s="1229">
        <f t="shared" si="4"/>
        <v>0</v>
      </c>
      <c r="O37" s="905">
        <v>0</v>
      </c>
      <c r="P37" s="560">
        <v>0</v>
      </c>
      <c r="Q37" s="559">
        <v>0</v>
      </c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8.600000000000001" thickBot="1" x14ac:dyDescent="0.4">
      <c r="A38" s="214" t="s">
        <v>153</v>
      </c>
      <c r="B38" s="256">
        <f t="shared" si="0"/>
        <v>13</v>
      </c>
      <c r="C38" s="584">
        <f t="shared" si="2"/>
        <v>5.489187628937751</v>
      </c>
      <c r="D38" s="585">
        <f t="shared" si="3"/>
        <v>2.7246177417167292</v>
      </c>
      <c r="E38" s="793">
        <f t="shared" si="1"/>
        <v>262.0380354508867</v>
      </c>
      <c r="F38" s="574">
        <v>261.99978478422003</v>
      </c>
      <c r="G38" s="563">
        <v>3.8250666666666697E-2</v>
      </c>
      <c r="H38" s="562"/>
      <c r="I38" s="49"/>
      <c r="J38" s="54">
        <v>1.1553153153153153</v>
      </c>
      <c r="K38" s="51">
        <v>0.8</v>
      </c>
      <c r="L38" s="1214"/>
      <c r="M38" s="49"/>
      <c r="N38" s="1229">
        <f t="shared" si="4"/>
        <v>225.90969676800532</v>
      </c>
      <c r="O38" s="903">
        <v>225.861883434672</v>
      </c>
      <c r="P38" s="562">
        <v>4.7813333333333298E-2</v>
      </c>
      <c r="Q38" s="561">
        <v>0</v>
      </c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8.600000000000001" thickBot="1" x14ac:dyDescent="0.4">
      <c r="A39" s="95" t="s">
        <v>133</v>
      </c>
      <c r="B39" s="256">
        <f t="shared" ref="B39:B63" si="5">RANK(C39,C$7:C$63,0)</f>
        <v>37</v>
      </c>
      <c r="C39" s="584">
        <f t="shared" ref="C39:C63" si="6">D39*10/D$6</f>
        <v>2.1475626147451341</v>
      </c>
      <c r="D39" s="585">
        <f t="shared" ref="D39:D63" si="7">E39^D$4</f>
        <v>1.0659659674840596</v>
      </c>
      <c r="E39" s="793">
        <f t="shared" ref="E39:E63" si="8">SUM(F39:H39)</f>
        <v>1.4260332882857141</v>
      </c>
      <c r="F39" s="575"/>
      <c r="G39" s="566">
        <v>0.19403196428571401</v>
      </c>
      <c r="H39" s="565">
        <v>1.2320013240000001</v>
      </c>
      <c r="I39" s="131"/>
      <c r="J39" s="581"/>
      <c r="K39" s="580">
        <v>0.5</v>
      </c>
      <c r="L39" s="1215">
        <v>0.6</v>
      </c>
      <c r="M39" s="131"/>
      <c r="N39" s="1229">
        <f t="shared" si="4"/>
        <v>2.4413994685714289</v>
      </c>
      <c r="O39" s="906">
        <v>0</v>
      </c>
      <c r="P39" s="568">
        <v>0.38806392857142902</v>
      </c>
      <c r="Q39" s="567">
        <v>2.05333554</v>
      </c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8.600000000000001" thickBot="1" x14ac:dyDescent="0.4">
      <c r="A40" s="95" t="s">
        <v>357</v>
      </c>
      <c r="B40" s="256">
        <f t="shared" si="5"/>
        <v>44</v>
      </c>
      <c r="C40" s="584">
        <f t="shared" si="6"/>
        <v>0</v>
      </c>
      <c r="D40" s="585">
        <f t="shared" si="7"/>
        <v>0</v>
      </c>
      <c r="E40" s="793">
        <f t="shared" si="8"/>
        <v>0</v>
      </c>
      <c r="F40" s="574"/>
      <c r="G40" s="563"/>
      <c r="H40" s="562"/>
      <c r="I40" s="49"/>
      <c r="J40" s="52"/>
      <c r="K40" s="51"/>
      <c r="L40" s="1214"/>
      <c r="M40" s="49"/>
      <c r="N40" s="1229">
        <f t="shared" si="4"/>
        <v>0</v>
      </c>
      <c r="O40" s="905">
        <v>0</v>
      </c>
      <c r="P40" s="560">
        <v>0</v>
      </c>
      <c r="Q40" s="559">
        <v>0</v>
      </c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8.600000000000001" thickBot="1" x14ac:dyDescent="0.4">
      <c r="A41" s="214" t="s">
        <v>154</v>
      </c>
      <c r="B41" s="256">
        <f t="shared" si="5"/>
        <v>16</v>
      </c>
      <c r="C41" s="584">
        <f t="shared" si="6"/>
        <v>4.6676051953440671</v>
      </c>
      <c r="D41" s="585">
        <f t="shared" si="7"/>
        <v>2.3168164009406724</v>
      </c>
      <c r="E41" s="793">
        <f t="shared" si="8"/>
        <v>106.45735232864848</v>
      </c>
      <c r="F41" s="574">
        <v>104.436186212474</v>
      </c>
      <c r="G41" s="563">
        <v>2.02116611617449</v>
      </c>
      <c r="H41" s="562"/>
      <c r="I41" s="49"/>
      <c r="J41" s="54">
        <v>0.8171940298507463</v>
      </c>
      <c r="K41" s="47">
        <v>0.5</v>
      </c>
      <c r="L41" s="1214"/>
      <c r="M41" s="49"/>
      <c r="N41" s="1229">
        <f t="shared" si="4"/>
        <v>131.40353493048798</v>
      </c>
      <c r="O41" s="903">
        <v>127.361202698139</v>
      </c>
      <c r="P41" s="562">
        <v>4.0423322323489801</v>
      </c>
      <c r="Q41" s="561">
        <v>0</v>
      </c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8.600000000000001" thickBot="1" x14ac:dyDescent="0.4">
      <c r="A42" s="214" t="s">
        <v>341</v>
      </c>
      <c r="B42" s="256">
        <f t="shared" si="5"/>
        <v>32</v>
      </c>
      <c r="C42" s="584">
        <f t="shared" si="6"/>
        <v>2.7461000527396506</v>
      </c>
      <c r="D42" s="585">
        <f t="shared" si="7"/>
        <v>1.3630565085405184</v>
      </c>
      <c r="E42" s="793">
        <f t="shared" si="8"/>
        <v>5.5885511079060004</v>
      </c>
      <c r="F42" s="574">
        <v>5.5885511079060004</v>
      </c>
      <c r="G42" s="563"/>
      <c r="H42" s="562"/>
      <c r="I42" s="49"/>
      <c r="J42" s="54">
        <v>0.3</v>
      </c>
      <c r="K42" s="51"/>
      <c r="L42" s="1214"/>
      <c r="M42" s="49"/>
      <c r="N42" s="1229">
        <f t="shared" si="4"/>
        <v>18.695486861020001</v>
      </c>
      <c r="O42" s="905">
        <v>18.628503693020001</v>
      </c>
      <c r="P42" s="560">
        <v>6.6983167999999996E-2</v>
      </c>
      <c r="Q42" s="559">
        <v>0</v>
      </c>
      <c r="R42" s="33"/>
      <c r="S42" s="33"/>
      <c r="T42" s="33"/>
      <c r="U42" s="33"/>
      <c r="W42" s="33"/>
      <c r="X42" s="33"/>
      <c r="Y42" s="33"/>
      <c r="Z42" s="33"/>
    </row>
    <row r="43" spans="1:26" ht="18.600000000000001" thickBot="1" x14ac:dyDescent="0.4">
      <c r="A43" s="95" t="s">
        <v>7</v>
      </c>
      <c r="B43" s="256">
        <f t="shared" si="5"/>
        <v>28</v>
      </c>
      <c r="C43" s="584">
        <f t="shared" si="6"/>
        <v>3.4393268323190775</v>
      </c>
      <c r="D43" s="585">
        <f t="shared" si="7"/>
        <v>1.7071471300230214</v>
      </c>
      <c r="E43" s="793">
        <f t="shared" si="8"/>
        <v>19.516151434966041</v>
      </c>
      <c r="F43" s="574">
        <v>9.0343067064617397</v>
      </c>
      <c r="G43" s="563">
        <v>10.481844728504299</v>
      </c>
      <c r="H43" s="562">
        <v>0</v>
      </c>
      <c r="I43" s="49"/>
      <c r="J43" s="54">
        <v>0.62444444444444458</v>
      </c>
      <c r="K43" s="53">
        <v>0.7</v>
      </c>
      <c r="L43" s="1213">
        <v>0.5</v>
      </c>
      <c r="M43" s="49"/>
      <c r="N43" s="1229">
        <f t="shared" si="4"/>
        <v>29.5455263276402</v>
      </c>
      <c r="O43" s="905">
        <v>14.571462429777</v>
      </c>
      <c r="P43" s="560">
        <v>14.9740638978632</v>
      </c>
      <c r="Q43" s="559">
        <v>0</v>
      </c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8.600000000000001" thickBot="1" x14ac:dyDescent="0.4">
      <c r="A44" s="214" t="s">
        <v>155</v>
      </c>
      <c r="B44" s="256">
        <f t="shared" si="5"/>
        <v>20</v>
      </c>
      <c r="C44" s="584">
        <f t="shared" si="6"/>
        <v>4.3662328149163532</v>
      </c>
      <c r="D44" s="585">
        <f t="shared" si="7"/>
        <v>2.1672269552733447</v>
      </c>
      <c r="E44" s="793">
        <f t="shared" si="8"/>
        <v>73.474310697631807</v>
      </c>
      <c r="F44" s="574">
        <v>39.047939425560301</v>
      </c>
      <c r="G44" s="563">
        <v>26.6497900230715</v>
      </c>
      <c r="H44" s="562">
        <v>7.7765812490000004</v>
      </c>
      <c r="I44" s="49"/>
      <c r="J44" s="54">
        <v>0.82000000000000006</v>
      </c>
      <c r="K44" s="53">
        <v>1</v>
      </c>
      <c r="L44" s="1213">
        <v>1</v>
      </c>
      <c r="M44" s="49"/>
      <c r="N44" s="1229">
        <f t="shared" si="4"/>
        <v>82.045809595925505</v>
      </c>
      <c r="O44" s="903">
        <v>47.619438323853998</v>
      </c>
      <c r="P44" s="562">
        <v>26.6497900230715</v>
      </c>
      <c r="Q44" s="561">
        <v>7.7765812490000004</v>
      </c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8.600000000000001" thickBot="1" x14ac:dyDescent="0.4">
      <c r="A45" s="214" t="s">
        <v>156</v>
      </c>
      <c r="B45" s="256">
        <f t="shared" si="5"/>
        <v>44</v>
      </c>
      <c r="C45" s="584">
        <f t="shared" si="6"/>
        <v>0</v>
      </c>
      <c r="D45" s="585">
        <f t="shared" si="7"/>
        <v>0</v>
      </c>
      <c r="E45" s="793">
        <f t="shared" si="8"/>
        <v>0</v>
      </c>
      <c r="F45" s="574">
        <v>0</v>
      </c>
      <c r="G45" s="563"/>
      <c r="H45" s="562"/>
      <c r="I45" s="49"/>
      <c r="J45" s="54">
        <v>0.8</v>
      </c>
      <c r="K45" s="51"/>
      <c r="L45" s="1214"/>
      <c r="M45" s="49"/>
      <c r="N45" s="1229">
        <f t="shared" si="4"/>
        <v>1.31235555555556E-2</v>
      </c>
      <c r="O45" s="905">
        <v>0</v>
      </c>
      <c r="P45" s="560">
        <v>1.31235555555556E-2</v>
      </c>
      <c r="Q45" s="559">
        <v>0</v>
      </c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8.600000000000001" thickBot="1" x14ac:dyDescent="0.4">
      <c r="A46" s="214" t="s">
        <v>13</v>
      </c>
      <c r="B46" s="256">
        <f t="shared" si="5"/>
        <v>44</v>
      </c>
      <c r="C46" s="584">
        <f t="shared" si="6"/>
        <v>0</v>
      </c>
      <c r="D46" s="585">
        <f t="shared" si="7"/>
        <v>0</v>
      </c>
      <c r="E46" s="793">
        <f t="shared" si="8"/>
        <v>0</v>
      </c>
      <c r="F46" s="574">
        <v>0</v>
      </c>
      <c r="G46" s="563">
        <v>0</v>
      </c>
      <c r="H46" s="562">
        <v>0</v>
      </c>
      <c r="I46" s="49"/>
      <c r="J46" s="54">
        <v>0.5</v>
      </c>
      <c r="K46" s="53">
        <v>0.7</v>
      </c>
      <c r="L46" s="1213">
        <v>0.5</v>
      </c>
      <c r="M46" s="49"/>
      <c r="N46" s="1229">
        <f t="shared" si="4"/>
        <v>0</v>
      </c>
      <c r="O46" s="905">
        <v>0</v>
      </c>
      <c r="P46" s="560">
        <v>0</v>
      </c>
      <c r="Q46" s="559">
        <v>0</v>
      </c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8.600000000000001" thickBot="1" x14ac:dyDescent="0.4">
      <c r="A47" s="214" t="s">
        <v>25</v>
      </c>
      <c r="B47" s="256">
        <f t="shared" si="5"/>
        <v>34</v>
      </c>
      <c r="C47" s="584">
        <f t="shared" si="6"/>
        <v>2.5920820881734534</v>
      </c>
      <c r="D47" s="585">
        <f t="shared" si="7"/>
        <v>1.2866080234153403</v>
      </c>
      <c r="E47" s="793">
        <f t="shared" si="8"/>
        <v>4.0554098539595334</v>
      </c>
      <c r="F47" s="574">
        <v>3.9823975206262001</v>
      </c>
      <c r="G47" s="563">
        <v>7.3012333333333304E-2</v>
      </c>
      <c r="H47" s="562">
        <v>0</v>
      </c>
      <c r="I47" s="49"/>
      <c r="J47" s="54">
        <v>0.64799999999999991</v>
      </c>
      <c r="K47" s="53">
        <v>0.7</v>
      </c>
      <c r="L47" s="1213">
        <v>0.5</v>
      </c>
      <c r="M47" s="49"/>
      <c r="N47" s="1229">
        <f t="shared" si="4"/>
        <v>6.2310687496813335</v>
      </c>
      <c r="O47" s="905">
        <v>6.1267654163480003</v>
      </c>
      <c r="P47" s="560">
        <v>0.104303333333333</v>
      </c>
      <c r="Q47" s="559">
        <v>0</v>
      </c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8.600000000000001" thickBot="1" x14ac:dyDescent="0.4">
      <c r="A48" s="214" t="s">
        <v>472</v>
      </c>
      <c r="B48" s="256">
        <f t="shared" si="5"/>
        <v>44</v>
      </c>
      <c r="C48" s="584">
        <f t="shared" si="6"/>
        <v>0</v>
      </c>
      <c r="D48" s="585">
        <f t="shared" si="7"/>
        <v>0</v>
      </c>
      <c r="E48" s="793">
        <f t="shared" si="8"/>
        <v>0</v>
      </c>
      <c r="F48" s="574"/>
      <c r="G48" s="563"/>
      <c r="H48" s="562"/>
      <c r="I48" s="49"/>
      <c r="J48" s="52"/>
      <c r="K48" s="51"/>
      <c r="L48" s="1214"/>
      <c r="M48" s="49"/>
      <c r="N48" s="1229">
        <f t="shared" si="4"/>
        <v>0</v>
      </c>
      <c r="O48" s="905">
        <v>0</v>
      </c>
      <c r="P48" s="560">
        <v>0</v>
      </c>
      <c r="Q48" s="559">
        <v>0</v>
      </c>
      <c r="R48" s="33"/>
      <c r="S48" s="33"/>
      <c r="T48" s="33"/>
      <c r="U48" s="33"/>
      <c r="V48" s="33"/>
      <c r="W48" s="33"/>
      <c r="X48" s="33"/>
      <c r="Y48" s="33"/>
      <c r="Z48" s="33"/>
    </row>
    <row r="49" spans="1:28" ht="18.600000000000001" thickBot="1" x14ac:dyDescent="0.4">
      <c r="A49" s="96" t="s">
        <v>130</v>
      </c>
      <c r="B49" s="256">
        <f t="shared" si="5"/>
        <v>31</v>
      </c>
      <c r="C49" s="584">
        <f t="shared" si="6"/>
        <v>2.9048727277800404</v>
      </c>
      <c r="D49" s="585">
        <f t="shared" si="7"/>
        <v>1.441865045715369</v>
      </c>
      <c r="E49" s="793">
        <f t="shared" si="8"/>
        <v>7.6368545653466597</v>
      </c>
      <c r="F49" s="574">
        <v>0</v>
      </c>
      <c r="G49" s="563">
        <v>7.6368545653466597</v>
      </c>
      <c r="H49" s="562">
        <v>0</v>
      </c>
      <c r="I49" s="49"/>
      <c r="J49" s="55">
        <v>0.5</v>
      </c>
      <c r="K49" s="55">
        <v>0.7</v>
      </c>
      <c r="L49" s="1217">
        <v>0.7</v>
      </c>
      <c r="M49" s="49"/>
      <c r="N49" s="1229">
        <f t="shared" si="4"/>
        <v>10.909792236209499</v>
      </c>
      <c r="O49" s="905">
        <v>0</v>
      </c>
      <c r="P49" s="560">
        <v>10.909792236209499</v>
      </c>
      <c r="Q49" s="559">
        <v>0</v>
      </c>
      <c r="R49" s="33"/>
      <c r="S49" s="33"/>
      <c r="T49" s="33"/>
      <c r="U49" s="33"/>
      <c r="V49" s="33"/>
      <c r="W49" s="33"/>
      <c r="X49" s="33"/>
      <c r="Y49" s="33"/>
      <c r="Z49" s="33"/>
    </row>
    <row r="50" spans="1:28" ht="18.600000000000001" thickBot="1" x14ac:dyDescent="0.4">
      <c r="A50" s="214" t="s">
        <v>19</v>
      </c>
      <c r="B50" s="256">
        <f t="shared" si="5"/>
        <v>38</v>
      </c>
      <c r="C50" s="584">
        <f t="shared" si="6"/>
        <v>2.1422597983679901</v>
      </c>
      <c r="D50" s="585">
        <f t="shared" si="7"/>
        <v>1.0633338571320532</v>
      </c>
      <c r="E50" s="793">
        <f t="shared" si="8"/>
        <v>1.4065807816670202</v>
      </c>
      <c r="F50" s="575">
        <v>0.38879401941120001</v>
      </c>
      <c r="G50" s="566">
        <v>1.0177867622558201</v>
      </c>
      <c r="H50" s="565">
        <v>0</v>
      </c>
      <c r="I50" s="131"/>
      <c r="J50" s="581">
        <v>0.65</v>
      </c>
      <c r="K50" s="580">
        <v>0.7</v>
      </c>
      <c r="L50" s="1215">
        <v>0.5</v>
      </c>
      <c r="M50" s="131"/>
      <c r="N50" s="1229">
        <f t="shared" si="4"/>
        <v>2.0521257341848802</v>
      </c>
      <c r="O50" s="906">
        <v>0.59814464524800004</v>
      </c>
      <c r="P50" s="568">
        <v>1.4539810889368801</v>
      </c>
      <c r="Q50" s="567">
        <v>0</v>
      </c>
      <c r="R50" s="33"/>
      <c r="S50" s="33"/>
      <c r="T50" s="33"/>
      <c r="U50" s="33"/>
      <c r="V50" s="33"/>
      <c r="W50" s="33"/>
      <c r="X50" s="33"/>
      <c r="Y50" s="33"/>
      <c r="Z50" s="33"/>
    </row>
    <row r="51" spans="1:28" ht="18.600000000000001" thickBot="1" x14ac:dyDescent="0.4">
      <c r="A51" s="214" t="s">
        <v>211</v>
      </c>
      <c r="B51" s="256">
        <f t="shared" si="5"/>
        <v>44</v>
      </c>
      <c r="C51" s="584">
        <f t="shared" si="6"/>
        <v>0</v>
      </c>
      <c r="D51" s="585">
        <f t="shared" si="7"/>
        <v>0</v>
      </c>
      <c r="E51" s="793">
        <f t="shared" si="8"/>
        <v>0</v>
      </c>
      <c r="F51" s="574"/>
      <c r="G51" s="563"/>
      <c r="H51" s="562"/>
      <c r="I51" s="49"/>
      <c r="J51" s="52"/>
      <c r="K51" s="51"/>
      <c r="L51" s="1214"/>
      <c r="M51" s="49"/>
      <c r="N51" s="1229">
        <f t="shared" si="4"/>
        <v>0</v>
      </c>
      <c r="O51" s="905">
        <v>0</v>
      </c>
      <c r="P51" s="560">
        <v>0</v>
      </c>
      <c r="Q51" s="559">
        <v>0</v>
      </c>
      <c r="R51" s="33"/>
      <c r="S51" s="33"/>
      <c r="T51" s="33"/>
      <c r="U51" s="33"/>
      <c r="V51" s="33"/>
      <c r="W51" s="33"/>
      <c r="X51" s="33"/>
      <c r="Y51" s="33"/>
      <c r="Z51" s="33"/>
    </row>
    <row r="52" spans="1:28" ht="18.600000000000001" thickBot="1" x14ac:dyDescent="0.4">
      <c r="A52" s="214" t="s">
        <v>157</v>
      </c>
      <c r="B52" s="256">
        <f t="shared" si="5"/>
        <v>44</v>
      </c>
      <c r="C52" s="584">
        <f t="shared" si="6"/>
        <v>0</v>
      </c>
      <c r="D52" s="585">
        <f t="shared" si="7"/>
        <v>0</v>
      </c>
      <c r="E52" s="793">
        <f t="shared" si="8"/>
        <v>0</v>
      </c>
      <c r="F52" s="574"/>
      <c r="G52" s="563"/>
      <c r="H52" s="562"/>
      <c r="I52" s="49"/>
      <c r="J52" s="52"/>
      <c r="K52" s="51"/>
      <c r="L52" s="1214"/>
      <c r="M52" s="49"/>
      <c r="N52" s="1229">
        <f t="shared" si="4"/>
        <v>0</v>
      </c>
      <c r="O52" s="905">
        <v>0</v>
      </c>
      <c r="P52" s="560">
        <v>0</v>
      </c>
      <c r="Q52" s="559">
        <v>0</v>
      </c>
      <c r="R52" s="33"/>
      <c r="S52" s="33"/>
      <c r="T52" s="33"/>
      <c r="U52" s="33"/>
      <c r="V52" s="33"/>
      <c r="W52" s="33"/>
      <c r="X52" s="33"/>
      <c r="Y52" s="33"/>
      <c r="Z52" s="33"/>
    </row>
    <row r="53" spans="1:28" ht="18.600000000000001" thickBot="1" x14ac:dyDescent="0.4">
      <c r="A53" s="95" t="s">
        <v>126</v>
      </c>
      <c r="B53" s="256">
        <f t="shared" si="5"/>
        <v>44</v>
      </c>
      <c r="C53" s="584">
        <f t="shared" si="6"/>
        <v>0</v>
      </c>
      <c r="D53" s="585">
        <f t="shared" si="7"/>
        <v>0</v>
      </c>
      <c r="E53" s="793">
        <f t="shared" si="8"/>
        <v>0</v>
      </c>
      <c r="F53" s="575"/>
      <c r="G53" s="566"/>
      <c r="H53" s="565"/>
      <c r="I53" s="131"/>
      <c r="J53" s="583"/>
      <c r="K53" s="582"/>
      <c r="L53" s="1216"/>
      <c r="M53" s="131"/>
      <c r="N53" s="1229">
        <f t="shared" si="4"/>
        <v>0</v>
      </c>
      <c r="O53" s="906">
        <v>0</v>
      </c>
      <c r="P53" s="568">
        <v>0</v>
      </c>
      <c r="Q53" s="567">
        <v>0</v>
      </c>
      <c r="R53" s="33"/>
      <c r="S53" s="33"/>
      <c r="T53" s="33"/>
      <c r="U53" s="33"/>
      <c r="V53" s="33"/>
      <c r="W53" s="33"/>
      <c r="X53" s="33"/>
      <c r="Y53" s="33"/>
      <c r="Z53" s="33"/>
    </row>
    <row r="54" spans="1:28" ht="18.600000000000001" thickBot="1" x14ac:dyDescent="0.4">
      <c r="A54" s="214" t="s">
        <v>158</v>
      </c>
      <c r="B54" s="256">
        <f t="shared" si="5"/>
        <v>22</v>
      </c>
      <c r="C54" s="584">
        <f t="shared" si="6"/>
        <v>4.2473801571754377</v>
      </c>
      <c r="D54" s="585">
        <f t="shared" si="7"/>
        <v>2.1082331511220822</v>
      </c>
      <c r="E54" s="793">
        <f t="shared" si="8"/>
        <v>63.030099071907202</v>
      </c>
      <c r="F54" s="575">
        <v>63.030099071907202</v>
      </c>
      <c r="G54" s="566"/>
      <c r="H54" s="565"/>
      <c r="I54" s="131"/>
      <c r="J54" s="581">
        <v>1.6</v>
      </c>
      <c r="K54" s="582"/>
      <c r="L54" s="1216"/>
      <c r="M54" s="131"/>
      <c r="N54" s="1229">
        <f t="shared" si="4"/>
        <v>39.397261919942004</v>
      </c>
      <c r="O54" s="904">
        <v>39.393811919942003</v>
      </c>
      <c r="P54" s="565">
        <v>3.4499999999999999E-3</v>
      </c>
      <c r="Q54" s="564">
        <v>0</v>
      </c>
      <c r="R54" s="33"/>
      <c r="S54" s="33"/>
      <c r="T54" s="33"/>
      <c r="U54" s="33"/>
      <c r="V54" s="33"/>
      <c r="W54" s="33"/>
      <c r="X54" s="33"/>
      <c r="Y54" s="33"/>
      <c r="Z54" s="33"/>
    </row>
    <row r="55" spans="1:28" ht="18.600000000000001" thickBot="1" x14ac:dyDescent="0.4">
      <c r="A55" s="214" t="s">
        <v>213</v>
      </c>
      <c r="B55" s="256">
        <f t="shared" si="5"/>
        <v>44</v>
      </c>
      <c r="C55" s="584">
        <f t="shared" si="6"/>
        <v>0</v>
      </c>
      <c r="D55" s="585">
        <f t="shared" si="7"/>
        <v>0</v>
      </c>
      <c r="E55" s="793">
        <f t="shared" si="8"/>
        <v>0</v>
      </c>
      <c r="F55" s="574"/>
      <c r="G55" s="563"/>
      <c r="H55" s="562"/>
      <c r="I55" s="49"/>
      <c r="J55" s="52"/>
      <c r="K55" s="51"/>
      <c r="L55" s="1214"/>
      <c r="M55" s="49"/>
      <c r="N55" s="1229">
        <f t="shared" si="4"/>
        <v>0</v>
      </c>
      <c r="O55" s="905">
        <v>0</v>
      </c>
      <c r="P55" s="560">
        <v>0</v>
      </c>
      <c r="Q55" s="559">
        <v>0</v>
      </c>
      <c r="R55" s="33"/>
      <c r="S55" s="33"/>
      <c r="T55" s="33"/>
      <c r="U55" s="33"/>
      <c r="V55" s="33"/>
      <c r="W55" s="33"/>
      <c r="X55" s="33"/>
      <c r="Y55" s="33"/>
      <c r="Z55" s="33"/>
    </row>
    <row r="56" spans="1:28" ht="18.600000000000001" thickBot="1" x14ac:dyDescent="0.4">
      <c r="A56" s="214" t="s">
        <v>159</v>
      </c>
      <c r="B56" s="256">
        <f t="shared" si="5"/>
        <v>15</v>
      </c>
      <c r="C56" s="584">
        <f t="shared" si="6"/>
        <v>4.9554365537253595</v>
      </c>
      <c r="D56" s="585">
        <f t="shared" si="7"/>
        <v>2.4596846136309822</v>
      </c>
      <c r="E56" s="793">
        <f t="shared" si="8"/>
        <v>148.440482735503</v>
      </c>
      <c r="F56" s="574">
        <v>148.440482735503</v>
      </c>
      <c r="G56" s="563"/>
      <c r="H56" s="562"/>
      <c r="I56" s="49"/>
      <c r="J56" s="54">
        <v>1.8</v>
      </c>
      <c r="K56" s="51"/>
      <c r="L56" s="1214"/>
      <c r="M56" s="49"/>
      <c r="N56" s="1229">
        <f t="shared" si="4"/>
        <v>82.466934853056998</v>
      </c>
      <c r="O56" s="903">
        <v>82.466934853056998</v>
      </c>
      <c r="P56" s="562">
        <v>0</v>
      </c>
      <c r="Q56" s="561">
        <v>0</v>
      </c>
      <c r="R56" s="33"/>
      <c r="S56" s="33"/>
      <c r="T56" s="33"/>
      <c r="U56" s="33"/>
      <c r="V56" s="33"/>
      <c r="W56" s="33"/>
      <c r="X56" s="33"/>
      <c r="Y56" s="33"/>
      <c r="Z56" s="33"/>
    </row>
    <row r="57" spans="1:28" ht="18.600000000000001" thickBot="1" x14ac:dyDescent="0.4">
      <c r="A57" s="95" t="s">
        <v>23</v>
      </c>
      <c r="B57" s="256">
        <f t="shared" si="5"/>
        <v>36</v>
      </c>
      <c r="C57" s="584">
        <f t="shared" si="6"/>
        <v>2.447011996948226</v>
      </c>
      <c r="D57" s="585">
        <f t="shared" si="7"/>
        <v>1.2146009121515542</v>
      </c>
      <c r="E57" s="793">
        <f t="shared" si="8"/>
        <v>2.9449340391469501</v>
      </c>
      <c r="F57" s="574">
        <v>2.8387300391469501</v>
      </c>
      <c r="G57" s="563">
        <v>0.10620400000000001</v>
      </c>
      <c r="H57" s="562">
        <v>0</v>
      </c>
      <c r="I57" s="49"/>
      <c r="J57" s="54">
        <v>0.65</v>
      </c>
      <c r="K57" s="53">
        <v>0.7</v>
      </c>
      <c r="L57" s="1213">
        <v>0.5</v>
      </c>
      <c r="M57" s="49"/>
      <c r="N57" s="1229">
        <f t="shared" si="4"/>
        <v>4.5189969833030004</v>
      </c>
      <c r="O57" s="905">
        <v>4.3672769833030003</v>
      </c>
      <c r="P57" s="560">
        <v>0.15171999999999999</v>
      </c>
      <c r="Q57" s="559">
        <v>0</v>
      </c>
      <c r="R57" s="33"/>
      <c r="S57" s="33"/>
      <c r="T57" s="33"/>
      <c r="U57" s="33"/>
      <c r="V57" s="33"/>
      <c r="W57" s="33"/>
      <c r="X57" s="33"/>
      <c r="Y57" s="33"/>
      <c r="Z57" s="33"/>
    </row>
    <row r="58" spans="1:28" ht="18.600000000000001" thickBot="1" x14ac:dyDescent="0.4">
      <c r="A58" s="214" t="s">
        <v>160</v>
      </c>
      <c r="B58" s="256">
        <f t="shared" si="5"/>
        <v>14</v>
      </c>
      <c r="C58" s="584">
        <f t="shared" si="6"/>
        <v>5.1442296477140141</v>
      </c>
      <c r="D58" s="585">
        <f t="shared" si="7"/>
        <v>2.5533941109495544</v>
      </c>
      <c r="E58" s="793">
        <f t="shared" si="8"/>
        <v>182.71148471642999</v>
      </c>
      <c r="F58" s="574">
        <v>182.71148471642999</v>
      </c>
      <c r="G58" s="563"/>
      <c r="H58" s="562"/>
      <c r="I58" s="49"/>
      <c r="J58" s="52">
        <v>1.1000000000000001</v>
      </c>
      <c r="K58" s="51"/>
      <c r="L58" s="1214"/>
      <c r="M58" s="49"/>
      <c r="N58" s="1229">
        <f t="shared" si="4"/>
        <v>166.10134974220901</v>
      </c>
      <c r="O58" s="903">
        <v>166.10134974220901</v>
      </c>
      <c r="P58" s="562">
        <v>0</v>
      </c>
      <c r="Q58" s="561">
        <v>0</v>
      </c>
      <c r="R58" s="33"/>
      <c r="S58" s="33"/>
      <c r="T58" s="33"/>
      <c r="U58" s="33"/>
      <c r="V58" s="33"/>
      <c r="W58" s="33"/>
      <c r="X58" s="33"/>
      <c r="Y58" s="33"/>
      <c r="Z58" s="33"/>
    </row>
    <row r="59" spans="1:28" ht="18.600000000000001" thickBot="1" x14ac:dyDescent="0.4">
      <c r="A59" s="214" t="s">
        <v>338</v>
      </c>
      <c r="B59" s="256">
        <f t="shared" si="5"/>
        <v>25</v>
      </c>
      <c r="C59" s="584">
        <f t="shared" si="6"/>
        <v>3.8345323870782666</v>
      </c>
      <c r="D59" s="585">
        <f t="shared" si="7"/>
        <v>1.9033116882256467</v>
      </c>
      <c r="E59" s="793">
        <f t="shared" si="8"/>
        <v>35.713536583095703</v>
      </c>
      <c r="F59" s="574">
        <v>35.713536583095703</v>
      </c>
      <c r="G59" s="563"/>
      <c r="H59" s="562"/>
      <c r="I59" s="49"/>
      <c r="J59" s="54">
        <v>0.7</v>
      </c>
      <c r="K59" s="51"/>
      <c r="L59" s="1214"/>
      <c r="M59" s="49"/>
      <c r="N59" s="1229">
        <f t="shared" si="4"/>
        <v>51.019337975851002</v>
      </c>
      <c r="O59" s="905">
        <v>51.019337975851002</v>
      </c>
      <c r="P59" s="560">
        <v>0</v>
      </c>
      <c r="Q59" s="559">
        <v>0</v>
      </c>
      <c r="R59" s="33"/>
      <c r="S59" s="33"/>
      <c r="T59" s="33"/>
      <c r="U59" s="33"/>
      <c r="V59" s="33"/>
      <c r="W59" s="33"/>
      <c r="X59" s="33"/>
      <c r="Y59" s="33"/>
      <c r="Z59" s="33"/>
    </row>
    <row r="60" spans="1:28" ht="18.600000000000001" thickBot="1" x14ac:dyDescent="0.4">
      <c r="A60" s="214" t="s">
        <v>384</v>
      </c>
      <c r="B60" s="256">
        <f t="shared" si="5"/>
        <v>3</v>
      </c>
      <c r="C60" s="584">
        <f t="shared" si="6"/>
        <v>8.400410664692604</v>
      </c>
      <c r="D60" s="585">
        <f t="shared" si="7"/>
        <v>4.1696348315856495</v>
      </c>
      <c r="E60" s="793">
        <f t="shared" si="8"/>
        <v>2786.0506721033325</v>
      </c>
      <c r="F60" s="575">
        <v>2736.7773365452399</v>
      </c>
      <c r="G60" s="566">
        <v>43.209837841592702</v>
      </c>
      <c r="H60" s="565">
        <v>6.0634977164999997</v>
      </c>
      <c r="I60" s="131"/>
      <c r="J60" s="54">
        <v>1.8972652218782251</v>
      </c>
      <c r="K60" s="53">
        <v>1.1499999999999999</v>
      </c>
      <c r="L60" s="1213">
        <v>1.1499999999999999</v>
      </c>
      <c r="M60" s="131"/>
      <c r="N60" s="1229">
        <f t="shared" si="4"/>
        <v>1483.2555032436574</v>
      </c>
      <c r="O60" s="904">
        <v>1440.40912449749</v>
      </c>
      <c r="P60" s="565">
        <v>37.573772036167497</v>
      </c>
      <c r="Q60" s="559">
        <v>5.2726067099999998</v>
      </c>
      <c r="R60" s="33"/>
      <c r="S60" s="33"/>
      <c r="T60" s="33"/>
      <c r="U60" s="33"/>
      <c r="V60" s="33"/>
      <c r="W60" s="33"/>
      <c r="X60" s="33"/>
      <c r="Y60" s="33"/>
      <c r="Z60" s="33"/>
      <c r="AB60" s="1" t="s">
        <v>46</v>
      </c>
    </row>
    <row r="61" spans="1:28" ht="18.600000000000001" thickBot="1" x14ac:dyDescent="0.4">
      <c r="A61" s="95" t="s">
        <v>142</v>
      </c>
      <c r="B61" s="256">
        <f t="shared" si="5"/>
        <v>19</v>
      </c>
      <c r="C61" s="584">
        <f t="shared" si="6"/>
        <v>4.3790794009400651</v>
      </c>
      <c r="D61" s="585">
        <f t="shared" si="7"/>
        <v>2.1736034974079534</v>
      </c>
      <c r="E61" s="793">
        <f t="shared" si="8"/>
        <v>74.6833900539105</v>
      </c>
      <c r="F61" s="574">
        <v>60.390254984491897</v>
      </c>
      <c r="G61" s="563">
        <v>14.2931350694186</v>
      </c>
      <c r="H61" s="562">
        <v>0</v>
      </c>
      <c r="I61" s="49"/>
      <c r="J61" s="52">
        <v>1.1527894736842106</v>
      </c>
      <c r="K61" s="55">
        <v>0.7</v>
      </c>
      <c r="L61" s="1213">
        <v>0.5</v>
      </c>
      <c r="M61" s="49"/>
      <c r="N61" s="1229">
        <f t="shared" si="4"/>
        <v>72.932029588789703</v>
      </c>
      <c r="O61" s="903">
        <v>52.513265203906002</v>
      </c>
      <c r="P61" s="562">
        <v>20.418764384883701</v>
      </c>
      <c r="Q61" s="561">
        <v>0</v>
      </c>
      <c r="R61" s="33"/>
      <c r="S61" s="33"/>
      <c r="T61" s="33"/>
      <c r="U61" s="33"/>
      <c r="V61" s="33"/>
      <c r="W61" s="33"/>
      <c r="X61" s="33"/>
      <c r="Y61" s="33"/>
      <c r="Z61" s="33"/>
    </row>
    <row r="62" spans="1:28" ht="18.600000000000001" thickBot="1" x14ac:dyDescent="0.4">
      <c r="A62" s="95" t="s">
        <v>214</v>
      </c>
      <c r="B62" s="256">
        <f t="shared" si="5"/>
        <v>30</v>
      </c>
      <c r="C62" s="584">
        <f t="shared" si="6"/>
        <v>2.9228134789117233</v>
      </c>
      <c r="D62" s="585">
        <f t="shared" si="7"/>
        <v>1.4507701318842976</v>
      </c>
      <c r="E62" s="793">
        <f t="shared" si="8"/>
        <v>7.9026005886371102</v>
      </c>
      <c r="F62" s="574">
        <v>5.3113355578946999</v>
      </c>
      <c r="G62" s="563">
        <v>2.0753664127424098</v>
      </c>
      <c r="H62" s="562">
        <v>0.51589861800000003</v>
      </c>
      <c r="I62" s="49"/>
      <c r="J62" s="54">
        <v>1.9</v>
      </c>
      <c r="K62" s="53">
        <v>1.8</v>
      </c>
      <c r="L62" s="1213">
        <v>2</v>
      </c>
      <c r="M62" s="49"/>
      <c r="N62" s="1229">
        <f t="shared" si="4"/>
        <v>4.2063704167254494</v>
      </c>
      <c r="O62" s="905">
        <v>2.7954397673129998</v>
      </c>
      <c r="P62" s="560">
        <v>1.15298134041245</v>
      </c>
      <c r="Q62" s="559">
        <v>0.25794930900000002</v>
      </c>
      <c r="R62" s="33"/>
      <c r="S62" s="33"/>
      <c r="T62" s="33"/>
      <c r="U62" s="33"/>
      <c r="V62" s="33"/>
      <c r="W62" s="33"/>
      <c r="X62" s="33"/>
      <c r="Y62" s="33"/>
      <c r="Z62" s="33"/>
    </row>
    <row r="63" spans="1:28" ht="18.600000000000001" thickBot="1" x14ac:dyDescent="0.4">
      <c r="A63" s="165" t="s">
        <v>215</v>
      </c>
      <c r="B63" s="296">
        <f t="shared" si="5"/>
        <v>8</v>
      </c>
      <c r="C63" s="584">
        <f t="shared" si="6"/>
        <v>6.6925867798470557</v>
      </c>
      <c r="D63" s="586">
        <f t="shared" si="7"/>
        <v>3.3219379461945713</v>
      </c>
      <c r="E63" s="793">
        <f t="shared" si="8"/>
        <v>788.16932957694007</v>
      </c>
      <c r="F63" s="576">
        <v>288.397055055816</v>
      </c>
      <c r="G63" s="570">
        <v>161.806319780124</v>
      </c>
      <c r="H63" s="569">
        <v>337.96595474100002</v>
      </c>
      <c r="I63" s="329"/>
      <c r="J63" s="1226">
        <v>1</v>
      </c>
      <c r="K63" s="1227">
        <v>1.3</v>
      </c>
      <c r="L63" s="1228">
        <v>1.5</v>
      </c>
      <c r="M63" s="329"/>
      <c r="N63" s="1229">
        <f t="shared" si="4"/>
        <v>638.17409138068001</v>
      </c>
      <c r="O63" s="1232">
        <v>288.397055055816</v>
      </c>
      <c r="P63" s="569">
        <v>124.46639983086401</v>
      </c>
      <c r="Q63" s="1230">
        <v>225.31063649399999</v>
      </c>
      <c r="R63" s="33"/>
      <c r="S63" s="33"/>
      <c r="T63" s="33"/>
      <c r="U63" s="33"/>
      <c r="V63" s="33"/>
      <c r="W63" s="33"/>
      <c r="X63" s="33"/>
      <c r="Y63" s="33"/>
      <c r="Z63" s="33"/>
    </row>
    <row r="64" spans="1:28" x14ac:dyDescent="0.35">
      <c r="R64" s="33"/>
      <c r="S64" s="33"/>
      <c r="T64" s="33"/>
      <c r="U64" s="33"/>
      <c r="V64" s="33"/>
      <c r="W64" s="33"/>
      <c r="X64" s="33"/>
      <c r="Y64" s="33"/>
      <c r="Z64" s="33"/>
    </row>
    <row r="65" spans="1:26" x14ac:dyDescent="0.35">
      <c r="A65" s="75"/>
      <c r="B65" s="116"/>
      <c r="C65" s="33"/>
      <c r="D65" s="33"/>
      <c r="E65" s="33"/>
      <c r="F65" s="115"/>
      <c r="G65" s="115"/>
      <c r="H65" s="115"/>
      <c r="I65" s="33"/>
      <c r="J65" s="116"/>
      <c r="K65" s="75"/>
      <c r="L65" s="75"/>
      <c r="M65" s="33"/>
      <c r="N65" s="577">
        <f>SUM(N7:N63)</f>
        <v>14336.246787034886</v>
      </c>
      <c r="O65" s="577">
        <f>SUM(O7:O63)</f>
        <v>8887.4261541560099</v>
      </c>
      <c r="P65" s="577">
        <f>SUM(P7:P63)</f>
        <v>3190.8088554128781</v>
      </c>
      <c r="Q65" s="577">
        <f>SUM(Q7:Q63)</f>
        <v>2258.0117774659998</v>
      </c>
      <c r="R65" s="33"/>
      <c r="S65" s="33"/>
      <c r="T65" s="33"/>
      <c r="U65" s="33"/>
      <c r="V65" s="33"/>
      <c r="W65" s="33"/>
      <c r="X65" s="33"/>
      <c r="Y65" s="33"/>
      <c r="Z65" s="33"/>
    </row>
    <row r="66" spans="1:26" x14ac:dyDescent="0.35">
      <c r="A66" s="75"/>
      <c r="B66" s="116"/>
      <c r="C66" s="33"/>
      <c r="D66" s="33"/>
      <c r="E66" s="33"/>
      <c r="F66" s="115"/>
      <c r="G66" s="115"/>
      <c r="H66" s="115"/>
      <c r="I66" s="33"/>
      <c r="J66" s="116"/>
      <c r="K66" s="75"/>
      <c r="L66" s="75"/>
      <c r="M66" s="33"/>
      <c r="N66" s="578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x14ac:dyDescent="0.35">
      <c r="A67" s="75"/>
      <c r="B67" s="116"/>
      <c r="C67" s="33"/>
      <c r="D67" s="33"/>
      <c r="E67" s="33"/>
      <c r="F67" s="115"/>
      <c r="G67" s="115"/>
      <c r="H67" s="115"/>
      <c r="I67" s="33"/>
      <c r="J67" s="116"/>
      <c r="K67" s="75"/>
      <c r="L67" s="75"/>
      <c r="M67" s="33"/>
      <c r="N67" s="578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x14ac:dyDescent="0.35">
      <c r="A68" s="75"/>
      <c r="B68" s="116"/>
      <c r="C68" s="33"/>
      <c r="D68" s="33"/>
      <c r="E68" s="33"/>
      <c r="F68" s="115"/>
      <c r="G68" s="115"/>
      <c r="H68" s="115"/>
      <c r="I68" s="33"/>
      <c r="J68" s="116"/>
      <c r="K68" s="75"/>
      <c r="L68" s="75"/>
      <c r="M68" s="33"/>
      <c r="N68" s="578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x14ac:dyDescent="0.35">
      <c r="A69" s="75"/>
      <c r="B69" s="116"/>
      <c r="C69" s="33"/>
      <c r="D69" s="33"/>
      <c r="E69" s="33"/>
      <c r="F69" s="115"/>
      <c r="G69" s="115"/>
      <c r="H69" s="115"/>
      <c r="I69" s="33"/>
      <c r="J69" s="116"/>
      <c r="K69" s="75"/>
      <c r="L69" s="75"/>
      <c r="M69" s="33"/>
      <c r="N69" s="578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x14ac:dyDescent="0.35">
      <c r="A70" s="75"/>
      <c r="B70" s="116"/>
      <c r="C70" s="33"/>
      <c r="D70" s="33"/>
      <c r="E70" s="33"/>
      <c r="F70" s="115"/>
      <c r="G70" s="115"/>
      <c r="H70" s="115"/>
      <c r="I70" s="33"/>
      <c r="J70" s="116"/>
      <c r="K70" s="75"/>
      <c r="L70" s="75"/>
      <c r="M70" s="33"/>
      <c r="N70" s="578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x14ac:dyDescent="0.35">
      <c r="A71" s="75"/>
      <c r="B71" s="116"/>
      <c r="C71" s="33"/>
      <c r="D71" s="33"/>
      <c r="E71" s="33"/>
      <c r="F71" s="115"/>
      <c r="G71" s="115"/>
      <c r="H71" s="115"/>
      <c r="I71" s="33"/>
      <c r="J71" s="116"/>
      <c r="K71" s="75"/>
      <c r="L71" s="75"/>
      <c r="M71" s="33"/>
      <c r="N71" s="578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x14ac:dyDescent="0.35">
      <c r="A72" s="75"/>
      <c r="B72" s="116"/>
      <c r="C72" s="33"/>
      <c r="D72" s="33"/>
      <c r="E72" s="33"/>
      <c r="F72" s="115"/>
      <c r="G72" s="115"/>
      <c r="H72" s="115"/>
      <c r="I72" s="33"/>
      <c r="J72" s="116"/>
      <c r="K72" s="75"/>
      <c r="L72" s="75"/>
      <c r="M72" s="33"/>
      <c r="N72" s="578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x14ac:dyDescent="0.35">
      <c r="A73" s="75"/>
      <c r="B73" s="116"/>
      <c r="C73" s="33"/>
      <c r="D73" s="33"/>
      <c r="E73" s="33"/>
      <c r="F73" s="115"/>
      <c r="G73" s="115"/>
      <c r="H73" s="115"/>
      <c r="I73" s="33"/>
      <c r="J73" s="116"/>
      <c r="K73" s="75"/>
      <c r="L73" s="75"/>
      <c r="M73" s="33"/>
      <c r="N73" s="578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x14ac:dyDescent="0.35">
      <c r="A74" s="75"/>
      <c r="B74" s="116"/>
      <c r="C74" s="33"/>
      <c r="D74" s="33"/>
      <c r="E74" s="33"/>
      <c r="F74" s="115"/>
      <c r="G74" s="115"/>
      <c r="H74" s="115"/>
      <c r="I74" s="33"/>
      <c r="J74" s="116"/>
      <c r="K74" s="75"/>
      <c r="L74" s="75"/>
      <c r="M74" s="33"/>
      <c r="N74" s="578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x14ac:dyDescent="0.35">
      <c r="A75" s="75"/>
      <c r="B75" s="116"/>
      <c r="C75" s="33"/>
      <c r="D75" s="33"/>
      <c r="E75" s="33"/>
      <c r="F75" s="115"/>
      <c r="G75" s="115"/>
      <c r="H75" s="115"/>
      <c r="I75" s="33"/>
      <c r="J75" s="116"/>
      <c r="K75" s="75"/>
      <c r="L75" s="75"/>
      <c r="M75" s="33"/>
      <c r="N75" s="578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x14ac:dyDescent="0.35">
      <c r="A76" s="75"/>
      <c r="B76" s="116"/>
      <c r="C76" s="33"/>
      <c r="D76" s="33"/>
      <c r="E76" s="33"/>
      <c r="F76" s="115"/>
      <c r="G76" s="115"/>
      <c r="H76" s="115"/>
      <c r="I76" s="33"/>
      <c r="J76" s="116"/>
      <c r="K76" s="75"/>
      <c r="L76" s="75"/>
      <c r="M76" s="33"/>
      <c r="N76" s="578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x14ac:dyDescent="0.35">
      <c r="A77" s="75"/>
      <c r="B77" s="116"/>
      <c r="C77" s="33"/>
      <c r="D77" s="33"/>
      <c r="E77" s="33"/>
      <c r="F77" s="115"/>
      <c r="G77" s="115"/>
      <c r="H77" s="115"/>
      <c r="I77" s="33"/>
      <c r="J77" s="116"/>
      <c r="K77" s="75"/>
      <c r="L77" s="75"/>
      <c r="M77" s="33"/>
      <c r="N77" s="578"/>
      <c r="O77" s="33"/>
      <c r="P77" s="33"/>
      <c r="Q77" s="33"/>
      <c r="V77" s="33"/>
      <c r="W77" s="33"/>
      <c r="X77" s="33"/>
      <c r="Y77" s="33"/>
      <c r="Z77" s="33"/>
    </row>
    <row r="78" spans="1:26" x14ac:dyDescent="0.35">
      <c r="V78" s="33"/>
      <c r="W78" s="33"/>
      <c r="X78" s="33"/>
      <c r="Y78" s="33"/>
      <c r="Z78" s="33"/>
    </row>
  </sheetData>
  <sortState ref="A7:R63">
    <sortCondition ref="B7:B63"/>
  </sortState>
  <conditionalFormatting sqref="F7:H63">
    <cfRule type="cellIs" dxfId="5" priority="29" operator="equal">
      <formula>0</formula>
    </cfRule>
  </conditionalFormatting>
  <conditionalFormatting sqref="C7:C63">
    <cfRule type="colorScale" priority="1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30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J17:L17 J19:L24 J26:L29 J31:L32 J34:L38 J40:L49 J51:L52 J55:L59 J61:L62 J7:L1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B63">
    <cfRule type="colorScale" priority="2">
      <colorScale>
        <cfvo type="min"/>
        <cfvo type="percentile" val="50"/>
        <cfvo type="max"/>
        <color rgb="FF62BC2A"/>
        <color rgb="FFFFEB84"/>
        <color rgb="FFE95DAD"/>
      </colorScale>
    </cfRule>
    <cfRule type="colorScale" priority="3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28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J7:L63">
    <cfRule type="colorScale" priority="5">
      <colorScale>
        <cfvo type="min"/>
        <cfvo type="max"/>
        <color rgb="FFF236D7"/>
        <color rgb="FF2FCB50"/>
      </colorScale>
    </cfRule>
  </conditionalFormatting>
  <conditionalFormatting sqref="J7:L40">
    <cfRule type="colorScale" priority="4">
      <colorScale>
        <cfvo type="min"/>
        <cfvo type="percentile" val="50"/>
        <cfvo type="max"/>
        <color rgb="FFE95DAD"/>
        <color rgb="FFFFFBE7"/>
        <color rgb="FF62BC20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/>
  </sheetPr>
  <dimension ref="A1:N289"/>
  <sheetViews>
    <sheetView zoomScaleNormal="100" workbookViewId="0">
      <pane xSplit="1" ySplit="6" topLeftCell="B37" activePane="bottomRight" state="frozen"/>
      <selection activeCell="A22" sqref="A22"/>
      <selection pane="topRight" activeCell="A22" sqref="A22"/>
      <selection pane="bottomLeft" activeCell="A22" sqref="A22"/>
      <selection pane="bottomRight" activeCell="A45" sqref="A45"/>
    </sheetView>
  </sheetViews>
  <sheetFormatPr defaultColWidth="8.88671875" defaultRowHeight="18" x14ac:dyDescent="0.35"/>
  <cols>
    <col min="1" max="1" width="37.44140625" style="1" customWidth="1"/>
    <col min="2" max="2" width="13.109375" style="4" customWidth="1"/>
    <col min="3" max="3" width="13" style="4" customWidth="1"/>
    <col min="4" max="4" width="0.5546875" style="4" hidden="1" customWidth="1"/>
    <col min="5" max="5" width="17.44140625" style="3" customWidth="1"/>
    <col min="6" max="6" width="10.33203125" style="71" customWidth="1"/>
    <col min="7" max="7" width="13" style="3" customWidth="1"/>
    <col min="8" max="8" width="28.44140625" style="1" customWidth="1"/>
    <col min="9" max="16384" width="8.88671875" style="1"/>
  </cols>
  <sheetData>
    <row r="1" spans="1:12" ht="21" x14ac:dyDescent="0.4">
      <c r="A1" s="114" t="s">
        <v>340</v>
      </c>
      <c r="B1" s="36"/>
      <c r="C1" s="36"/>
      <c r="D1" s="36"/>
      <c r="E1" s="32"/>
      <c r="F1" s="33"/>
      <c r="G1" s="33"/>
      <c r="H1" s="33"/>
      <c r="I1" s="33"/>
      <c r="J1" s="33"/>
      <c r="K1" s="33"/>
      <c r="L1" s="33"/>
    </row>
    <row r="2" spans="1:12" x14ac:dyDescent="0.35">
      <c r="A2" s="416"/>
      <c r="B2" s="36"/>
      <c r="C2" s="36"/>
      <c r="D2" s="36"/>
      <c r="E2" s="32"/>
      <c r="F2" s="33"/>
      <c r="G2" s="33"/>
      <c r="H2" s="33"/>
      <c r="I2" s="33"/>
      <c r="J2" s="33"/>
      <c r="K2" s="33"/>
      <c r="L2" s="33"/>
    </row>
    <row r="3" spans="1:12" x14ac:dyDescent="0.35">
      <c r="A3" s="75"/>
      <c r="B3" s="198"/>
      <c r="C3" s="668"/>
      <c r="D3" s="1219"/>
      <c r="E3" s="220" t="s">
        <v>86</v>
      </c>
      <c r="F3" s="504"/>
      <c r="G3" s="118"/>
      <c r="H3" s="504"/>
      <c r="I3" s="33"/>
      <c r="J3" s="33"/>
      <c r="K3" s="33"/>
      <c r="L3" s="33"/>
    </row>
    <row r="4" spans="1:12" x14ac:dyDescent="0.35">
      <c r="A4" s="75"/>
      <c r="B4" s="459"/>
      <c r="C4" s="220" t="s">
        <v>62</v>
      </c>
      <c r="D4" s="1220"/>
      <c r="E4" s="35" t="s">
        <v>469</v>
      </c>
      <c r="F4" s="459" t="s">
        <v>88</v>
      </c>
      <c r="G4" s="505">
        <v>0.18</v>
      </c>
      <c r="H4" s="1218" t="s">
        <v>87</v>
      </c>
      <c r="I4" s="33"/>
      <c r="J4" s="33"/>
      <c r="K4" s="33"/>
      <c r="L4" s="33"/>
    </row>
    <row r="5" spans="1:12" x14ac:dyDescent="0.35">
      <c r="A5" s="75"/>
      <c r="B5" s="1265"/>
      <c r="C5" s="1210" t="s">
        <v>69</v>
      </c>
      <c r="D5" s="1225"/>
      <c r="E5" s="220" t="s">
        <v>468</v>
      </c>
      <c r="F5" s="35" t="s">
        <v>69</v>
      </c>
      <c r="G5" s="137" t="s">
        <v>470</v>
      </c>
      <c r="H5" s="1218" t="s">
        <v>457</v>
      </c>
      <c r="I5" s="33"/>
      <c r="J5" s="33"/>
      <c r="K5" s="33"/>
      <c r="L5" s="33"/>
    </row>
    <row r="6" spans="1:12" ht="18.600000000000001" thickBot="1" x14ac:dyDescent="0.4">
      <c r="A6" s="591" t="s">
        <v>4</v>
      </c>
      <c r="B6" s="1266" t="s">
        <v>3</v>
      </c>
      <c r="C6" s="39" t="s">
        <v>2</v>
      </c>
      <c r="D6" s="1221"/>
      <c r="E6" s="78" t="s">
        <v>222</v>
      </c>
      <c r="F6" s="39" t="s">
        <v>2</v>
      </c>
      <c r="G6" s="506">
        <f>MAX(G7:G63)</f>
        <v>18.74149026257567</v>
      </c>
      <c r="H6" s="78" t="s">
        <v>89</v>
      </c>
      <c r="I6" s="33"/>
      <c r="J6" s="33"/>
      <c r="K6" s="33"/>
      <c r="L6" s="33"/>
    </row>
    <row r="7" spans="1:12" x14ac:dyDescent="0.35">
      <c r="A7" s="164" t="s">
        <v>10</v>
      </c>
      <c r="B7" s="1252">
        <f t="shared" ref="B7:B38" si="0">RANK(C7,C$7:C$63)</f>
        <v>26</v>
      </c>
      <c r="C7" s="62">
        <f t="shared" ref="C7:C38" si="1">SUM(F7:F7)</f>
        <v>1.1851718734724539</v>
      </c>
      <c r="D7" s="1222"/>
      <c r="E7" s="61">
        <v>0</v>
      </c>
      <c r="F7" s="60">
        <f>G7*7/G$6</f>
        <v>1.1851718734724539</v>
      </c>
      <c r="G7" s="59">
        <f>H7^G$4</f>
        <v>3.1731267323089369</v>
      </c>
      <c r="H7" s="10">
        <v>611</v>
      </c>
      <c r="I7" s="33"/>
      <c r="J7" s="33"/>
      <c r="K7" s="33"/>
      <c r="L7" s="33"/>
    </row>
    <row r="8" spans="1:12" x14ac:dyDescent="0.35">
      <c r="A8" s="214" t="s">
        <v>209</v>
      </c>
      <c r="B8" s="1252">
        <f t="shared" si="0"/>
        <v>36</v>
      </c>
      <c r="C8" s="64">
        <f t="shared" si="1"/>
        <v>0</v>
      </c>
      <c r="D8" s="1223"/>
      <c r="E8" s="63">
        <v>0</v>
      </c>
      <c r="F8" s="60">
        <f t="shared" ref="F8:F38" si="2">G8*7/G$6</f>
        <v>0</v>
      </c>
      <c r="G8" s="59">
        <f t="shared" ref="G8:G38" si="3">H8^G$4</f>
        <v>0</v>
      </c>
      <c r="H8" s="11">
        <v>0</v>
      </c>
      <c r="I8" s="33"/>
      <c r="J8" s="33"/>
      <c r="K8" s="33"/>
      <c r="L8" s="33"/>
    </row>
    <row r="9" spans="1:12" x14ac:dyDescent="0.35">
      <c r="A9" s="214" t="s">
        <v>146</v>
      </c>
      <c r="B9" s="1252">
        <f t="shared" si="0"/>
        <v>31</v>
      </c>
      <c r="C9" s="64">
        <f t="shared" si="1"/>
        <v>0.58417980941204062</v>
      </c>
      <c r="D9" s="1223"/>
      <c r="E9" s="63">
        <v>0</v>
      </c>
      <c r="F9" s="60">
        <f t="shared" si="2"/>
        <v>0.58417980941204062</v>
      </c>
      <c r="G9" s="59">
        <f t="shared" si="3"/>
        <v>1.5640571728127244</v>
      </c>
      <c r="H9" s="11">
        <v>12</v>
      </c>
      <c r="I9" s="33"/>
      <c r="J9" s="33"/>
      <c r="K9" s="33"/>
      <c r="L9" s="33"/>
    </row>
    <row r="10" spans="1:12" x14ac:dyDescent="0.35">
      <c r="A10" s="214" t="s">
        <v>147</v>
      </c>
      <c r="B10" s="1252">
        <f t="shared" si="0"/>
        <v>15</v>
      </c>
      <c r="C10" s="64">
        <f t="shared" si="1"/>
        <v>2.153624579841241</v>
      </c>
      <c r="D10" s="1223"/>
      <c r="E10" s="63">
        <v>2.5</v>
      </c>
      <c r="F10" s="60">
        <f t="shared" si="2"/>
        <v>2.153624579841241</v>
      </c>
      <c r="G10" s="59">
        <f t="shared" si="3"/>
        <v>5.7660191560483192</v>
      </c>
      <c r="H10" s="11">
        <v>16869</v>
      </c>
      <c r="I10" s="33"/>
      <c r="J10" s="33"/>
      <c r="K10" s="33"/>
      <c r="L10" s="33"/>
    </row>
    <row r="11" spans="1:12" x14ac:dyDescent="0.35">
      <c r="A11" s="95" t="s">
        <v>5</v>
      </c>
      <c r="B11" s="1252">
        <f t="shared" si="0"/>
        <v>25</v>
      </c>
      <c r="C11" s="64">
        <f t="shared" si="1"/>
        <v>1.2860724393700358</v>
      </c>
      <c r="D11" s="1223"/>
      <c r="E11" s="63">
        <v>3</v>
      </c>
      <c r="F11" s="60">
        <f t="shared" si="2"/>
        <v>1.2860724393700358</v>
      </c>
      <c r="G11" s="59">
        <f t="shared" si="3"/>
        <v>3.4432734427743519</v>
      </c>
      <c r="H11" s="11">
        <v>962</v>
      </c>
      <c r="I11" s="33"/>
      <c r="J11" s="33"/>
      <c r="K11" s="33"/>
      <c r="L11" s="33"/>
    </row>
    <row r="12" spans="1:12" x14ac:dyDescent="0.35">
      <c r="A12" s="214" t="s">
        <v>210</v>
      </c>
      <c r="B12" s="1252">
        <f t="shared" si="0"/>
        <v>27</v>
      </c>
      <c r="C12" s="64">
        <f t="shared" si="1"/>
        <v>1.0775275143020195</v>
      </c>
      <c r="D12" s="1223"/>
      <c r="E12" s="63">
        <v>0</v>
      </c>
      <c r="F12" s="60">
        <f t="shared" si="2"/>
        <v>1.0775275143020195</v>
      </c>
      <c r="G12" s="59">
        <f t="shared" si="3"/>
        <v>2.8849244881355238</v>
      </c>
      <c r="H12" s="11">
        <v>360</v>
      </c>
      <c r="I12" s="33"/>
      <c r="J12" s="33"/>
      <c r="K12" s="33"/>
      <c r="L12" s="33"/>
    </row>
    <row r="13" spans="1:12" x14ac:dyDescent="0.35">
      <c r="A13" s="214" t="s">
        <v>339</v>
      </c>
      <c r="B13" s="1252">
        <f t="shared" si="0"/>
        <v>36</v>
      </c>
      <c r="C13" s="64">
        <f t="shared" si="1"/>
        <v>0</v>
      </c>
      <c r="D13" s="1223"/>
      <c r="E13" s="63">
        <v>2.5</v>
      </c>
      <c r="F13" s="60">
        <f t="shared" si="2"/>
        <v>0</v>
      </c>
      <c r="G13" s="59">
        <f t="shared" si="3"/>
        <v>0</v>
      </c>
      <c r="H13" s="11">
        <v>0</v>
      </c>
      <c r="I13" s="33"/>
      <c r="J13" s="33"/>
      <c r="K13" s="33"/>
      <c r="L13" s="33"/>
    </row>
    <row r="14" spans="1:12" x14ac:dyDescent="0.35">
      <c r="A14" s="95" t="s">
        <v>134</v>
      </c>
      <c r="B14" s="1252">
        <f t="shared" si="0"/>
        <v>18</v>
      </c>
      <c r="C14" s="64">
        <f t="shared" si="1"/>
        <v>1.9861869644245502</v>
      </c>
      <c r="D14" s="1223"/>
      <c r="E14" s="63">
        <v>0</v>
      </c>
      <c r="F14" s="60">
        <f t="shared" si="2"/>
        <v>1.9861869644245502</v>
      </c>
      <c r="G14" s="59">
        <f t="shared" si="3"/>
        <v>5.3177290933453483</v>
      </c>
      <c r="H14" s="11">
        <v>10760</v>
      </c>
      <c r="I14" s="33"/>
      <c r="J14" s="33"/>
      <c r="K14" s="33"/>
      <c r="L14" s="33"/>
    </row>
    <row r="15" spans="1:12" x14ac:dyDescent="0.35">
      <c r="A15" s="214" t="s">
        <v>148</v>
      </c>
      <c r="B15" s="1252">
        <f t="shared" si="0"/>
        <v>36</v>
      </c>
      <c r="C15" s="64">
        <f t="shared" si="1"/>
        <v>0</v>
      </c>
      <c r="D15" s="1223"/>
      <c r="E15" s="63">
        <v>2.5</v>
      </c>
      <c r="F15" s="60">
        <f t="shared" si="2"/>
        <v>0</v>
      </c>
      <c r="G15" s="59">
        <f t="shared" si="3"/>
        <v>0</v>
      </c>
      <c r="H15" s="11">
        <v>0</v>
      </c>
      <c r="I15" s="33"/>
      <c r="J15" s="33"/>
      <c r="K15" s="33"/>
      <c r="L15" s="33"/>
    </row>
    <row r="16" spans="1:12" x14ac:dyDescent="0.35">
      <c r="A16" s="214" t="s">
        <v>9</v>
      </c>
      <c r="B16" s="1252">
        <f t="shared" si="0"/>
        <v>36</v>
      </c>
      <c r="C16" s="64">
        <f t="shared" si="1"/>
        <v>0</v>
      </c>
      <c r="D16" s="1223"/>
      <c r="E16" s="63">
        <v>2</v>
      </c>
      <c r="F16" s="60">
        <f t="shared" si="2"/>
        <v>0</v>
      </c>
      <c r="G16" s="59">
        <f t="shared" si="3"/>
        <v>0</v>
      </c>
      <c r="H16" s="11">
        <v>0</v>
      </c>
      <c r="I16" s="33"/>
      <c r="J16" s="33"/>
      <c r="K16" s="33"/>
      <c r="L16" s="33"/>
    </row>
    <row r="17" spans="1:14" x14ac:dyDescent="0.35">
      <c r="A17" s="95" t="s">
        <v>129</v>
      </c>
      <c r="B17" s="1252">
        <f t="shared" si="0"/>
        <v>36</v>
      </c>
      <c r="C17" s="64">
        <f t="shared" si="1"/>
        <v>0</v>
      </c>
      <c r="D17" s="1223"/>
      <c r="E17" s="63">
        <v>0</v>
      </c>
      <c r="F17" s="60">
        <f t="shared" si="2"/>
        <v>0</v>
      </c>
      <c r="G17" s="59">
        <f t="shared" si="3"/>
        <v>0</v>
      </c>
      <c r="H17" s="11">
        <v>0</v>
      </c>
      <c r="I17" s="33"/>
      <c r="J17" s="33"/>
      <c r="K17" s="33"/>
      <c r="L17" s="33"/>
    </row>
    <row r="18" spans="1:14" x14ac:dyDescent="0.35">
      <c r="A18" s="95" t="s">
        <v>18</v>
      </c>
      <c r="B18" s="1252">
        <f t="shared" si="0"/>
        <v>12</v>
      </c>
      <c r="C18" s="64">
        <f t="shared" si="1"/>
        <v>2.6431955339837558</v>
      </c>
      <c r="D18" s="1223"/>
      <c r="E18" s="63">
        <v>3</v>
      </c>
      <c r="F18" s="60">
        <f t="shared" si="2"/>
        <v>2.6431955339837558</v>
      </c>
      <c r="G18" s="59">
        <f t="shared" si="3"/>
        <v>7.076774766034295</v>
      </c>
      <c r="H18" s="11">
        <v>52639</v>
      </c>
      <c r="I18" s="33"/>
      <c r="J18" s="33"/>
      <c r="K18" s="33"/>
      <c r="L18" s="33"/>
    </row>
    <row r="19" spans="1:14" x14ac:dyDescent="0.35">
      <c r="A19" s="95" t="s">
        <v>140</v>
      </c>
      <c r="B19" s="1252">
        <f t="shared" si="0"/>
        <v>35</v>
      </c>
      <c r="C19" s="64">
        <f t="shared" si="1"/>
        <v>0.49900916162059628</v>
      </c>
      <c r="D19" s="1223"/>
      <c r="E19" s="63">
        <v>0</v>
      </c>
      <c r="F19" s="60">
        <f t="shared" si="2"/>
        <v>0.49900916162059628</v>
      </c>
      <c r="G19" s="59">
        <f t="shared" si="3"/>
        <v>1.3360250490640651</v>
      </c>
      <c r="H19" s="11">
        <v>5</v>
      </c>
      <c r="I19" s="33"/>
      <c r="J19" s="33"/>
      <c r="K19" s="33"/>
      <c r="L19" s="33"/>
    </row>
    <row r="20" spans="1:14" x14ac:dyDescent="0.35">
      <c r="A20" s="214" t="s">
        <v>143</v>
      </c>
      <c r="B20" s="1252">
        <f t="shared" si="0"/>
        <v>36</v>
      </c>
      <c r="C20" s="64">
        <f t="shared" si="1"/>
        <v>0</v>
      </c>
      <c r="D20" s="1223"/>
      <c r="E20" s="63">
        <v>2.5</v>
      </c>
      <c r="F20" s="60">
        <f t="shared" si="2"/>
        <v>0</v>
      </c>
      <c r="G20" s="59">
        <f t="shared" si="3"/>
        <v>0</v>
      </c>
      <c r="H20" s="11">
        <v>0</v>
      </c>
      <c r="I20" s="33"/>
      <c r="J20" s="33"/>
      <c r="K20" s="33"/>
      <c r="L20" s="33"/>
      <c r="N20" s="697"/>
    </row>
    <row r="21" spans="1:14" x14ac:dyDescent="0.35">
      <c r="A21" s="214" t="s">
        <v>149</v>
      </c>
      <c r="B21" s="1252">
        <f t="shared" si="0"/>
        <v>34</v>
      </c>
      <c r="C21" s="64">
        <f t="shared" si="1"/>
        <v>0.55469923904380503</v>
      </c>
      <c r="D21" s="1223"/>
      <c r="E21" s="63">
        <v>2.5</v>
      </c>
      <c r="F21" s="60">
        <f t="shared" si="2"/>
        <v>0.55469923904380503</v>
      </c>
      <c r="G21" s="59">
        <f t="shared" si="3"/>
        <v>1.4851271981710867</v>
      </c>
      <c r="H21" s="11">
        <v>9</v>
      </c>
      <c r="I21" s="33"/>
      <c r="J21" s="33"/>
      <c r="K21" s="33"/>
      <c r="L21" s="33"/>
    </row>
    <row r="22" spans="1:14" x14ac:dyDescent="0.35">
      <c r="A22" s="95" t="s">
        <v>132</v>
      </c>
      <c r="B22" s="1252">
        <f t="shared" si="0"/>
        <v>36</v>
      </c>
      <c r="C22" s="64">
        <f t="shared" si="1"/>
        <v>0</v>
      </c>
      <c r="D22" s="1223"/>
      <c r="E22" s="63">
        <v>0</v>
      </c>
      <c r="F22" s="60">
        <f t="shared" si="2"/>
        <v>0</v>
      </c>
      <c r="G22" s="59">
        <f t="shared" si="3"/>
        <v>0</v>
      </c>
      <c r="H22" s="11">
        <v>0</v>
      </c>
      <c r="I22" s="33"/>
      <c r="J22" s="33"/>
      <c r="K22" s="33"/>
      <c r="L22" s="33"/>
    </row>
    <row r="23" spans="1:14" x14ac:dyDescent="0.35">
      <c r="A23" s="95" t="s">
        <v>16</v>
      </c>
      <c r="B23" s="1252">
        <f t="shared" si="0"/>
        <v>23</v>
      </c>
      <c r="C23" s="64">
        <f t="shared" si="1"/>
        <v>1.4852683221811402</v>
      </c>
      <c r="D23" s="1223"/>
      <c r="E23" s="63">
        <v>0</v>
      </c>
      <c r="F23" s="60">
        <f t="shared" si="2"/>
        <v>1.4852683221811402</v>
      </c>
      <c r="G23" s="59">
        <f t="shared" si="3"/>
        <v>3.9765916853528487</v>
      </c>
      <c r="H23" s="11">
        <v>2141</v>
      </c>
      <c r="I23" s="33"/>
      <c r="J23" s="33"/>
      <c r="K23" s="33"/>
      <c r="L23" s="33"/>
    </row>
    <row r="24" spans="1:14" x14ac:dyDescent="0.35">
      <c r="A24" s="95" t="s">
        <v>6</v>
      </c>
      <c r="B24" s="1252">
        <f t="shared" si="0"/>
        <v>5</v>
      </c>
      <c r="C24" s="64">
        <f t="shared" si="1"/>
        <v>3.6148126511596268</v>
      </c>
      <c r="D24" s="1223"/>
      <c r="E24" s="63">
        <v>1.5</v>
      </c>
      <c r="F24" s="60">
        <f t="shared" si="2"/>
        <v>3.6148126511596268</v>
      </c>
      <c r="G24" s="59">
        <f t="shared" si="3"/>
        <v>9.6781394432490693</v>
      </c>
      <c r="H24" s="11">
        <v>299655</v>
      </c>
      <c r="I24" s="33"/>
      <c r="J24" s="33"/>
      <c r="K24" s="33"/>
      <c r="L24" s="33"/>
    </row>
    <row r="25" spans="1:14" x14ac:dyDescent="0.35">
      <c r="A25" s="95" t="s">
        <v>20</v>
      </c>
      <c r="B25" s="1252">
        <f t="shared" si="0"/>
        <v>8</v>
      </c>
      <c r="C25" s="64">
        <f t="shared" si="1"/>
        <v>3.2630882431826636</v>
      </c>
      <c r="D25" s="1223"/>
      <c r="E25" s="63">
        <v>1.5</v>
      </c>
      <c r="F25" s="60">
        <f t="shared" si="2"/>
        <v>3.2630882431826636</v>
      </c>
      <c r="G25" s="59">
        <f t="shared" si="3"/>
        <v>8.7364480765047201</v>
      </c>
      <c r="H25" s="11">
        <v>169683</v>
      </c>
      <c r="I25" s="33"/>
      <c r="J25" s="33"/>
      <c r="K25" s="33"/>
      <c r="L25" s="33"/>
    </row>
    <row r="26" spans="1:14" x14ac:dyDescent="0.35">
      <c r="A26" s="214" t="s">
        <v>150</v>
      </c>
      <c r="B26" s="1252">
        <f t="shared" si="0"/>
        <v>36</v>
      </c>
      <c r="C26" s="64">
        <f t="shared" si="1"/>
        <v>0</v>
      </c>
      <c r="D26" s="1223"/>
      <c r="E26" s="63">
        <v>0</v>
      </c>
      <c r="F26" s="60">
        <f t="shared" si="2"/>
        <v>0</v>
      </c>
      <c r="G26" s="59">
        <f t="shared" si="3"/>
        <v>0</v>
      </c>
      <c r="H26" s="11">
        <v>0</v>
      </c>
      <c r="I26" s="33"/>
      <c r="J26" s="33"/>
      <c r="K26" s="33"/>
      <c r="L26" s="33"/>
    </row>
    <row r="27" spans="1:14" x14ac:dyDescent="0.35">
      <c r="A27" s="214" t="s">
        <v>33</v>
      </c>
      <c r="B27" s="1252">
        <f t="shared" si="0"/>
        <v>36</v>
      </c>
      <c r="C27" s="64">
        <f t="shared" si="1"/>
        <v>0</v>
      </c>
      <c r="D27" s="1223"/>
      <c r="E27" s="63">
        <v>0</v>
      </c>
      <c r="F27" s="60">
        <f t="shared" si="2"/>
        <v>0</v>
      </c>
      <c r="G27" s="59">
        <f t="shared" si="3"/>
        <v>0</v>
      </c>
      <c r="H27" s="11">
        <v>0</v>
      </c>
      <c r="I27" s="33"/>
      <c r="J27" s="33"/>
      <c r="K27" s="33"/>
      <c r="L27" s="33"/>
    </row>
    <row r="28" spans="1:14" x14ac:dyDescent="0.35">
      <c r="A28" s="214" t="s">
        <v>476</v>
      </c>
      <c r="B28" s="1252">
        <f t="shared" si="0"/>
        <v>36</v>
      </c>
      <c r="C28" s="64">
        <f t="shared" si="1"/>
        <v>0</v>
      </c>
      <c r="D28" s="1223"/>
      <c r="E28" s="63">
        <v>0</v>
      </c>
      <c r="F28" s="60">
        <f t="shared" si="2"/>
        <v>0</v>
      </c>
      <c r="G28" s="59">
        <f t="shared" si="3"/>
        <v>0</v>
      </c>
      <c r="H28" s="11">
        <v>0</v>
      </c>
      <c r="I28" s="33"/>
      <c r="J28" s="33"/>
      <c r="K28" s="33"/>
      <c r="L28" s="33"/>
    </row>
    <row r="29" spans="1:14" x14ac:dyDescent="0.35">
      <c r="A29" s="214" t="s">
        <v>151</v>
      </c>
      <c r="B29" s="1252">
        <f t="shared" si="0"/>
        <v>36</v>
      </c>
      <c r="C29" s="64">
        <f t="shared" si="1"/>
        <v>0</v>
      </c>
      <c r="D29" s="1223"/>
      <c r="E29" s="63">
        <v>0</v>
      </c>
      <c r="F29" s="60">
        <f t="shared" si="2"/>
        <v>0</v>
      </c>
      <c r="G29" s="59">
        <f t="shared" si="3"/>
        <v>0</v>
      </c>
      <c r="H29" s="11">
        <v>0</v>
      </c>
      <c r="I29" s="33"/>
      <c r="J29" s="33"/>
      <c r="K29" s="33"/>
      <c r="L29" s="33"/>
    </row>
    <row r="30" spans="1:14" x14ac:dyDescent="0.35">
      <c r="A30" s="214" t="s">
        <v>144</v>
      </c>
      <c r="B30" s="1252">
        <f t="shared" si="0"/>
        <v>31</v>
      </c>
      <c r="C30" s="64">
        <f t="shared" si="1"/>
        <v>0.58417980941204062</v>
      </c>
      <c r="D30" s="1223"/>
      <c r="E30" s="63">
        <v>0</v>
      </c>
      <c r="F30" s="60">
        <f t="shared" si="2"/>
        <v>0.58417980941204062</v>
      </c>
      <c r="G30" s="59">
        <f t="shared" si="3"/>
        <v>1.5640571728127244</v>
      </c>
      <c r="H30" s="11">
        <v>12</v>
      </c>
      <c r="I30" s="33"/>
      <c r="J30" s="33"/>
      <c r="K30" s="33"/>
      <c r="L30" s="33"/>
    </row>
    <row r="31" spans="1:14" x14ac:dyDescent="0.35">
      <c r="A31" s="214" t="s">
        <v>145</v>
      </c>
      <c r="B31" s="1252">
        <f t="shared" si="0"/>
        <v>24</v>
      </c>
      <c r="C31" s="64">
        <f t="shared" si="1"/>
        <v>1.2978557054857338</v>
      </c>
      <c r="D31" s="1223"/>
      <c r="E31" s="63">
        <v>0</v>
      </c>
      <c r="F31" s="60">
        <f t="shared" si="2"/>
        <v>1.2978557054857338</v>
      </c>
      <c r="G31" s="59">
        <f t="shared" si="3"/>
        <v>3.4748214380841649</v>
      </c>
      <c r="H31" s="11">
        <v>1012</v>
      </c>
      <c r="I31" s="33"/>
      <c r="J31" s="33"/>
      <c r="K31" s="33"/>
      <c r="L31" s="33"/>
    </row>
    <row r="32" spans="1:14" x14ac:dyDescent="0.35">
      <c r="A32" s="214" t="s">
        <v>152</v>
      </c>
      <c r="B32" s="1252">
        <f t="shared" si="0"/>
        <v>36</v>
      </c>
      <c r="C32" s="64">
        <f t="shared" si="1"/>
        <v>0</v>
      </c>
      <c r="D32" s="1223"/>
      <c r="E32" s="63">
        <v>0</v>
      </c>
      <c r="F32" s="60">
        <f t="shared" si="2"/>
        <v>0</v>
      </c>
      <c r="G32" s="59">
        <f t="shared" si="3"/>
        <v>0</v>
      </c>
      <c r="H32" s="11">
        <v>0</v>
      </c>
      <c r="I32" s="33"/>
      <c r="J32" s="33"/>
      <c r="K32" s="33"/>
      <c r="L32" s="33"/>
    </row>
    <row r="33" spans="1:12" x14ac:dyDescent="0.35">
      <c r="A33" s="214" t="s">
        <v>356</v>
      </c>
      <c r="B33" s="1252">
        <f t="shared" si="0"/>
        <v>36</v>
      </c>
      <c r="C33" s="64">
        <f t="shared" si="1"/>
        <v>0</v>
      </c>
      <c r="D33" s="1223"/>
      <c r="E33" s="63">
        <v>2</v>
      </c>
      <c r="F33" s="60">
        <f t="shared" si="2"/>
        <v>0</v>
      </c>
      <c r="G33" s="59">
        <f t="shared" si="3"/>
        <v>0</v>
      </c>
      <c r="H33" s="11">
        <v>0</v>
      </c>
      <c r="I33" s="33"/>
      <c r="J33" s="33"/>
      <c r="K33" s="33"/>
      <c r="L33" s="33"/>
    </row>
    <row r="34" spans="1:12" x14ac:dyDescent="0.35">
      <c r="A34" s="214" t="s">
        <v>337</v>
      </c>
      <c r="B34" s="1252">
        <f t="shared" si="0"/>
        <v>36</v>
      </c>
      <c r="C34" s="64">
        <f t="shared" si="1"/>
        <v>0</v>
      </c>
      <c r="D34" s="1223"/>
      <c r="E34" s="63">
        <v>0</v>
      </c>
      <c r="F34" s="60">
        <f t="shared" si="2"/>
        <v>0</v>
      </c>
      <c r="G34" s="59">
        <f t="shared" si="3"/>
        <v>0</v>
      </c>
      <c r="H34" s="11">
        <v>0</v>
      </c>
      <c r="I34" s="33"/>
      <c r="J34" s="33"/>
      <c r="K34" s="33"/>
      <c r="L34" s="33"/>
    </row>
    <row r="35" spans="1:12" x14ac:dyDescent="0.35">
      <c r="A35" s="95" t="s">
        <v>128</v>
      </c>
      <c r="B35" s="1252">
        <f t="shared" si="0"/>
        <v>6</v>
      </c>
      <c r="C35" s="64">
        <f t="shared" si="1"/>
        <v>3.5980471260433577</v>
      </c>
      <c r="D35" s="1223"/>
      <c r="E35" s="63">
        <v>3</v>
      </c>
      <c r="F35" s="60">
        <f t="shared" si="2"/>
        <v>3.5980471260433577</v>
      </c>
      <c r="G35" s="59">
        <f t="shared" si="3"/>
        <v>9.6332521681471377</v>
      </c>
      <c r="H35" s="11">
        <v>292015</v>
      </c>
      <c r="I35" s="33"/>
      <c r="J35" s="33"/>
      <c r="K35" s="33"/>
      <c r="L35" s="33"/>
    </row>
    <row r="36" spans="1:12" x14ac:dyDescent="0.35">
      <c r="A36" s="96" t="s">
        <v>141</v>
      </c>
      <c r="B36" s="1252">
        <f t="shared" si="0"/>
        <v>13</v>
      </c>
      <c r="C36" s="64">
        <f t="shared" si="1"/>
        <v>2.4282538111655025</v>
      </c>
      <c r="D36" s="1223"/>
      <c r="E36" s="63">
        <v>2</v>
      </c>
      <c r="F36" s="60">
        <f t="shared" si="2"/>
        <v>2.4282538111655025</v>
      </c>
      <c r="G36" s="59">
        <f t="shared" si="3"/>
        <v>6.5012993081457893</v>
      </c>
      <c r="H36" s="11">
        <v>32860</v>
      </c>
      <c r="I36" s="33"/>
      <c r="J36" s="33"/>
      <c r="K36" s="33"/>
      <c r="L36" s="33"/>
    </row>
    <row r="37" spans="1:12" x14ac:dyDescent="0.35">
      <c r="A37" s="95" t="s">
        <v>125</v>
      </c>
      <c r="B37" s="1252">
        <f t="shared" si="0"/>
        <v>21</v>
      </c>
      <c r="C37" s="64">
        <f t="shared" si="1"/>
        <v>1.6561716645136388</v>
      </c>
      <c r="D37" s="1223"/>
      <c r="E37" s="63">
        <v>0</v>
      </c>
      <c r="F37" s="60">
        <f t="shared" si="2"/>
        <v>1.6561716645136388</v>
      </c>
      <c r="G37" s="59">
        <f t="shared" si="3"/>
        <v>4.4341607319480145</v>
      </c>
      <c r="H37" s="11">
        <v>3921</v>
      </c>
      <c r="I37" s="33"/>
      <c r="J37" s="33"/>
      <c r="K37" s="33"/>
      <c r="L37" s="33"/>
    </row>
    <row r="38" spans="1:12" x14ac:dyDescent="0.35">
      <c r="A38" s="214" t="s">
        <v>153</v>
      </c>
      <c r="B38" s="1252">
        <f t="shared" si="0"/>
        <v>36</v>
      </c>
      <c r="C38" s="64">
        <f t="shared" si="1"/>
        <v>0</v>
      </c>
      <c r="D38" s="1223"/>
      <c r="E38" s="63">
        <v>0</v>
      </c>
      <c r="F38" s="60">
        <f t="shared" si="2"/>
        <v>0</v>
      </c>
      <c r="G38" s="59">
        <f t="shared" si="3"/>
        <v>0</v>
      </c>
      <c r="H38" s="11">
        <v>0</v>
      </c>
      <c r="I38" s="33"/>
      <c r="J38" s="33"/>
      <c r="K38" s="33"/>
      <c r="L38" s="33"/>
    </row>
    <row r="39" spans="1:12" x14ac:dyDescent="0.35">
      <c r="A39" s="95" t="s">
        <v>133</v>
      </c>
      <c r="B39" s="1252">
        <f t="shared" ref="B39:B63" si="4">RANK(C39,C$7:C$63)</f>
        <v>4</v>
      </c>
      <c r="C39" s="64">
        <f t="shared" ref="C39:C63" si="5">SUM(F39:F39)</f>
        <v>3.9564711915295248</v>
      </c>
      <c r="D39" s="1223"/>
      <c r="E39" s="63">
        <v>3</v>
      </c>
      <c r="F39" s="60">
        <f t="shared" ref="F39:F63" si="6">G39*7/G$6</f>
        <v>3.9564711915295248</v>
      </c>
      <c r="G39" s="59">
        <f t="shared" ref="G39:G63" si="7">H39^G$4</f>
        <v>10.59288090145882</v>
      </c>
      <c r="H39" s="11">
        <v>494906</v>
      </c>
      <c r="I39" s="33"/>
      <c r="J39" s="33"/>
      <c r="K39" s="33"/>
      <c r="L39" s="33"/>
    </row>
    <row r="40" spans="1:12" x14ac:dyDescent="0.35">
      <c r="A40" s="95" t="s">
        <v>357</v>
      </c>
      <c r="B40" s="1252">
        <f t="shared" si="4"/>
        <v>22</v>
      </c>
      <c r="C40" s="64">
        <f t="shared" si="5"/>
        <v>1.5736743349386775</v>
      </c>
      <c r="D40" s="1223"/>
      <c r="E40" s="63">
        <v>1</v>
      </c>
      <c r="F40" s="60">
        <f t="shared" si="6"/>
        <v>1.5736743349386775</v>
      </c>
      <c r="G40" s="59">
        <f t="shared" si="7"/>
        <v>4.213286032102638</v>
      </c>
      <c r="H40" s="11">
        <v>2952</v>
      </c>
      <c r="I40" s="33"/>
      <c r="J40" s="33"/>
      <c r="K40" s="33"/>
      <c r="L40" s="33"/>
    </row>
    <row r="41" spans="1:12" x14ac:dyDescent="0.35">
      <c r="A41" s="214" t="s">
        <v>154</v>
      </c>
      <c r="B41" s="1252">
        <f t="shared" si="4"/>
        <v>36</v>
      </c>
      <c r="C41" s="64">
        <f t="shared" si="5"/>
        <v>0</v>
      </c>
      <c r="D41" s="1223"/>
      <c r="E41" s="63">
        <v>2</v>
      </c>
      <c r="F41" s="60">
        <f t="shared" si="6"/>
        <v>0</v>
      </c>
      <c r="G41" s="59">
        <f t="shared" si="7"/>
        <v>0</v>
      </c>
      <c r="H41" s="11">
        <v>0</v>
      </c>
      <c r="I41" s="33"/>
      <c r="J41" s="33"/>
      <c r="K41" s="33"/>
      <c r="L41" s="33"/>
    </row>
    <row r="42" spans="1:12" x14ac:dyDescent="0.35">
      <c r="A42" s="214" t="s">
        <v>341</v>
      </c>
      <c r="B42" s="1252">
        <f t="shared" si="4"/>
        <v>17</v>
      </c>
      <c r="C42" s="64">
        <f t="shared" si="5"/>
        <v>2.008185232946853</v>
      </c>
      <c r="D42" s="1223"/>
      <c r="E42" s="63">
        <v>0</v>
      </c>
      <c r="F42" s="60">
        <f t="shared" si="6"/>
        <v>2.008185232946853</v>
      </c>
      <c r="G42" s="59">
        <f t="shared" si="7"/>
        <v>5.3766262841031001</v>
      </c>
      <c r="H42" s="11">
        <v>11439</v>
      </c>
      <c r="I42" s="33"/>
      <c r="J42" s="33"/>
      <c r="K42" s="33"/>
      <c r="L42" s="33"/>
    </row>
    <row r="43" spans="1:12" x14ac:dyDescent="0.35">
      <c r="A43" s="95" t="s">
        <v>7</v>
      </c>
      <c r="B43" s="1252">
        <f t="shared" si="4"/>
        <v>2</v>
      </c>
      <c r="C43" s="64">
        <f t="shared" si="5"/>
        <v>5.246455058400489</v>
      </c>
      <c r="D43" s="1223"/>
      <c r="E43" s="63">
        <v>2</v>
      </c>
      <c r="F43" s="60">
        <f t="shared" si="6"/>
        <v>5.246455058400489</v>
      </c>
      <c r="G43" s="59">
        <f t="shared" si="7"/>
        <v>14.046626627150518</v>
      </c>
      <c r="H43" s="11">
        <v>2373560</v>
      </c>
      <c r="I43" s="33"/>
      <c r="J43" s="33"/>
      <c r="K43" s="33"/>
      <c r="L43" s="33"/>
    </row>
    <row r="44" spans="1:12" x14ac:dyDescent="0.35">
      <c r="A44" s="214" t="s">
        <v>155</v>
      </c>
      <c r="B44" s="1252">
        <f t="shared" si="4"/>
        <v>29</v>
      </c>
      <c r="C44" s="64">
        <f t="shared" si="5"/>
        <v>0.83957127275375643</v>
      </c>
      <c r="D44" s="1223"/>
      <c r="E44" s="63">
        <v>2</v>
      </c>
      <c r="F44" s="60">
        <f t="shared" si="6"/>
        <v>0.83957127275375643</v>
      </c>
      <c r="G44" s="59">
        <f t="shared" si="7"/>
        <v>2.2478309761503983</v>
      </c>
      <c r="H44" s="11">
        <v>90</v>
      </c>
      <c r="I44" s="33"/>
      <c r="J44" s="33"/>
      <c r="K44" s="33"/>
      <c r="L44" s="33"/>
    </row>
    <row r="45" spans="1:12" x14ac:dyDescent="0.35">
      <c r="A45" s="214" t="s">
        <v>156</v>
      </c>
      <c r="B45" s="1252">
        <f t="shared" si="4"/>
        <v>11</v>
      </c>
      <c r="C45" s="64">
        <f t="shared" si="5"/>
        <v>2.6811591046134167</v>
      </c>
      <c r="D45" s="1223"/>
      <c r="E45" s="63">
        <v>0</v>
      </c>
      <c r="F45" s="60">
        <f t="shared" si="6"/>
        <v>2.6811591046134167</v>
      </c>
      <c r="G45" s="59">
        <f t="shared" si="7"/>
        <v>7.17841675021835</v>
      </c>
      <c r="H45" s="11">
        <v>56979</v>
      </c>
      <c r="I45" s="33"/>
      <c r="J45" s="33"/>
      <c r="K45" s="33"/>
      <c r="L45" s="33"/>
    </row>
    <row r="46" spans="1:12" x14ac:dyDescent="0.35">
      <c r="A46" s="214" t="s">
        <v>13</v>
      </c>
      <c r="B46" s="1252">
        <f t="shared" si="4"/>
        <v>9</v>
      </c>
      <c r="C46" s="64">
        <f t="shared" si="5"/>
        <v>3.2275511804899297</v>
      </c>
      <c r="D46" s="1223"/>
      <c r="E46" s="63">
        <v>2</v>
      </c>
      <c r="F46" s="60">
        <f t="shared" si="6"/>
        <v>3.2275511804899297</v>
      </c>
      <c r="G46" s="59">
        <f t="shared" si="7"/>
        <v>8.6413027173023753</v>
      </c>
      <c r="H46" s="11">
        <v>159668</v>
      </c>
      <c r="I46" s="33"/>
      <c r="J46" s="33"/>
      <c r="K46" s="33"/>
      <c r="L46" s="33"/>
    </row>
    <row r="47" spans="1:12" x14ac:dyDescent="0.35">
      <c r="A47" s="214" t="s">
        <v>25</v>
      </c>
      <c r="B47" s="1252">
        <f t="shared" si="4"/>
        <v>16</v>
      </c>
      <c r="C47" s="64">
        <f t="shared" si="5"/>
        <v>2.0771976302228232</v>
      </c>
      <c r="D47" s="1223"/>
      <c r="E47" s="63">
        <v>0</v>
      </c>
      <c r="F47" s="60">
        <f t="shared" si="6"/>
        <v>2.0771976302228232</v>
      </c>
      <c r="G47" s="59">
        <f t="shared" si="7"/>
        <v>5.5613970228951857</v>
      </c>
      <c r="H47" s="11">
        <v>13801</v>
      </c>
      <c r="I47" s="33"/>
      <c r="J47" s="33"/>
      <c r="K47" s="33"/>
      <c r="L47" s="33"/>
    </row>
    <row r="48" spans="1:12" x14ac:dyDescent="0.35">
      <c r="A48" s="214" t="s">
        <v>472</v>
      </c>
      <c r="B48" s="1252">
        <f t="shared" si="4"/>
        <v>36</v>
      </c>
      <c r="C48" s="64">
        <f t="shared" si="5"/>
        <v>0</v>
      </c>
      <c r="D48" s="1223"/>
      <c r="E48" s="63">
        <v>2</v>
      </c>
      <c r="F48" s="60">
        <f t="shared" si="6"/>
        <v>0</v>
      </c>
      <c r="G48" s="59">
        <f t="shared" si="7"/>
        <v>0</v>
      </c>
      <c r="H48" s="11">
        <v>0</v>
      </c>
      <c r="I48" s="33"/>
      <c r="J48" s="33"/>
      <c r="K48" s="33"/>
      <c r="L48" s="33"/>
    </row>
    <row r="49" spans="1:12" x14ac:dyDescent="0.35">
      <c r="A49" s="96" t="s">
        <v>130</v>
      </c>
      <c r="B49" s="1252">
        <f t="shared" si="4"/>
        <v>1</v>
      </c>
      <c r="C49" s="64">
        <f t="shared" si="5"/>
        <v>7</v>
      </c>
      <c r="D49" s="1223"/>
      <c r="E49" s="63">
        <v>3</v>
      </c>
      <c r="F49" s="60">
        <f t="shared" si="6"/>
        <v>7</v>
      </c>
      <c r="G49" s="59">
        <f t="shared" si="7"/>
        <v>18.74149026257567</v>
      </c>
      <c r="H49" s="11">
        <v>11779694</v>
      </c>
      <c r="I49" s="33"/>
      <c r="J49" s="33"/>
      <c r="K49" s="33"/>
      <c r="L49" s="33"/>
    </row>
    <row r="50" spans="1:12" x14ac:dyDescent="0.35">
      <c r="A50" s="214" t="s">
        <v>19</v>
      </c>
      <c r="B50" s="1252">
        <f t="shared" si="4"/>
        <v>10</v>
      </c>
      <c r="C50" s="64">
        <f t="shared" si="5"/>
        <v>2.7752314988646787</v>
      </c>
      <c r="D50" s="1223"/>
      <c r="E50" s="63">
        <v>2</v>
      </c>
      <c r="F50" s="60">
        <f t="shared" si="6"/>
        <v>2.7752314988646787</v>
      </c>
      <c r="G50" s="59">
        <f t="shared" si="7"/>
        <v>7.4302820160522369</v>
      </c>
      <c r="H50" s="11">
        <v>69011</v>
      </c>
      <c r="I50" s="33"/>
      <c r="J50" s="33"/>
      <c r="K50" s="33"/>
      <c r="L50" s="33"/>
    </row>
    <row r="51" spans="1:12" x14ac:dyDescent="0.35">
      <c r="A51" s="214" t="s">
        <v>211</v>
      </c>
      <c r="B51" s="1252">
        <f t="shared" si="4"/>
        <v>30</v>
      </c>
      <c r="C51" s="64">
        <f t="shared" si="5"/>
        <v>0.7982621228296366</v>
      </c>
      <c r="D51" s="1223"/>
      <c r="E51" s="63">
        <v>0</v>
      </c>
      <c r="F51" s="60">
        <f t="shared" si="6"/>
        <v>0.7982621228296366</v>
      </c>
      <c r="G51" s="59">
        <f t="shared" si="7"/>
        <v>2.1372316859992311</v>
      </c>
      <c r="H51" s="11">
        <v>68</v>
      </c>
      <c r="I51" s="33"/>
      <c r="J51" s="33"/>
      <c r="K51" s="33"/>
      <c r="L51" s="33"/>
    </row>
    <row r="52" spans="1:12" x14ac:dyDescent="0.35">
      <c r="A52" s="214" t="s">
        <v>157</v>
      </c>
      <c r="B52" s="1252">
        <f t="shared" si="4"/>
        <v>19</v>
      </c>
      <c r="C52" s="64">
        <f t="shared" si="5"/>
        <v>1.8160249694496433</v>
      </c>
      <c r="D52" s="1223"/>
      <c r="E52" s="63">
        <v>2</v>
      </c>
      <c r="F52" s="60">
        <f t="shared" si="6"/>
        <v>1.8160249694496433</v>
      </c>
      <c r="G52" s="59">
        <f t="shared" si="7"/>
        <v>4.8621448973621106</v>
      </c>
      <c r="H52" s="11">
        <v>6542</v>
      </c>
      <c r="I52" s="33"/>
      <c r="J52" s="33"/>
      <c r="K52" s="33"/>
      <c r="L52" s="33"/>
    </row>
    <row r="53" spans="1:12" x14ac:dyDescent="0.35">
      <c r="A53" s="95" t="s">
        <v>126</v>
      </c>
      <c r="B53" s="1252">
        <f t="shared" si="4"/>
        <v>7</v>
      </c>
      <c r="C53" s="64">
        <f t="shared" si="5"/>
        <v>3.403082182990194</v>
      </c>
      <c r="D53" s="1223"/>
      <c r="E53" s="63">
        <v>0</v>
      </c>
      <c r="F53" s="60">
        <f t="shared" si="6"/>
        <v>3.403082182990194</v>
      </c>
      <c r="G53" s="59">
        <f t="shared" si="7"/>
        <v>9.1112616564650679</v>
      </c>
      <c r="H53" s="11">
        <v>214285</v>
      </c>
      <c r="I53" s="33"/>
      <c r="J53" s="33"/>
      <c r="K53" s="33"/>
      <c r="L53" s="33"/>
    </row>
    <row r="54" spans="1:12" x14ac:dyDescent="0.35">
      <c r="A54" s="214" t="s">
        <v>158</v>
      </c>
      <c r="B54" s="1252">
        <f t="shared" si="4"/>
        <v>36</v>
      </c>
      <c r="C54" s="64">
        <f t="shared" si="5"/>
        <v>0</v>
      </c>
      <c r="D54" s="1223"/>
      <c r="E54" s="63">
        <v>0</v>
      </c>
      <c r="F54" s="60">
        <f t="shared" si="6"/>
        <v>0</v>
      </c>
      <c r="G54" s="59">
        <f t="shared" si="7"/>
        <v>0</v>
      </c>
      <c r="H54" s="11">
        <v>0</v>
      </c>
      <c r="I54" s="33"/>
      <c r="J54" s="33"/>
      <c r="K54" s="33"/>
      <c r="L54" s="33"/>
    </row>
    <row r="55" spans="1:12" x14ac:dyDescent="0.35">
      <c r="A55" s="214" t="s">
        <v>213</v>
      </c>
      <c r="B55" s="1252">
        <f t="shared" si="4"/>
        <v>28</v>
      </c>
      <c r="C55" s="64">
        <f t="shared" si="5"/>
        <v>1.0421128049010688</v>
      </c>
      <c r="D55" s="1223"/>
      <c r="E55" s="63">
        <v>0</v>
      </c>
      <c r="F55" s="60">
        <f t="shared" si="6"/>
        <v>1.0421128049010688</v>
      </c>
      <c r="G55" s="59">
        <f t="shared" si="7"/>
        <v>2.7901067122226859</v>
      </c>
      <c r="H55" s="11">
        <v>299</v>
      </c>
      <c r="I55" s="33"/>
      <c r="J55" s="33"/>
      <c r="K55" s="33"/>
      <c r="L55" s="33"/>
    </row>
    <row r="56" spans="1:12" x14ac:dyDescent="0.35">
      <c r="A56" s="214" t="s">
        <v>159</v>
      </c>
      <c r="B56" s="1252">
        <f t="shared" si="4"/>
        <v>36</v>
      </c>
      <c r="C56" s="64">
        <f t="shared" si="5"/>
        <v>0</v>
      </c>
      <c r="D56" s="1223"/>
      <c r="E56" s="63">
        <v>0</v>
      </c>
      <c r="F56" s="60">
        <f t="shared" si="6"/>
        <v>0</v>
      </c>
      <c r="G56" s="59">
        <f t="shared" si="7"/>
        <v>0</v>
      </c>
      <c r="H56" s="11">
        <v>0</v>
      </c>
      <c r="I56" s="33"/>
      <c r="J56" s="33"/>
      <c r="K56" s="33"/>
      <c r="L56" s="33"/>
    </row>
    <row r="57" spans="1:12" x14ac:dyDescent="0.35">
      <c r="A57" s="95" t="s">
        <v>23</v>
      </c>
      <c r="B57" s="1252">
        <f t="shared" si="4"/>
        <v>31</v>
      </c>
      <c r="C57" s="64">
        <f t="shared" si="5"/>
        <v>0.58417980941204062</v>
      </c>
      <c r="D57" s="1223"/>
      <c r="E57" s="63">
        <v>2</v>
      </c>
      <c r="F57" s="60">
        <f t="shared" si="6"/>
        <v>0.58417980941204062</v>
      </c>
      <c r="G57" s="59">
        <f t="shared" si="7"/>
        <v>1.5640571728127244</v>
      </c>
      <c r="H57" s="11">
        <v>12</v>
      </c>
      <c r="I57" s="33"/>
      <c r="J57" s="33"/>
      <c r="K57" s="33"/>
      <c r="L57" s="33"/>
    </row>
    <row r="58" spans="1:12" x14ac:dyDescent="0.35">
      <c r="A58" s="214" t="s">
        <v>160</v>
      </c>
      <c r="B58" s="1252">
        <f t="shared" si="4"/>
        <v>36</v>
      </c>
      <c r="C58" s="64">
        <f t="shared" si="5"/>
        <v>0</v>
      </c>
      <c r="D58" s="1223"/>
      <c r="E58" s="63">
        <v>0</v>
      </c>
      <c r="F58" s="60">
        <f t="shared" si="6"/>
        <v>0</v>
      </c>
      <c r="G58" s="59">
        <f t="shared" si="7"/>
        <v>0</v>
      </c>
      <c r="H58" s="11">
        <v>0</v>
      </c>
      <c r="I58" s="33"/>
      <c r="J58" s="33"/>
      <c r="K58" s="33"/>
      <c r="L58" s="33"/>
    </row>
    <row r="59" spans="1:12" x14ac:dyDescent="0.35">
      <c r="A59" s="214" t="s">
        <v>338</v>
      </c>
      <c r="B59" s="1252">
        <f t="shared" si="4"/>
        <v>36</v>
      </c>
      <c r="C59" s="64">
        <f t="shared" si="5"/>
        <v>0</v>
      </c>
      <c r="D59" s="1223"/>
      <c r="E59" s="63">
        <v>0</v>
      </c>
      <c r="F59" s="60">
        <f t="shared" si="6"/>
        <v>0</v>
      </c>
      <c r="G59" s="59">
        <f t="shared" si="7"/>
        <v>0</v>
      </c>
      <c r="H59" s="11">
        <v>0</v>
      </c>
      <c r="I59" s="33"/>
      <c r="J59" s="33"/>
      <c r="K59" s="33"/>
      <c r="L59" s="33"/>
    </row>
    <row r="60" spans="1:12" x14ac:dyDescent="0.35">
      <c r="A60" s="214" t="s">
        <v>384</v>
      </c>
      <c r="B60" s="1252">
        <f t="shared" si="4"/>
        <v>36</v>
      </c>
      <c r="C60" s="64">
        <f t="shared" si="5"/>
        <v>0</v>
      </c>
      <c r="D60" s="1223"/>
      <c r="E60" s="63">
        <v>0</v>
      </c>
      <c r="F60" s="60">
        <f t="shared" si="6"/>
        <v>0</v>
      </c>
      <c r="G60" s="59">
        <f t="shared" si="7"/>
        <v>0</v>
      </c>
      <c r="H60" s="11">
        <v>0</v>
      </c>
      <c r="I60" s="33"/>
      <c r="J60" s="33"/>
      <c r="K60" s="33"/>
      <c r="L60" s="33"/>
    </row>
    <row r="61" spans="1:12" x14ac:dyDescent="0.35">
      <c r="A61" s="95" t="s">
        <v>142</v>
      </c>
      <c r="B61" s="1252">
        <f t="shared" si="4"/>
        <v>14</v>
      </c>
      <c r="C61" s="64">
        <f t="shared" si="5"/>
        <v>2.4185624773641772</v>
      </c>
      <c r="D61" s="1223"/>
      <c r="E61" s="63">
        <v>2</v>
      </c>
      <c r="F61" s="60">
        <f t="shared" si="6"/>
        <v>2.4185624773641772</v>
      </c>
      <c r="G61" s="59">
        <f t="shared" si="7"/>
        <v>6.4753521598502308</v>
      </c>
      <c r="H61" s="11">
        <v>32138</v>
      </c>
      <c r="I61" s="33"/>
      <c r="J61" s="33"/>
      <c r="K61" s="33"/>
      <c r="L61" s="33"/>
    </row>
    <row r="62" spans="1:12" x14ac:dyDescent="0.35">
      <c r="A62" s="95" t="s">
        <v>214</v>
      </c>
      <c r="B62" s="1252">
        <f t="shared" si="4"/>
        <v>20</v>
      </c>
      <c r="C62" s="64">
        <f t="shared" si="5"/>
        <v>1.7979308041851889</v>
      </c>
      <c r="D62" s="1223"/>
      <c r="E62" s="63">
        <v>2</v>
      </c>
      <c r="F62" s="60">
        <f t="shared" si="6"/>
        <v>1.7979308041851889</v>
      </c>
      <c r="G62" s="59">
        <f t="shared" si="7"/>
        <v>4.8137003799173659</v>
      </c>
      <c r="H62" s="11">
        <v>6188</v>
      </c>
      <c r="I62" s="33"/>
      <c r="J62" s="33"/>
      <c r="K62" s="33"/>
      <c r="L62" s="33"/>
    </row>
    <row r="63" spans="1:12" ht="18.600000000000001" thickBot="1" x14ac:dyDescent="0.4">
      <c r="A63" s="165" t="s">
        <v>215</v>
      </c>
      <c r="B63" s="1252">
        <f t="shared" si="4"/>
        <v>3</v>
      </c>
      <c r="C63" s="66">
        <f t="shared" si="5"/>
        <v>4.1808768012513919</v>
      </c>
      <c r="D63" s="1224"/>
      <c r="E63" s="65">
        <v>3</v>
      </c>
      <c r="F63" s="60">
        <f t="shared" si="6"/>
        <v>4.1808768012513919</v>
      </c>
      <c r="G63" s="59">
        <f t="shared" si="7"/>
        <v>11.193694551383068</v>
      </c>
      <c r="H63" s="12">
        <v>672404</v>
      </c>
      <c r="I63" s="33"/>
      <c r="J63" s="33"/>
      <c r="K63" s="33"/>
      <c r="L63" s="33"/>
    </row>
    <row r="64" spans="1:12" s="67" customFormat="1" x14ac:dyDescent="0.35">
      <c r="A64" s="33"/>
      <c r="B64" s="36"/>
      <c r="C64" s="36"/>
      <c r="D64" s="36"/>
      <c r="E64" s="32"/>
      <c r="F64" s="413"/>
      <c r="G64" s="32"/>
      <c r="H64" s="33"/>
      <c r="I64" s="33"/>
      <c r="J64" s="33"/>
      <c r="K64" s="33"/>
      <c r="L64" s="33"/>
    </row>
    <row r="65" spans="1:12" s="67" customFormat="1" x14ac:dyDescent="0.35">
      <c r="A65" s="33"/>
      <c r="B65" s="36"/>
      <c r="C65" s="507">
        <f>AVERAGE(C7:C64)</f>
        <v>1.3565591741360994</v>
      </c>
      <c r="D65" s="507"/>
      <c r="E65" s="32"/>
      <c r="F65" s="413"/>
      <c r="G65" s="32"/>
      <c r="H65" s="33"/>
      <c r="I65" s="33"/>
      <c r="J65" s="33"/>
      <c r="K65" s="33"/>
      <c r="L65" s="33"/>
    </row>
    <row r="66" spans="1:12" s="67" customFormat="1" x14ac:dyDescent="0.35">
      <c r="A66" s="33"/>
      <c r="B66" s="36"/>
      <c r="C66" s="36"/>
      <c r="D66" s="36"/>
      <c r="E66" s="32"/>
      <c r="F66" s="413"/>
      <c r="G66" s="32"/>
      <c r="H66" s="33"/>
      <c r="I66" s="33"/>
      <c r="J66" s="33"/>
      <c r="K66" s="33"/>
      <c r="L66" s="33"/>
    </row>
    <row r="67" spans="1:12" s="67" customFormat="1" x14ac:dyDescent="0.35">
      <c r="A67" s="33"/>
      <c r="B67" s="36"/>
      <c r="C67" s="36"/>
      <c r="D67" s="36"/>
      <c r="E67" s="32"/>
      <c r="F67" s="413"/>
      <c r="G67" s="32"/>
      <c r="H67" s="33"/>
      <c r="I67" s="33"/>
      <c r="J67" s="33"/>
      <c r="K67" s="33"/>
      <c r="L67" s="33"/>
    </row>
    <row r="68" spans="1:12" s="67" customFormat="1" x14ac:dyDescent="0.35">
      <c r="A68" s="33"/>
      <c r="B68" s="36"/>
      <c r="C68" s="36"/>
      <c r="D68" s="36"/>
      <c r="E68" s="32"/>
      <c r="F68" s="413"/>
      <c r="G68" s="32"/>
      <c r="H68" s="33"/>
      <c r="I68" s="33"/>
      <c r="J68" s="33"/>
      <c r="K68" s="33"/>
      <c r="L68" s="33"/>
    </row>
    <row r="69" spans="1:12" s="67" customFormat="1" x14ac:dyDescent="0.35">
      <c r="A69" s="33"/>
      <c r="B69" s="36"/>
      <c r="C69" s="36"/>
      <c r="D69" s="36"/>
      <c r="E69" s="32"/>
      <c r="F69" s="413"/>
      <c r="G69" s="32"/>
      <c r="H69" s="33"/>
      <c r="I69" s="33"/>
      <c r="J69" s="33"/>
      <c r="K69" s="33"/>
      <c r="L69" s="33"/>
    </row>
    <row r="70" spans="1:12" s="67" customFormat="1" x14ac:dyDescent="0.35">
      <c r="A70" s="33"/>
      <c r="B70" s="36"/>
      <c r="C70" s="36"/>
      <c r="D70" s="36"/>
      <c r="E70" s="32"/>
      <c r="F70" s="413"/>
      <c r="G70" s="32"/>
      <c r="H70" s="33"/>
      <c r="I70" s="33"/>
      <c r="J70" s="33"/>
      <c r="K70" s="33"/>
      <c r="L70" s="33"/>
    </row>
    <row r="71" spans="1:12" s="67" customFormat="1" x14ac:dyDescent="0.35">
      <c r="A71" s="33"/>
      <c r="B71" s="36"/>
      <c r="C71" s="36"/>
      <c r="D71" s="36"/>
      <c r="E71" s="32"/>
      <c r="F71" s="413"/>
      <c r="G71" s="32"/>
      <c r="H71" s="33"/>
      <c r="I71" s="33"/>
      <c r="J71" s="33"/>
      <c r="K71" s="33"/>
      <c r="L71" s="33"/>
    </row>
    <row r="72" spans="1:12" s="67" customFormat="1" x14ac:dyDescent="0.35">
      <c r="B72" s="70"/>
      <c r="C72" s="70"/>
      <c r="D72" s="70"/>
      <c r="E72" s="68"/>
      <c r="F72" s="69"/>
      <c r="G72" s="68"/>
    </row>
    <row r="73" spans="1:12" s="67" customFormat="1" x14ac:dyDescent="0.35">
      <c r="B73" s="70"/>
      <c r="C73" s="70"/>
      <c r="D73" s="70"/>
      <c r="E73" s="68"/>
      <c r="F73" s="69"/>
      <c r="G73" s="68"/>
    </row>
    <row r="74" spans="1:12" s="67" customFormat="1" x14ac:dyDescent="0.35">
      <c r="B74" s="70"/>
      <c r="C74" s="70"/>
      <c r="D74" s="70"/>
      <c r="E74" s="68"/>
      <c r="F74" s="69"/>
      <c r="G74" s="68"/>
    </row>
    <row r="75" spans="1:12" s="67" customFormat="1" x14ac:dyDescent="0.35">
      <c r="B75" s="70"/>
      <c r="C75" s="70"/>
      <c r="D75" s="70"/>
      <c r="E75" s="68"/>
      <c r="F75" s="69"/>
      <c r="G75" s="68"/>
    </row>
    <row r="76" spans="1:12" s="67" customFormat="1" x14ac:dyDescent="0.35">
      <c r="B76" s="70"/>
      <c r="C76" s="70"/>
      <c r="D76" s="70"/>
      <c r="E76" s="68"/>
      <c r="F76" s="69"/>
      <c r="G76" s="68"/>
    </row>
    <row r="77" spans="1:12" s="67" customFormat="1" x14ac:dyDescent="0.35">
      <c r="B77" s="70"/>
      <c r="C77" s="70"/>
      <c r="D77" s="70"/>
      <c r="E77" s="68"/>
      <c r="F77" s="69"/>
      <c r="G77" s="68"/>
    </row>
    <row r="78" spans="1:12" s="67" customFormat="1" x14ac:dyDescent="0.35">
      <c r="B78" s="70"/>
      <c r="C78" s="70"/>
      <c r="D78" s="70"/>
      <c r="E78" s="68"/>
      <c r="F78" s="69"/>
      <c r="G78" s="68"/>
    </row>
    <row r="79" spans="1:12" s="67" customFormat="1" x14ac:dyDescent="0.35">
      <c r="B79" s="70"/>
      <c r="C79" s="70"/>
      <c r="D79" s="70"/>
      <c r="E79" s="68"/>
      <c r="F79" s="69"/>
      <c r="G79" s="68"/>
    </row>
    <row r="80" spans="1:12" s="67" customFormat="1" x14ac:dyDescent="0.35">
      <c r="B80" s="70"/>
      <c r="C80" s="70"/>
      <c r="D80" s="70"/>
      <c r="E80" s="68"/>
      <c r="F80" s="69"/>
      <c r="G80" s="68"/>
    </row>
    <row r="81" spans="2:7" s="67" customFormat="1" x14ac:dyDescent="0.35">
      <c r="B81" s="70"/>
      <c r="C81" s="70"/>
      <c r="D81" s="70"/>
      <c r="E81" s="68"/>
      <c r="F81" s="69"/>
      <c r="G81" s="68"/>
    </row>
    <row r="82" spans="2:7" s="67" customFormat="1" x14ac:dyDescent="0.35">
      <c r="B82" s="70"/>
      <c r="C82" s="70"/>
      <c r="D82" s="70"/>
      <c r="E82" s="68"/>
      <c r="F82" s="69"/>
      <c r="G82" s="68"/>
    </row>
    <row r="83" spans="2:7" s="67" customFormat="1" x14ac:dyDescent="0.35">
      <c r="B83" s="70"/>
      <c r="C83" s="70"/>
      <c r="D83" s="70"/>
      <c r="E83" s="68"/>
      <c r="F83" s="69"/>
      <c r="G83" s="68"/>
    </row>
    <row r="84" spans="2:7" s="67" customFormat="1" x14ac:dyDescent="0.35">
      <c r="B84" s="70"/>
      <c r="C84" s="70"/>
      <c r="D84" s="70"/>
      <c r="E84" s="68"/>
      <c r="F84" s="69"/>
      <c r="G84" s="68"/>
    </row>
    <row r="85" spans="2:7" s="67" customFormat="1" x14ac:dyDescent="0.35">
      <c r="B85" s="70"/>
      <c r="C85" s="70"/>
      <c r="D85" s="70"/>
      <c r="E85" s="68"/>
      <c r="F85" s="69"/>
      <c r="G85" s="68"/>
    </row>
    <row r="86" spans="2:7" s="67" customFormat="1" x14ac:dyDescent="0.35">
      <c r="B86" s="70"/>
      <c r="C86" s="70"/>
      <c r="D86" s="70"/>
      <c r="E86" s="68"/>
      <c r="F86" s="69"/>
      <c r="G86" s="68"/>
    </row>
    <row r="87" spans="2:7" s="67" customFormat="1" x14ac:dyDescent="0.35">
      <c r="B87" s="70"/>
      <c r="C87" s="70"/>
      <c r="D87" s="70"/>
      <c r="E87" s="68"/>
      <c r="F87" s="69"/>
      <c r="G87" s="68"/>
    </row>
    <row r="88" spans="2:7" s="67" customFormat="1" x14ac:dyDescent="0.35">
      <c r="B88" s="70"/>
      <c r="C88" s="70"/>
      <c r="D88" s="70"/>
      <c r="E88" s="68"/>
      <c r="F88" s="69"/>
      <c r="G88" s="68"/>
    </row>
    <row r="89" spans="2:7" s="67" customFormat="1" x14ac:dyDescent="0.35">
      <c r="B89" s="70"/>
      <c r="C89" s="70"/>
      <c r="D89" s="70"/>
      <c r="E89" s="68"/>
      <c r="F89" s="69"/>
      <c r="G89" s="68"/>
    </row>
    <row r="90" spans="2:7" s="67" customFormat="1" x14ac:dyDescent="0.35">
      <c r="B90" s="70"/>
      <c r="C90" s="70"/>
      <c r="D90" s="70"/>
      <c r="E90" s="68"/>
      <c r="F90" s="69"/>
      <c r="G90" s="68"/>
    </row>
    <row r="91" spans="2:7" s="67" customFormat="1" x14ac:dyDescent="0.35">
      <c r="B91" s="70"/>
      <c r="C91" s="70"/>
      <c r="D91" s="70"/>
      <c r="E91" s="68"/>
      <c r="F91" s="69"/>
      <c r="G91" s="68"/>
    </row>
    <row r="92" spans="2:7" s="67" customFormat="1" x14ac:dyDescent="0.35">
      <c r="B92" s="70"/>
      <c r="C92" s="70"/>
      <c r="D92" s="70"/>
      <c r="E92" s="68"/>
      <c r="F92" s="69"/>
      <c r="G92" s="68"/>
    </row>
    <row r="93" spans="2:7" s="67" customFormat="1" x14ac:dyDescent="0.35">
      <c r="B93" s="70"/>
      <c r="C93" s="70"/>
      <c r="D93" s="70"/>
      <c r="E93" s="68"/>
      <c r="F93" s="69"/>
      <c r="G93" s="68"/>
    </row>
    <row r="94" spans="2:7" s="67" customFormat="1" x14ac:dyDescent="0.35">
      <c r="B94" s="70"/>
      <c r="C94" s="70"/>
      <c r="D94" s="70"/>
      <c r="E94" s="68"/>
      <c r="F94" s="69"/>
      <c r="G94" s="68"/>
    </row>
    <row r="95" spans="2:7" s="67" customFormat="1" x14ac:dyDescent="0.35">
      <c r="B95" s="70"/>
      <c r="C95" s="70"/>
      <c r="D95" s="70"/>
      <c r="E95" s="68"/>
      <c r="F95" s="69"/>
      <c r="G95" s="68"/>
    </row>
    <row r="96" spans="2:7" s="67" customFormat="1" x14ac:dyDescent="0.35">
      <c r="B96" s="70"/>
      <c r="C96" s="70"/>
      <c r="D96" s="70"/>
      <c r="E96" s="68"/>
      <c r="F96" s="69"/>
      <c r="G96" s="68"/>
    </row>
    <row r="97" spans="2:7" s="67" customFormat="1" x14ac:dyDescent="0.35">
      <c r="B97" s="70"/>
      <c r="C97" s="70"/>
      <c r="D97" s="70"/>
      <c r="E97" s="68"/>
      <c r="F97" s="69"/>
      <c r="G97" s="68"/>
    </row>
    <row r="98" spans="2:7" s="67" customFormat="1" x14ac:dyDescent="0.35">
      <c r="B98" s="70"/>
      <c r="C98" s="70"/>
      <c r="D98" s="70"/>
      <c r="E98" s="68"/>
      <c r="F98" s="69"/>
      <c r="G98" s="68"/>
    </row>
    <row r="99" spans="2:7" s="67" customFormat="1" x14ac:dyDescent="0.35">
      <c r="B99" s="70"/>
      <c r="C99" s="70"/>
      <c r="D99" s="70"/>
      <c r="E99" s="68"/>
      <c r="F99" s="69"/>
      <c r="G99" s="68"/>
    </row>
    <row r="100" spans="2:7" s="67" customFormat="1" x14ac:dyDescent="0.35">
      <c r="B100" s="70"/>
      <c r="C100" s="70"/>
      <c r="D100" s="70"/>
      <c r="E100" s="68"/>
      <c r="F100" s="69"/>
      <c r="G100" s="68"/>
    </row>
    <row r="101" spans="2:7" s="67" customFormat="1" x14ac:dyDescent="0.35">
      <c r="B101" s="70"/>
      <c r="C101" s="70"/>
      <c r="D101" s="70"/>
      <c r="E101" s="68"/>
      <c r="F101" s="69"/>
      <c r="G101" s="68"/>
    </row>
    <row r="102" spans="2:7" s="67" customFormat="1" x14ac:dyDescent="0.35">
      <c r="B102" s="70"/>
      <c r="C102" s="70"/>
      <c r="D102" s="70"/>
      <c r="E102" s="68"/>
      <c r="F102" s="69"/>
      <c r="G102" s="68"/>
    </row>
    <row r="103" spans="2:7" s="67" customFormat="1" x14ac:dyDescent="0.35">
      <c r="B103" s="70"/>
      <c r="C103" s="70"/>
      <c r="D103" s="70"/>
      <c r="E103" s="68"/>
      <c r="F103" s="69"/>
      <c r="G103" s="68"/>
    </row>
    <row r="104" spans="2:7" s="67" customFormat="1" x14ac:dyDescent="0.35">
      <c r="B104" s="70"/>
      <c r="C104" s="70"/>
      <c r="D104" s="70"/>
      <c r="E104" s="68"/>
      <c r="F104" s="69"/>
      <c r="G104" s="68"/>
    </row>
    <row r="105" spans="2:7" s="67" customFormat="1" x14ac:dyDescent="0.35">
      <c r="B105" s="70"/>
      <c r="C105" s="70"/>
      <c r="D105" s="70"/>
      <c r="E105" s="68"/>
      <c r="F105" s="69"/>
      <c r="G105" s="68"/>
    </row>
    <row r="106" spans="2:7" s="67" customFormat="1" x14ac:dyDescent="0.35">
      <c r="B106" s="70"/>
      <c r="C106" s="70"/>
      <c r="D106" s="70"/>
      <c r="E106" s="68"/>
      <c r="F106" s="69"/>
      <c r="G106" s="68"/>
    </row>
    <row r="107" spans="2:7" s="67" customFormat="1" x14ac:dyDescent="0.35">
      <c r="B107" s="70"/>
      <c r="C107" s="70"/>
      <c r="D107" s="70"/>
      <c r="E107" s="68"/>
      <c r="F107" s="69"/>
      <c r="G107" s="68"/>
    </row>
    <row r="108" spans="2:7" s="67" customFormat="1" x14ac:dyDescent="0.35">
      <c r="B108" s="70"/>
      <c r="C108" s="70"/>
      <c r="D108" s="70"/>
      <c r="E108" s="68"/>
      <c r="F108" s="69"/>
      <c r="G108" s="68"/>
    </row>
    <row r="109" spans="2:7" s="67" customFormat="1" x14ac:dyDescent="0.35">
      <c r="B109" s="70"/>
      <c r="C109" s="70"/>
      <c r="D109" s="70"/>
      <c r="E109" s="68"/>
      <c r="F109" s="69"/>
      <c r="G109" s="68"/>
    </row>
    <row r="110" spans="2:7" s="67" customFormat="1" x14ac:dyDescent="0.35">
      <c r="B110" s="70"/>
      <c r="C110" s="70"/>
      <c r="D110" s="70"/>
      <c r="E110" s="68"/>
      <c r="F110" s="69"/>
      <c r="G110" s="68"/>
    </row>
    <row r="111" spans="2:7" s="67" customFormat="1" x14ac:dyDescent="0.35">
      <c r="B111" s="70"/>
      <c r="C111" s="70"/>
      <c r="D111" s="70"/>
      <c r="E111" s="68"/>
      <c r="F111" s="69"/>
      <c r="G111" s="68"/>
    </row>
    <row r="112" spans="2:7" s="67" customFormat="1" x14ac:dyDescent="0.35">
      <c r="B112" s="70"/>
      <c r="C112" s="70"/>
      <c r="D112" s="70"/>
      <c r="E112" s="68"/>
      <c r="F112" s="69"/>
      <c r="G112" s="68"/>
    </row>
    <row r="113" spans="2:7" s="67" customFormat="1" x14ac:dyDescent="0.35">
      <c r="B113" s="70"/>
      <c r="C113" s="70"/>
      <c r="D113" s="70"/>
      <c r="E113" s="68"/>
      <c r="F113" s="69"/>
      <c r="G113" s="68"/>
    </row>
    <row r="114" spans="2:7" s="67" customFormat="1" x14ac:dyDescent="0.35">
      <c r="B114" s="70"/>
      <c r="C114" s="70"/>
      <c r="D114" s="70"/>
      <c r="E114" s="68"/>
      <c r="F114" s="69"/>
      <c r="G114" s="68"/>
    </row>
    <row r="115" spans="2:7" s="67" customFormat="1" x14ac:dyDescent="0.35">
      <c r="B115" s="70"/>
      <c r="C115" s="70"/>
      <c r="D115" s="70"/>
      <c r="E115" s="68"/>
      <c r="F115" s="69"/>
      <c r="G115" s="68"/>
    </row>
    <row r="116" spans="2:7" s="67" customFormat="1" x14ac:dyDescent="0.35">
      <c r="B116" s="70"/>
      <c r="C116" s="70"/>
      <c r="D116" s="70"/>
      <c r="E116" s="68"/>
      <c r="F116" s="69"/>
      <c r="G116" s="68"/>
    </row>
    <row r="117" spans="2:7" s="67" customFormat="1" x14ac:dyDescent="0.35">
      <c r="B117" s="70"/>
      <c r="C117" s="70"/>
      <c r="D117" s="70"/>
      <c r="E117" s="68"/>
      <c r="F117" s="69"/>
      <c r="G117" s="68"/>
    </row>
    <row r="118" spans="2:7" s="67" customFormat="1" x14ac:dyDescent="0.35">
      <c r="B118" s="70"/>
      <c r="C118" s="70"/>
      <c r="D118" s="70"/>
      <c r="E118" s="68"/>
      <c r="F118" s="69"/>
      <c r="G118" s="68"/>
    </row>
    <row r="119" spans="2:7" s="67" customFormat="1" x14ac:dyDescent="0.35">
      <c r="B119" s="70"/>
      <c r="C119" s="70"/>
      <c r="D119" s="70"/>
      <c r="E119" s="68"/>
      <c r="F119" s="69"/>
      <c r="G119" s="68"/>
    </row>
    <row r="120" spans="2:7" s="67" customFormat="1" x14ac:dyDescent="0.35">
      <c r="B120" s="70"/>
      <c r="C120" s="70"/>
      <c r="D120" s="70"/>
      <c r="E120" s="68"/>
      <c r="F120" s="69"/>
      <c r="G120" s="68"/>
    </row>
    <row r="121" spans="2:7" s="67" customFormat="1" x14ac:dyDescent="0.35">
      <c r="B121" s="70"/>
      <c r="C121" s="70"/>
      <c r="D121" s="70"/>
      <c r="E121" s="68"/>
      <c r="F121" s="69"/>
      <c r="G121" s="68"/>
    </row>
    <row r="122" spans="2:7" s="67" customFormat="1" x14ac:dyDescent="0.35">
      <c r="B122" s="70"/>
      <c r="C122" s="70"/>
      <c r="D122" s="70"/>
      <c r="E122" s="68"/>
      <c r="F122" s="69"/>
      <c r="G122" s="68"/>
    </row>
    <row r="123" spans="2:7" s="67" customFormat="1" x14ac:dyDescent="0.35">
      <c r="B123" s="70"/>
      <c r="C123" s="70"/>
      <c r="D123" s="70"/>
      <c r="E123" s="68"/>
      <c r="F123" s="69"/>
      <c r="G123" s="68"/>
    </row>
    <row r="124" spans="2:7" s="67" customFormat="1" x14ac:dyDescent="0.35">
      <c r="B124" s="70"/>
      <c r="C124" s="70"/>
      <c r="D124" s="70"/>
      <c r="E124" s="68"/>
      <c r="F124" s="69"/>
      <c r="G124" s="68"/>
    </row>
    <row r="125" spans="2:7" s="67" customFormat="1" x14ac:dyDescent="0.35">
      <c r="B125" s="70"/>
      <c r="C125" s="70"/>
      <c r="D125" s="70"/>
      <c r="E125" s="68"/>
      <c r="F125" s="69"/>
      <c r="G125" s="68"/>
    </row>
    <row r="126" spans="2:7" s="67" customFormat="1" x14ac:dyDescent="0.35">
      <c r="B126" s="70"/>
      <c r="C126" s="70"/>
      <c r="D126" s="70"/>
      <c r="E126" s="68"/>
      <c r="F126" s="69"/>
      <c r="G126" s="68"/>
    </row>
    <row r="127" spans="2:7" s="67" customFormat="1" x14ac:dyDescent="0.35">
      <c r="B127" s="70"/>
      <c r="C127" s="70"/>
      <c r="D127" s="70"/>
      <c r="E127" s="68"/>
      <c r="F127" s="69"/>
      <c r="G127" s="68"/>
    </row>
    <row r="128" spans="2:7" s="67" customFormat="1" x14ac:dyDescent="0.35">
      <c r="B128" s="70"/>
      <c r="C128" s="70"/>
      <c r="D128" s="70"/>
      <c r="E128" s="68"/>
      <c r="F128" s="69"/>
      <c r="G128" s="68"/>
    </row>
    <row r="129" spans="2:7" s="67" customFormat="1" x14ac:dyDescent="0.35">
      <c r="B129" s="70"/>
      <c r="C129" s="70"/>
      <c r="D129" s="70"/>
      <c r="E129" s="68"/>
      <c r="F129" s="69"/>
      <c r="G129" s="68"/>
    </row>
    <row r="130" spans="2:7" s="67" customFormat="1" x14ac:dyDescent="0.35">
      <c r="B130" s="70"/>
      <c r="C130" s="70"/>
      <c r="D130" s="70"/>
      <c r="E130" s="68"/>
      <c r="F130" s="69"/>
      <c r="G130" s="68"/>
    </row>
    <row r="131" spans="2:7" s="67" customFormat="1" x14ac:dyDescent="0.35">
      <c r="B131" s="70"/>
      <c r="C131" s="70"/>
      <c r="D131" s="70"/>
      <c r="E131" s="68"/>
      <c r="F131" s="69"/>
      <c r="G131" s="68"/>
    </row>
    <row r="132" spans="2:7" s="67" customFormat="1" x14ac:dyDescent="0.35">
      <c r="B132" s="70"/>
      <c r="C132" s="70"/>
      <c r="D132" s="70"/>
      <c r="E132" s="68"/>
      <c r="F132" s="69"/>
      <c r="G132" s="68"/>
    </row>
    <row r="133" spans="2:7" s="67" customFormat="1" x14ac:dyDescent="0.35">
      <c r="B133" s="70"/>
      <c r="C133" s="70"/>
      <c r="D133" s="70"/>
      <c r="E133" s="68"/>
      <c r="F133" s="69"/>
      <c r="G133" s="68"/>
    </row>
    <row r="134" spans="2:7" s="67" customFormat="1" x14ac:dyDescent="0.35">
      <c r="B134" s="70"/>
      <c r="C134" s="70"/>
      <c r="D134" s="70"/>
      <c r="E134" s="68"/>
      <c r="F134" s="69"/>
      <c r="G134" s="68"/>
    </row>
    <row r="135" spans="2:7" s="67" customFormat="1" x14ac:dyDescent="0.35">
      <c r="B135" s="70"/>
      <c r="C135" s="70"/>
      <c r="D135" s="70"/>
      <c r="E135" s="68"/>
      <c r="F135" s="69"/>
      <c r="G135" s="68"/>
    </row>
    <row r="136" spans="2:7" s="67" customFormat="1" x14ac:dyDescent="0.35">
      <c r="B136" s="70"/>
      <c r="C136" s="70"/>
      <c r="D136" s="70"/>
      <c r="E136" s="68"/>
      <c r="F136" s="69"/>
      <c r="G136" s="68"/>
    </row>
    <row r="137" spans="2:7" s="67" customFormat="1" x14ac:dyDescent="0.35">
      <c r="B137" s="70"/>
      <c r="C137" s="70"/>
      <c r="D137" s="70"/>
      <c r="E137" s="68"/>
      <c r="F137" s="69"/>
      <c r="G137" s="68"/>
    </row>
    <row r="138" spans="2:7" s="67" customFormat="1" x14ac:dyDescent="0.35">
      <c r="B138" s="70"/>
      <c r="C138" s="70"/>
      <c r="D138" s="70"/>
      <c r="E138" s="68"/>
      <c r="F138" s="69"/>
      <c r="G138" s="68"/>
    </row>
    <row r="139" spans="2:7" s="67" customFormat="1" x14ac:dyDescent="0.35">
      <c r="B139" s="70"/>
      <c r="C139" s="70"/>
      <c r="D139" s="70"/>
      <c r="E139" s="68"/>
      <c r="F139" s="69"/>
      <c r="G139" s="68"/>
    </row>
    <row r="140" spans="2:7" s="67" customFormat="1" x14ac:dyDescent="0.35">
      <c r="B140" s="70"/>
      <c r="C140" s="70"/>
      <c r="D140" s="70"/>
      <c r="E140" s="68"/>
      <c r="F140" s="69"/>
      <c r="G140" s="68"/>
    </row>
    <row r="141" spans="2:7" s="67" customFormat="1" x14ac:dyDescent="0.35">
      <c r="B141" s="70"/>
      <c r="C141" s="70"/>
      <c r="D141" s="70"/>
      <c r="E141" s="68"/>
      <c r="F141" s="69"/>
      <c r="G141" s="68"/>
    </row>
    <row r="142" spans="2:7" s="67" customFormat="1" x14ac:dyDescent="0.35">
      <c r="B142" s="70"/>
      <c r="C142" s="70"/>
      <c r="D142" s="70"/>
      <c r="E142" s="68"/>
      <c r="F142" s="69"/>
      <c r="G142" s="68"/>
    </row>
    <row r="143" spans="2:7" s="67" customFormat="1" x14ac:dyDescent="0.35">
      <c r="B143" s="70"/>
      <c r="C143" s="70"/>
      <c r="D143" s="70"/>
      <c r="E143" s="68"/>
      <c r="F143" s="69"/>
      <c r="G143" s="68"/>
    </row>
    <row r="144" spans="2:7" s="67" customFormat="1" x14ac:dyDescent="0.35">
      <c r="B144" s="70"/>
      <c r="C144" s="70"/>
      <c r="D144" s="70"/>
      <c r="E144" s="68"/>
      <c r="F144" s="69"/>
      <c r="G144" s="68"/>
    </row>
    <row r="145" spans="2:7" s="67" customFormat="1" x14ac:dyDescent="0.35">
      <c r="B145" s="70"/>
      <c r="C145" s="70"/>
      <c r="D145" s="70"/>
      <c r="E145" s="68"/>
      <c r="F145" s="69"/>
      <c r="G145" s="68"/>
    </row>
    <row r="146" spans="2:7" s="67" customFormat="1" x14ac:dyDescent="0.35">
      <c r="B146" s="70"/>
      <c r="C146" s="70"/>
      <c r="D146" s="70"/>
      <c r="E146" s="68"/>
      <c r="F146" s="69"/>
      <c r="G146" s="68"/>
    </row>
    <row r="147" spans="2:7" s="67" customFormat="1" x14ac:dyDescent="0.35">
      <c r="B147" s="70"/>
      <c r="C147" s="70"/>
      <c r="D147" s="70"/>
      <c r="E147" s="68"/>
      <c r="F147" s="69"/>
      <c r="G147" s="68"/>
    </row>
    <row r="148" spans="2:7" s="67" customFormat="1" x14ac:dyDescent="0.35">
      <c r="B148" s="70"/>
      <c r="C148" s="70"/>
      <c r="D148" s="70"/>
      <c r="E148" s="68"/>
      <c r="F148" s="69"/>
      <c r="G148" s="68"/>
    </row>
    <row r="149" spans="2:7" s="67" customFormat="1" x14ac:dyDescent="0.35">
      <c r="B149" s="70"/>
      <c r="C149" s="70"/>
      <c r="D149" s="70"/>
      <c r="E149" s="68"/>
      <c r="F149" s="69"/>
      <c r="G149" s="68"/>
    </row>
    <row r="150" spans="2:7" s="67" customFormat="1" x14ac:dyDescent="0.35">
      <c r="B150" s="70"/>
      <c r="C150" s="70"/>
      <c r="D150" s="70"/>
      <c r="E150" s="68"/>
      <c r="F150" s="69"/>
      <c r="G150" s="68"/>
    </row>
    <row r="151" spans="2:7" s="67" customFormat="1" x14ac:dyDescent="0.35">
      <c r="B151" s="70"/>
      <c r="C151" s="70"/>
      <c r="D151" s="70"/>
      <c r="E151" s="68"/>
      <c r="F151" s="69"/>
      <c r="G151" s="68"/>
    </row>
    <row r="152" spans="2:7" s="67" customFormat="1" x14ac:dyDescent="0.35">
      <c r="B152" s="70"/>
      <c r="C152" s="70"/>
      <c r="D152" s="70"/>
      <c r="E152" s="68"/>
      <c r="F152" s="69"/>
      <c r="G152" s="68"/>
    </row>
    <row r="153" spans="2:7" s="67" customFormat="1" x14ac:dyDescent="0.35">
      <c r="B153" s="70"/>
      <c r="C153" s="70"/>
      <c r="D153" s="70"/>
      <c r="E153" s="68"/>
      <c r="F153" s="69"/>
      <c r="G153" s="68"/>
    </row>
    <row r="154" spans="2:7" s="67" customFormat="1" x14ac:dyDescent="0.35">
      <c r="B154" s="70"/>
      <c r="C154" s="70"/>
      <c r="D154" s="70"/>
      <c r="E154" s="68"/>
      <c r="F154" s="69"/>
      <c r="G154" s="68"/>
    </row>
    <row r="155" spans="2:7" s="67" customFormat="1" x14ac:dyDescent="0.35">
      <c r="B155" s="70"/>
      <c r="C155" s="70"/>
      <c r="D155" s="70"/>
      <c r="E155" s="68"/>
      <c r="F155" s="69"/>
      <c r="G155" s="68"/>
    </row>
    <row r="156" spans="2:7" s="67" customFormat="1" x14ac:dyDescent="0.35">
      <c r="B156" s="70"/>
      <c r="C156" s="70"/>
      <c r="D156" s="70"/>
      <c r="E156" s="68"/>
      <c r="F156" s="69"/>
      <c r="G156" s="68"/>
    </row>
    <row r="157" spans="2:7" s="67" customFormat="1" x14ac:dyDescent="0.35">
      <c r="B157" s="70"/>
      <c r="C157" s="70"/>
      <c r="D157" s="70"/>
      <c r="E157" s="68"/>
      <c r="F157" s="69"/>
      <c r="G157" s="68"/>
    </row>
    <row r="158" spans="2:7" s="67" customFormat="1" x14ac:dyDescent="0.35">
      <c r="B158" s="70"/>
      <c r="C158" s="70"/>
      <c r="D158" s="70"/>
      <c r="E158" s="68"/>
      <c r="F158" s="69"/>
      <c r="G158" s="68"/>
    </row>
    <row r="159" spans="2:7" s="67" customFormat="1" x14ac:dyDescent="0.35">
      <c r="B159" s="70"/>
      <c r="C159" s="70"/>
      <c r="D159" s="70"/>
      <c r="E159" s="68"/>
      <c r="F159" s="69"/>
      <c r="G159" s="68"/>
    </row>
    <row r="160" spans="2:7" s="67" customFormat="1" x14ac:dyDescent="0.35">
      <c r="B160" s="70"/>
      <c r="C160" s="70"/>
      <c r="D160" s="70"/>
      <c r="E160" s="68"/>
      <c r="F160" s="69"/>
      <c r="G160" s="68"/>
    </row>
    <row r="161" spans="2:7" s="67" customFormat="1" x14ac:dyDescent="0.35">
      <c r="B161" s="70"/>
      <c r="C161" s="70"/>
      <c r="D161" s="70"/>
      <c r="E161" s="68"/>
      <c r="F161" s="69"/>
      <c r="G161" s="68"/>
    </row>
    <row r="162" spans="2:7" s="67" customFormat="1" x14ac:dyDescent="0.35">
      <c r="B162" s="70"/>
      <c r="C162" s="70"/>
      <c r="D162" s="70"/>
      <c r="E162" s="68"/>
      <c r="F162" s="69"/>
      <c r="G162" s="68"/>
    </row>
    <row r="163" spans="2:7" s="67" customFormat="1" x14ac:dyDescent="0.35">
      <c r="B163" s="70"/>
      <c r="C163" s="70"/>
      <c r="D163" s="70"/>
      <c r="E163" s="68"/>
      <c r="F163" s="69"/>
      <c r="G163" s="68"/>
    </row>
    <row r="164" spans="2:7" s="67" customFormat="1" x14ac:dyDescent="0.35">
      <c r="B164" s="70"/>
      <c r="C164" s="70"/>
      <c r="D164" s="70"/>
      <c r="E164" s="68"/>
      <c r="F164" s="69"/>
      <c r="G164" s="68"/>
    </row>
    <row r="165" spans="2:7" s="67" customFormat="1" x14ac:dyDescent="0.35">
      <c r="B165" s="70"/>
      <c r="C165" s="70"/>
      <c r="D165" s="70"/>
      <c r="E165" s="68"/>
      <c r="F165" s="69"/>
      <c r="G165" s="68"/>
    </row>
    <row r="166" spans="2:7" s="67" customFormat="1" x14ac:dyDescent="0.35">
      <c r="B166" s="70"/>
      <c r="C166" s="70"/>
      <c r="D166" s="70"/>
      <c r="E166" s="68"/>
      <c r="F166" s="69"/>
      <c r="G166" s="68"/>
    </row>
    <row r="167" spans="2:7" s="67" customFormat="1" x14ac:dyDescent="0.35">
      <c r="B167" s="70"/>
      <c r="C167" s="70"/>
      <c r="D167" s="70"/>
      <c r="E167" s="68"/>
      <c r="F167" s="69"/>
      <c r="G167" s="68"/>
    </row>
    <row r="168" spans="2:7" s="67" customFormat="1" x14ac:dyDescent="0.35">
      <c r="B168" s="70"/>
      <c r="C168" s="70"/>
      <c r="D168" s="70"/>
      <c r="E168" s="68"/>
      <c r="F168" s="69"/>
      <c r="G168" s="68"/>
    </row>
    <row r="169" spans="2:7" s="67" customFormat="1" x14ac:dyDescent="0.35">
      <c r="B169" s="70"/>
      <c r="C169" s="70"/>
      <c r="D169" s="70"/>
      <c r="E169" s="68"/>
      <c r="F169" s="69"/>
      <c r="G169" s="68"/>
    </row>
    <row r="170" spans="2:7" s="67" customFormat="1" x14ac:dyDescent="0.35">
      <c r="B170" s="70"/>
      <c r="C170" s="70"/>
      <c r="D170" s="70"/>
      <c r="E170" s="68"/>
      <c r="F170" s="69"/>
      <c r="G170" s="68"/>
    </row>
    <row r="171" spans="2:7" s="67" customFormat="1" x14ac:dyDescent="0.35">
      <c r="B171" s="70"/>
      <c r="C171" s="70"/>
      <c r="D171" s="70"/>
      <c r="E171" s="68"/>
      <c r="F171" s="69"/>
      <c r="G171" s="68"/>
    </row>
    <row r="172" spans="2:7" s="67" customFormat="1" x14ac:dyDescent="0.35">
      <c r="B172" s="70"/>
      <c r="C172" s="70"/>
      <c r="D172" s="70"/>
      <c r="E172" s="68"/>
      <c r="F172" s="69"/>
      <c r="G172" s="68"/>
    </row>
    <row r="173" spans="2:7" s="67" customFormat="1" x14ac:dyDescent="0.35">
      <c r="B173" s="70"/>
      <c r="C173" s="70"/>
      <c r="D173" s="70"/>
      <c r="E173" s="68"/>
      <c r="F173" s="69"/>
      <c r="G173" s="68"/>
    </row>
    <row r="174" spans="2:7" s="67" customFormat="1" x14ac:dyDescent="0.35">
      <c r="B174" s="70"/>
      <c r="C174" s="70"/>
      <c r="D174" s="70"/>
      <c r="E174" s="68"/>
      <c r="F174" s="69"/>
      <c r="G174" s="68"/>
    </row>
    <row r="175" spans="2:7" s="67" customFormat="1" x14ac:dyDescent="0.35">
      <c r="B175" s="70"/>
      <c r="C175" s="70"/>
      <c r="D175" s="70"/>
      <c r="E175" s="68"/>
      <c r="F175" s="69"/>
      <c r="G175" s="68"/>
    </row>
    <row r="176" spans="2:7" s="67" customFormat="1" x14ac:dyDescent="0.35">
      <c r="B176" s="70"/>
      <c r="C176" s="70"/>
      <c r="D176" s="70"/>
      <c r="E176" s="68"/>
      <c r="F176" s="69"/>
      <c r="G176" s="68"/>
    </row>
    <row r="177" spans="2:7" s="67" customFormat="1" x14ac:dyDescent="0.35">
      <c r="B177" s="70"/>
      <c r="C177" s="70"/>
      <c r="D177" s="70"/>
      <c r="E177" s="68"/>
      <c r="F177" s="69"/>
      <c r="G177" s="68"/>
    </row>
    <row r="178" spans="2:7" s="67" customFormat="1" x14ac:dyDescent="0.35">
      <c r="B178" s="70"/>
      <c r="C178" s="70"/>
      <c r="D178" s="70"/>
      <c r="E178" s="68"/>
      <c r="F178" s="69"/>
      <c r="G178" s="68"/>
    </row>
    <row r="179" spans="2:7" s="67" customFormat="1" x14ac:dyDescent="0.35">
      <c r="B179" s="70"/>
      <c r="C179" s="70"/>
      <c r="D179" s="70"/>
      <c r="E179" s="68"/>
      <c r="F179" s="69"/>
      <c r="G179" s="68"/>
    </row>
    <row r="180" spans="2:7" s="67" customFormat="1" x14ac:dyDescent="0.35">
      <c r="B180" s="70"/>
      <c r="C180" s="70"/>
      <c r="D180" s="70"/>
      <c r="E180" s="68"/>
      <c r="F180" s="69"/>
      <c r="G180" s="68"/>
    </row>
    <row r="181" spans="2:7" s="67" customFormat="1" x14ac:dyDescent="0.35">
      <c r="B181" s="70"/>
      <c r="C181" s="70"/>
      <c r="D181" s="70"/>
      <c r="E181" s="68"/>
      <c r="F181" s="69"/>
      <c r="G181" s="68"/>
    </row>
    <row r="182" spans="2:7" s="67" customFormat="1" x14ac:dyDescent="0.35">
      <c r="B182" s="70"/>
      <c r="C182" s="70"/>
      <c r="D182" s="70"/>
      <c r="E182" s="68"/>
      <c r="F182" s="69"/>
      <c r="G182" s="68"/>
    </row>
    <row r="183" spans="2:7" s="67" customFormat="1" x14ac:dyDescent="0.35">
      <c r="B183" s="70"/>
      <c r="C183" s="70"/>
      <c r="D183" s="70"/>
      <c r="E183" s="68"/>
      <c r="F183" s="69"/>
      <c r="G183" s="68"/>
    </row>
    <row r="184" spans="2:7" s="67" customFormat="1" x14ac:dyDescent="0.35">
      <c r="B184" s="70"/>
      <c r="C184" s="70"/>
      <c r="D184" s="70"/>
      <c r="E184" s="68"/>
      <c r="F184" s="69"/>
      <c r="G184" s="68"/>
    </row>
    <row r="185" spans="2:7" s="67" customFormat="1" x14ac:dyDescent="0.35">
      <c r="B185" s="70"/>
      <c r="C185" s="70"/>
      <c r="D185" s="70"/>
      <c r="E185" s="68"/>
      <c r="F185" s="69"/>
      <c r="G185" s="68"/>
    </row>
    <row r="186" spans="2:7" s="67" customFormat="1" x14ac:dyDescent="0.35">
      <c r="B186" s="70"/>
      <c r="C186" s="70"/>
      <c r="D186" s="70"/>
      <c r="E186" s="68"/>
      <c r="F186" s="69"/>
      <c r="G186" s="68"/>
    </row>
    <row r="187" spans="2:7" s="67" customFormat="1" x14ac:dyDescent="0.35">
      <c r="B187" s="70"/>
      <c r="C187" s="70"/>
      <c r="D187" s="70"/>
      <c r="E187" s="68"/>
      <c r="F187" s="69"/>
      <c r="G187" s="68"/>
    </row>
    <row r="188" spans="2:7" s="67" customFormat="1" x14ac:dyDescent="0.35">
      <c r="B188" s="70"/>
      <c r="C188" s="70"/>
      <c r="D188" s="70"/>
      <c r="E188" s="68"/>
      <c r="F188" s="69"/>
      <c r="G188" s="68"/>
    </row>
    <row r="189" spans="2:7" s="67" customFormat="1" x14ac:dyDescent="0.35">
      <c r="B189" s="70"/>
      <c r="C189" s="70"/>
      <c r="D189" s="70"/>
      <c r="E189" s="68"/>
      <c r="F189" s="69"/>
      <c r="G189" s="68"/>
    </row>
    <row r="190" spans="2:7" s="67" customFormat="1" x14ac:dyDescent="0.35">
      <c r="B190" s="70"/>
      <c r="C190" s="70"/>
      <c r="D190" s="70"/>
      <c r="E190" s="68"/>
      <c r="F190" s="69"/>
      <c r="G190" s="68"/>
    </row>
    <row r="191" spans="2:7" s="67" customFormat="1" x14ac:dyDescent="0.35">
      <c r="B191" s="70"/>
      <c r="C191" s="70"/>
      <c r="D191" s="70"/>
      <c r="E191" s="68"/>
      <c r="F191" s="69"/>
      <c r="G191" s="68"/>
    </row>
    <row r="192" spans="2:7" s="67" customFormat="1" x14ac:dyDescent="0.35">
      <c r="B192" s="70"/>
      <c r="C192" s="70"/>
      <c r="D192" s="70"/>
      <c r="E192" s="68"/>
      <c r="F192" s="69"/>
      <c r="G192" s="68"/>
    </row>
    <row r="193" spans="2:7" s="67" customFormat="1" x14ac:dyDescent="0.35">
      <c r="B193" s="70"/>
      <c r="C193" s="70"/>
      <c r="D193" s="70"/>
      <c r="E193" s="68"/>
      <c r="F193" s="69"/>
      <c r="G193" s="68"/>
    </row>
    <row r="194" spans="2:7" s="67" customFormat="1" x14ac:dyDescent="0.35">
      <c r="B194" s="70"/>
      <c r="C194" s="70"/>
      <c r="D194" s="70"/>
      <c r="E194" s="68"/>
      <c r="F194" s="69"/>
      <c r="G194" s="68"/>
    </row>
    <row r="195" spans="2:7" s="67" customFormat="1" x14ac:dyDescent="0.35">
      <c r="B195" s="70"/>
      <c r="C195" s="70"/>
      <c r="D195" s="70"/>
      <c r="E195" s="68"/>
      <c r="F195" s="69"/>
      <c r="G195" s="68"/>
    </row>
    <row r="196" spans="2:7" s="67" customFormat="1" x14ac:dyDescent="0.35">
      <c r="B196" s="70"/>
      <c r="C196" s="70"/>
      <c r="D196" s="70"/>
      <c r="E196" s="68"/>
      <c r="F196" s="69"/>
      <c r="G196" s="68"/>
    </row>
    <row r="197" spans="2:7" s="67" customFormat="1" x14ac:dyDescent="0.35">
      <c r="B197" s="70"/>
      <c r="C197" s="70"/>
      <c r="D197" s="70"/>
      <c r="E197" s="68"/>
      <c r="F197" s="69"/>
      <c r="G197" s="68"/>
    </row>
    <row r="198" spans="2:7" s="67" customFormat="1" x14ac:dyDescent="0.35">
      <c r="B198" s="70"/>
      <c r="C198" s="70"/>
      <c r="D198" s="70"/>
      <c r="E198" s="68"/>
      <c r="F198" s="69"/>
      <c r="G198" s="68"/>
    </row>
    <row r="199" spans="2:7" s="67" customFormat="1" x14ac:dyDescent="0.35">
      <c r="B199" s="70"/>
      <c r="C199" s="70"/>
      <c r="D199" s="70"/>
      <c r="E199" s="68"/>
      <c r="F199" s="69"/>
      <c r="G199" s="68"/>
    </row>
    <row r="200" spans="2:7" s="67" customFormat="1" x14ac:dyDescent="0.35">
      <c r="B200" s="70"/>
      <c r="C200" s="70"/>
      <c r="D200" s="70"/>
      <c r="E200" s="68"/>
      <c r="F200" s="69"/>
      <c r="G200" s="68"/>
    </row>
    <row r="201" spans="2:7" s="67" customFormat="1" x14ac:dyDescent="0.35">
      <c r="B201" s="70"/>
      <c r="C201" s="70"/>
      <c r="D201" s="70"/>
      <c r="E201" s="68"/>
      <c r="F201" s="69"/>
      <c r="G201" s="68"/>
    </row>
    <row r="202" spans="2:7" s="67" customFormat="1" x14ac:dyDescent="0.35">
      <c r="B202" s="70"/>
      <c r="C202" s="70"/>
      <c r="D202" s="70"/>
      <c r="E202" s="68"/>
      <c r="F202" s="69"/>
      <c r="G202" s="68"/>
    </row>
    <row r="203" spans="2:7" s="67" customFormat="1" x14ac:dyDescent="0.35">
      <c r="B203" s="70"/>
      <c r="C203" s="70"/>
      <c r="D203" s="70"/>
      <c r="E203" s="68"/>
      <c r="F203" s="69"/>
      <c r="G203" s="68"/>
    </row>
    <row r="204" spans="2:7" s="67" customFormat="1" x14ac:dyDescent="0.35">
      <c r="B204" s="70"/>
      <c r="C204" s="70"/>
      <c r="D204" s="70"/>
      <c r="E204" s="68"/>
      <c r="F204" s="69"/>
      <c r="G204" s="68"/>
    </row>
    <row r="205" spans="2:7" s="67" customFormat="1" x14ac:dyDescent="0.35">
      <c r="B205" s="70"/>
      <c r="C205" s="70"/>
      <c r="D205" s="70"/>
      <c r="E205" s="68"/>
      <c r="F205" s="69"/>
      <c r="G205" s="68"/>
    </row>
    <row r="206" spans="2:7" s="67" customFormat="1" x14ac:dyDescent="0.35">
      <c r="B206" s="70"/>
      <c r="C206" s="70"/>
      <c r="D206" s="70"/>
      <c r="E206" s="68"/>
      <c r="F206" s="69"/>
      <c r="G206" s="68"/>
    </row>
    <row r="207" spans="2:7" s="67" customFormat="1" x14ac:dyDescent="0.35">
      <c r="B207" s="70"/>
      <c r="C207" s="70"/>
      <c r="D207" s="70"/>
      <c r="E207" s="68"/>
      <c r="F207" s="69"/>
      <c r="G207" s="68"/>
    </row>
    <row r="208" spans="2:7" s="67" customFormat="1" x14ac:dyDescent="0.35">
      <c r="B208" s="70"/>
      <c r="C208" s="70"/>
      <c r="D208" s="70"/>
      <c r="E208" s="68"/>
      <c r="F208" s="69"/>
      <c r="G208" s="68"/>
    </row>
    <row r="209" spans="2:7" s="67" customFormat="1" x14ac:dyDescent="0.35">
      <c r="B209" s="70"/>
      <c r="C209" s="70"/>
      <c r="D209" s="70"/>
      <c r="E209" s="68"/>
      <c r="F209" s="69"/>
      <c r="G209" s="68"/>
    </row>
    <row r="210" spans="2:7" s="67" customFormat="1" x14ac:dyDescent="0.35">
      <c r="B210" s="70"/>
      <c r="C210" s="70"/>
      <c r="D210" s="70"/>
      <c r="E210" s="68"/>
      <c r="F210" s="69"/>
      <c r="G210" s="68"/>
    </row>
    <row r="211" spans="2:7" s="67" customFormat="1" x14ac:dyDescent="0.35">
      <c r="B211" s="70"/>
      <c r="C211" s="70"/>
      <c r="D211" s="70"/>
      <c r="E211" s="68"/>
      <c r="F211" s="69"/>
      <c r="G211" s="68"/>
    </row>
    <row r="212" spans="2:7" s="67" customFormat="1" x14ac:dyDescent="0.35">
      <c r="B212" s="70"/>
      <c r="C212" s="70"/>
      <c r="D212" s="70"/>
      <c r="E212" s="68"/>
      <c r="F212" s="69"/>
      <c r="G212" s="68"/>
    </row>
    <row r="213" spans="2:7" s="67" customFormat="1" x14ac:dyDescent="0.35">
      <c r="B213" s="70"/>
      <c r="C213" s="70"/>
      <c r="D213" s="70"/>
      <c r="E213" s="68"/>
      <c r="F213" s="69"/>
      <c r="G213" s="68"/>
    </row>
    <row r="214" spans="2:7" s="67" customFormat="1" x14ac:dyDescent="0.35">
      <c r="B214" s="70"/>
      <c r="C214" s="70"/>
      <c r="D214" s="70"/>
      <c r="E214" s="68"/>
      <c r="F214" s="69"/>
      <c r="G214" s="68"/>
    </row>
    <row r="215" spans="2:7" s="67" customFormat="1" x14ac:dyDescent="0.35">
      <c r="B215" s="70"/>
      <c r="C215" s="70"/>
      <c r="D215" s="70"/>
      <c r="E215" s="68"/>
      <c r="F215" s="69"/>
      <c r="G215" s="68"/>
    </row>
    <row r="216" spans="2:7" s="67" customFormat="1" x14ac:dyDescent="0.35">
      <c r="B216" s="70"/>
      <c r="C216" s="70"/>
      <c r="D216" s="70"/>
      <c r="E216" s="68"/>
      <c r="F216" s="69"/>
      <c r="G216" s="68"/>
    </row>
    <row r="217" spans="2:7" s="67" customFormat="1" x14ac:dyDescent="0.35">
      <c r="B217" s="70"/>
      <c r="C217" s="70"/>
      <c r="D217" s="70"/>
      <c r="E217" s="68"/>
      <c r="F217" s="69"/>
      <c r="G217" s="68"/>
    </row>
    <row r="218" spans="2:7" s="67" customFormat="1" x14ac:dyDescent="0.35">
      <c r="B218" s="70"/>
      <c r="C218" s="70"/>
      <c r="D218" s="70"/>
      <c r="E218" s="68"/>
      <c r="F218" s="69"/>
      <c r="G218" s="68"/>
    </row>
    <row r="219" spans="2:7" s="67" customFormat="1" x14ac:dyDescent="0.35">
      <c r="B219" s="70"/>
      <c r="C219" s="70"/>
      <c r="D219" s="70"/>
      <c r="E219" s="68"/>
      <c r="F219" s="69"/>
      <c r="G219" s="68"/>
    </row>
    <row r="220" spans="2:7" s="67" customFormat="1" x14ac:dyDescent="0.35">
      <c r="B220" s="70"/>
      <c r="C220" s="70"/>
      <c r="D220" s="70"/>
      <c r="E220" s="68"/>
      <c r="F220" s="69"/>
      <c r="G220" s="68"/>
    </row>
    <row r="221" spans="2:7" s="67" customFormat="1" x14ac:dyDescent="0.35">
      <c r="B221" s="70"/>
      <c r="C221" s="70"/>
      <c r="D221" s="70"/>
      <c r="E221" s="68"/>
      <c r="F221" s="69"/>
      <c r="G221" s="68"/>
    </row>
    <row r="222" spans="2:7" s="67" customFormat="1" x14ac:dyDescent="0.35">
      <c r="B222" s="70"/>
      <c r="C222" s="70"/>
      <c r="D222" s="70"/>
      <c r="E222" s="68"/>
      <c r="F222" s="69"/>
      <c r="G222" s="68"/>
    </row>
    <row r="223" spans="2:7" s="67" customFormat="1" x14ac:dyDescent="0.35">
      <c r="B223" s="70"/>
      <c r="C223" s="70"/>
      <c r="D223" s="70"/>
      <c r="E223" s="68"/>
      <c r="F223" s="69"/>
      <c r="G223" s="68"/>
    </row>
    <row r="224" spans="2:7" s="67" customFormat="1" x14ac:dyDescent="0.35">
      <c r="B224" s="70"/>
      <c r="C224" s="70"/>
      <c r="D224" s="70"/>
      <c r="E224" s="68"/>
      <c r="F224" s="69"/>
      <c r="G224" s="68"/>
    </row>
    <row r="225" spans="2:7" s="67" customFormat="1" x14ac:dyDescent="0.35">
      <c r="B225" s="70"/>
      <c r="C225" s="70"/>
      <c r="D225" s="70"/>
      <c r="E225" s="68"/>
      <c r="F225" s="69"/>
      <c r="G225" s="68"/>
    </row>
    <row r="226" spans="2:7" s="67" customFormat="1" x14ac:dyDescent="0.35">
      <c r="B226" s="70"/>
      <c r="C226" s="70"/>
      <c r="D226" s="70"/>
      <c r="E226" s="68"/>
      <c r="F226" s="69"/>
      <c r="G226" s="68"/>
    </row>
    <row r="227" spans="2:7" s="67" customFormat="1" x14ac:dyDescent="0.35">
      <c r="B227" s="70"/>
      <c r="C227" s="70"/>
      <c r="D227" s="70"/>
      <c r="E227" s="68"/>
      <c r="F227" s="69"/>
      <c r="G227" s="68"/>
    </row>
    <row r="228" spans="2:7" s="67" customFormat="1" x14ac:dyDescent="0.35">
      <c r="B228" s="70"/>
      <c r="C228" s="70"/>
      <c r="D228" s="70"/>
      <c r="E228" s="68"/>
      <c r="F228" s="69"/>
      <c r="G228" s="68"/>
    </row>
    <row r="229" spans="2:7" s="67" customFormat="1" x14ac:dyDescent="0.35">
      <c r="B229" s="70"/>
      <c r="C229" s="70"/>
      <c r="D229" s="70"/>
      <c r="E229" s="68"/>
      <c r="F229" s="69"/>
      <c r="G229" s="68"/>
    </row>
    <row r="230" spans="2:7" s="67" customFormat="1" x14ac:dyDescent="0.35">
      <c r="B230" s="70"/>
      <c r="C230" s="70"/>
      <c r="D230" s="70"/>
      <c r="E230" s="68"/>
      <c r="F230" s="69"/>
      <c r="G230" s="68"/>
    </row>
    <row r="231" spans="2:7" s="67" customFormat="1" x14ac:dyDescent="0.35">
      <c r="B231" s="70"/>
      <c r="C231" s="70"/>
      <c r="D231" s="70"/>
      <c r="E231" s="68"/>
      <c r="F231" s="69"/>
      <c r="G231" s="68"/>
    </row>
    <row r="232" spans="2:7" s="67" customFormat="1" x14ac:dyDescent="0.35">
      <c r="B232" s="70"/>
      <c r="C232" s="70"/>
      <c r="D232" s="70"/>
      <c r="E232" s="68"/>
      <c r="F232" s="69"/>
      <c r="G232" s="68"/>
    </row>
    <row r="233" spans="2:7" s="67" customFormat="1" x14ac:dyDescent="0.35">
      <c r="B233" s="70"/>
      <c r="C233" s="70"/>
      <c r="D233" s="70"/>
      <c r="E233" s="68"/>
      <c r="F233" s="69"/>
      <c r="G233" s="68"/>
    </row>
    <row r="234" spans="2:7" s="67" customFormat="1" x14ac:dyDescent="0.35">
      <c r="B234" s="70"/>
      <c r="C234" s="70"/>
      <c r="D234" s="70"/>
      <c r="E234" s="68"/>
      <c r="F234" s="69"/>
      <c r="G234" s="68"/>
    </row>
    <row r="235" spans="2:7" s="67" customFormat="1" x14ac:dyDescent="0.35">
      <c r="B235" s="70"/>
      <c r="C235" s="70"/>
      <c r="D235" s="70"/>
      <c r="E235" s="68"/>
      <c r="F235" s="69"/>
      <c r="G235" s="68"/>
    </row>
    <row r="236" spans="2:7" s="67" customFormat="1" x14ac:dyDescent="0.35">
      <c r="B236" s="70"/>
      <c r="C236" s="70"/>
      <c r="D236" s="70"/>
      <c r="E236" s="68"/>
      <c r="F236" s="69"/>
      <c r="G236" s="68"/>
    </row>
    <row r="237" spans="2:7" s="67" customFormat="1" x14ac:dyDescent="0.35">
      <c r="B237" s="70"/>
      <c r="C237" s="70"/>
      <c r="D237" s="70"/>
      <c r="E237" s="68"/>
      <c r="F237" s="69"/>
      <c r="G237" s="68"/>
    </row>
    <row r="238" spans="2:7" s="67" customFormat="1" x14ac:dyDescent="0.35">
      <c r="B238" s="70"/>
      <c r="C238" s="70"/>
      <c r="D238" s="70"/>
      <c r="E238" s="68"/>
      <c r="F238" s="69"/>
      <c r="G238" s="68"/>
    </row>
    <row r="239" spans="2:7" s="67" customFormat="1" x14ac:dyDescent="0.35">
      <c r="B239" s="70"/>
      <c r="C239" s="70"/>
      <c r="D239" s="70"/>
      <c r="E239" s="68"/>
      <c r="F239" s="69"/>
      <c r="G239" s="68"/>
    </row>
    <row r="240" spans="2:7" s="67" customFormat="1" x14ac:dyDescent="0.35">
      <c r="B240" s="70"/>
      <c r="C240" s="70"/>
      <c r="D240" s="70"/>
      <c r="E240" s="68"/>
      <c r="F240" s="69"/>
      <c r="G240" s="68"/>
    </row>
    <row r="241" spans="2:7" s="67" customFormat="1" x14ac:dyDescent="0.35">
      <c r="B241" s="70"/>
      <c r="C241" s="70"/>
      <c r="D241" s="70"/>
      <c r="E241" s="68"/>
      <c r="F241" s="69"/>
      <c r="G241" s="68"/>
    </row>
    <row r="242" spans="2:7" s="67" customFormat="1" x14ac:dyDescent="0.35">
      <c r="B242" s="70"/>
      <c r="C242" s="70"/>
      <c r="D242" s="70"/>
      <c r="E242" s="68"/>
      <c r="F242" s="69"/>
      <c r="G242" s="68"/>
    </row>
    <row r="243" spans="2:7" s="67" customFormat="1" x14ac:dyDescent="0.35">
      <c r="B243" s="70"/>
      <c r="C243" s="70"/>
      <c r="D243" s="70"/>
      <c r="E243" s="68"/>
      <c r="F243" s="69"/>
      <c r="G243" s="68"/>
    </row>
    <row r="244" spans="2:7" s="67" customFormat="1" x14ac:dyDescent="0.35">
      <c r="B244" s="70"/>
      <c r="C244" s="70"/>
      <c r="D244" s="70"/>
      <c r="E244" s="68"/>
      <c r="F244" s="69"/>
      <c r="G244" s="68"/>
    </row>
    <row r="245" spans="2:7" s="67" customFormat="1" x14ac:dyDescent="0.35">
      <c r="B245" s="70"/>
      <c r="C245" s="70"/>
      <c r="D245" s="70"/>
      <c r="E245" s="68"/>
      <c r="F245" s="69"/>
      <c r="G245" s="68"/>
    </row>
    <row r="246" spans="2:7" s="67" customFormat="1" x14ac:dyDescent="0.35">
      <c r="B246" s="70"/>
      <c r="C246" s="70"/>
      <c r="D246" s="70"/>
      <c r="E246" s="68"/>
      <c r="F246" s="69"/>
      <c r="G246" s="68"/>
    </row>
    <row r="247" spans="2:7" s="67" customFormat="1" x14ac:dyDescent="0.35">
      <c r="B247" s="70"/>
      <c r="C247" s="70"/>
      <c r="D247" s="70"/>
      <c r="E247" s="68"/>
      <c r="F247" s="69"/>
      <c r="G247" s="68"/>
    </row>
    <row r="248" spans="2:7" s="67" customFormat="1" x14ac:dyDescent="0.35">
      <c r="B248" s="70"/>
      <c r="C248" s="70"/>
      <c r="D248" s="70"/>
      <c r="E248" s="68"/>
      <c r="F248" s="69"/>
      <c r="G248" s="68"/>
    </row>
    <row r="249" spans="2:7" s="67" customFormat="1" x14ac:dyDescent="0.35">
      <c r="B249" s="70"/>
      <c r="C249" s="70"/>
      <c r="D249" s="70"/>
      <c r="E249" s="68"/>
      <c r="F249" s="69"/>
      <c r="G249" s="68"/>
    </row>
    <row r="250" spans="2:7" s="67" customFormat="1" x14ac:dyDescent="0.35">
      <c r="B250" s="70"/>
      <c r="C250" s="70"/>
      <c r="D250" s="70"/>
      <c r="E250" s="68"/>
      <c r="F250" s="69"/>
      <c r="G250" s="68"/>
    </row>
    <row r="251" spans="2:7" s="67" customFormat="1" x14ac:dyDescent="0.35">
      <c r="B251" s="70"/>
      <c r="C251" s="70"/>
      <c r="D251" s="70"/>
      <c r="E251" s="68"/>
      <c r="F251" s="69"/>
      <c r="G251" s="68"/>
    </row>
    <row r="252" spans="2:7" s="67" customFormat="1" x14ac:dyDescent="0.35">
      <c r="B252" s="70"/>
      <c r="C252" s="70"/>
      <c r="D252" s="70"/>
      <c r="E252" s="68"/>
      <c r="F252" s="69"/>
      <c r="G252" s="68"/>
    </row>
    <row r="253" spans="2:7" s="67" customFormat="1" x14ac:dyDescent="0.35">
      <c r="B253" s="70"/>
      <c r="C253" s="70"/>
      <c r="D253" s="70"/>
      <c r="E253" s="68"/>
      <c r="F253" s="69"/>
      <c r="G253" s="68"/>
    </row>
    <row r="254" spans="2:7" s="67" customFormat="1" x14ac:dyDescent="0.35">
      <c r="B254" s="70"/>
      <c r="C254" s="70"/>
      <c r="D254" s="70"/>
      <c r="E254" s="68"/>
      <c r="F254" s="69"/>
      <c r="G254" s="68"/>
    </row>
    <row r="255" spans="2:7" s="67" customFormat="1" x14ac:dyDescent="0.35">
      <c r="B255" s="70"/>
      <c r="C255" s="70"/>
      <c r="D255" s="70"/>
      <c r="E255" s="68"/>
      <c r="F255" s="69"/>
      <c r="G255" s="68"/>
    </row>
    <row r="256" spans="2:7" s="67" customFormat="1" x14ac:dyDescent="0.35">
      <c r="B256" s="70"/>
      <c r="C256" s="70"/>
      <c r="D256" s="70"/>
      <c r="E256" s="68"/>
      <c r="F256" s="69"/>
      <c r="G256" s="68"/>
    </row>
    <row r="257" spans="2:7" s="67" customFormat="1" x14ac:dyDescent="0.35">
      <c r="B257" s="70"/>
      <c r="C257" s="70"/>
      <c r="D257" s="70"/>
      <c r="E257" s="68"/>
      <c r="F257" s="69"/>
      <c r="G257" s="68"/>
    </row>
    <row r="258" spans="2:7" s="67" customFormat="1" x14ac:dyDescent="0.35">
      <c r="B258" s="70"/>
      <c r="C258" s="70"/>
      <c r="D258" s="70"/>
      <c r="E258" s="68"/>
      <c r="F258" s="69"/>
      <c r="G258" s="68"/>
    </row>
    <row r="259" spans="2:7" s="67" customFormat="1" x14ac:dyDescent="0.35">
      <c r="B259" s="70"/>
      <c r="C259" s="70"/>
      <c r="D259" s="70"/>
      <c r="E259" s="68"/>
      <c r="F259" s="69"/>
      <c r="G259" s="68"/>
    </row>
    <row r="260" spans="2:7" s="67" customFormat="1" x14ac:dyDescent="0.35">
      <c r="B260" s="70"/>
      <c r="C260" s="70"/>
      <c r="D260" s="70"/>
      <c r="E260" s="68"/>
      <c r="F260" s="69"/>
      <c r="G260" s="68"/>
    </row>
    <row r="261" spans="2:7" s="67" customFormat="1" x14ac:dyDescent="0.35">
      <c r="B261" s="70"/>
      <c r="C261" s="70"/>
      <c r="D261" s="70"/>
      <c r="E261" s="68"/>
      <c r="F261" s="69"/>
      <c r="G261" s="68"/>
    </row>
    <row r="262" spans="2:7" s="67" customFormat="1" x14ac:dyDescent="0.35">
      <c r="B262" s="70"/>
      <c r="C262" s="70"/>
      <c r="D262" s="70"/>
      <c r="E262" s="68"/>
      <c r="F262" s="69"/>
      <c r="G262" s="68"/>
    </row>
    <row r="263" spans="2:7" s="67" customFormat="1" x14ac:dyDescent="0.35">
      <c r="B263" s="70"/>
      <c r="C263" s="70"/>
      <c r="D263" s="70"/>
      <c r="E263" s="68"/>
      <c r="F263" s="69"/>
      <c r="G263" s="68"/>
    </row>
    <row r="264" spans="2:7" s="67" customFormat="1" x14ac:dyDescent="0.35">
      <c r="B264" s="70"/>
      <c r="C264" s="70"/>
      <c r="D264" s="70"/>
      <c r="E264" s="68"/>
      <c r="F264" s="69"/>
      <c r="G264" s="68"/>
    </row>
    <row r="265" spans="2:7" s="67" customFormat="1" x14ac:dyDescent="0.35">
      <c r="B265" s="70"/>
      <c r="C265" s="70"/>
      <c r="D265" s="70"/>
      <c r="E265" s="68"/>
      <c r="F265" s="69"/>
      <c r="G265" s="68"/>
    </row>
    <row r="266" spans="2:7" s="67" customFormat="1" x14ac:dyDescent="0.35">
      <c r="B266" s="70"/>
      <c r="C266" s="70"/>
      <c r="D266" s="70"/>
      <c r="E266" s="68"/>
      <c r="F266" s="69"/>
      <c r="G266" s="68"/>
    </row>
    <row r="267" spans="2:7" s="67" customFormat="1" x14ac:dyDescent="0.35">
      <c r="B267" s="70"/>
      <c r="C267" s="70"/>
      <c r="D267" s="70"/>
      <c r="E267" s="68"/>
      <c r="F267" s="69"/>
      <c r="G267" s="68"/>
    </row>
    <row r="268" spans="2:7" s="67" customFormat="1" x14ac:dyDescent="0.35">
      <c r="B268" s="70"/>
      <c r="C268" s="70"/>
      <c r="D268" s="70"/>
      <c r="E268" s="68"/>
      <c r="F268" s="69"/>
      <c r="G268" s="68"/>
    </row>
    <row r="269" spans="2:7" s="67" customFormat="1" x14ac:dyDescent="0.35">
      <c r="B269" s="70"/>
      <c r="C269" s="70"/>
      <c r="D269" s="70"/>
      <c r="E269" s="68"/>
      <c r="F269" s="69"/>
      <c r="G269" s="68"/>
    </row>
    <row r="270" spans="2:7" s="67" customFormat="1" x14ac:dyDescent="0.35">
      <c r="B270" s="70"/>
      <c r="C270" s="70"/>
      <c r="D270" s="70"/>
      <c r="E270" s="68"/>
      <c r="F270" s="69"/>
      <c r="G270" s="68"/>
    </row>
    <row r="271" spans="2:7" s="67" customFormat="1" x14ac:dyDescent="0.35">
      <c r="B271" s="70"/>
      <c r="C271" s="70"/>
      <c r="D271" s="70"/>
      <c r="E271" s="68"/>
      <c r="F271" s="69"/>
      <c r="G271" s="68"/>
    </row>
    <row r="272" spans="2:7" s="67" customFormat="1" x14ac:dyDescent="0.35">
      <c r="B272" s="70"/>
      <c r="C272" s="70"/>
      <c r="D272" s="70"/>
      <c r="E272" s="68"/>
      <c r="F272" s="69"/>
      <c r="G272" s="68"/>
    </row>
    <row r="273" spans="2:7" s="67" customFormat="1" x14ac:dyDescent="0.35">
      <c r="B273" s="70"/>
      <c r="C273" s="70"/>
      <c r="D273" s="70"/>
      <c r="E273" s="68"/>
      <c r="F273" s="69"/>
      <c r="G273" s="68"/>
    </row>
    <row r="274" spans="2:7" s="67" customFormat="1" x14ac:dyDescent="0.35">
      <c r="B274" s="70"/>
      <c r="C274" s="70"/>
      <c r="D274" s="70"/>
      <c r="E274" s="68"/>
      <c r="F274" s="69"/>
      <c r="G274" s="68"/>
    </row>
    <row r="275" spans="2:7" s="67" customFormat="1" x14ac:dyDescent="0.35">
      <c r="B275" s="70"/>
      <c r="C275" s="70"/>
      <c r="D275" s="70"/>
      <c r="E275" s="68"/>
      <c r="F275" s="69"/>
      <c r="G275" s="68"/>
    </row>
    <row r="276" spans="2:7" s="67" customFormat="1" x14ac:dyDescent="0.35">
      <c r="B276" s="70"/>
      <c r="C276" s="70"/>
      <c r="D276" s="70"/>
      <c r="E276" s="68"/>
      <c r="F276" s="69"/>
      <c r="G276" s="68"/>
    </row>
    <row r="277" spans="2:7" s="67" customFormat="1" x14ac:dyDescent="0.35">
      <c r="B277" s="70"/>
      <c r="C277" s="70"/>
      <c r="D277" s="70"/>
      <c r="E277" s="68"/>
      <c r="F277" s="69"/>
      <c r="G277" s="68"/>
    </row>
    <row r="278" spans="2:7" s="67" customFormat="1" x14ac:dyDescent="0.35">
      <c r="B278" s="70"/>
      <c r="C278" s="70"/>
      <c r="D278" s="70"/>
      <c r="E278" s="68"/>
      <c r="F278" s="69"/>
      <c r="G278" s="68"/>
    </row>
    <row r="279" spans="2:7" s="67" customFormat="1" x14ac:dyDescent="0.35">
      <c r="B279" s="70"/>
      <c r="C279" s="70"/>
      <c r="D279" s="70"/>
      <c r="E279" s="68"/>
      <c r="F279" s="69"/>
      <c r="G279" s="68"/>
    </row>
    <row r="280" spans="2:7" s="67" customFormat="1" x14ac:dyDescent="0.35">
      <c r="B280" s="70"/>
      <c r="C280" s="70"/>
      <c r="D280" s="70"/>
      <c r="E280" s="68"/>
      <c r="F280" s="69"/>
      <c r="G280" s="68"/>
    </row>
    <row r="281" spans="2:7" s="67" customFormat="1" x14ac:dyDescent="0.35">
      <c r="B281" s="70"/>
      <c r="C281" s="70"/>
      <c r="D281" s="70"/>
      <c r="E281" s="68"/>
      <c r="F281" s="69"/>
      <c r="G281" s="68"/>
    </row>
    <row r="282" spans="2:7" s="67" customFormat="1" x14ac:dyDescent="0.35">
      <c r="B282" s="70"/>
      <c r="C282" s="70"/>
      <c r="D282" s="70"/>
      <c r="E282" s="68"/>
      <c r="F282" s="69"/>
      <c r="G282" s="68"/>
    </row>
    <row r="283" spans="2:7" s="67" customFormat="1" x14ac:dyDescent="0.35">
      <c r="B283" s="70"/>
      <c r="C283" s="70"/>
      <c r="D283" s="70"/>
      <c r="E283" s="68"/>
      <c r="F283" s="69"/>
      <c r="G283" s="68"/>
    </row>
    <row r="284" spans="2:7" s="67" customFormat="1" x14ac:dyDescent="0.35">
      <c r="B284" s="70"/>
      <c r="C284" s="70"/>
      <c r="D284" s="70"/>
      <c r="E284" s="68"/>
      <c r="F284" s="69"/>
      <c r="G284" s="68"/>
    </row>
    <row r="285" spans="2:7" s="67" customFormat="1" x14ac:dyDescent="0.35">
      <c r="B285" s="70"/>
      <c r="C285" s="70"/>
      <c r="D285" s="70"/>
      <c r="E285" s="68"/>
      <c r="F285" s="69"/>
      <c r="G285" s="68"/>
    </row>
    <row r="286" spans="2:7" s="67" customFormat="1" x14ac:dyDescent="0.35">
      <c r="B286" s="70"/>
      <c r="C286" s="70"/>
      <c r="D286" s="70"/>
      <c r="E286" s="68"/>
      <c r="F286" s="69"/>
      <c r="G286" s="68"/>
    </row>
    <row r="287" spans="2:7" s="67" customFormat="1" x14ac:dyDescent="0.35">
      <c r="B287" s="70"/>
      <c r="C287" s="70"/>
      <c r="D287" s="70"/>
      <c r="E287" s="68"/>
      <c r="F287" s="69"/>
      <c r="G287" s="68"/>
    </row>
    <row r="288" spans="2:7" s="67" customFormat="1" x14ac:dyDescent="0.35">
      <c r="B288" s="70"/>
      <c r="C288" s="70"/>
      <c r="D288" s="70"/>
      <c r="E288" s="68"/>
      <c r="F288" s="69"/>
      <c r="G288" s="68"/>
    </row>
    <row r="289" spans="2:7" s="67" customFormat="1" x14ac:dyDescent="0.35">
      <c r="B289" s="70"/>
      <c r="C289" s="70"/>
      <c r="D289" s="70"/>
      <c r="E289" s="68"/>
      <c r="F289" s="69"/>
      <c r="G289" s="68"/>
    </row>
  </sheetData>
  <conditionalFormatting sqref="C7:D6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B63">
    <cfRule type="colorScale" priority="2">
      <colorScale>
        <cfvo type="min"/>
        <cfvo type="percentile" val="50"/>
        <cfvo type="max"/>
        <color rgb="FF62BC2A"/>
        <color rgb="FFFFEB84"/>
        <color rgb="FFE95DAD"/>
      </colorScale>
    </cfRule>
    <cfRule type="colorScale" priority="3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63">
    <cfRule type="colorScale" priority="1">
      <colorScale>
        <cfvo type="min"/>
        <cfvo type="percentile" val="50"/>
        <cfvo type="max"/>
        <color rgb="FFE95DAD"/>
        <color rgb="FFFFEB84"/>
        <color rgb="FF62BC2A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0"/>
  </sheetPr>
  <dimension ref="A1:BB105"/>
  <sheetViews>
    <sheetView showGridLines="0" tabSelected="1" zoomScale="85" zoomScaleNormal="85" workbookViewId="0">
      <pane xSplit="3" ySplit="6" topLeftCell="Z49" activePane="bottomRight" state="frozen"/>
      <selection activeCell="A22" sqref="A22"/>
      <selection pane="topRight" activeCell="A22" sqref="A22"/>
      <selection pane="bottomLeft" activeCell="A22" sqref="A22"/>
      <selection pane="bottomRight" activeCell="AM54" sqref="AM54"/>
    </sheetView>
  </sheetViews>
  <sheetFormatPr defaultColWidth="9.109375" defaultRowHeight="18" x14ac:dyDescent="0.35"/>
  <cols>
    <col min="1" max="1" width="40.44140625" style="75" customWidth="1"/>
    <col min="2" max="2" width="9.44140625" style="36" customWidth="1"/>
    <col min="3" max="3" width="9.44140625" style="36" bestFit="1" customWidth="1"/>
    <col min="4" max="4" width="8.33203125" style="76" customWidth="1"/>
    <col min="5" max="5" width="13.88671875" style="4" bestFit="1" customWidth="1"/>
    <col min="6" max="6" width="12.33203125" style="1" customWidth="1"/>
    <col min="7" max="7" width="22" style="4" customWidth="1"/>
    <col min="8" max="8" width="3.33203125" style="1" customWidth="1"/>
    <col min="9" max="9" width="7.6640625" style="71" bestFit="1" customWidth="1"/>
    <col min="10" max="10" width="6.88671875" style="4" bestFit="1" customWidth="1"/>
    <col min="11" max="11" width="7.6640625" style="71" bestFit="1" customWidth="1"/>
    <col min="12" max="12" width="6.88671875" style="3" bestFit="1" customWidth="1"/>
    <col min="13" max="13" width="7.6640625" style="71" bestFit="1" customWidth="1"/>
    <col min="14" max="14" width="6.88671875" style="3" bestFit="1" customWidth="1"/>
    <col min="15" max="15" width="8" style="71" customWidth="1"/>
    <col min="16" max="16" width="7" style="3" customWidth="1"/>
    <col min="17" max="17" width="2.33203125" style="1" customWidth="1"/>
    <col min="18" max="18" width="7.6640625" style="1" bestFit="1" customWidth="1"/>
    <col min="19" max="19" width="6.88671875" style="1" bestFit="1" customWidth="1"/>
    <col min="20" max="20" width="7.6640625" style="71" customWidth="1"/>
    <col min="21" max="21" width="7.109375" style="3" customWidth="1"/>
    <col min="22" max="22" width="3.88671875" style="1" customWidth="1"/>
    <col min="23" max="26" width="6" style="1" customWidth="1"/>
    <col min="27" max="27" width="6.33203125" style="1" bestFit="1" customWidth="1"/>
    <col min="28" max="28" width="2.44140625" style="1" customWidth="1"/>
    <col min="29" max="31" width="6.109375" style="1" customWidth="1"/>
    <col min="32" max="32" width="5.109375" style="1" customWidth="1"/>
    <col min="33" max="33" width="6.33203125" style="1" bestFit="1" customWidth="1"/>
    <col min="34" max="34" width="5.33203125" style="1" customWidth="1"/>
    <col min="35" max="35" width="7.6640625" style="1" bestFit="1" customWidth="1"/>
    <col min="36" max="36" width="6.88671875" style="37" bestFit="1" customWidth="1"/>
    <col min="37" max="37" width="7.6640625" style="1" bestFit="1" customWidth="1"/>
    <col min="38" max="38" width="6.88671875" style="37" bestFit="1" customWidth="1"/>
    <col min="39" max="39" width="7.6640625" style="1" bestFit="1" customWidth="1"/>
    <col min="40" max="40" width="6.88671875" style="37" bestFit="1" customWidth="1"/>
    <col min="41" max="41" width="7.6640625" style="1" bestFit="1" customWidth="1"/>
    <col min="42" max="42" width="6.88671875" style="37" bestFit="1" customWidth="1"/>
    <col min="43" max="43" width="3.33203125" style="1" customWidth="1"/>
    <col min="44" max="46" width="6.5546875" style="1" customWidth="1"/>
    <col min="47" max="47" width="2.33203125" style="1" customWidth="1"/>
    <col min="48" max="50" width="6.5546875" style="139" customWidth="1"/>
    <col min="51" max="16384" width="9.109375" style="1"/>
  </cols>
  <sheetData>
    <row r="1" spans="1:54" s="33" customFormat="1" ht="21" x14ac:dyDescent="0.4">
      <c r="A1" s="669" t="s">
        <v>330</v>
      </c>
      <c r="B1" s="74"/>
      <c r="C1" s="74"/>
      <c r="D1" s="73"/>
      <c r="E1" s="36"/>
      <c r="G1" s="36"/>
      <c r="I1" s="413"/>
      <c r="J1" s="36"/>
      <c r="K1" s="413"/>
      <c r="L1" s="32"/>
      <c r="M1" s="413"/>
      <c r="N1" s="32"/>
      <c r="O1" s="413"/>
      <c r="P1" s="32"/>
      <c r="T1" s="413"/>
      <c r="U1" s="32"/>
      <c r="AI1" s="791"/>
      <c r="AJ1" s="132"/>
      <c r="AK1" s="133"/>
      <c r="AL1" s="132"/>
      <c r="AM1" s="133"/>
      <c r="AN1" s="132"/>
      <c r="AO1" s="133"/>
      <c r="AP1" s="132"/>
      <c r="AV1" s="578"/>
      <c r="AW1" s="578"/>
      <c r="AX1" s="578"/>
    </row>
    <row r="2" spans="1:54" x14ac:dyDescent="0.35">
      <c r="A2" s="72"/>
      <c r="B2" s="219"/>
      <c r="C2" s="588"/>
      <c r="D2" s="154" t="s">
        <v>200</v>
      </c>
      <c r="E2" s="101"/>
      <c r="F2" s="33"/>
      <c r="G2" s="361"/>
      <c r="H2" s="33"/>
      <c r="I2" s="363" t="s">
        <v>236</v>
      </c>
      <c r="J2" s="366"/>
      <c r="K2" s="363"/>
      <c r="L2" s="366"/>
      <c r="M2" s="363"/>
      <c r="N2" s="366"/>
      <c r="O2" s="363"/>
      <c r="P2" s="366"/>
      <c r="Q2" s="366"/>
      <c r="R2" s="366"/>
      <c r="S2" s="366"/>
      <c r="T2" s="363"/>
      <c r="U2" s="366"/>
      <c r="V2" s="652"/>
      <c r="W2" s="652"/>
      <c r="X2" s="652"/>
      <c r="Y2" s="652"/>
      <c r="Z2" s="652"/>
      <c r="AA2" s="652"/>
      <c r="AB2" s="652"/>
      <c r="AC2" s="652"/>
      <c r="AD2" s="652"/>
      <c r="AE2" s="652"/>
      <c r="AF2" s="652"/>
      <c r="AG2" s="652"/>
      <c r="AH2" s="33"/>
      <c r="AI2" s="363" t="s">
        <v>237</v>
      </c>
      <c r="AJ2" s="364"/>
      <c r="AK2" s="365"/>
      <c r="AL2" s="364"/>
      <c r="AM2" s="365"/>
      <c r="AN2" s="364"/>
      <c r="AO2" s="365"/>
      <c r="AP2" s="364"/>
      <c r="AQ2" s="652"/>
      <c r="AR2" s="652"/>
      <c r="AS2" s="652"/>
      <c r="AT2" s="652"/>
      <c r="AU2" s="652"/>
      <c r="AV2" s="653"/>
      <c r="AW2" s="653"/>
      <c r="AX2" s="653"/>
      <c r="AY2" s="33"/>
      <c r="AZ2" s="33"/>
      <c r="BA2" s="33"/>
      <c r="BB2" s="33"/>
    </row>
    <row r="3" spans="1:54" s="33" customFormat="1" x14ac:dyDescent="0.35">
      <c r="A3" s="72"/>
      <c r="B3" s="73"/>
      <c r="C3" s="589"/>
      <c r="D3" s="362" t="s">
        <v>201</v>
      </c>
      <c r="E3" s="519"/>
      <c r="F3" s="117"/>
      <c r="G3" s="77" t="s">
        <v>90</v>
      </c>
      <c r="H3" s="112"/>
      <c r="I3" s="515"/>
      <c r="J3" s="76"/>
      <c r="K3" s="515"/>
      <c r="L3" s="116"/>
      <c r="M3" s="515"/>
      <c r="N3" s="116"/>
      <c r="O3" s="515"/>
      <c r="P3" s="116"/>
      <c r="Q3" s="75"/>
      <c r="R3" s="75"/>
      <c r="S3" s="75"/>
      <c r="T3" s="515"/>
      <c r="U3" s="116"/>
      <c r="V3" s="76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76"/>
      <c r="AJ3" s="116"/>
      <c r="AK3" s="76"/>
      <c r="AL3" s="116"/>
      <c r="AM3" s="76"/>
      <c r="AN3" s="116"/>
      <c r="AO3" s="76"/>
      <c r="AP3" s="116"/>
      <c r="AQ3" s="117"/>
      <c r="AR3" s="102" t="s">
        <v>228</v>
      </c>
      <c r="AS3" s="119"/>
      <c r="AT3" s="119"/>
      <c r="AU3" s="119"/>
      <c r="AV3" s="654"/>
      <c r="AW3" s="654"/>
      <c r="AX3" s="655"/>
    </row>
    <row r="4" spans="1:54" s="33" customFormat="1" x14ac:dyDescent="0.35">
      <c r="A4" s="75"/>
      <c r="B4" s="76"/>
      <c r="C4" s="216"/>
      <c r="D4" s="76"/>
      <c r="E4" s="908" t="s">
        <v>168</v>
      </c>
      <c r="F4" s="117"/>
      <c r="G4" s="459" t="s">
        <v>263</v>
      </c>
      <c r="H4" s="656"/>
      <c r="I4" s="516"/>
      <c r="J4" s="112"/>
      <c r="K4" s="517" t="s">
        <v>229</v>
      </c>
      <c r="L4" s="128"/>
      <c r="M4" s="516"/>
      <c r="N4" s="128"/>
      <c r="O4" s="516"/>
      <c r="P4" s="119"/>
      <c r="Q4" s="518"/>
      <c r="R4" s="362" t="s">
        <v>238</v>
      </c>
      <c r="S4" s="128"/>
      <c r="T4" s="517"/>
      <c r="U4" s="519"/>
      <c r="V4" s="117"/>
      <c r="W4" s="102" t="s">
        <v>239</v>
      </c>
      <c r="X4" s="119"/>
      <c r="Y4" s="119"/>
      <c r="Z4" s="119"/>
      <c r="AA4" s="119"/>
      <c r="AB4" s="119"/>
      <c r="AC4" s="119"/>
      <c r="AD4" s="119"/>
      <c r="AE4" s="119"/>
      <c r="AF4" s="119"/>
      <c r="AG4" s="522"/>
      <c r="AH4" s="117"/>
      <c r="AI4" s="520"/>
      <c r="AJ4" s="521"/>
      <c r="AK4" s="517" t="s">
        <v>229</v>
      </c>
      <c r="AL4" s="119"/>
      <c r="AM4" s="362"/>
      <c r="AN4" s="119"/>
      <c r="AO4" s="362"/>
      <c r="AP4" s="522"/>
      <c r="AQ4" s="117"/>
      <c r="AR4" s="112" t="s">
        <v>232</v>
      </c>
      <c r="AS4" s="128"/>
      <c r="AT4" s="657"/>
      <c r="AU4" s="658"/>
      <c r="AV4" s="112" t="s">
        <v>233</v>
      </c>
      <c r="AW4" s="659"/>
      <c r="AX4" s="660"/>
    </row>
    <row r="5" spans="1:54" s="33" customFormat="1" ht="38.700000000000003" customHeight="1" x14ac:dyDescent="0.35">
      <c r="A5" s="34"/>
      <c r="B5" s="362" t="s">
        <v>69</v>
      </c>
      <c r="C5" s="522"/>
      <c r="D5" s="35" t="s">
        <v>91</v>
      </c>
      <c r="E5" s="220" t="s">
        <v>131</v>
      </c>
      <c r="F5" s="914" t="s">
        <v>458</v>
      </c>
      <c r="G5" s="912" t="s">
        <v>382</v>
      </c>
      <c r="H5" s="661"/>
      <c r="I5" s="362" t="s">
        <v>313</v>
      </c>
      <c r="J5" s="523"/>
      <c r="K5" s="362" t="s">
        <v>77</v>
      </c>
      <c r="L5" s="523"/>
      <c r="M5" s="362" t="s">
        <v>78</v>
      </c>
      <c r="N5" s="524"/>
      <c r="O5" s="362" t="s">
        <v>79</v>
      </c>
      <c r="P5" s="123"/>
      <c r="Q5" s="525"/>
      <c r="R5" s="526" t="s">
        <v>223</v>
      </c>
      <c r="S5" s="527"/>
      <c r="T5" s="528" t="s">
        <v>80</v>
      </c>
      <c r="U5" s="123"/>
      <c r="V5" s="117"/>
      <c r="W5" s="362" t="s">
        <v>226</v>
      </c>
      <c r="X5" s="362"/>
      <c r="Y5" s="362"/>
      <c r="Z5" s="119"/>
      <c r="AA5" s="362"/>
      <c r="AB5" s="200"/>
      <c r="AC5" s="362" t="s">
        <v>227</v>
      </c>
      <c r="AD5" s="119"/>
      <c r="AE5" s="119"/>
      <c r="AF5" s="119"/>
      <c r="AG5" s="522"/>
      <c r="AI5" s="529" t="s">
        <v>85</v>
      </c>
      <c r="AJ5" s="530"/>
      <c r="AK5" s="124" t="s">
        <v>77</v>
      </c>
      <c r="AL5" s="530"/>
      <c r="AM5" s="124" t="s">
        <v>78</v>
      </c>
      <c r="AN5" s="531"/>
      <c r="AO5" s="362" t="s">
        <v>79</v>
      </c>
      <c r="AP5" s="123"/>
      <c r="AQ5" s="117"/>
      <c r="AR5" s="100" t="s">
        <v>234</v>
      </c>
      <c r="AS5" s="362"/>
      <c r="AT5" s="124"/>
      <c r="AU5" s="508"/>
      <c r="AV5" s="362" t="s">
        <v>235</v>
      </c>
      <c r="AW5" s="119"/>
      <c r="AX5" s="522"/>
    </row>
    <row r="6" spans="1:54" s="33" customFormat="1" ht="37.200000000000003" thickBot="1" x14ac:dyDescent="0.45">
      <c r="A6" s="58" t="s">
        <v>4</v>
      </c>
      <c r="B6" s="40" t="s">
        <v>3</v>
      </c>
      <c r="C6" s="533" t="s">
        <v>2</v>
      </c>
      <c r="D6" s="78" t="s">
        <v>92</v>
      </c>
      <c r="E6" s="662" t="s">
        <v>360</v>
      </c>
      <c r="F6" s="915" t="s">
        <v>459</v>
      </c>
      <c r="G6" s="913" t="s">
        <v>381</v>
      </c>
      <c r="H6" s="663"/>
      <c r="I6" s="532" t="s">
        <v>2</v>
      </c>
      <c r="J6" s="533" t="s">
        <v>3</v>
      </c>
      <c r="K6" s="532" t="s">
        <v>2</v>
      </c>
      <c r="L6" s="533" t="s">
        <v>3</v>
      </c>
      <c r="M6" s="532" t="s">
        <v>2</v>
      </c>
      <c r="N6" s="533" t="s">
        <v>3</v>
      </c>
      <c r="O6" s="534" t="s">
        <v>2</v>
      </c>
      <c r="P6" s="217" t="s">
        <v>3</v>
      </c>
      <c r="Q6" s="646"/>
      <c r="R6" s="534" t="s">
        <v>2</v>
      </c>
      <c r="S6" s="217" t="s">
        <v>3</v>
      </c>
      <c r="T6" s="532" t="s">
        <v>2</v>
      </c>
      <c r="U6" s="217" t="s">
        <v>3</v>
      </c>
      <c r="V6" s="646"/>
      <c r="W6" s="315" t="s">
        <v>39</v>
      </c>
      <c r="X6" s="316" t="s">
        <v>40</v>
      </c>
      <c r="Y6" s="700" t="s">
        <v>41</v>
      </c>
      <c r="Z6" s="315" t="s">
        <v>224</v>
      </c>
      <c r="AA6" s="316" t="s">
        <v>225</v>
      </c>
      <c r="AB6" s="664"/>
      <c r="AC6" s="316" t="s">
        <v>39</v>
      </c>
      <c r="AD6" s="316" t="s">
        <v>40</v>
      </c>
      <c r="AE6" s="317" t="s">
        <v>41</v>
      </c>
      <c r="AF6" s="315" t="s">
        <v>224</v>
      </c>
      <c r="AG6" s="317" t="s">
        <v>225</v>
      </c>
      <c r="AH6" s="649"/>
      <c r="AI6" s="535" t="s">
        <v>2</v>
      </c>
      <c r="AJ6" s="323" t="s">
        <v>3</v>
      </c>
      <c r="AK6" s="536" t="s">
        <v>2</v>
      </c>
      <c r="AL6" s="323" t="s">
        <v>3</v>
      </c>
      <c r="AM6" s="534" t="s">
        <v>2</v>
      </c>
      <c r="AN6" s="323" t="s">
        <v>3</v>
      </c>
      <c r="AO6" s="536" t="s">
        <v>2</v>
      </c>
      <c r="AP6" s="323" t="s">
        <v>3</v>
      </c>
      <c r="AQ6" s="646"/>
      <c r="AR6" s="315" t="s">
        <v>39</v>
      </c>
      <c r="AS6" s="316" t="s">
        <v>40</v>
      </c>
      <c r="AT6" s="317" t="s">
        <v>41</v>
      </c>
      <c r="AU6" s="649"/>
      <c r="AV6" s="316" t="s">
        <v>39</v>
      </c>
      <c r="AW6" s="316" t="s">
        <v>40</v>
      </c>
      <c r="AX6" s="317" t="s">
        <v>41</v>
      </c>
    </row>
    <row r="7" spans="1:54" ht="18.600000000000001" thickBot="1" x14ac:dyDescent="0.4">
      <c r="A7" s="1234" t="s">
        <v>10</v>
      </c>
      <c r="B7" s="170">
        <f t="shared" ref="B7:B38" si="0">RANK(C7,C$7:C$63,0)</f>
        <v>30</v>
      </c>
      <c r="C7" s="172">
        <f t="shared" ref="C7:C38" si="1">SUM(D7:E7)</f>
        <v>1</v>
      </c>
      <c r="D7" s="81"/>
      <c r="E7" s="358">
        <v>1</v>
      </c>
      <c r="F7" s="909"/>
      <c r="G7" s="704" t="s">
        <v>93</v>
      </c>
      <c r="H7" s="665"/>
      <c r="I7" s="178">
        <v>4.0212272981087596</v>
      </c>
      <c r="J7" s="43">
        <v>43</v>
      </c>
      <c r="K7" s="455">
        <v>3.1661319073062302</v>
      </c>
      <c r="L7" s="80">
        <v>43</v>
      </c>
      <c r="M7" s="455">
        <v>3.9633833315581999</v>
      </c>
      <c r="N7" s="80">
        <v>43</v>
      </c>
      <c r="O7" s="173">
        <v>2.9510312594491999</v>
      </c>
      <c r="P7" s="170">
        <v>43</v>
      </c>
      <c r="Q7" s="661"/>
      <c r="R7" s="60">
        <v>4.0172900557164199</v>
      </c>
      <c r="S7" s="80">
        <v>18</v>
      </c>
      <c r="T7" s="173">
        <v>2.2422157568264001</v>
      </c>
      <c r="U7" s="80">
        <v>43</v>
      </c>
      <c r="V7" s="117"/>
      <c r="W7" s="171">
        <f t="shared" ref="W7:W38" si="2">MIN(L7-$J7,0)</f>
        <v>0</v>
      </c>
      <c r="X7" s="174">
        <f t="shared" ref="X7:X38" si="3">MIN(N7-$J7,0)</f>
        <v>0</v>
      </c>
      <c r="Y7" s="701">
        <f t="shared" ref="Y7:Y38" si="4">MIN(P7-$J7,0)</f>
        <v>0</v>
      </c>
      <c r="Z7" s="171">
        <f t="shared" ref="Z7:Z38" si="5">MIN(S7-$J7,0)</f>
        <v>-25</v>
      </c>
      <c r="AA7" s="170">
        <f t="shared" ref="AA7:AA38" si="6">MIN(U7-$J7,0)</f>
        <v>0</v>
      </c>
      <c r="AB7" s="666"/>
      <c r="AC7" s="60">
        <f t="shared" ref="AC7:AC38" si="7">MAX(K7-$I7,0)</f>
        <v>0</v>
      </c>
      <c r="AD7" s="188">
        <f t="shared" ref="AD7:AD38" si="8">MAX(M7-$I7,0)</f>
        <v>0</v>
      </c>
      <c r="AE7" s="172">
        <f t="shared" ref="AE7:AE38" si="9">MAX(O7-$I7,0)</f>
        <v>0</v>
      </c>
      <c r="AF7" s="173">
        <f t="shared" ref="AF7:AF38" si="10">MAX(R7-$I7,0)</f>
        <v>0</v>
      </c>
      <c r="AG7" s="172">
        <f t="shared" ref="AG7:AG38" si="11">MAX(T7-$I7,0)</f>
        <v>0</v>
      </c>
      <c r="AH7" s="667"/>
      <c r="AI7" s="45">
        <v>1.5066921456690601</v>
      </c>
      <c r="AJ7" s="314">
        <v>41</v>
      </c>
      <c r="AK7" s="313">
        <v>0</v>
      </c>
      <c r="AL7" s="314">
        <v>38</v>
      </c>
      <c r="AM7" s="313">
        <v>1.7446832712034701</v>
      </c>
      <c r="AN7" s="314">
        <v>21</v>
      </c>
      <c r="AO7" s="313">
        <v>0</v>
      </c>
      <c r="AP7" s="314">
        <v>15</v>
      </c>
      <c r="AQ7" s="117"/>
      <c r="AR7" s="171">
        <f t="shared" ref="AR7:AR38" si="12">MIN(AL7-$AJ7,0)</f>
        <v>-3</v>
      </c>
      <c r="AS7" s="170">
        <f t="shared" ref="AS7:AS38" si="13">MIN(AN7-$AJ7,0)</f>
        <v>-20</v>
      </c>
      <c r="AT7" s="170">
        <f t="shared" ref="AT7:AT38" si="14">MIN(AP7-$AJ7,0)</f>
        <v>-26</v>
      </c>
      <c r="AU7" s="33"/>
      <c r="AV7" s="60">
        <f t="shared" ref="AV7:AV38" si="15">MAX(AK7-$AI7,0)</f>
        <v>0</v>
      </c>
      <c r="AW7" s="60">
        <f t="shared" ref="AW7:AW38" si="16">MAX(AM7-$AI7,0)</f>
        <v>0.23799112553441004</v>
      </c>
      <c r="AX7" s="172">
        <f t="shared" ref="AX7:AX38" si="17">MAX(AO7-$AI7,0)</f>
        <v>0</v>
      </c>
      <c r="AY7" s="33"/>
      <c r="AZ7" s="33"/>
      <c r="BA7" s="33"/>
      <c r="BB7" s="33"/>
    </row>
    <row r="8" spans="1:54" ht="18.600000000000001" thickBot="1" x14ac:dyDescent="0.4">
      <c r="A8" s="384" t="s">
        <v>209</v>
      </c>
      <c r="B8" s="175">
        <f t="shared" si="0"/>
        <v>30</v>
      </c>
      <c r="C8" s="178">
        <f t="shared" si="1"/>
        <v>1</v>
      </c>
      <c r="D8" s="81"/>
      <c r="E8" s="79">
        <v>1</v>
      </c>
      <c r="F8" s="910"/>
      <c r="G8" s="705" t="s">
        <v>93</v>
      </c>
      <c r="H8" s="665"/>
      <c r="I8" s="178">
        <v>3.4777750632161801</v>
      </c>
      <c r="J8" s="43">
        <v>47</v>
      </c>
      <c r="K8" s="458">
        <v>3.1699188556624001</v>
      </c>
      <c r="L8" s="43">
        <v>37</v>
      </c>
      <c r="M8" s="458">
        <v>2.9976700232762101</v>
      </c>
      <c r="N8" s="43">
        <v>18</v>
      </c>
      <c r="O8" s="179">
        <v>1.8717857048664901</v>
      </c>
      <c r="P8" s="175">
        <v>55</v>
      </c>
      <c r="Q8" s="661"/>
      <c r="R8" s="177">
        <v>3.3041540837220502</v>
      </c>
      <c r="S8" s="43">
        <v>37</v>
      </c>
      <c r="T8" s="179">
        <v>2.7610196847363202</v>
      </c>
      <c r="U8" s="43">
        <v>47</v>
      </c>
      <c r="V8" s="117"/>
      <c r="W8" s="176">
        <f t="shared" si="2"/>
        <v>-10</v>
      </c>
      <c r="X8" s="180">
        <f t="shared" si="3"/>
        <v>-29</v>
      </c>
      <c r="Y8" s="702">
        <f t="shared" si="4"/>
        <v>0</v>
      </c>
      <c r="Z8" s="176">
        <f t="shared" si="5"/>
        <v>-10</v>
      </c>
      <c r="AA8" s="175">
        <f t="shared" si="6"/>
        <v>0</v>
      </c>
      <c r="AB8" s="668"/>
      <c r="AC8" s="177">
        <f t="shared" si="7"/>
        <v>0</v>
      </c>
      <c r="AD8" s="189">
        <f t="shared" si="8"/>
        <v>0</v>
      </c>
      <c r="AE8" s="178">
        <f t="shared" si="9"/>
        <v>0</v>
      </c>
      <c r="AF8" s="179">
        <f t="shared" si="10"/>
        <v>0</v>
      </c>
      <c r="AG8" s="178">
        <f t="shared" si="11"/>
        <v>0</v>
      </c>
      <c r="AH8" s="661"/>
      <c r="AI8" s="45">
        <v>0</v>
      </c>
      <c r="AJ8" s="314">
        <v>44</v>
      </c>
      <c r="AK8" s="313">
        <v>0</v>
      </c>
      <c r="AL8" s="314">
        <v>38</v>
      </c>
      <c r="AM8" s="313">
        <v>0</v>
      </c>
      <c r="AN8" s="314">
        <v>28</v>
      </c>
      <c r="AO8" s="313">
        <v>0</v>
      </c>
      <c r="AP8" s="314">
        <v>15</v>
      </c>
      <c r="AQ8" s="117"/>
      <c r="AR8" s="176">
        <f t="shared" si="12"/>
        <v>-6</v>
      </c>
      <c r="AS8" s="175">
        <f t="shared" si="13"/>
        <v>-16</v>
      </c>
      <c r="AT8" s="175">
        <f t="shared" si="14"/>
        <v>-29</v>
      </c>
      <c r="AU8" s="33"/>
      <c r="AV8" s="177">
        <f t="shared" si="15"/>
        <v>0</v>
      </c>
      <c r="AW8" s="177">
        <f t="shared" si="16"/>
        <v>0</v>
      </c>
      <c r="AX8" s="178">
        <f t="shared" si="17"/>
        <v>0</v>
      </c>
      <c r="AY8" s="33"/>
      <c r="AZ8" s="33"/>
      <c r="BA8" s="33"/>
      <c r="BB8" s="33"/>
    </row>
    <row r="9" spans="1:54" ht="18.600000000000001" thickBot="1" x14ac:dyDescent="0.4">
      <c r="A9" s="384" t="s">
        <v>146</v>
      </c>
      <c r="B9" s="175">
        <f t="shared" si="0"/>
        <v>30</v>
      </c>
      <c r="C9" s="178">
        <f t="shared" si="1"/>
        <v>1</v>
      </c>
      <c r="D9" s="81"/>
      <c r="E9" s="79">
        <v>1</v>
      </c>
      <c r="F9" s="910"/>
      <c r="G9" s="706" t="s">
        <v>93</v>
      </c>
      <c r="H9" s="665"/>
      <c r="I9" s="178">
        <v>3.78046242135086</v>
      </c>
      <c r="J9" s="43">
        <v>18</v>
      </c>
      <c r="K9" s="458">
        <v>3.4719042642238498</v>
      </c>
      <c r="L9" s="43">
        <v>47</v>
      </c>
      <c r="M9" s="458">
        <v>1.8500150818357699</v>
      </c>
      <c r="N9" s="43">
        <v>37</v>
      </c>
      <c r="O9" s="179">
        <v>0</v>
      </c>
      <c r="P9" s="43">
        <v>37</v>
      </c>
      <c r="Q9" s="661"/>
      <c r="R9" s="177">
        <v>3.7024127142482302</v>
      </c>
      <c r="S9" s="43">
        <v>43</v>
      </c>
      <c r="T9" s="179">
        <v>2.3393983444773898</v>
      </c>
      <c r="U9" s="43">
        <v>29</v>
      </c>
      <c r="V9" s="117"/>
      <c r="W9" s="176">
        <f t="shared" si="2"/>
        <v>0</v>
      </c>
      <c r="X9" s="180">
        <f t="shared" si="3"/>
        <v>0</v>
      </c>
      <c r="Y9" s="702">
        <f t="shared" si="4"/>
        <v>0</v>
      </c>
      <c r="Z9" s="176">
        <f t="shared" si="5"/>
        <v>0</v>
      </c>
      <c r="AA9" s="175">
        <f t="shared" si="6"/>
        <v>0</v>
      </c>
      <c r="AB9" s="668"/>
      <c r="AC9" s="177">
        <f t="shared" si="7"/>
        <v>0</v>
      </c>
      <c r="AD9" s="189">
        <f t="shared" si="8"/>
        <v>0</v>
      </c>
      <c r="AE9" s="178">
        <f t="shared" si="9"/>
        <v>0</v>
      </c>
      <c r="AF9" s="179">
        <f t="shared" si="10"/>
        <v>0</v>
      </c>
      <c r="AG9" s="178">
        <f t="shared" si="11"/>
        <v>0</v>
      </c>
      <c r="AH9" s="661"/>
      <c r="AI9" s="45">
        <v>2.4591344959510302</v>
      </c>
      <c r="AJ9" s="314">
        <v>35</v>
      </c>
      <c r="AK9" s="313">
        <v>2.73072449864434</v>
      </c>
      <c r="AL9" s="314">
        <v>34</v>
      </c>
      <c r="AM9" s="313">
        <v>0</v>
      </c>
      <c r="AN9" s="314">
        <v>28</v>
      </c>
      <c r="AO9" s="313">
        <v>0</v>
      </c>
      <c r="AP9" s="314">
        <v>15</v>
      </c>
      <c r="AQ9" s="117"/>
      <c r="AR9" s="176">
        <f t="shared" si="12"/>
        <v>-1</v>
      </c>
      <c r="AS9" s="175">
        <f t="shared" si="13"/>
        <v>-7</v>
      </c>
      <c r="AT9" s="175">
        <f t="shared" si="14"/>
        <v>-20</v>
      </c>
      <c r="AU9" s="33"/>
      <c r="AV9" s="177">
        <f t="shared" si="15"/>
        <v>0.2715900026933098</v>
      </c>
      <c r="AW9" s="177">
        <f t="shared" si="16"/>
        <v>0</v>
      </c>
      <c r="AX9" s="178">
        <f t="shared" si="17"/>
        <v>0</v>
      </c>
      <c r="AY9" s="33"/>
      <c r="AZ9" s="33"/>
      <c r="BA9" s="33"/>
      <c r="BB9" s="33"/>
    </row>
    <row r="10" spans="1:54" ht="18.600000000000001" thickBot="1" x14ac:dyDescent="0.4">
      <c r="A10" s="214" t="s">
        <v>147</v>
      </c>
      <c r="B10" s="175">
        <f t="shared" si="0"/>
        <v>30</v>
      </c>
      <c r="C10" s="178">
        <f t="shared" si="1"/>
        <v>1</v>
      </c>
      <c r="D10" s="81"/>
      <c r="E10" s="79">
        <v>1</v>
      </c>
      <c r="F10" s="910"/>
      <c r="G10" s="705" t="s">
        <v>93</v>
      </c>
      <c r="H10" s="665"/>
      <c r="I10" s="178">
        <v>5.6321302327138802</v>
      </c>
      <c r="J10" s="43">
        <v>29</v>
      </c>
      <c r="K10" s="458">
        <v>2.7023511255099</v>
      </c>
      <c r="L10" s="43">
        <v>18</v>
      </c>
      <c r="M10" s="458">
        <v>5.5255285448005598</v>
      </c>
      <c r="N10" s="43">
        <v>29</v>
      </c>
      <c r="O10" s="179">
        <v>1.4931254574072901</v>
      </c>
      <c r="P10" s="175">
        <v>29</v>
      </c>
      <c r="Q10" s="661"/>
      <c r="R10" s="177">
        <v>5.6050937980782498</v>
      </c>
      <c r="S10" s="43">
        <v>55</v>
      </c>
      <c r="T10" s="179">
        <v>2.1372265313289498</v>
      </c>
      <c r="U10" s="43">
        <v>5</v>
      </c>
      <c r="V10" s="117"/>
      <c r="W10" s="176">
        <f t="shared" si="2"/>
        <v>-11</v>
      </c>
      <c r="X10" s="180">
        <f t="shared" si="3"/>
        <v>0</v>
      </c>
      <c r="Y10" s="702">
        <f t="shared" si="4"/>
        <v>0</v>
      </c>
      <c r="Z10" s="176">
        <f t="shared" si="5"/>
        <v>0</v>
      </c>
      <c r="AA10" s="175">
        <f t="shared" si="6"/>
        <v>-24</v>
      </c>
      <c r="AB10" s="668"/>
      <c r="AC10" s="177">
        <f t="shared" si="7"/>
        <v>0</v>
      </c>
      <c r="AD10" s="189">
        <f t="shared" si="8"/>
        <v>0</v>
      </c>
      <c r="AE10" s="178">
        <f t="shared" si="9"/>
        <v>0</v>
      </c>
      <c r="AF10" s="179">
        <f t="shared" si="10"/>
        <v>0</v>
      </c>
      <c r="AG10" s="178">
        <f t="shared" si="11"/>
        <v>0</v>
      </c>
      <c r="AH10" s="661"/>
      <c r="AI10" s="45">
        <v>0</v>
      </c>
      <c r="AJ10" s="314">
        <v>44</v>
      </c>
      <c r="AK10" s="313">
        <v>0</v>
      </c>
      <c r="AL10" s="314">
        <v>38</v>
      </c>
      <c r="AM10" s="313">
        <v>0</v>
      </c>
      <c r="AN10" s="314">
        <v>28</v>
      </c>
      <c r="AO10" s="313">
        <v>0</v>
      </c>
      <c r="AP10" s="314">
        <v>15</v>
      </c>
      <c r="AQ10" s="117"/>
      <c r="AR10" s="176">
        <f t="shared" si="12"/>
        <v>-6</v>
      </c>
      <c r="AS10" s="175">
        <f t="shared" si="13"/>
        <v>-16</v>
      </c>
      <c r="AT10" s="175">
        <f t="shared" si="14"/>
        <v>-29</v>
      </c>
      <c r="AU10" s="33"/>
      <c r="AV10" s="177">
        <f t="shared" si="15"/>
        <v>0</v>
      </c>
      <c r="AW10" s="177">
        <f t="shared" si="16"/>
        <v>0</v>
      </c>
      <c r="AX10" s="178">
        <f t="shared" si="17"/>
        <v>0</v>
      </c>
      <c r="AY10" s="33"/>
      <c r="AZ10" s="33"/>
      <c r="BA10" s="33"/>
      <c r="BB10" s="33" t="s">
        <v>46</v>
      </c>
    </row>
    <row r="11" spans="1:54" ht="18.600000000000001" thickBot="1" x14ac:dyDescent="0.4">
      <c r="A11" s="384" t="s">
        <v>5</v>
      </c>
      <c r="B11" s="175">
        <f t="shared" si="0"/>
        <v>2</v>
      </c>
      <c r="C11" s="178">
        <f t="shared" si="1"/>
        <v>4</v>
      </c>
      <c r="D11" s="81">
        <v>2</v>
      </c>
      <c r="E11" s="79">
        <v>2</v>
      </c>
      <c r="F11" s="910"/>
      <c r="G11" s="707" t="s">
        <v>94</v>
      </c>
      <c r="H11" s="665"/>
      <c r="I11" s="178">
        <v>6.8430793983662204</v>
      </c>
      <c r="J11" s="43">
        <v>37</v>
      </c>
      <c r="K11" s="458">
        <v>5.4055478909065799</v>
      </c>
      <c r="L11" s="43">
        <v>31</v>
      </c>
      <c r="M11" s="458">
        <v>6.4141843512359902</v>
      </c>
      <c r="N11" s="43">
        <v>55</v>
      </c>
      <c r="O11" s="179">
        <v>0</v>
      </c>
      <c r="P11" s="43">
        <v>18</v>
      </c>
      <c r="Q11" s="661"/>
      <c r="R11" s="177">
        <v>1.74004187346595</v>
      </c>
      <c r="S11" s="43">
        <v>57</v>
      </c>
      <c r="T11" s="179">
        <v>6.7041739551687698</v>
      </c>
      <c r="U11" s="43">
        <v>54</v>
      </c>
      <c r="V11" s="117"/>
      <c r="W11" s="176">
        <f t="shared" si="2"/>
        <v>-6</v>
      </c>
      <c r="X11" s="180">
        <f t="shared" si="3"/>
        <v>0</v>
      </c>
      <c r="Y11" s="702">
        <f t="shared" si="4"/>
        <v>-19</v>
      </c>
      <c r="Z11" s="176">
        <f t="shared" si="5"/>
        <v>0</v>
      </c>
      <c r="AA11" s="175">
        <f t="shared" si="6"/>
        <v>0</v>
      </c>
      <c r="AB11" s="668"/>
      <c r="AC11" s="177">
        <f t="shared" si="7"/>
        <v>0</v>
      </c>
      <c r="AD11" s="189">
        <f t="shared" si="8"/>
        <v>0</v>
      </c>
      <c r="AE11" s="178">
        <f t="shared" si="9"/>
        <v>0</v>
      </c>
      <c r="AF11" s="179">
        <f t="shared" si="10"/>
        <v>0</v>
      </c>
      <c r="AG11" s="178">
        <f t="shared" si="11"/>
        <v>0</v>
      </c>
      <c r="AH11" s="661"/>
      <c r="AI11" s="45">
        <v>9.7465731314616093</v>
      </c>
      <c r="AJ11" s="314">
        <v>2</v>
      </c>
      <c r="AK11" s="313">
        <v>7.7729406452055398</v>
      </c>
      <c r="AL11" s="314">
        <v>5</v>
      </c>
      <c r="AM11" s="313">
        <v>10</v>
      </c>
      <c r="AN11" s="314">
        <v>1</v>
      </c>
      <c r="AO11" s="313">
        <v>10</v>
      </c>
      <c r="AP11" s="314">
        <v>1</v>
      </c>
      <c r="AQ11" s="117"/>
      <c r="AR11" s="176">
        <f t="shared" si="12"/>
        <v>0</v>
      </c>
      <c r="AS11" s="175">
        <f t="shared" si="13"/>
        <v>-1</v>
      </c>
      <c r="AT11" s="175">
        <f t="shared" si="14"/>
        <v>-1</v>
      </c>
      <c r="AU11" s="33"/>
      <c r="AV11" s="177">
        <f t="shared" si="15"/>
        <v>0</v>
      </c>
      <c r="AW11" s="177">
        <f t="shared" si="16"/>
        <v>0.25342686853839069</v>
      </c>
      <c r="AX11" s="178">
        <f t="shared" si="17"/>
        <v>0.25342686853839069</v>
      </c>
      <c r="AY11" s="33"/>
      <c r="AZ11" s="33"/>
      <c r="BA11" s="33"/>
      <c r="BB11" s="33"/>
    </row>
    <row r="12" spans="1:54" ht="18.600000000000001" thickBot="1" x14ac:dyDescent="0.4">
      <c r="A12" s="384" t="s">
        <v>210</v>
      </c>
      <c r="B12" s="175">
        <f t="shared" si="0"/>
        <v>30</v>
      </c>
      <c r="C12" s="178">
        <f t="shared" si="1"/>
        <v>1</v>
      </c>
      <c r="D12" s="81"/>
      <c r="E12" s="79">
        <v>1</v>
      </c>
      <c r="F12" s="910"/>
      <c r="G12" s="706" t="s">
        <v>93</v>
      </c>
      <c r="H12" s="665"/>
      <c r="I12" s="178">
        <v>4.1101984666818696</v>
      </c>
      <c r="J12" s="43">
        <v>22</v>
      </c>
      <c r="K12" s="458">
        <v>4.4381555694184103</v>
      </c>
      <c r="L12" s="43">
        <v>29</v>
      </c>
      <c r="M12" s="458">
        <v>2.1469483152289102</v>
      </c>
      <c r="N12" s="43">
        <v>57</v>
      </c>
      <c r="O12" s="179">
        <v>0</v>
      </c>
      <c r="P12" s="175">
        <v>57</v>
      </c>
      <c r="Q12" s="661"/>
      <c r="R12" s="177">
        <v>3.11769068473125</v>
      </c>
      <c r="S12" s="43">
        <v>29</v>
      </c>
      <c r="T12" s="179">
        <v>4.2711159213054701</v>
      </c>
      <c r="U12" s="43">
        <v>22</v>
      </c>
      <c r="V12" s="117"/>
      <c r="W12" s="176">
        <f t="shared" si="2"/>
        <v>0</v>
      </c>
      <c r="X12" s="180">
        <f t="shared" si="3"/>
        <v>0</v>
      </c>
      <c r="Y12" s="702">
        <f t="shared" si="4"/>
        <v>0</v>
      </c>
      <c r="Z12" s="176">
        <f t="shared" si="5"/>
        <v>0</v>
      </c>
      <c r="AA12" s="175">
        <f t="shared" si="6"/>
        <v>0</v>
      </c>
      <c r="AB12" s="668"/>
      <c r="AC12" s="177">
        <f t="shared" si="7"/>
        <v>0.32795710273654066</v>
      </c>
      <c r="AD12" s="189">
        <f t="shared" si="8"/>
        <v>0</v>
      </c>
      <c r="AE12" s="178">
        <f t="shared" si="9"/>
        <v>0</v>
      </c>
      <c r="AF12" s="179">
        <f t="shared" si="10"/>
        <v>0</v>
      </c>
      <c r="AG12" s="178">
        <f t="shared" si="11"/>
        <v>0.16091745462360052</v>
      </c>
      <c r="AH12" s="661"/>
      <c r="AI12" s="45">
        <v>0</v>
      </c>
      <c r="AJ12" s="314">
        <v>44</v>
      </c>
      <c r="AK12" s="313">
        <v>0</v>
      </c>
      <c r="AL12" s="314">
        <v>38</v>
      </c>
      <c r="AM12" s="313">
        <v>0</v>
      </c>
      <c r="AN12" s="314">
        <v>28</v>
      </c>
      <c r="AO12" s="313">
        <v>0</v>
      </c>
      <c r="AP12" s="314">
        <v>15</v>
      </c>
      <c r="AQ12" s="117"/>
      <c r="AR12" s="176">
        <f t="shared" si="12"/>
        <v>-6</v>
      </c>
      <c r="AS12" s="175">
        <f t="shared" si="13"/>
        <v>-16</v>
      </c>
      <c r="AT12" s="175">
        <f t="shared" si="14"/>
        <v>-29</v>
      </c>
      <c r="AU12" s="33"/>
      <c r="AV12" s="177">
        <f t="shared" si="15"/>
        <v>0</v>
      </c>
      <c r="AW12" s="177">
        <f t="shared" si="16"/>
        <v>0</v>
      </c>
      <c r="AX12" s="178">
        <f t="shared" si="17"/>
        <v>0</v>
      </c>
      <c r="AY12" s="33"/>
      <c r="AZ12" s="33"/>
      <c r="BA12" s="33"/>
      <c r="BB12" s="33"/>
    </row>
    <row r="13" spans="1:54" ht="18.600000000000001" thickBot="1" x14ac:dyDescent="0.4">
      <c r="A13" s="384" t="s">
        <v>339</v>
      </c>
      <c r="B13" s="175">
        <f t="shared" si="0"/>
        <v>49</v>
      </c>
      <c r="C13" s="178">
        <f t="shared" si="1"/>
        <v>0</v>
      </c>
      <c r="D13" s="81"/>
      <c r="E13" s="79"/>
      <c r="F13" s="910"/>
      <c r="G13" s="706" t="s">
        <v>93</v>
      </c>
      <c r="H13" s="665"/>
      <c r="I13" s="178">
        <v>3.7513299546296701</v>
      </c>
      <c r="J13" s="43">
        <v>55</v>
      </c>
      <c r="K13" s="458">
        <v>4.9628803931303498</v>
      </c>
      <c r="L13" s="43">
        <v>13</v>
      </c>
      <c r="M13" s="458">
        <v>2.74855654193503</v>
      </c>
      <c r="N13" s="43">
        <v>5</v>
      </c>
      <c r="O13" s="179">
        <v>0</v>
      </c>
      <c r="P13" s="43">
        <v>47</v>
      </c>
      <c r="Q13" s="661"/>
      <c r="R13" s="177">
        <v>0</v>
      </c>
      <c r="S13" s="43">
        <v>47</v>
      </c>
      <c r="T13" s="179">
        <v>5.1384672163841598</v>
      </c>
      <c r="U13" s="43">
        <v>23</v>
      </c>
      <c r="V13" s="117"/>
      <c r="W13" s="176">
        <f>MIN(L13-$J13,0)</f>
        <v>-42</v>
      </c>
      <c r="X13" s="180">
        <f t="shared" si="3"/>
        <v>-50</v>
      </c>
      <c r="Y13" s="702">
        <f t="shared" si="4"/>
        <v>-8</v>
      </c>
      <c r="Z13" s="176">
        <f t="shared" si="5"/>
        <v>-8</v>
      </c>
      <c r="AA13" s="175">
        <f t="shared" si="6"/>
        <v>-32</v>
      </c>
      <c r="AB13" s="668"/>
      <c r="AC13" s="177">
        <f>MAX(K13-$I13,0)</f>
        <v>1.2115504385006797</v>
      </c>
      <c r="AD13" s="189">
        <f t="shared" si="8"/>
        <v>0</v>
      </c>
      <c r="AE13" s="178">
        <f t="shared" si="9"/>
        <v>0</v>
      </c>
      <c r="AF13" s="179">
        <f t="shared" si="10"/>
        <v>0</v>
      </c>
      <c r="AG13" s="178">
        <f t="shared" si="11"/>
        <v>1.3871372617544897</v>
      </c>
      <c r="AH13" s="661"/>
      <c r="AI13" s="45">
        <v>7.5754008245066098</v>
      </c>
      <c r="AJ13" s="314">
        <v>4</v>
      </c>
      <c r="AK13" s="313">
        <v>8.2318785744136704</v>
      </c>
      <c r="AL13" s="314">
        <v>3</v>
      </c>
      <c r="AM13" s="313">
        <v>5.8591115838408996</v>
      </c>
      <c r="AN13" s="314">
        <v>4</v>
      </c>
      <c r="AO13" s="313">
        <v>3.8916473750556202</v>
      </c>
      <c r="AP13" s="314">
        <v>6</v>
      </c>
      <c r="AQ13" s="117"/>
      <c r="AR13" s="176">
        <f t="shared" si="12"/>
        <v>-1</v>
      </c>
      <c r="AS13" s="175">
        <f t="shared" si="13"/>
        <v>0</v>
      </c>
      <c r="AT13" s="175">
        <f t="shared" si="14"/>
        <v>0</v>
      </c>
      <c r="AU13" s="33"/>
      <c r="AV13" s="177">
        <f t="shared" si="15"/>
        <v>0.65647774990706065</v>
      </c>
      <c r="AW13" s="177">
        <f t="shared" si="16"/>
        <v>0</v>
      </c>
      <c r="AX13" s="178">
        <f t="shared" si="17"/>
        <v>0</v>
      </c>
      <c r="AY13" s="33"/>
      <c r="AZ13" s="33"/>
      <c r="BA13" s="33"/>
      <c r="BB13" s="33"/>
    </row>
    <row r="14" spans="1:54" ht="18.600000000000001" thickBot="1" x14ac:dyDescent="0.4">
      <c r="A14" s="1277" t="s">
        <v>134</v>
      </c>
      <c r="B14" s="175">
        <f t="shared" si="0"/>
        <v>3</v>
      </c>
      <c r="C14" s="178">
        <f t="shared" si="1"/>
        <v>3</v>
      </c>
      <c r="D14" s="81"/>
      <c r="E14" s="79">
        <v>3</v>
      </c>
      <c r="F14" s="910"/>
      <c r="G14" s="708" t="s">
        <v>307</v>
      </c>
      <c r="H14" s="665"/>
      <c r="I14" s="178">
        <v>5.6335603307852402</v>
      </c>
      <c r="J14" s="43">
        <v>57</v>
      </c>
      <c r="K14" s="458">
        <v>5.7213082342901203</v>
      </c>
      <c r="L14" s="43">
        <v>8</v>
      </c>
      <c r="M14" s="458">
        <v>2.79210997497949</v>
      </c>
      <c r="N14" s="43">
        <v>47</v>
      </c>
      <c r="O14" s="179">
        <v>2.3649664475246901</v>
      </c>
      <c r="P14" s="175">
        <v>30</v>
      </c>
      <c r="Q14" s="661"/>
      <c r="R14" s="177">
        <v>5.3934942425504602</v>
      </c>
      <c r="S14" s="43">
        <v>40</v>
      </c>
      <c r="T14" s="179">
        <v>4.3598300654370101</v>
      </c>
      <c r="U14" s="43">
        <v>7</v>
      </c>
      <c r="V14" s="117"/>
      <c r="W14" s="176">
        <f t="shared" si="2"/>
        <v>-49</v>
      </c>
      <c r="X14" s="180">
        <f t="shared" si="3"/>
        <v>-10</v>
      </c>
      <c r="Y14" s="702">
        <f t="shared" si="4"/>
        <v>-27</v>
      </c>
      <c r="Z14" s="176">
        <f t="shared" si="5"/>
        <v>-17</v>
      </c>
      <c r="AA14" s="175">
        <f t="shared" si="6"/>
        <v>-50</v>
      </c>
      <c r="AB14" s="668"/>
      <c r="AC14" s="177">
        <f t="shared" si="7"/>
        <v>8.7747903504880043E-2</v>
      </c>
      <c r="AD14" s="189">
        <f t="shared" si="8"/>
        <v>0</v>
      </c>
      <c r="AE14" s="178">
        <f t="shared" si="9"/>
        <v>0</v>
      </c>
      <c r="AF14" s="179">
        <f t="shared" si="10"/>
        <v>0</v>
      </c>
      <c r="AG14" s="178">
        <f t="shared" si="11"/>
        <v>0</v>
      </c>
      <c r="AH14" s="661"/>
      <c r="AI14" s="45">
        <v>6.9103984557911602</v>
      </c>
      <c r="AJ14" s="314">
        <v>6</v>
      </c>
      <c r="AK14" s="313">
        <v>7.6630857306711597</v>
      </c>
      <c r="AL14" s="314">
        <v>6</v>
      </c>
      <c r="AM14" s="313">
        <v>2.2317217888417402</v>
      </c>
      <c r="AN14" s="314">
        <v>18</v>
      </c>
      <c r="AO14" s="313">
        <v>3.5198368374046001</v>
      </c>
      <c r="AP14" s="314">
        <v>9</v>
      </c>
      <c r="AQ14" s="117"/>
      <c r="AR14" s="176">
        <f t="shared" si="12"/>
        <v>0</v>
      </c>
      <c r="AS14" s="175">
        <f t="shared" si="13"/>
        <v>0</v>
      </c>
      <c r="AT14" s="175">
        <f t="shared" si="14"/>
        <v>0</v>
      </c>
      <c r="AU14" s="33"/>
      <c r="AV14" s="177">
        <f t="shared" si="15"/>
        <v>0.75268727487999953</v>
      </c>
      <c r="AW14" s="177">
        <f t="shared" si="16"/>
        <v>0</v>
      </c>
      <c r="AX14" s="178">
        <f t="shared" si="17"/>
        <v>0</v>
      </c>
      <c r="AY14" s="33"/>
      <c r="AZ14" s="33"/>
      <c r="BA14" s="33"/>
      <c r="BB14" s="33"/>
    </row>
    <row r="15" spans="1:54" ht="18.600000000000001" thickBot="1" x14ac:dyDescent="0.4">
      <c r="A15" s="384" t="s">
        <v>148</v>
      </c>
      <c r="B15" s="175">
        <f t="shared" si="0"/>
        <v>3</v>
      </c>
      <c r="C15" s="178">
        <f t="shared" si="1"/>
        <v>3</v>
      </c>
      <c r="D15" s="81">
        <v>1</v>
      </c>
      <c r="E15" s="79">
        <v>2</v>
      </c>
      <c r="F15" s="910"/>
      <c r="G15" s="705" t="s">
        <v>96</v>
      </c>
      <c r="H15" s="665"/>
      <c r="I15" s="178">
        <v>5.0711883523351098</v>
      </c>
      <c r="J15" s="43">
        <v>10</v>
      </c>
      <c r="K15" s="458">
        <v>4.6726569539871603</v>
      </c>
      <c r="L15" s="43">
        <v>5</v>
      </c>
      <c r="M15" s="458">
        <v>1.3847158652689699</v>
      </c>
      <c r="N15" s="43">
        <v>40</v>
      </c>
      <c r="O15" s="179">
        <v>0</v>
      </c>
      <c r="P15" s="43">
        <v>42</v>
      </c>
      <c r="Q15" s="661"/>
      <c r="R15" s="177">
        <v>0</v>
      </c>
      <c r="S15" s="43">
        <v>34</v>
      </c>
      <c r="T15" s="179">
        <v>4.6732779463666301</v>
      </c>
      <c r="U15" s="43">
        <v>10</v>
      </c>
      <c r="V15" s="117"/>
      <c r="W15" s="176">
        <f t="shared" si="2"/>
        <v>-5</v>
      </c>
      <c r="X15" s="180">
        <f t="shared" si="3"/>
        <v>0</v>
      </c>
      <c r="Y15" s="702">
        <f t="shared" si="4"/>
        <v>0</v>
      </c>
      <c r="Z15" s="176">
        <f t="shared" si="5"/>
        <v>0</v>
      </c>
      <c r="AA15" s="175">
        <f t="shared" si="6"/>
        <v>0</v>
      </c>
      <c r="AB15" s="668"/>
      <c r="AC15" s="177">
        <f t="shared" si="7"/>
        <v>0</v>
      </c>
      <c r="AD15" s="189">
        <f t="shared" si="8"/>
        <v>0</v>
      </c>
      <c r="AE15" s="178">
        <f t="shared" si="9"/>
        <v>0</v>
      </c>
      <c r="AF15" s="179">
        <f t="shared" si="10"/>
        <v>0</v>
      </c>
      <c r="AG15" s="178">
        <f t="shared" si="11"/>
        <v>0</v>
      </c>
      <c r="AH15" s="661"/>
      <c r="AI15" s="45">
        <v>6.1895336926856803</v>
      </c>
      <c r="AJ15" s="314">
        <v>10</v>
      </c>
      <c r="AK15" s="313">
        <v>6.8725609156987</v>
      </c>
      <c r="AL15" s="314">
        <v>8</v>
      </c>
      <c r="AM15" s="313">
        <v>1.7880349861071301</v>
      </c>
      <c r="AN15" s="314">
        <v>20</v>
      </c>
      <c r="AO15" s="313">
        <v>0</v>
      </c>
      <c r="AP15" s="314">
        <v>15</v>
      </c>
      <c r="AQ15" s="117"/>
      <c r="AR15" s="176">
        <f t="shared" si="12"/>
        <v>-2</v>
      </c>
      <c r="AS15" s="175">
        <f t="shared" si="13"/>
        <v>0</v>
      </c>
      <c r="AT15" s="175">
        <f t="shared" si="14"/>
        <v>0</v>
      </c>
      <c r="AU15" s="33"/>
      <c r="AV15" s="177">
        <f t="shared" si="15"/>
        <v>0.68302722301301966</v>
      </c>
      <c r="AW15" s="177">
        <f t="shared" si="16"/>
        <v>0</v>
      </c>
      <c r="AX15" s="178">
        <f t="shared" si="17"/>
        <v>0</v>
      </c>
      <c r="AY15" s="33"/>
      <c r="AZ15" s="33"/>
      <c r="BA15" s="33"/>
      <c r="BB15" s="33"/>
    </row>
    <row r="16" spans="1:54" ht="18.600000000000001" thickBot="1" x14ac:dyDescent="0.4">
      <c r="A16" s="384" t="s">
        <v>9</v>
      </c>
      <c r="B16" s="175">
        <f t="shared" si="0"/>
        <v>49</v>
      </c>
      <c r="C16" s="178">
        <f t="shared" si="1"/>
        <v>0</v>
      </c>
      <c r="D16" s="81"/>
      <c r="E16" s="79"/>
      <c r="F16" s="910"/>
      <c r="G16" s="707"/>
      <c r="H16" s="665"/>
      <c r="I16" s="178">
        <v>6.9667094882193004</v>
      </c>
      <c r="J16" s="43">
        <v>5</v>
      </c>
      <c r="K16" s="458">
        <v>4.66362476227469</v>
      </c>
      <c r="L16" s="43">
        <v>54</v>
      </c>
      <c r="M16" s="458">
        <v>5.8594060879178604</v>
      </c>
      <c r="N16" s="43">
        <v>10</v>
      </c>
      <c r="O16" s="179">
        <v>0</v>
      </c>
      <c r="P16" s="43">
        <v>34</v>
      </c>
      <c r="Q16" s="661"/>
      <c r="R16" s="177">
        <v>0</v>
      </c>
      <c r="S16" s="43">
        <v>4</v>
      </c>
      <c r="T16" s="179">
        <v>5.0860353657661603</v>
      </c>
      <c r="U16" s="43">
        <v>31</v>
      </c>
      <c r="V16" s="117"/>
      <c r="W16" s="176">
        <f t="shared" si="2"/>
        <v>0</v>
      </c>
      <c r="X16" s="180">
        <f t="shared" si="3"/>
        <v>0</v>
      </c>
      <c r="Y16" s="702">
        <f t="shared" si="4"/>
        <v>0</v>
      </c>
      <c r="Z16" s="176">
        <f t="shared" si="5"/>
        <v>-1</v>
      </c>
      <c r="AA16" s="175">
        <f t="shared" si="6"/>
        <v>0</v>
      </c>
      <c r="AB16" s="668"/>
      <c r="AC16" s="177">
        <f t="shared" si="7"/>
        <v>0</v>
      </c>
      <c r="AD16" s="189">
        <f t="shared" si="8"/>
        <v>0</v>
      </c>
      <c r="AE16" s="178">
        <f t="shared" si="9"/>
        <v>0</v>
      </c>
      <c r="AF16" s="179">
        <f t="shared" si="10"/>
        <v>0</v>
      </c>
      <c r="AG16" s="178">
        <f t="shared" si="11"/>
        <v>0</v>
      </c>
      <c r="AH16" s="661"/>
      <c r="AI16" s="45">
        <v>5.5655533943911699</v>
      </c>
      <c r="AJ16" s="314">
        <v>11</v>
      </c>
      <c r="AK16" s="313">
        <v>5.5502470557640704</v>
      </c>
      <c r="AL16" s="314">
        <v>14</v>
      </c>
      <c r="AM16" s="313">
        <v>5.3987341568236697</v>
      </c>
      <c r="AN16" s="314">
        <v>6</v>
      </c>
      <c r="AO16" s="313">
        <v>4.3811094101388104</v>
      </c>
      <c r="AP16" s="314">
        <v>5</v>
      </c>
      <c r="AQ16" s="117"/>
      <c r="AR16" s="176">
        <f t="shared" si="12"/>
        <v>0</v>
      </c>
      <c r="AS16" s="175">
        <f t="shared" si="13"/>
        <v>-5</v>
      </c>
      <c r="AT16" s="175">
        <f t="shared" si="14"/>
        <v>-6</v>
      </c>
      <c r="AU16" s="33"/>
      <c r="AV16" s="177">
        <f t="shared" si="15"/>
        <v>0</v>
      </c>
      <c r="AW16" s="177">
        <f t="shared" si="16"/>
        <v>0</v>
      </c>
      <c r="AX16" s="178">
        <f t="shared" si="17"/>
        <v>0</v>
      </c>
      <c r="AY16" s="33"/>
      <c r="AZ16" s="33"/>
      <c r="BA16" s="33"/>
      <c r="BB16" s="33"/>
    </row>
    <row r="17" spans="1:54" ht="18.600000000000001" thickBot="1" x14ac:dyDescent="0.4">
      <c r="A17" s="384" t="s">
        <v>129</v>
      </c>
      <c r="B17" s="175">
        <f t="shared" si="0"/>
        <v>30</v>
      </c>
      <c r="C17" s="178">
        <f t="shared" si="1"/>
        <v>1</v>
      </c>
      <c r="D17" s="81"/>
      <c r="E17" s="79">
        <v>1</v>
      </c>
      <c r="F17" s="910"/>
      <c r="G17" s="707" t="s">
        <v>95</v>
      </c>
      <c r="H17" s="665"/>
      <c r="I17" s="178">
        <v>3.57952156882522</v>
      </c>
      <c r="J17" s="43">
        <v>40</v>
      </c>
      <c r="K17" s="458">
        <v>3.5070188372731801</v>
      </c>
      <c r="L17" s="43">
        <v>22</v>
      </c>
      <c r="M17" s="458">
        <v>0</v>
      </c>
      <c r="N17" s="43">
        <v>4</v>
      </c>
      <c r="O17" s="179">
        <v>0</v>
      </c>
      <c r="P17" s="43">
        <v>12</v>
      </c>
      <c r="Q17" s="661"/>
      <c r="R17" s="177">
        <v>0</v>
      </c>
      <c r="S17" s="43">
        <v>8</v>
      </c>
      <c r="T17" s="179">
        <v>3.5070188372731801</v>
      </c>
      <c r="U17" s="43">
        <v>9</v>
      </c>
      <c r="V17" s="117"/>
      <c r="W17" s="176">
        <f t="shared" si="2"/>
        <v>-18</v>
      </c>
      <c r="X17" s="180">
        <f t="shared" si="3"/>
        <v>-36</v>
      </c>
      <c r="Y17" s="702">
        <f t="shared" si="4"/>
        <v>-28</v>
      </c>
      <c r="Z17" s="176">
        <f t="shared" si="5"/>
        <v>-32</v>
      </c>
      <c r="AA17" s="175">
        <f t="shared" si="6"/>
        <v>-31</v>
      </c>
      <c r="AB17" s="668"/>
      <c r="AC17" s="177">
        <f t="shared" si="7"/>
        <v>0</v>
      </c>
      <c r="AD17" s="189">
        <f t="shared" si="8"/>
        <v>0</v>
      </c>
      <c r="AE17" s="178">
        <f t="shared" si="9"/>
        <v>0</v>
      </c>
      <c r="AF17" s="179">
        <f t="shared" si="10"/>
        <v>0</v>
      </c>
      <c r="AG17" s="178">
        <f t="shared" si="11"/>
        <v>0</v>
      </c>
      <c r="AH17" s="661"/>
      <c r="AI17" s="45">
        <v>6.76174369568953</v>
      </c>
      <c r="AJ17" s="314">
        <v>7</v>
      </c>
      <c r="AK17" s="313">
        <v>7.5085194379465898</v>
      </c>
      <c r="AL17" s="314">
        <v>7</v>
      </c>
      <c r="AM17" s="313">
        <v>0</v>
      </c>
      <c r="AN17" s="314">
        <v>28</v>
      </c>
      <c r="AO17" s="313">
        <v>0</v>
      </c>
      <c r="AP17" s="314">
        <v>15</v>
      </c>
      <c r="AQ17" s="117"/>
      <c r="AR17" s="176">
        <f t="shared" si="12"/>
        <v>0</v>
      </c>
      <c r="AS17" s="175">
        <f t="shared" si="13"/>
        <v>0</v>
      </c>
      <c r="AT17" s="175">
        <f t="shared" si="14"/>
        <v>0</v>
      </c>
      <c r="AU17" s="33"/>
      <c r="AV17" s="177">
        <f t="shared" si="15"/>
        <v>0.74677574225705978</v>
      </c>
      <c r="AW17" s="177">
        <f t="shared" si="16"/>
        <v>0</v>
      </c>
      <c r="AX17" s="178">
        <f t="shared" si="17"/>
        <v>0</v>
      </c>
      <c r="AY17" s="33"/>
      <c r="AZ17" s="33"/>
      <c r="BA17" s="33"/>
      <c r="BB17" s="33"/>
    </row>
    <row r="18" spans="1:54" ht="18.600000000000001" thickBot="1" x14ac:dyDescent="0.4">
      <c r="A18" s="1277" t="s">
        <v>18</v>
      </c>
      <c r="B18" s="175">
        <f t="shared" si="0"/>
        <v>3</v>
      </c>
      <c r="C18" s="178">
        <f t="shared" si="1"/>
        <v>3</v>
      </c>
      <c r="D18" s="81"/>
      <c r="E18" s="79">
        <v>3</v>
      </c>
      <c r="F18" s="910"/>
      <c r="G18" s="708" t="s">
        <v>307</v>
      </c>
      <c r="H18" s="665"/>
      <c r="I18" s="178">
        <v>4.77376581849982</v>
      </c>
      <c r="J18" s="43">
        <v>34</v>
      </c>
      <c r="K18" s="458">
        <v>4.5073755729715801</v>
      </c>
      <c r="L18" s="43">
        <v>23</v>
      </c>
      <c r="M18" s="458">
        <v>4.1839959362663599</v>
      </c>
      <c r="N18" s="43">
        <v>34</v>
      </c>
      <c r="O18" s="179">
        <v>3.1000417953419999</v>
      </c>
      <c r="P18" s="175">
        <v>17</v>
      </c>
      <c r="Q18" s="661"/>
      <c r="R18" s="177">
        <v>4.5858232109160504</v>
      </c>
      <c r="S18" s="43">
        <v>17</v>
      </c>
      <c r="T18" s="179">
        <v>3.8773467288793499</v>
      </c>
      <c r="U18" s="43">
        <v>14</v>
      </c>
      <c r="V18" s="117"/>
      <c r="W18" s="176">
        <f t="shared" si="2"/>
        <v>-11</v>
      </c>
      <c r="X18" s="180">
        <f t="shared" si="3"/>
        <v>0</v>
      </c>
      <c r="Y18" s="702">
        <f t="shared" si="4"/>
        <v>-17</v>
      </c>
      <c r="Z18" s="176">
        <f t="shared" si="5"/>
        <v>-17</v>
      </c>
      <c r="AA18" s="175">
        <f t="shared" si="6"/>
        <v>-20</v>
      </c>
      <c r="AB18" s="668"/>
      <c r="AC18" s="177">
        <f t="shared" si="7"/>
        <v>0</v>
      </c>
      <c r="AD18" s="189">
        <f t="shared" si="8"/>
        <v>0</v>
      </c>
      <c r="AE18" s="178">
        <f t="shared" si="9"/>
        <v>0</v>
      </c>
      <c r="AF18" s="179">
        <f t="shared" si="10"/>
        <v>0</v>
      </c>
      <c r="AG18" s="178">
        <f t="shared" si="11"/>
        <v>0</v>
      </c>
      <c r="AH18" s="661"/>
      <c r="AI18" s="45">
        <v>6.6650644551654796</v>
      </c>
      <c r="AJ18" s="314">
        <v>9</v>
      </c>
      <c r="AK18" s="313">
        <v>6.5980320216171098</v>
      </c>
      <c r="AL18" s="314">
        <v>9</v>
      </c>
      <c r="AM18" s="313">
        <v>6.55660079217619</v>
      </c>
      <c r="AN18" s="314">
        <v>3</v>
      </c>
      <c r="AO18" s="313">
        <v>5.1387470727017304</v>
      </c>
      <c r="AP18" s="314">
        <v>4</v>
      </c>
      <c r="AQ18" s="117"/>
      <c r="AR18" s="176">
        <f t="shared" si="12"/>
        <v>0</v>
      </c>
      <c r="AS18" s="175">
        <f t="shared" si="13"/>
        <v>-6</v>
      </c>
      <c r="AT18" s="175">
        <f t="shared" si="14"/>
        <v>-5</v>
      </c>
      <c r="AU18" s="33"/>
      <c r="AV18" s="177">
        <f t="shared" si="15"/>
        <v>0</v>
      </c>
      <c r="AW18" s="177">
        <f t="shared" si="16"/>
        <v>0</v>
      </c>
      <c r="AX18" s="178">
        <f t="shared" si="17"/>
        <v>0</v>
      </c>
      <c r="AY18" s="33"/>
      <c r="AZ18" s="33"/>
      <c r="BA18" s="33"/>
      <c r="BB18" s="33"/>
    </row>
    <row r="19" spans="1:54" ht="18.600000000000001" thickBot="1" x14ac:dyDescent="0.4">
      <c r="A19" s="384" t="s">
        <v>140</v>
      </c>
      <c r="B19" s="175">
        <f t="shared" si="0"/>
        <v>30</v>
      </c>
      <c r="C19" s="178">
        <f t="shared" si="1"/>
        <v>1</v>
      </c>
      <c r="D19" s="81"/>
      <c r="E19" s="79">
        <v>1</v>
      </c>
      <c r="F19" s="910"/>
      <c r="G19" s="705" t="s">
        <v>93</v>
      </c>
      <c r="H19" s="665"/>
      <c r="I19" s="178">
        <v>4.7807186184641504</v>
      </c>
      <c r="J19" s="43">
        <v>8</v>
      </c>
      <c r="K19" s="458">
        <v>6.4999713650814401</v>
      </c>
      <c r="L19" s="43">
        <v>55</v>
      </c>
      <c r="M19" s="458">
        <v>2.6840555678957898</v>
      </c>
      <c r="N19" s="43">
        <v>17</v>
      </c>
      <c r="O19" s="179">
        <v>0</v>
      </c>
      <c r="P19" s="43">
        <v>1</v>
      </c>
      <c r="Q19" s="661"/>
      <c r="R19" s="177">
        <v>4.7057464365433201</v>
      </c>
      <c r="S19" s="43">
        <v>30</v>
      </c>
      <c r="T19" s="179">
        <v>4.1888176718886303</v>
      </c>
      <c r="U19" s="43">
        <v>8</v>
      </c>
      <c r="V19" s="117"/>
      <c r="W19" s="176">
        <f t="shared" si="2"/>
        <v>0</v>
      </c>
      <c r="X19" s="180">
        <f t="shared" si="3"/>
        <v>0</v>
      </c>
      <c r="Y19" s="702">
        <f t="shared" si="4"/>
        <v>-7</v>
      </c>
      <c r="Z19" s="176">
        <f t="shared" si="5"/>
        <v>0</v>
      </c>
      <c r="AA19" s="175">
        <f t="shared" si="6"/>
        <v>0</v>
      </c>
      <c r="AB19" s="668"/>
      <c r="AC19" s="177">
        <f t="shared" si="7"/>
        <v>1.7192527466172898</v>
      </c>
      <c r="AD19" s="189">
        <f t="shared" si="8"/>
        <v>0</v>
      </c>
      <c r="AE19" s="178">
        <f t="shared" si="9"/>
        <v>0</v>
      </c>
      <c r="AF19" s="179">
        <f t="shared" si="10"/>
        <v>0</v>
      </c>
      <c r="AG19" s="178">
        <f t="shared" si="11"/>
        <v>0</v>
      </c>
      <c r="AH19" s="661"/>
      <c r="AI19" s="45">
        <v>3.6094088780762501</v>
      </c>
      <c r="AJ19" s="314">
        <v>27</v>
      </c>
      <c r="AK19" s="313">
        <v>4.0080366751861698</v>
      </c>
      <c r="AL19" s="314">
        <v>27</v>
      </c>
      <c r="AM19" s="313">
        <v>0</v>
      </c>
      <c r="AN19" s="314">
        <v>28</v>
      </c>
      <c r="AO19" s="313">
        <v>0</v>
      </c>
      <c r="AP19" s="314">
        <v>15</v>
      </c>
      <c r="AQ19" s="117"/>
      <c r="AR19" s="176">
        <f t="shared" si="12"/>
        <v>0</v>
      </c>
      <c r="AS19" s="175">
        <f t="shared" si="13"/>
        <v>0</v>
      </c>
      <c r="AT19" s="175">
        <f t="shared" si="14"/>
        <v>-12</v>
      </c>
      <c r="AU19" s="33"/>
      <c r="AV19" s="177">
        <f t="shared" si="15"/>
        <v>0.39862779710991969</v>
      </c>
      <c r="AW19" s="177">
        <f t="shared" si="16"/>
        <v>0</v>
      </c>
      <c r="AX19" s="178">
        <f t="shared" si="17"/>
        <v>0</v>
      </c>
      <c r="AY19" s="33"/>
      <c r="AZ19" s="33"/>
      <c r="BA19" s="33"/>
      <c r="BB19" s="33"/>
    </row>
    <row r="20" spans="1:54" ht="18.600000000000001" thickBot="1" x14ac:dyDescent="0.4">
      <c r="A20" s="384" t="s">
        <v>143</v>
      </c>
      <c r="B20" s="175">
        <f t="shared" si="0"/>
        <v>30</v>
      </c>
      <c r="C20" s="178">
        <f t="shared" si="1"/>
        <v>1</v>
      </c>
      <c r="D20" s="81">
        <v>1</v>
      </c>
      <c r="E20" s="79"/>
      <c r="F20" s="910"/>
      <c r="G20" s="705" t="s">
        <v>96</v>
      </c>
      <c r="H20" s="665"/>
      <c r="I20" s="178">
        <v>4.5477531180239197</v>
      </c>
      <c r="J20" s="43">
        <v>4</v>
      </c>
      <c r="K20" s="458">
        <v>3.58535725527382</v>
      </c>
      <c r="L20" s="43">
        <v>7</v>
      </c>
      <c r="M20" s="458">
        <v>4.3325981997473297</v>
      </c>
      <c r="N20" s="43">
        <v>30</v>
      </c>
      <c r="O20" s="179">
        <v>0</v>
      </c>
      <c r="P20" s="43">
        <v>36</v>
      </c>
      <c r="Q20" s="661"/>
      <c r="R20" s="177">
        <v>0</v>
      </c>
      <c r="S20" s="43">
        <v>31</v>
      </c>
      <c r="T20" s="179">
        <v>4.6417715817905396</v>
      </c>
      <c r="U20" s="43">
        <v>27</v>
      </c>
      <c r="V20" s="117"/>
      <c r="W20" s="176">
        <f t="shared" si="2"/>
        <v>0</v>
      </c>
      <c r="X20" s="180">
        <f t="shared" si="3"/>
        <v>0</v>
      </c>
      <c r="Y20" s="702">
        <f t="shared" si="4"/>
        <v>0</v>
      </c>
      <c r="Z20" s="176">
        <f t="shared" si="5"/>
        <v>0</v>
      </c>
      <c r="AA20" s="175">
        <f t="shared" si="6"/>
        <v>0</v>
      </c>
      <c r="AB20" s="668"/>
      <c r="AC20" s="177">
        <f t="shared" si="7"/>
        <v>0</v>
      </c>
      <c r="AD20" s="189">
        <f t="shared" si="8"/>
        <v>0</v>
      </c>
      <c r="AE20" s="178">
        <f t="shared" si="9"/>
        <v>0</v>
      </c>
      <c r="AF20" s="179">
        <f t="shared" si="10"/>
        <v>0</v>
      </c>
      <c r="AG20" s="178">
        <f t="shared" si="11"/>
        <v>9.4018463766619931E-2</v>
      </c>
      <c r="AH20" s="661"/>
      <c r="AI20" s="45">
        <v>4.4411624389622704</v>
      </c>
      <c r="AJ20" s="314">
        <v>18</v>
      </c>
      <c r="AK20" s="313">
        <v>4.7727087744457997</v>
      </c>
      <c r="AL20" s="314">
        <v>18</v>
      </c>
      <c r="AM20" s="313">
        <v>3.3685424689205101</v>
      </c>
      <c r="AN20" s="314">
        <v>13</v>
      </c>
      <c r="AO20" s="313">
        <v>3.4556050768783799</v>
      </c>
      <c r="AP20" s="314">
        <v>11</v>
      </c>
      <c r="AQ20" s="117"/>
      <c r="AR20" s="176">
        <f t="shared" si="12"/>
        <v>0</v>
      </c>
      <c r="AS20" s="175">
        <f t="shared" si="13"/>
        <v>-5</v>
      </c>
      <c r="AT20" s="175">
        <f t="shared" si="14"/>
        <v>-7</v>
      </c>
      <c r="AU20" s="33"/>
      <c r="AV20" s="177">
        <f t="shared" si="15"/>
        <v>0.3315463354835293</v>
      </c>
      <c r="AW20" s="177">
        <f t="shared" si="16"/>
        <v>0</v>
      </c>
      <c r="AX20" s="178">
        <f t="shared" si="17"/>
        <v>0</v>
      </c>
      <c r="AY20" s="33"/>
      <c r="AZ20" s="33"/>
      <c r="BA20" s="33"/>
      <c r="BB20" s="33"/>
    </row>
    <row r="21" spans="1:54" ht="18.600000000000001" thickBot="1" x14ac:dyDescent="0.4">
      <c r="A21" s="384" t="s">
        <v>149</v>
      </c>
      <c r="B21" s="175">
        <f t="shared" si="0"/>
        <v>3</v>
      </c>
      <c r="C21" s="178">
        <f t="shared" si="1"/>
        <v>3</v>
      </c>
      <c r="D21" s="81">
        <v>2</v>
      </c>
      <c r="E21" s="79">
        <v>1</v>
      </c>
      <c r="F21" s="910"/>
      <c r="G21" s="705" t="s">
        <v>93</v>
      </c>
      <c r="H21" s="665"/>
      <c r="I21" s="178">
        <v>4.6236443611826799</v>
      </c>
      <c r="J21" s="43">
        <v>23</v>
      </c>
      <c r="K21" s="458">
        <v>4.1921789800092304</v>
      </c>
      <c r="L21" s="43">
        <v>9</v>
      </c>
      <c r="M21" s="458">
        <v>2.9749407139988402</v>
      </c>
      <c r="N21" s="43">
        <v>27</v>
      </c>
      <c r="O21" s="179">
        <v>0</v>
      </c>
      <c r="P21" s="43">
        <v>49</v>
      </c>
      <c r="Q21" s="661"/>
      <c r="R21" s="177">
        <v>1.3847158652689699</v>
      </c>
      <c r="S21" s="43">
        <v>13</v>
      </c>
      <c r="T21" s="179">
        <v>4.2599042936385203</v>
      </c>
      <c r="U21" s="43">
        <v>6</v>
      </c>
      <c r="V21" s="117"/>
      <c r="W21" s="176">
        <f t="shared" si="2"/>
        <v>-14</v>
      </c>
      <c r="X21" s="180">
        <f t="shared" si="3"/>
        <v>0</v>
      </c>
      <c r="Y21" s="702">
        <f t="shared" si="4"/>
        <v>0</v>
      </c>
      <c r="Z21" s="176">
        <f t="shared" si="5"/>
        <v>-10</v>
      </c>
      <c r="AA21" s="175">
        <f t="shared" si="6"/>
        <v>-17</v>
      </c>
      <c r="AB21" s="668"/>
      <c r="AC21" s="177">
        <f t="shared" si="7"/>
        <v>0</v>
      </c>
      <c r="AD21" s="189">
        <f t="shared" si="8"/>
        <v>0</v>
      </c>
      <c r="AE21" s="178">
        <f t="shared" si="9"/>
        <v>0</v>
      </c>
      <c r="AF21" s="179">
        <f t="shared" si="10"/>
        <v>0</v>
      </c>
      <c r="AG21" s="178">
        <f t="shared" si="11"/>
        <v>0</v>
      </c>
      <c r="AH21" s="661"/>
      <c r="AI21" s="45">
        <v>7.3585966636466802</v>
      </c>
      <c r="AJ21" s="314">
        <v>5</v>
      </c>
      <c r="AK21" s="313">
        <v>8.1344398599733001</v>
      </c>
      <c r="AL21" s="314">
        <v>4</v>
      </c>
      <c r="AM21" s="313">
        <v>4.1991159458501404</v>
      </c>
      <c r="AN21" s="314">
        <v>9</v>
      </c>
      <c r="AO21" s="313">
        <v>3.5736586967731898</v>
      </c>
      <c r="AP21" s="314">
        <v>8</v>
      </c>
      <c r="AQ21" s="117"/>
      <c r="AR21" s="176">
        <f t="shared" si="12"/>
        <v>-1</v>
      </c>
      <c r="AS21" s="175">
        <f t="shared" si="13"/>
        <v>0</v>
      </c>
      <c r="AT21" s="175">
        <f t="shared" si="14"/>
        <v>0</v>
      </c>
      <c r="AU21" s="33"/>
      <c r="AV21" s="177">
        <f t="shared" si="15"/>
        <v>0.77584319632661991</v>
      </c>
      <c r="AW21" s="177">
        <f t="shared" si="16"/>
        <v>0</v>
      </c>
      <c r="AX21" s="178">
        <f t="shared" si="17"/>
        <v>0</v>
      </c>
      <c r="AY21" s="33"/>
      <c r="AZ21" s="33"/>
      <c r="BA21" s="33"/>
      <c r="BB21" s="33"/>
    </row>
    <row r="22" spans="1:54" ht="18.600000000000001" thickBot="1" x14ac:dyDescent="0.4">
      <c r="A22" s="383" t="s">
        <v>132</v>
      </c>
      <c r="B22" s="175">
        <f t="shared" si="0"/>
        <v>3</v>
      </c>
      <c r="C22" s="178">
        <f t="shared" si="1"/>
        <v>3</v>
      </c>
      <c r="D22" s="81"/>
      <c r="E22" s="79">
        <v>3</v>
      </c>
      <c r="F22" s="910"/>
      <c r="G22" s="707" t="s">
        <v>359</v>
      </c>
      <c r="H22" s="665"/>
      <c r="I22" s="178">
        <v>2.04524163580097</v>
      </c>
      <c r="J22" s="43">
        <v>17</v>
      </c>
      <c r="K22" s="458">
        <v>1.4931254574072901</v>
      </c>
      <c r="L22" s="43">
        <v>10</v>
      </c>
      <c r="M22" s="458">
        <v>0</v>
      </c>
      <c r="N22" s="43">
        <v>33</v>
      </c>
      <c r="O22" s="179">
        <v>0</v>
      </c>
      <c r="P22" s="43">
        <v>39</v>
      </c>
      <c r="Q22" s="661"/>
      <c r="R22" s="177">
        <v>2.04524163580097</v>
      </c>
      <c r="S22" s="43">
        <v>12</v>
      </c>
      <c r="T22" s="179">
        <v>0</v>
      </c>
      <c r="U22" s="43">
        <v>15</v>
      </c>
      <c r="V22" s="117"/>
      <c r="W22" s="176">
        <f t="shared" si="2"/>
        <v>-7</v>
      </c>
      <c r="X22" s="180">
        <f t="shared" si="3"/>
        <v>0</v>
      </c>
      <c r="Y22" s="702">
        <f t="shared" si="4"/>
        <v>0</v>
      </c>
      <c r="Z22" s="176">
        <f t="shared" si="5"/>
        <v>-5</v>
      </c>
      <c r="AA22" s="175">
        <f t="shared" si="6"/>
        <v>-2</v>
      </c>
      <c r="AB22" s="668"/>
      <c r="AC22" s="177">
        <f t="shared" si="7"/>
        <v>0</v>
      </c>
      <c r="AD22" s="189">
        <f t="shared" si="8"/>
        <v>0</v>
      </c>
      <c r="AE22" s="178">
        <f t="shared" si="9"/>
        <v>0</v>
      </c>
      <c r="AF22" s="179">
        <f t="shared" si="10"/>
        <v>0</v>
      </c>
      <c r="AG22" s="178">
        <f t="shared" si="11"/>
        <v>0</v>
      </c>
      <c r="AH22" s="661"/>
      <c r="AI22" s="45">
        <v>1.87637053109506</v>
      </c>
      <c r="AJ22" s="314">
        <v>39</v>
      </c>
      <c r="AK22" s="313">
        <v>2.08359932579206</v>
      </c>
      <c r="AL22" s="314">
        <v>36</v>
      </c>
      <c r="AM22" s="313">
        <v>0</v>
      </c>
      <c r="AN22" s="314">
        <v>28</v>
      </c>
      <c r="AO22" s="313">
        <v>0</v>
      </c>
      <c r="AP22" s="314">
        <v>15</v>
      </c>
      <c r="AQ22" s="117"/>
      <c r="AR22" s="176">
        <f t="shared" si="12"/>
        <v>-3</v>
      </c>
      <c r="AS22" s="175">
        <f t="shared" si="13"/>
        <v>-11</v>
      </c>
      <c r="AT22" s="175">
        <f t="shared" si="14"/>
        <v>-24</v>
      </c>
      <c r="AU22" s="33"/>
      <c r="AV22" s="177">
        <f t="shared" si="15"/>
        <v>0.20722879469699995</v>
      </c>
      <c r="AW22" s="177">
        <f t="shared" si="16"/>
        <v>0</v>
      </c>
      <c r="AX22" s="178">
        <f t="shared" si="17"/>
        <v>0</v>
      </c>
      <c r="AY22" s="33"/>
      <c r="AZ22" s="33"/>
      <c r="BA22" s="33"/>
      <c r="BB22" s="33"/>
    </row>
    <row r="23" spans="1:54" ht="18.600000000000001" thickBot="1" x14ac:dyDescent="0.4">
      <c r="A23" s="383" t="s">
        <v>16</v>
      </c>
      <c r="B23" s="175">
        <f t="shared" si="0"/>
        <v>3</v>
      </c>
      <c r="C23" s="178">
        <f t="shared" si="1"/>
        <v>3</v>
      </c>
      <c r="D23" s="81"/>
      <c r="E23" s="79">
        <v>3</v>
      </c>
      <c r="F23" s="910"/>
      <c r="G23" s="708" t="s">
        <v>307</v>
      </c>
      <c r="H23" s="665"/>
      <c r="I23" s="178">
        <v>5.25553737384132</v>
      </c>
      <c r="J23" s="43">
        <v>30</v>
      </c>
      <c r="K23" s="458">
        <v>3.4596761382522701</v>
      </c>
      <c r="L23" s="43">
        <v>19</v>
      </c>
      <c r="M23" s="458">
        <v>5.0880270338448597</v>
      </c>
      <c r="N23" s="43">
        <v>14</v>
      </c>
      <c r="O23" s="179">
        <v>3.0645592129555701</v>
      </c>
      <c r="P23" s="175">
        <v>31</v>
      </c>
      <c r="Q23" s="661"/>
      <c r="R23" s="177">
        <v>5.2034609277622197</v>
      </c>
      <c r="S23" s="43">
        <v>35</v>
      </c>
      <c r="T23" s="179">
        <v>3.04300044640385</v>
      </c>
      <c r="U23" s="43">
        <v>13</v>
      </c>
      <c r="V23" s="117"/>
      <c r="W23" s="176">
        <f t="shared" si="2"/>
        <v>-11</v>
      </c>
      <c r="X23" s="180">
        <f t="shared" si="3"/>
        <v>-16</v>
      </c>
      <c r="Y23" s="702">
        <f t="shared" si="4"/>
        <v>0</v>
      </c>
      <c r="Z23" s="176">
        <f t="shared" si="5"/>
        <v>0</v>
      </c>
      <c r="AA23" s="175">
        <f t="shared" si="6"/>
        <v>-17</v>
      </c>
      <c r="AB23" s="668"/>
      <c r="AC23" s="177">
        <f t="shared" si="7"/>
        <v>0</v>
      </c>
      <c r="AD23" s="189">
        <f t="shared" si="8"/>
        <v>0</v>
      </c>
      <c r="AE23" s="178">
        <f t="shared" si="9"/>
        <v>0</v>
      </c>
      <c r="AF23" s="179">
        <f t="shared" si="10"/>
        <v>0</v>
      </c>
      <c r="AG23" s="178">
        <f t="shared" si="11"/>
        <v>0</v>
      </c>
      <c r="AH23" s="661"/>
      <c r="AI23" s="45">
        <v>0</v>
      </c>
      <c r="AJ23" s="314">
        <v>44</v>
      </c>
      <c r="AK23" s="313">
        <v>0</v>
      </c>
      <c r="AL23" s="314">
        <v>38</v>
      </c>
      <c r="AM23" s="313">
        <v>0</v>
      </c>
      <c r="AN23" s="314">
        <v>28</v>
      </c>
      <c r="AO23" s="313">
        <v>0</v>
      </c>
      <c r="AP23" s="314">
        <v>15</v>
      </c>
      <c r="AQ23" s="117"/>
      <c r="AR23" s="176">
        <f t="shared" si="12"/>
        <v>-6</v>
      </c>
      <c r="AS23" s="175">
        <f t="shared" si="13"/>
        <v>-16</v>
      </c>
      <c r="AT23" s="175">
        <f t="shared" si="14"/>
        <v>-29</v>
      </c>
      <c r="AU23" s="33"/>
      <c r="AV23" s="177">
        <f t="shared" si="15"/>
        <v>0</v>
      </c>
      <c r="AW23" s="177">
        <f t="shared" si="16"/>
        <v>0</v>
      </c>
      <c r="AX23" s="178">
        <f t="shared" si="17"/>
        <v>0</v>
      </c>
      <c r="AY23" s="33"/>
      <c r="AZ23" s="33"/>
      <c r="BA23" s="33"/>
      <c r="BB23" s="33"/>
    </row>
    <row r="24" spans="1:54" ht="18.600000000000001" thickBot="1" x14ac:dyDescent="0.4">
      <c r="A24" s="384" t="s">
        <v>6</v>
      </c>
      <c r="B24" s="175">
        <f t="shared" si="0"/>
        <v>30</v>
      </c>
      <c r="C24" s="178">
        <f t="shared" si="1"/>
        <v>1</v>
      </c>
      <c r="D24" s="81"/>
      <c r="E24" s="79">
        <v>1</v>
      </c>
      <c r="F24" s="910"/>
      <c r="G24" s="705" t="s">
        <v>93</v>
      </c>
      <c r="H24" s="665"/>
      <c r="I24" s="178">
        <v>8.19741709729972</v>
      </c>
      <c r="J24" s="43">
        <v>31</v>
      </c>
      <c r="K24" s="458">
        <v>7.0915836816124198</v>
      </c>
      <c r="L24" s="43">
        <v>35</v>
      </c>
      <c r="M24" s="458">
        <v>7.63543899254186</v>
      </c>
      <c r="N24" s="43">
        <v>12</v>
      </c>
      <c r="O24" s="179">
        <v>5.0293150037123704</v>
      </c>
      <c r="P24" s="175">
        <v>8</v>
      </c>
      <c r="Q24" s="661"/>
      <c r="R24" s="177">
        <v>8.1963129986896099</v>
      </c>
      <c r="S24" s="43">
        <v>33</v>
      </c>
      <c r="T24" s="179">
        <v>2.4348470125270398</v>
      </c>
      <c r="U24" s="43">
        <v>38</v>
      </c>
      <c r="V24" s="117"/>
      <c r="W24" s="176">
        <f t="shared" si="2"/>
        <v>0</v>
      </c>
      <c r="X24" s="180">
        <f t="shared" si="3"/>
        <v>-19</v>
      </c>
      <c r="Y24" s="702">
        <f t="shared" si="4"/>
        <v>-23</v>
      </c>
      <c r="Z24" s="176">
        <f t="shared" si="5"/>
        <v>0</v>
      </c>
      <c r="AA24" s="175">
        <f t="shared" si="6"/>
        <v>0</v>
      </c>
      <c r="AB24" s="668"/>
      <c r="AC24" s="177">
        <f t="shared" si="7"/>
        <v>0</v>
      </c>
      <c r="AD24" s="189">
        <f t="shared" si="8"/>
        <v>0</v>
      </c>
      <c r="AE24" s="178">
        <f t="shared" si="9"/>
        <v>0</v>
      </c>
      <c r="AF24" s="179">
        <f t="shared" si="10"/>
        <v>0</v>
      </c>
      <c r="AG24" s="178">
        <f t="shared" si="11"/>
        <v>0</v>
      </c>
      <c r="AH24" s="661"/>
      <c r="AI24" s="45">
        <v>1.3637010661504601</v>
      </c>
      <c r="AJ24" s="314">
        <v>42</v>
      </c>
      <c r="AK24" s="313">
        <v>0</v>
      </c>
      <c r="AL24" s="314">
        <v>38</v>
      </c>
      <c r="AM24" s="313">
        <v>1.57910588694183</v>
      </c>
      <c r="AN24" s="314">
        <v>23</v>
      </c>
      <c r="AO24" s="313">
        <v>0</v>
      </c>
      <c r="AP24" s="314">
        <v>15</v>
      </c>
      <c r="AQ24" s="117"/>
      <c r="AR24" s="176">
        <f t="shared" si="12"/>
        <v>-4</v>
      </c>
      <c r="AS24" s="175">
        <f t="shared" si="13"/>
        <v>-19</v>
      </c>
      <c r="AT24" s="175">
        <f t="shared" si="14"/>
        <v>-27</v>
      </c>
      <c r="AU24" s="33"/>
      <c r="AV24" s="177">
        <f t="shared" si="15"/>
        <v>0</v>
      </c>
      <c r="AW24" s="177">
        <f t="shared" si="16"/>
        <v>0.21540482079136991</v>
      </c>
      <c r="AX24" s="178">
        <f t="shared" si="17"/>
        <v>0</v>
      </c>
      <c r="AY24" s="33"/>
      <c r="AZ24" s="33"/>
      <c r="BA24" s="33"/>
      <c r="BB24" s="33"/>
    </row>
    <row r="25" spans="1:54" ht="18.600000000000001" thickBot="1" x14ac:dyDescent="0.4">
      <c r="A25" s="384" t="s">
        <v>20</v>
      </c>
      <c r="B25" s="175">
        <f t="shared" si="0"/>
        <v>17</v>
      </c>
      <c r="C25" s="178">
        <f t="shared" si="1"/>
        <v>2</v>
      </c>
      <c r="D25" s="81"/>
      <c r="E25" s="79">
        <v>2</v>
      </c>
      <c r="F25" s="910"/>
      <c r="G25" s="707" t="s">
        <v>94</v>
      </c>
      <c r="H25" s="665"/>
      <c r="I25" s="178">
        <v>3.9367506537991699</v>
      </c>
      <c r="J25" s="43">
        <v>9</v>
      </c>
      <c r="K25" s="458">
        <v>4.6597598755640801</v>
      </c>
      <c r="L25" s="43">
        <v>12</v>
      </c>
      <c r="M25" s="458">
        <v>3.5346704112317702</v>
      </c>
      <c r="N25" s="43">
        <v>31</v>
      </c>
      <c r="O25" s="179">
        <v>2.1539399820763498</v>
      </c>
      <c r="P25" s="175">
        <v>40</v>
      </c>
      <c r="Q25" s="661"/>
      <c r="R25" s="177">
        <v>3.9192649962602299</v>
      </c>
      <c r="S25" s="43">
        <v>1</v>
      </c>
      <c r="T25" s="179">
        <v>2.7644223547929601</v>
      </c>
      <c r="U25" s="43">
        <v>35</v>
      </c>
      <c r="V25" s="117"/>
      <c r="W25" s="176">
        <f t="shared" si="2"/>
        <v>0</v>
      </c>
      <c r="X25" s="180">
        <f t="shared" si="3"/>
        <v>0</v>
      </c>
      <c r="Y25" s="702">
        <f t="shared" si="4"/>
        <v>0</v>
      </c>
      <c r="Z25" s="176">
        <f t="shared" si="5"/>
        <v>-8</v>
      </c>
      <c r="AA25" s="175">
        <f t="shared" si="6"/>
        <v>0</v>
      </c>
      <c r="AB25" s="668"/>
      <c r="AC25" s="177">
        <f t="shared" si="7"/>
        <v>0.72300922176491023</v>
      </c>
      <c r="AD25" s="189">
        <f t="shared" si="8"/>
        <v>0</v>
      </c>
      <c r="AE25" s="178">
        <f t="shared" si="9"/>
        <v>0</v>
      </c>
      <c r="AF25" s="179">
        <f t="shared" si="10"/>
        <v>0</v>
      </c>
      <c r="AG25" s="178">
        <f t="shared" si="11"/>
        <v>0</v>
      </c>
      <c r="AH25" s="661"/>
      <c r="AI25" s="45">
        <v>0.83351239774091901</v>
      </c>
      <c r="AJ25" s="314">
        <v>43</v>
      </c>
      <c r="AK25" s="313">
        <v>0</v>
      </c>
      <c r="AL25" s="314">
        <v>38</v>
      </c>
      <c r="AM25" s="313">
        <v>0.96517071576922098</v>
      </c>
      <c r="AN25" s="314">
        <v>27</v>
      </c>
      <c r="AO25" s="313">
        <v>0</v>
      </c>
      <c r="AP25" s="314">
        <v>15</v>
      </c>
      <c r="AQ25" s="117"/>
      <c r="AR25" s="176">
        <f t="shared" si="12"/>
        <v>-5</v>
      </c>
      <c r="AS25" s="175">
        <f t="shared" si="13"/>
        <v>-16</v>
      </c>
      <c r="AT25" s="175">
        <f t="shared" si="14"/>
        <v>-28</v>
      </c>
      <c r="AU25" s="33"/>
      <c r="AV25" s="177">
        <f t="shared" si="15"/>
        <v>0</v>
      </c>
      <c r="AW25" s="177">
        <f t="shared" si="16"/>
        <v>0.13165831802830197</v>
      </c>
      <c r="AX25" s="178">
        <f t="shared" si="17"/>
        <v>0</v>
      </c>
      <c r="AY25" s="33"/>
      <c r="AZ25" s="33"/>
      <c r="BA25" s="33"/>
      <c r="BB25" s="33"/>
    </row>
    <row r="26" spans="1:54" ht="18.600000000000001" thickBot="1" x14ac:dyDescent="0.4">
      <c r="A26" s="384" t="s">
        <v>150</v>
      </c>
      <c r="B26" s="175">
        <f t="shared" si="0"/>
        <v>49</v>
      </c>
      <c r="C26" s="178">
        <f t="shared" si="1"/>
        <v>0</v>
      </c>
      <c r="D26" s="81"/>
      <c r="E26" s="79"/>
      <c r="F26" s="910"/>
      <c r="G26" s="707"/>
      <c r="H26" s="665"/>
      <c r="I26" s="178">
        <v>2.0775650960543399</v>
      </c>
      <c r="J26" s="43">
        <v>54</v>
      </c>
      <c r="K26" s="458">
        <v>2.1205158617702899</v>
      </c>
      <c r="L26" s="43">
        <v>6</v>
      </c>
      <c r="M26" s="458">
        <v>0</v>
      </c>
      <c r="N26" s="43">
        <v>1</v>
      </c>
      <c r="O26" s="179">
        <v>0</v>
      </c>
      <c r="P26" s="43">
        <v>19</v>
      </c>
      <c r="Q26" s="661"/>
      <c r="R26" s="177">
        <v>0</v>
      </c>
      <c r="S26" s="43">
        <v>19</v>
      </c>
      <c r="T26" s="179">
        <v>2.1205158617702899</v>
      </c>
      <c r="U26" s="43">
        <v>53</v>
      </c>
      <c r="V26" s="117"/>
      <c r="W26" s="176">
        <f t="shared" si="2"/>
        <v>-48</v>
      </c>
      <c r="X26" s="180">
        <f t="shared" si="3"/>
        <v>-53</v>
      </c>
      <c r="Y26" s="702">
        <f t="shared" si="4"/>
        <v>-35</v>
      </c>
      <c r="Z26" s="176">
        <f t="shared" si="5"/>
        <v>-35</v>
      </c>
      <c r="AA26" s="175">
        <f t="shared" si="6"/>
        <v>-1</v>
      </c>
      <c r="AB26" s="668"/>
      <c r="AC26" s="177">
        <f t="shared" si="7"/>
        <v>4.2950765715950023E-2</v>
      </c>
      <c r="AD26" s="189">
        <f t="shared" si="8"/>
        <v>0</v>
      </c>
      <c r="AE26" s="178">
        <f t="shared" si="9"/>
        <v>0</v>
      </c>
      <c r="AF26" s="179">
        <f t="shared" si="10"/>
        <v>0</v>
      </c>
      <c r="AG26" s="178">
        <f t="shared" si="11"/>
        <v>4.2950765715950023E-2</v>
      </c>
      <c r="AH26" s="661"/>
      <c r="AI26" s="45">
        <v>4.2782868806890599</v>
      </c>
      <c r="AJ26" s="314">
        <v>21</v>
      </c>
      <c r="AK26" s="313">
        <v>4.75078643179625</v>
      </c>
      <c r="AL26" s="314">
        <v>19</v>
      </c>
      <c r="AM26" s="313">
        <v>0</v>
      </c>
      <c r="AN26" s="314">
        <v>28</v>
      </c>
      <c r="AO26" s="313">
        <v>0</v>
      </c>
      <c r="AP26" s="314">
        <v>15</v>
      </c>
      <c r="AQ26" s="117"/>
      <c r="AR26" s="176">
        <f t="shared" si="12"/>
        <v>-2</v>
      </c>
      <c r="AS26" s="175">
        <f t="shared" si="13"/>
        <v>0</v>
      </c>
      <c r="AT26" s="175">
        <f t="shared" si="14"/>
        <v>-6</v>
      </c>
      <c r="AU26" s="33"/>
      <c r="AV26" s="177">
        <f t="shared" si="15"/>
        <v>0.47249955110719011</v>
      </c>
      <c r="AW26" s="177">
        <f t="shared" si="16"/>
        <v>0</v>
      </c>
      <c r="AX26" s="178">
        <f t="shared" si="17"/>
        <v>0</v>
      </c>
      <c r="AY26" s="33"/>
      <c r="AZ26" s="33"/>
      <c r="BA26" s="33"/>
      <c r="BB26" s="33"/>
    </row>
    <row r="27" spans="1:54" ht="18.600000000000001" thickBot="1" x14ac:dyDescent="0.4">
      <c r="A27" s="99" t="s">
        <v>33</v>
      </c>
      <c r="B27" s="175">
        <f t="shared" si="0"/>
        <v>17</v>
      </c>
      <c r="C27" s="178">
        <f t="shared" si="1"/>
        <v>2</v>
      </c>
      <c r="D27" s="81">
        <v>1</v>
      </c>
      <c r="E27" s="79">
        <v>1</v>
      </c>
      <c r="F27" s="910"/>
      <c r="G27" s="705" t="s">
        <v>93</v>
      </c>
      <c r="H27" s="665"/>
      <c r="I27" s="178">
        <v>2.6776406798832499</v>
      </c>
      <c r="J27" s="43">
        <v>35</v>
      </c>
      <c r="K27" s="458">
        <v>0</v>
      </c>
      <c r="L27" s="43">
        <v>15</v>
      </c>
      <c r="M27" s="458">
        <v>2.6776406798832499</v>
      </c>
      <c r="N27" s="43">
        <v>35</v>
      </c>
      <c r="O27" s="179">
        <v>0</v>
      </c>
      <c r="P27" s="43">
        <v>33</v>
      </c>
      <c r="Q27" s="661"/>
      <c r="R27" s="177">
        <v>2.6776406798832499</v>
      </c>
      <c r="S27" s="43">
        <v>3</v>
      </c>
      <c r="T27" s="179">
        <v>0</v>
      </c>
      <c r="U27" s="43">
        <v>12</v>
      </c>
      <c r="V27" s="117"/>
      <c r="W27" s="176">
        <f t="shared" si="2"/>
        <v>-20</v>
      </c>
      <c r="X27" s="180">
        <f t="shared" si="3"/>
        <v>0</v>
      </c>
      <c r="Y27" s="702">
        <f t="shared" si="4"/>
        <v>-2</v>
      </c>
      <c r="Z27" s="176">
        <f t="shared" si="5"/>
        <v>-32</v>
      </c>
      <c r="AA27" s="175">
        <f t="shared" si="6"/>
        <v>-23</v>
      </c>
      <c r="AB27" s="668"/>
      <c r="AC27" s="177">
        <f t="shared" si="7"/>
        <v>0</v>
      </c>
      <c r="AD27" s="189">
        <f t="shared" si="8"/>
        <v>0</v>
      </c>
      <c r="AE27" s="178">
        <f t="shared" si="9"/>
        <v>0</v>
      </c>
      <c r="AF27" s="179">
        <f t="shared" si="10"/>
        <v>0</v>
      </c>
      <c r="AG27" s="178">
        <f t="shared" si="11"/>
        <v>0</v>
      </c>
      <c r="AH27" s="661"/>
      <c r="AI27" s="45">
        <v>0</v>
      </c>
      <c r="AJ27" s="314">
        <v>44</v>
      </c>
      <c r="AK27" s="313">
        <v>0</v>
      </c>
      <c r="AL27" s="314">
        <v>38</v>
      </c>
      <c r="AM27" s="313">
        <v>0</v>
      </c>
      <c r="AN27" s="314">
        <v>28</v>
      </c>
      <c r="AO27" s="313">
        <v>0</v>
      </c>
      <c r="AP27" s="314">
        <v>15</v>
      </c>
      <c r="AQ27" s="117"/>
      <c r="AR27" s="176">
        <f t="shared" si="12"/>
        <v>-6</v>
      </c>
      <c r="AS27" s="175">
        <f t="shared" si="13"/>
        <v>-16</v>
      </c>
      <c r="AT27" s="175">
        <f t="shared" si="14"/>
        <v>-29</v>
      </c>
      <c r="AU27" s="33"/>
      <c r="AV27" s="177">
        <f t="shared" si="15"/>
        <v>0</v>
      </c>
      <c r="AW27" s="177">
        <f t="shared" si="16"/>
        <v>0</v>
      </c>
      <c r="AX27" s="178">
        <f t="shared" si="17"/>
        <v>0</v>
      </c>
      <c r="AY27" s="33"/>
      <c r="AZ27" s="33"/>
      <c r="BA27" s="33"/>
      <c r="BB27" s="33"/>
    </row>
    <row r="28" spans="1:54" ht="18.600000000000001" thickBot="1" x14ac:dyDescent="0.4">
      <c r="A28" s="384" t="s">
        <v>476</v>
      </c>
      <c r="B28" s="175">
        <f t="shared" si="0"/>
        <v>3</v>
      </c>
      <c r="C28" s="178">
        <f t="shared" si="1"/>
        <v>3</v>
      </c>
      <c r="D28" s="81">
        <v>2</v>
      </c>
      <c r="E28" s="79">
        <v>1</v>
      </c>
      <c r="F28" s="910"/>
      <c r="G28" s="705" t="s">
        <v>93</v>
      </c>
      <c r="H28" s="665"/>
      <c r="I28" s="178">
        <v>7.3507575828689804</v>
      </c>
      <c r="J28" s="43">
        <v>13</v>
      </c>
      <c r="K28" s="458">
        <v>5.3656174778263699</v>
      </c>
      <c r="L28" s="43">
        <v>30</v>
      </c>
      <c r="M28" s="458">
        <v>2.04524163580097</v>
      </c>
      <c r="N28" s="43">
        <v>19</v>
      </c>
      <c r="O28" s="179">
        <v>0</v>
      </c>
      <c r="P28" s="43">
        <v>46</v>
      </c>
      <c r="Q28" s="661"/>
      <c r="R28" s="177">
        <v>0</v>
      </c>
      <c r="S28" s="43">
        <v>44</v>
      </c>
      <c r="T28" s="179">
        <v>5.3664090766042998</v>
      </c>
      <c r="U28" s="43">
        <v>42</v>
      </c>
      <c r="V28" s="117"/>
      <c r="W28" s="176">
        <f t="shared" si="2"/>
        <v>0</v>
      </c>
      <c r="X28" s="180">
        <f t="shared" si="3"/>
        <v>0</v>
      </c>
      <c r="Y28" s="702">
        <f t="shared" si="4"/>
        <v>0</v>
      </c>
      <c r="Z28" s="176">
        <f t="shared" si="5"/>
        <v>0</v>
      </c>
      <c r="AA28" s="175">
        <f t="shared" si="6"/>
        <v>0</v>
      </c>
      <c r="AB28" s="668"/>
      <c r="AC28" s="177">
        <f t="shared" si="7"/>
        <v>0</v>
      </c>
      <c r="AD28" s="189">
        <f t="shared" si="8"/>
        <v>0</v>
      </c>
      <c r="AE28" s="178">
        <f t="shared" si="9"/>
        <v>0</v>
      </c>
      <c r="AF28" s="179">
        <f t="shared" si="10"/>
        <v>0</v>
      </c>
      <c r="AG28" s="178">
        <f t="shared" si="11"/>
        <v>0</v>
      </c>
      <c r="AH28" s="661"/>
      <c r="AI28" s="45">
        <v>5.5407256284111099</v>
      </c>
      <c r="AJ28" s="314">
        <v>12</v>
      </c>
      <c r="AK28" s="313">
        <v>6.1526505519241201</v>
      </c>
      <c r="AL28" s="314">
        <v>11</v>
      </c>
      <c r="AM28" s="313">
        <v>0</v>
      </c>
      <c r="AN28" s="314">
        <v>28</v>
      </c>
      <c r="AO28" s="313">
        <v>0</v>
      </c>
      <c r="AP28" s="314">
        <v>15</v>
      </c>
      <c r="AQ28" s="117"/>
      <c r="AR28" s="176">
        <f t="shared" si="12"/>
        <v>-1</v>
      </c>
      <c r="AS28" s="175">
        <f t="shared" si="13"/>
        <v>0</v>
      </c>
      <c r="AT28" s="175">
        <f t="shared" si="14"/>
        <v>0</v>
      </c>
      <c r="AU28" s="33"/>
      <c r="AV28" s="177">
        <f t="shared" si="15"/>
        <v>0.6119249235130102</v>
      </c>
      <c r="AW28" s="177">
        <f t="shared" si="16"/>
        <v>0</v>
      </c>
      <c r="AX28" s="178">
        <f t="shared" si="17"/>
        <v>0</v>
      </c>
      <c r="AY28" s="33"/>
      <c r="AZ28" s="33"/>
      <c r="BA28" s="33"/>
      <c r="BB28" s="33"/>
    </row>
    <row r="29" spans="1:54" ht="18.600000000000001" thickBot="1" x14ac:dyDescent="0.4">
      <c r="A29" s="384" t="s">
        <v>151</v>
      </c>
      <c r="B29" s="175">
        <f t="shared" si="0"/>
        <v>30</v>
      </c>
      <c r="C29" s="178">
        <f t="shared" si="1"/>
        <v>1</v>
      </c>
      <c r="D29" s="81"/>
      <c r="E29" s="79">
        <v>1</v>
      </c>
      <c r="F29" s="910"/>
      <c r="G29" s="705" t="s">
        <v>93</v>
      </c>
      <c r="H29" s="665"/>
      <c r="I29" s="178">
        <v>5.4292948784570498</v>
      </c>
      <c r="J29" s="43">
        <v>12</v>
      </c>
      <c r="K29" s="458">
        <v>5.3158790810260497</v>
      </c>
      <c r="L29" s="43">
        <v>53</v>
      </c>
      <c r="M29" s="458">
        <v>1.9712653981894801</v>
      </c>
      <c r="N29" s="43">
        <v>42</v>
      </c>
      <c r="O29" s="179">
        <v>0</v>
      </c>
      <c r="P29" s="43">
        <v>2</v>
      </c>
      <c r="Q29" s="661"/>
      <c r="R29" s="177">
        <v>0</v>
      </c>
      <c r="S29" s="43">
        <v>2</v>
      </c>
      <c r="T29" s="179">
        <v>5.3193252354416503</v>
      </c>
      <c r="U29" s="43">
        <v>37</v>
      </c>
      <c r="V29" s="117"/>
      <c r="W29" s="176">
        <f t="shared" si="2"/>
        <v>0</v>
      </c>
      <c r="X29" s="180">
        <f t="shared" si="3"/>
        <v>0</v>
      </c>
      <c r="Y29" s="702">
        <f t="shared" si="4"/>
        <v>-10</v>
      </c>
      <c r="Z29" s="176">
        <f t="shared" si="5"/>
        <v>-10</v>
      </c>
      <c r="AA29" s="175">
        <f t="shared" si="6"/>
        <v>0</v>
      </c>
      <c r="AB29" s="668"/>
      <c r="AC29" s="177">
        <f t="shared" si="7"/>
        <v>0</v>
      </c>
      <c r="AD29" s="189">
        <f t="shared" si="8"/>
        <v>0</v>
      </c>
      <c r="AE29" s="178">
        <f t="shared" si="9"/>
        <v>0</v>
      </c>
      <c r="AF29" s="179">
        <f t="shared" si="10"/>
        <v>0</v>
      </c>
      <c r="AG29" s="178">
        <f t="shared" si="11"/>
        <v>0</v>
      </c>
      <c r="AH29" s="661"/>
      <c r="AI29" s="45">
        <v>3.2990870779938399</v>
      </c>
      <c r="AJ29" s="314">
        <v>29</v>
      </c>
      <c r="AK29" s="313">
        <v>3.6634425330830398</v>
      </c>
      <c r="AL29" s="314">
        <v>28</v>
      </c>
      <c r="AM29" s="313">
        <v>0</v>
      </c>
      <c r="AN29" s="314">
        <v>28</v>
      </c>
      <c r="AO29" s="313">
        <v>0</v>
      </c>
      <c r="AP29" s="314">
        <v>15</v>
      </c>
      <c r="AQ29" s="117"/>
      <c r="AR29" s="176">
        <f t="shared" si="12"/>
        <v>-1</v>
      </c>
      <c r="AS29" s="175">
        <f t="shared" si="13"/>
        <v>-1</v>
      </c>
      <c r="AT29" s="175">
        <f t="shared" si="14"/>
        <v>-14</v>
      </c>
      <c r="AU29" s="33"/>
      <c r="AV29" s="177">
        <f t="shared" si="15"/>
        <v>0.36435545508919986</v>
      </c>
      <c r="AW29" s="177">
        <f t="shared" si="16"/>
        <v>0</v>
      </c>
      <c r="AX29" s="178">
        <f t="shared" si="17"/>
        <v>0</v>
      </c>
      <c r="AY29" s="33"/>
      <c r="AZ29" s="33"/>
      <c r="BA29" s="33"/>
      <c r="BB29" s="33"/>
    </row>
    <row r="30" spans="1:54" ht="18.600000000000001" thickBot="1" x14ac:dyDescent="0.4">
      <c r="A30" s="384" t="s">
        <v>144</v>
      </c>
      <c r="B30" s="175">
        <f t="shared" si="0"/>
        <v>49</v>
      </c>
      <c r="C30" s="178">
        <f t="shared" si="1"/>
        <v>0</v>
      </c>
      <c r="D30" s="81"/>
      <c r="E30" s="79"/>
      <c r="F30" s="910"/>
      <c r="G30" s="707"/>
      <c r="H30" s="665"/>
      <c r="I30" s="178">
        <v>2.7485208851496199</v>
      </c>
      <c r="J30" s="43">
        <v>27</v>
      </c>
      <c r="K30" s="458">
        <v>2.9749407139988402</v>
      </c>
      <c r="L30" s="43">
        <v>38</v>
      </c>
      <c r="M30" s="458">
        <v>1.2760642408728</v>
      </c>
      <c r="N30" s="43">
        <v>38</v>
      </c>
      <c r="O30" s="179">
        <v>0</v>
      </c>
      <c r="P30" s="43">
        <v>25</v>
      </c>
      <c r="Q30" s="661"/>
      <c r="R30" s="177">
        <v>1.55508583136496</v>
      </c>
      <c r="S30" s="43">
        <v>46</v>
      </c>
      <c r="T30" s="179">
        <v>2.95157710290666</v>
      </c>
      <c r="U30" s="43">
        <v>57</v>
      </c>
      <c r="V30" s="117"/>
      <c r="W30" s="176">
        <f t="shared" si="2"/>
        <v>0</v>
      </c>
      <c r="X30" s="180">
        <f t="shared" si="3"/>
        <v>0</v>
      </c>
      <c r="Y30" s="702">
        <f t="shared" si="4"/>
        <v>-2</v>
      </c>
      <c r="Z30" s="176">
        <f t="shared" si="5"/>
        <v>0</v>
      </c>
      <c r="AA30" s="175">
        <f t="shared" si="6"/>
        <v>0</v>
      </c>
      <c r="AB30" s="668"/>
      <c r="AC30" s="177">
        <f t="shared" si="7"/>
        <v>0.22641982884922029</v>
      </c>
      <c r="AD30" s="189">
        <f t="shared" si="8"/>
        <v>0</v>
      </c>
      <c r="AE30" s="178">
        <f t="shared" si="9"/>
        <v>0</v>
      </c>
      <c r="AF30" s="179">
        <f t="shared" si="10"/>
        <v>0</v>
      </c>
      <c r="AG30" s="178">
        <f t="shared" si="11"/>
        <v>0.20305621775704008</v>
      </c>
      <c r="AH30" s="661"/>
      <c r="AI30" s="45">
        <v>4.4892936782077797</v>
      </c>
      <c r="AJ30" s="314">
        <v>17</v>
      </c>
      <c r="AK30" s="313">
        <v>4.9850970936626799</v>
      </c>
      <c r="AL30" s="314">
        <v>17</v>
      </c>
      <c r="AM30" s="313">
        <v>0</v>
      </c>
      <c r="AN30" s="314">
        <v>28</v>
      </c>
      <c r="AO30" s="313">
        <v>0</v>
      </c>
      <c r="AP30" s="314">
        <v>15</v>
      </c>
      <c r="AQ30" s="117"/>
      <c r="AR30" s="176">
        <f t="shared" si="12"/>
        <v>0</v>
      </c>
      <c r="AS30" s="175">
        <f t="shared" si="13"/>
        <v>0</v>
      </c>
      <c r="AT30" s="175">
        <f t="shared" si="14"/>
        <v>-2</v>
      </c>
      <c r="AU30" s="33"/>
      <c r="AV30" s="177">
        <f t="shared" si="15"/>
        <v>0.49580341545490025</v>
      </c>
      <c r="AW30" s="177">
        <f t="shared" si="16"/>
        <v>0</v>
      </c>
      <c r="AX30" s="178">
        <f t="shared" si="17"/>
        <v>0</v>
      </c>
      <c r="AY30" s="33"/>
      <c r="AZ30" s="33"/>
      <c r="BA30" s="33"/>
      <c r="BB30" s="33"/>
    </row>
    <row r="31" spans="1:54" ht="18.600000000000001" thickBot="1" x14ac:dyDescent="0.4">
      <c r="A31" s="384" t="s">
        <v>145</v>
      </c>
      <c r="B31" s="175">
        <f t="shared" si="0"/>
        <v>30</v>
      </c>
      <c r="C31" s="178">
        <f t="shared" si="1"/>
        <v>1</v>
      </c>
      <c r="D31" s="81"/>
      <c r="E31" s="79">
        <v>1</v>
      </c>
      <c r="F31" s="910"/>
      <c r="G31" s="705" t="s">
        <v>93</v>
      </c>
      <c r="H31" s="665"/>
      <c r="I31" s="178">
        <v>2.39064763323913</v>
      </c>
      <c r="J31" s="43">
        <v>15</v>
      </c>
      <c r="K31" s="458">
        <v>2.92751333474861</v>
      </c>
      <c r="L31" s="43">
        <v>14</v>
      </c>
      <c r="M31" s="458">
        <v>2.0815656974999599</v>
      </c>
      <c r="N31" s="43">
        <v>39</v>
      </c>
      <c r="O31" s="179">
        <v>1.67827374074846</v>
      </c>
      <c r="P31" s="43">
        <v>45</v>
      </c>
      <c r="Q31" s="661"/>
      <c r="R31" s="177">
        <v>2.2990424140969501</v>
      </c>
      <c r="S31" s="43">
        <v>51</v>
      </c>
      <c r="T31" s="179">
        <v>2.4924499783618699</v>
      </c>
      <c r="U31" s="43">
        <v>11</v>
      </c>
      <c r="V31" s="117"/>
      <c r="W31" s="176">
        <f t="shared" si="2"/>
        <v>-1</v>
      </c>
      <c r="X31" s="180">
        <f t="shared" si="3"/>
        <v>0</v>
      </c>
      <c r="Y31" s="702">
        <f t="shared" si="4"/>
        <v>0</v>
      </c>
      <c r="Z31" s="176">
        <f t="shared" si="5"/>
        <v>0</v>
      </c>
      <c r="AA31" s="175">
        <f t="shared" si="6"/>
        <v>-4</v>
      </c>
      <c r="AB31" s="668"/>
      <c r="AC31" s="177">
        <f t="shared" si="7"/>
        <v>0.53686570150947999</v>
      </c>
      <c r="AD31" s="189">
        <f t="shared" si="8"/>
        <v>0</v>
      </c>
      <c r="AE31" s="178">
        <f t="shared" si="9"/>
        <v>0</v>
      </c>
      <c r="AF31" s="179">
        <f t="shared" si="10"/>
        <v>0</v>
      </c>
      <c r="AG31" s="178">
        <f t="shared" si="11"/>
        <v>0.10180234512273989</v>
      </c>
      <c r="AH31" s="661"/>
      <c r="AI31" s="45">
        <v>2.6169088225099899</v>
      </c>
      <c r="AJ31" s="314">
        <v>33</v>
      </c>
      <c r="AK31" s="313">
        <v>2.9059236264273101</v>
      </c>
      <c r="AL31" s="314">
        <v>32</v>
      </c>
      <c r="AM31" s="313">
        <v>0</v>
      </c>
      <c r="AN31" s="314">
        <v>28</v>
      </c>
      <c r="AO31" s="313">
        <v>0</v>
      </c>
      <c r="AP31" s="314">
        <v>15</v>
      </c>
      <c r="AQ31" s="117"/>
      <c r="AR31" s="176">
        <f t="shared" si="12"/>
        <v>-1</v>
      </c>
      <c r="AS31" s="175">
        <f t="shared" si="13"/>
        <v>-5</v>
      </c>
      <c r="AT31" s="175">
        <f t="shared" si="14"/>
        <v>-18</v>
      </c>
      <c r="AU31" s="33"/>
      <c r="AV31" s="177">
        <f t="shared" si="15"/>
        <v>0.28901480391732015</v>
      </c>
      <c r="AW31" s="177">
        <f t="shared" si="16"/>
        <v>0</v>
      </c>
      <c r="AX31" s="178">
        <f t="shared" si="17"/>
        <v>0</v>
      </c>
      <c r="AY31" s="33"/>
      <c r="AZ31" s="33"/>
      <c r="BA31" s="33"/>
      <c r="BB31" s="33"/>
    </row>
    <row r="32" spans="1:54" ht="18.600000000000001" thickBot="1" x14ac:dyDescent="0.4">
      <c r="A32" s="384" t="s">
        <v>152</v>
      </c>
      <c r="B32" s="175">
        <f t="shared" si="0"/>
        <v>49</v>
      </c>
      <c r="C32" s="178">
        <f t="shared" si="1"/>
        <v>0</v>
      </c>
      <c r="D32" s="81"/>
      <c r="E32" s="79"/>
      <c r="F32" s="910"/>
      <c r="G32" s="707"/>
      <c r="H32" s="665"/>
      <c r="I32" s="178">
        <v>1.50482991215744</v>
      </c>
      <c r="J32" s="43">
        <v>14</v>
      </c>
      <c r="K32" s="458">
        <v>1.5359401753796</v>
      </c>
      <c r="L32" s="43">
        <v>57</v>
      </c>
      <c r="M32" s="458">
        <v>0</v>
      </c>
      <c r="N32" s="43">
        <v>44</v>
      </c>
      <c r="O32" s="179">
        <v>0</v>
      </c>
      <c r="P32" s="43">
        <v>4</v>
      </c>
      <c r="Q32" s="661"/>
      <c r="R32" s="177">
        <v>0</v>
      </c>
      <c r="S32" s="43">
        <v>6</v>
      </c>
      <c r="T32" s="179">
        <v>1.5359401753796</v>
      </c>
      <c r="U32" s="43">
        <v>30</v>
      </c>
      <c r="V32" s="117"/>
      <c r="W32" s="176">
        <f t="shared" si="2"/>
        <v>0</v>
      </c>
      <c r="X32" s="180">
        <f t="shared" si="3"/>
        <v>0</v>
      </c>
      <c r="Y32" s="702">
        <f t="shared" si="4"/>
        <v>-10</v>
      </c>
      <c r="Z32" s="176">
        <f t="shared" si="5"/>
        <v>-8</v>
      </c>
      <c r="AA32" s="175">
        <f t="shared" si="6"/>
        <v>0</v>
      </c>
      <c r="AB32" s="668"/>
      <c r="AC32" s="177">
        <f t="shared" si="7"/>
        <v>3.1110263222160039E-2</v>
      </c>
      <c r="AD32" s="189">
        <f t="shared" si="8"/>
        <v>0</v>
      </c>
      <c r="AE32" s="178">
        <f t="shared" si="9"/>
        <v>0</v>
      </c>
      <c r="AF32" s="179">
        <f t="shared" si="10"/>
        <v>0</v>
      </c>
      <c r="AG32" s="178">
        <f t="shared" si="11"/>
        <v>3.1110263222160039E-2</v>
      </c>
      <c r="AH32" s="661"/>
      <c r="AI32" s="45">
        <v>3.7383590120243202</v>
      </c>
      <c r="AJ32" s="314">
        <v>26</v>
      </c>
      <c r="AK32" s="313">
        <v>4.1512282291476303</v>
      </c>
      <c r="AL32" s="314">
        <v>26</v>
      </c>
      <c r="AM32" s="313">
        <v>0</v>
      </c>
      <c r="AN32" s="314">
        <v>28</v>
      </c>
      <c r="AO32" s="313">
        <v>0</v>
      </c>
      <c r="AP32" s="314">
        <v>15</v>
      </c>
      <c r="AQ32" s="117"/>
      <c r="AR32" s="176">
        <f t="shared" si="12"/>
        <v>0</v>
      </c>
      <c r="AS32" s="175">
        <f t="shared" si="13"/>
        <v>0</v>
      </c>
      <c r="AT32" s="175">
        <f t="shared" si="14"/>
        <v>-11</v>
      </c>
      <c r="AU32" s="33"/>
      <c r="AV32" s="177">
        <f t="shared" si="15"/>
        <v>0.41286921712331015</v>
      </c>
      <c r="AW32" s="177">
        <f t="shared" si="16"/>
        <v>0</v>
      </c>
      <c r="AX32" s="178">
        <f t="shared" si="17"/>
        <v>0</v>
      </c>
      <c r="AY32" s="33"/>
      <c r="AZ32" s="33"/>
      <c r="BA32" s="33"/>
      <c r="BB32" s="33"/>
    </row>
    <row r="33" spans="1:54" ht="18.600000000000001" thickBot="1" x14ac:dyDescent="0.4">
      <c r="A33" s="384" t="s">
        <v>356</v>
      </c>
      <c r="B33" s="175">
        <f t="shared" si="0"/>
        <v>17</v>
      </c>
      <c r="C33" s="178">
        <f t="shared" si="1"/>
        <v>2</v>
      </c>
      <c r="D33" s="81"/>
      <c r="E33" s="79">
        <v>2</v>
      </c>
      <c r="F33" s="910"/>
      <c r="G33" s="705" t="s">
        <v>96</v>
      </c>
      <c r="H33" s="665"/>
      <c r="I33" s="178">
        <v>4.6863284752524299</v>
      </c>
      <c r="J33" s="43">
        <v>33</v>
      </c>
      <c r="K33" s="458">
        <v>3.4349659297458199</v>
      </c>
      <c r="L33" s="43">
        <v>11</v>
      </c>
      <c r="M33" s="458">
        <v>4.4169022120338397</v>
      </c>
      <c r="N33" s="43">
        <v>46</v>
      </c>
      <c r="O33" s="179">
        <v>0</v>
      </c>
      <c r="P33" s="43">
        <v>3</v>
      </c>
      <c r="Q33" s="661"/>
      <c r="R33" s="177">
        <v>0</v>
      </c>
      <c r="S33" s="43">
        <v>42</v>
      </c>
      <c r="T33" s="179">
        <v>4.3186160700859597</v>
      </c>
      <c r="U33" s="43">
        <v>55</v>
      </c>
      <c r="V33" s="117"/>
      <c r="W33" s="176">
        <f t="shared" si="2"/>
        <v>-22</v>
      </c>
      <c r="X33" s="180">
        <f t="shared" si="3"/>
        <v>0</v>
      </c>
      <c r="Y33" s="702">
        <f t="shared" si="4"/>
        <v>-30</v>
      </c>
      <c r="Z33" s="176">
        <f t="shared" si="5"/>
        <v>0</v>
      </c>
      <c r="AA33" s="175">
        <f t="shared" si="6"/>
        <v>0</v>
      </c>
      <c r="AB33" s="668"/>
      <c r="AC33" s="177">
        <f t="shared" si="7"/>
        <v>0</v>
      </c>
      <c r="AD33" s="189">
        <f t="shared" si="8"/>
        <v>0</v>
      </c>
      <c r="AE33" s="178">
        <f t="shared" si="9"/>
        <v>0</v>
      </c>
      <c r="AF33" s="179">
        <f t="shared" si="10"/>
        <v>0</v>
      </c>
      <c r="AG33" s="178">
        <f t="shared" si="11"/>
        <v>0</v>
      </c>
      <c r="AH33" s="661"/>
      <c r="AI33" s="45">
        <v>4.09448469339734</v>
      </c>
      <c r="AJ33" s="314">
        <v>23</v>
      </c>
      <c r="AK33" s="313">
        <v>4.2438184437217297</v>
      </c>
      <c r="AL33" s="314">
        <v>25</v>
      </c>
      <c r="AM33" s="313">
        <v>3.6258449325886399</v>
      </c>
      <c r="AN33" s="314">
        <v>11</v>
      </c>
      <c r="AO33" s="313">
        <v>3.3425726356668801</v>
      </c>
      <c r="AP33" s="314">
        <v>12</v>
      </c>
      <c r="AQ33" s="117"/>
      <c r="AR33" s="176">
        <f t="shared" si="12"/>
        <v>0</v>
      </c>
      <c r="AS33" s="175">
        <f t="shared" si="13"/>
        <v>-12</v>
      </c>
      <c r="AT33" s="175">
        <f t="shared" si="14"/>
        <v>-11</v>
      </c>
      <c r="AU33" s="33"/>
      <c r="AV33" s="177">
        <f t="shared" si="15"/>
        <v>0.14933375032438967</v>
      </c>
      <c r="AW33" s="177">
        <f t="shared" si="16"/>
        <v>0</v>
      </c>
      <c r="AX33" s="178">
        <f t="shared" si="17"/>
        <v>0</v>
      </c>
      <c r="AY33" s="33"/>
      <c r="AZ33" s="33"/>
      <c r="BA33" s="33"/>
      <c r="BB33" s="33"/>
    </row>
    <row r="34" spans="1:54" ht="18.600000000000001" thickBot="1" x14ac:dyDescent="0.4">
      <c r="A34" s="384" t="s">
        <v>337</v>
      </c>
      <c r="B34" s="175">
        <f t="shared" si="0"/>
        <v>30</v>
      </c>
      <c r="C34" s="178">
        <f t="shared" si="1"/>
        <v>1</v>
      </c>
      <c r="D34" s="81"/>
      <c r="E34" s="79">
        <v>1</v>
      </c>
      <c r="F34" s="910"/>
      <c r="G34" s="705" t="s">
        <v>93</v>
      </c>
      <c r="H34" s="665"/>
      <c r="I34" s="178">
        <v>3.4058493270699199</v>
      </c>
      <c r="J34" s="43">
        <v>6</v>
      </c>
      <c r="K34" s="458">
        <v>2.48643497439364</v>
      </c>
      <c r="L34" s="43">
        <v>40</v>
      </c>
      <c r="M34" s="458">
        <v>0</v>
      </c>
      <c r="N34" s="43">
        <v>2</v>
      </c>
      <c r="O34" s="179">
        <v>0</v>
      </c>
      <c r="P34" s="43">
        <v>5</v>
      </c>
      <c r="Q34" s="661"/>
      <c r="R34" s="177">
        <v>0</v>
      </c>
      <c r="S34" s="43">
        <v>49</v>
      </c>
      <c r="T34" s="179">
        <v>2.48643497439364</v>
      </c>
      <c r="U34" s="43">
        <v>39</v>
      </c>
      <c r="V34" s="117"/>
      <c r="W34" s="176">
        <f t="shared" si="2"/>
        <v>0</v>
      </c>
      <c r="X34" s="180">
        <f t="shared" si="3"/>
        <v>-4</v>
      </c>
      <c r="Y34" s="702">
        <f t="shared" si="4"/>
        <v>-1</v>
      </c>
      <c r="Z34" s="176">
        <f t="shared" si="5"/>
        <v>0</v>
      </c>
      <c r="AA34" s="175">
        <f t="shared" si="6"/>
        <v>0</v>
      </c>
      <c r="AB34" s="668"/>
      <c r="AC34" s="177">
        <f t="shared" si="7"/>
        <v>0</v>
      </c>
      <c r="AD34" s="189">
        <f t="shared" si="8"/>
        <v>0</v>
      </c>
      <c r="AE34" s="178">
        <f t="shared" si="9"/>
        <v>0</v>
      </c>
      <c r="AF34" s="179">
        <f t="shared" si="10"/>
        <v>0</v>
      </c>
      <c r="AG34" s="178">
        <f t="shared" si="11"/>
        <v>0</v>
      </c>
      <c r="AH34" s="661"/>
      <c r="AI34" s="45">
        <v>3.9608130045718699</v>
      </c>
      <c r="AJ34" s="314">
        <v>24</v>
      </c>
      <c r="AK34" s="313">
        <v>4.3982503291063804</v>
      </c>
      <c r="AL34" s="314">
        <v>22</v>
      </c>
      <c r="AM34" s="313">
        <v>0</v>
      </c>
      <c r="AN34" s="314">
        <v>28</v>
      </c>
      <c r="AO34" s="313">
        <v>0</v>
      </c>
      <c r="AP34" s="314">
        <v>15</v>
      </c>
      <c r="AQ34" s="117"/>
      <c r="AR34" s="176">
        <f t="shared" si="12"/>
        <v>-2</v>
      </c>
      <c r="AS34" s="175">
        <f t="shared" si="13"/>
        <v>0</v>
      </c>
      <c r="AT34" s="175">
        <f t="shared" si="14"/>
        <v>-9</v>
      </c>
      <c r="AU34" s="33"/>
      <c r="AV34" s="177">
        <f t="shared" si="15"/>
        <v>0.43743732453451045</v>
      </c>
      <c r="AW34" s="177">
        <f t="shared" si="16"/>
        <v>0</v>
      </c>
      <c r="AX34" s="178">
        <f t="shared" si="17"/>
        <v>0</v>
      </c>
      <c r="AY34" s="33"/>
      <c r="AZ34" s="33"/>
      <c r="BA34" s="33"/>
      <c r="BB34" s="33"/>
    </row>
    <row r="35" spans="1:54" ht="18.600000000000001" thickBot="1" x14ac:dyDescent="0.4">
      <c r="A35" s="384" t="s">
        <v>128</v>
      </c>
      <c r="B35" s="175">
        <f t="shared" si="0"/>
        <v>49</v>
      </c>
      <c r="C35" s="178">
        <f t="shared" si="1"/>
        <v>0</v>
      </c>
      <c r="D35" s="81"/>
      <c r="E35" s="79"/>
      <c r="F35" s="910"/>
      <c r="G35" s="707"/>
      <c r="H35" s="665"/>
      <c r="I35" s="178">
        <v>8.08407910630992</v>
      </c>
      <c r="J35" s="43">
        <v>53</v>
      </c>
      <c r="K35" s="458">
        <v>6.6488789083994799</v>
      </c>
      <c r="L35" s="43">
        <v>3</v>
      </c>
      <c r="M35" s="458">
        <v>7.2297990210905096</v>
      </c>
      <c r="N35" s="43">
        <v>15</v>
      </c>
      <c r="O35" s="179">
        <v>5.0716565073042599</v>
      </c>
      <c r="P35" s="175">
        <v>6</v>
      </c>
      <c r="Q35" s="661"/>
      <c r="R35" s="177">
        <v>7.0147121750225798</v>
      </c>
      <c r="S35" s="43">
        <v>36</v>
      </c>
      <c r="T35" s="179">
        <v>7.1016864465982303</v>
      </c>
      <c r="U35" s="43">
        <v>32</v>
      </c>
      <c r="V35" s="117"/>
      <c r="W35" s="176">
        <f t="shared" si="2"/>
        <v>-50</v>
      </c>
      <c r="X35" s="180">
        <f t="shared" si="3"/>
        <v>-38</v>
      </c>
      <c r="Y35" s="702">
        <f t="shared" si="4"/>
        <v>-47</v>
      </c>
      <c r="Z35" s="176">
        <f t="shared" si="5"/>
        <v>-17</v>
      </c>
      <c r="AA35" s="175">
        <f t="shared" si="6"/>
        <v>-21</v>
      </c>
      <c r="AB35" s="668"/>
      <c r="AC35" s="177">
        <f t="shared" si="7"/>
        <v>0</v>
      </c>
      <c r="AD35" s="189">
        <f t="shared" si="8"/>
        <v>0</v>
      </c>
      <c r="AE35" s="178">
        <f t="shared" si="9"/>
        <v>0</v>
      </c>
      <c r="AF35" s="179">
        <f t="shared" si="10"/>
        <v>0</v>
      </c>
      <c r="AG35" s="178">
        <f t="shared" si="11"/>
        <v>0</v>
      </c>
      <c r="AH35" s="661"/>
      <c r="AI35" s="45">
        <v>10</v>
      </c>
      <c r="AJ35" s="314">
        <v>1</v>
      </c>
      <c r="AK35" s="313">
        <v>10</v>
      </c>
      <c r="AL35" s="314">
        <v>1</v>
      </c>
      <c r="AM35" s="313">
        <v>8.9089031905700509</v>
      </c>
      <c r="AN35" s="314">
        <v>2</v>
      </c>
      <c r="AO35" s="313">
        <v>9.4414491815750008</v>
      </c>
      <c r="AP35" s="314">
        <v>2</v>
      </c>
      <c r="AQ35" s="117"/>
      <c r="AR35" s="176">
        <f t="shared" si="12"/>
        <v>0</v>
      </c>
      <c r="AS35" s="175">
        <f t="shared" si="13"/>
        <v>0</v>
      </c>
      <c r="AT35" s="175">
        <f t="shared" si="14"/>
        <v>0</v>
      </c>
      <c r="AU35" s="33"/>
      <c r="AV35" s="177">
        <f t="shared" si="15"/>
        <v>0</v>
      </c>
      <c r="AW35" s="177">
        <f t="shared" si="16"/>
        <v>0</v>
      </c>
      <c r="AX35" s="178">
        <f t="shared" si="17"/>
        <v>0</v>
      </c>
      <c r="AY35" s="33"/>
      <c r="AZ35" s="33"/>
      <c r="BA35" s="33"/>
      <c r="BB35" s="33"/>
    </row>
    <row r="36" spans="1:54" ht="18.600000000000001" thickBot="1" x14ac:dyDescent="0.4">
      <c r="A36" s="384" t="s">
        <v>141</v>
      </c>
      <c r="B36" s="175">
        <f t="shared" si="0"/>
        <v>17</v>
      </c>
      <c r="C36" s="178">
        <f t="shared" si="1"/>
        <v>2</v>
      </c>
      <c r="D36" s="81"/>
      <c r="E36" s="79">
        <v>2</v>
      </c>
      <c r="F36" s="910"/>
      <c r="G36" s="705" t="s">
        <v>96</v>
      </c>
      <c r="H36" s="665"/>
      <c r="I36" s="178">
        <v>5.2476406269032196</v>
      </c>
      <c r="J36" s="43">
        <v>38</v>
      </c>
      <c r="K36" s="458">
        <v>4.1568562812165899</v>
      </c>
      <c r="L36" s="43">
        <v>17</v>
      </c>
      <c r="M36" s="458">
        <v>4.9697628276494203</v>
      </c>
      <c r="N36" s="43">
        <v>54</v>
      </c>
      <c r="O36" s="179">
        <v>3.6707391298182799</v>
      </c>
      <c r="P36" s="175">
        <v>7</v>
      </c>
      <c r="Q36" s="661"/>
      <c r="R36" s="177">
        <v>5.1886712277390803</v>
      </c>
      <c r="S36" s="43">
        <v>21</v>
      </c>
      <c r="T36" s="179">
        <v>3.4405082656901498</v>
      </c>
      <c r="U36" s="43">
        <v>17</v>
      </c>
      <c r="V36" s="117"/>
      <c r="W36" s="176">
        <f t="shared" si="2"/>
        <v>-21</v>
      </c>
      <c r="X36" s="180">
        <f t="shared" si="3"/>
        <v>0</v>
      </c>
      <c r="Y36" s="702">
        <f t="shared" si="4"/>
        <v>-31</v>
      </c>
      <c r="Z36" s="176">
        <f t="shared" si="5"/>
        <v>-17</v>
      </c>
      <c r="AA36" s="175">
        <f t="shared" si="6"/>
        <v>-21</v>
      </c>
      <c r="AB36" s="668"/>
      <c r="AC36" s="177">
        <f t="shared" si="7"/>
        <v>0</v>
      </c>
      <c r="AD36" s="189">
        <f t="shared" si="8"/>
        <v>0</v>
      </c>
      <c r="AE36" s="178">
        <f t="shared" si="9"/>
        <v>0</v>
      </c>
      <c r="AF36" s="179">
        <f t="shared" si="10"/>
        <v>0</v>
      </c>
      <c r="AG36" s="178">
        <f t="shared" si="11"/>
        <v>0</v>
      </c>
      <c r="AH36" s="661"/>
      <c r="AI36" s="45">
        <v>1.6086065735683599</v>
      </c>
      <c r="AJ36" s="314">
        <v>40</v>
      </c>
      <c r="AK36" s="313">
        <v>0</v>
      </c>
      <c r="AL36" s="314">
        <v>38</v>
      </c>
      <c r="AM36" s="313">
        <v>1.86269569860032</v>
      </c>
      <c r="AN36" s="314">
        <v>19</v>
      </c>
      <c r="AO36" s="313">
        <v>0</v>
      </c>
      <c r="AP36" s="314">
        <v>15</v>
      </c>
      <c r="AQ36" s="117"/>
      <c r="AR36" s="176">
        <f t="shared" si="12"/>
        <v>-2</v>
      </c>
      <c r="AS36" s="175">
        <f t="shared" si="13"/>
        <v>-21</v>
      </c>
      <c r="AT36" s="175">
        <f t="shared" si="14"/>
        <v>-25</v>
      </c>
      <c r="AU36" s="33"/>
      <c r="AV36" s="177">
        <f t="shared" si="15"/>
        <v>0</v>
      </c>
      <c r="AW36" s="177">
        <f t="shared" si="16"/>
        <v>0.25408912503196013</v>
      </c>
      <c r="AX36" s="178">
        <f t="shared" si="17"/>
        <v>0</v>
      </c>
      <c r="AY36" s="33"/>
      <c r="AZ36" s="33"/>
      <c r="BA36" s="33"/>
      <c r="BB36" s="33"/>
    </row>
    <row r="37" spans="1:54" ht="18.600000000000001" thickBot="1" x14ac:dyDescent="0.4">
      <c r="A37" s="384" t="s">
        <v>125</v>
      </c>
      <c r="B37" s="175">
        <f t="shared" si="0"/>
        <v>30</v>
      </c>
      <c r="C37" s="178">
        <f t="shared" si="1"/>
        <v>1</v>
      </c>
      <c r="D37" s="81"/>
      <c r="E37" s="79">
        <v>1</v>
      </c>
      <c r="F37" s="910"/>
      <c r="G37" s="705" t="s">
        <v>93</v>
      </c>
      <c r="H37" s="665"/>
      <c r="I37" s="178">
        <v>5.1898813583921299</v>
      </c>
      <c r="J37" s="43">
        <v>1</v>
      </c>
      <c r="K37" s="458">
        <v>6.7364203279191397</v>
      </c>
      <c r="L37" s="43">
        <v>27</v>
      </c>
      <c r="M37" s="458">
        <v>4.0606055300780497</v>
      </c>
      <c r="N37" s="43">
        <v>8</v>
      </c>
      <c r="O37" s="179">
        <v>2.4924499783618699</v>
      </c>
      <c r="P37" s="175">
        <v>9</v>
      </c>
      <c r="Q37" s="661"/>
      <c r="R37" s="177">
        <v>5.0563395077557702</v>
      </c>
      <c r="S37" s="43">
        <v>39</v>
      </c>
      <c r="T37" s="179">
        <v>4.9563719857907698</v>
      </c>
      <c r="U37" s="43">
        <v>24</v>
      </c>
      <c r="V37" s="117"/>
      <c r="W37" s="176">
        <f t="shared" si="2"/>
        <v>0</v>
      </c>
      <c r="X37" s="180">
        <f t="shared" si="3"/>
        <v>0</v>
      </c>
      <c r="Y37" s="702">
        <f t="shared" si="4"/>
        <v>0</v>
      </c>
      <c r="Z37" s="176">
        <f t="shared" si="5"/>
        <v>0</v>
      </c>
      <c r="AA37" s="175">
        <f t="shared" si="6"/>
        <v>0</v>
      </c>
      <c r="AB37" s="668"/>
      <c r="AC37" s="177">
        <f t="shared" si="7"/>
        <v>1.5465389695270098</v>
      </c>
      <c r="AD37" s="189">
        <f t="shared" si="8"/>
        <v>0</v>
      </c>
      <c r="AE37" s="178">
        <f t="shared" si="9"/>
        <v>0</v>
      </c>
      <c r="AF37" s="179">
        <f t="shared" si="10"/>
        <v>0</v>
      </c>
      <c r="AG37" s="178">
        <f t="shared" si="11"/>
        <v>0</v>
      </c>
      <c r="AH37" s="661"/>
      <c r="AI37" s="45">
        <v>0</v>
      </c>
      <c r="AJ37" s="314">
        <v>44</v>
      </c>
      <c r="AK37" s="313">
        <v>0</v>
      </c>
      <c r="AL37" s="314">
        <v>38</v>
      </c>
      <c r="AM37" s="313">
        <v>0</v>
      </c>
      <c r="AN37" s="314">
        <v>28</v>
      </c>
      <c r="AO37" s="313">
        <v>0</v>
      </c>
      <c r="AP37" s="314">
        <v>15</v>
      </c>
      <c r="AQ37" s="117"/>
      <c r="AR37" s="176">
        <f t="shared" si="12"/>
        <v>-6</v>
      </c>
      <c r="AS37" s="175">
        <f t="shared" si="13"/>
        <v>-16</v>
      </c>
      <c r="AT37" s="175">
        <f t="shared" si="14"/>
        <v>-29</v>
      </c>
      <c r="AU37" s="33"/>
      <c r="AV37" s="177">
        <f t="shared" si="15"/>
        <v>0</v>
      </c>
      <c r="AW37" s="177">
        <f t="shared" si="16"/>
        <v>0</v>
      </c>
      <c r="AX37" s="178">
        <f t="shared" si="17"/>
        <v>0</v>
      </c>
      <c r="AY37" s="33"/>
      <c r="AZ37" s="33"/>
      <c r="BA37" s="33"/>
      <c r="BB37" s="33"/>
    </row>
    <row r="38" spans="1:54" ht="18.600000000000001" thickBot="1" x14ac:dyDescent="0.4">
      <c r="A38" s="384" t="s">
        <v>153</v>
      </c>
      <c r="B38" s="175">
        <f t="shared" si="0"/>
        <v>49</v>
      </c>
      <c r="C38" s="178">
        <f t="shared" si="1"/>
        <v>0</v>
      </c>
      <c r="D38" s="81"/>
      <c r="E38" s="79"/>
      <c r="F38" s="910"/>
      <c r="G38" s="707"/>
      <c r="H38" s="665"/>
      <c r="I38" s="178">
        <v>3.00929684435566</v>
      </c>
      <c r="J38" s="43">
        <v>19</v>
      </c>
      <c r="K38" s="458">
        <v>3.07150986669471</v>
      </c>
      <c r="L38" s="43">
        <v>44</v>
      </c>
      <c r="M38" s="458">
        <v>0</v>
      </c>
      <c r="N38" s="43">
        <v>7</v>
      </c>
      <c r="O38" s="179">
        <v>0</v>
      </c>
      <c r="P38" s="43">
        <v>10</v>
      </c>
      <c r="Q38" s="661"/>
      <c r="R38" s="177">
        <v>0</v>
      </c>
      <c r="S38" s="43">
        <v>45</v>
      </c>
      <c r="T38" s="179">
        <v>3.07150986669471</v>
      </c>
      <c r="U38" s="43">
        <v>19</v>
      </c>
      <c r="V38" s="117"/>
      <c r="W38" s="176">
        <f t="shared" si="2"/>
        <v>0</v>
      </c>
      <c r="X38" s="180">
        <f t="shared" si="3"/>
        <v>-12</v>
      </c>
      <c r="Y38" s="702">
        <f t="shared" si="4"/>
        <v>-9</v>
      </c>
      <c r="Z38" s="176">
        <f t="shared" si="5"/>
        <v>0</v>
      </c>
      <c r="AA38" s="175">
        <f t="shared" si="6"/>
        <v>0</v>
      </c>
      <c r="AB38" s="668"/>
      <c r="AC38" s="177">
        <f t="shared" si="7"/>
        <v>6.2213022339050017E-2</v>
      </c>
      <c r="AD38" s="189">
        <f t="shared" si="8"/>
        <v>0</v>
      </c>
      <c r="AE38" s="178">
        <f t="shared" si="9"/>
        <v>0</v>
      </c>
      <c r="AF38" s="179">
        <f t="shared" si="10"/>
        <v>0</v>
      </c>
      <c r="AG38" s="178">
        <f t="shared" si="11"/>
        <v>6.2213022339050017E-2</v>
      </c>
      <c r="AH38" s="661"/>
      <c r="AI38" s="45">
        <v>5.4891876289377501</v>
      </c>
      <c r="AJ38" s="314">
        <v>13</v>
      </c>
      <c r="AK38" s="313">
        <v>6.0952604605494303</v>
      </c>
      <c r="AL38" s="314">
        <v>12</v>
      </c>
      <c r="AM38" s="313">
        <v>1.29649124915944</v>
      </c>
      <c r="AN38" s="314">
        <v>26</v>
      </c>
      <c r="AO38" s="313">
        <v>0</v>
      </c>
      <c r="AP38" s="314">
        <v>15</v>
      </c>
      <c r="AQ38" s="117"/>
      <c r="AR38" s="176">
        <f t="shared" si="12"/>
        <v>-1</v>
      </c>
      <c r="AS38" s="175">
        <f t="shared" si="13"/>
        <v>0</v>
      </c>
      <c r="AT38" s="175">
        <f t="shared" si="14"/>
        <v>0</v>
      </c>
      <c r="AU38" s="33"/>
      <c r="AV38" s="177">
        <f t="shared" si="15"/>
        <v>0.60607283161168013</v>
      </c>
      <c r="AW38" s="177">
        <f t="shared" si="16"/>
        <v>0</v>
      </c>
      <c r="AX38" s="178">
        <f t="shared" si="17"/>
        <v>0</v>
      </c>
      <c r="AY38" s="33"/>
      <c r="AZ38" s="33"/>
      <c r="BA38" s="33"/>
      <c r="BB38" s="33"/>
    </row>
    <row r="39" spans="1:54" ht="18.600000000000001" thickBot="1" x14ac:dyDescent="0.4">
      <c r="A39" s="384" t="s">
        <v>133</v>
      </c>
      <c r="B39" s="175">
        <f t="shared" ref="B39:B63" si="18">RANK(C39,C$7:C$63,0)</f>
        <v>3</v>
      </c>
      <c r="C39" s="178">
        <f t="shared" ref="C39:C63" si="19">SUM(D39:E39)</f>
        <v>3</v>
      </c>
      <c r="D39" s="81"/>
      <c r="E39" s="79">
        <v>3</v>
      </c>
      <c r="F39" s="910"/>
      <c r="G39" s="707" t="s">
        <v>240</v>
      </c>
      <c r="H39" s="665"/>
      <c r="I39" s="178">
        <v>4.4054590858045097</v>
      </c>
      <c r="J39" s="43">
        <v>3</v>
      </c>
      <c r="K39" s="458">
        <v>0</v>
      </c>
      <c r="L39" s="43">
        <v>2</v>
      </c>
      <c r="M39" s="458">
        <v>4.3873849431076204</v>
      </c>
      <c r="N39" s="43">
        <v>49</v>
      </c>
      <c r="O39" s="179">
        <v>2.0519916302971599</v>
      </c>
      <c r="P39" s="175">
        <v>11</v>
      </c>
      <c r="Q39" s="661"/>
      <c r="R39" s="177">
        <v>4.3873849431076204</v>
      </c>
      <c r="S39" s="43">
        <v>25</v>
      </c>
      <c r="T39" s="179">
        <v>2.0519916302971599</v>
      </c>
      <c r="U39" s="43">
        <v>2</v>
      </c>
      <c r="V39" s="117"/>
      <c r="W39" s="176">
        <f t="shared" ref="W39:W63" si="20">MIN(L39-$J39,0)</f>
        <v>-1</v>
      </c>
      <c r="X39" s="180">
        <f t="shared" ref="X39:X63" si="21">MIN(N39-$J39,0)</f>
        <v>0</v>
      </c>
      <c r="Y39" s="702">
        <f t="shared" ref="Y39:Y63" si="22">MIN(P39-$J39,0)</f>
        <v>0</v>
      </c>
      <c r="Z39" s="176">
        <f t="shared" ref="Z39:Z63" si="23">MIN(S39-$J39,0)</f>
        <v>0</v>
      </c>
      <c r="AA39" s="175">
        <f t="shared" ref="AA39:AA63" si="24">MIN(U39-$J39,0)</f>
        <v>-1</v>
      </c>
      <c r="AB39" s="668"/>
      <c r="AC39" s="177">
        <f t="shared" ref="AC39:AC63" si="25">MAX(K39-$I39,0)</f>
        <v>0</v>
      </c>
      <c r="AD39" s="189">
        <f t="shared" ref="AD39:AD63" si="26">MAX(M39-$I39,0)</f>
        <v>0</v>
      </c>
      <c r="AE39" s="178">
        <f t="shared" ref="AE39:AE63" si="27">MAX(O39-$I39,0)</f>
        <v>0</v>
      </c>
      <c r="AF39" s="179">
        <f t="shared" ref="AF39:AF63" si="28">MAX(R39-$I39,0)</f>
        <v>0</v>
      </c>
      <c r="AG39" s="178">
        <f t="shared" ref="AG39:AG63" si="29">MAX(T39-$I39,0)</f>
        <v>0</v>
      </c>
      <c r="AH39" s="661"/>
      <c r="AI39" s="45">
        <v>2.1475626147451301</v>
      </c>
      <c r="AJ39" s="314">
        <v>37</v>
      </c>
      <c r="AK39" s="313">
        <v>0</v>
      </c>
      <c r="AL39" s="314">
        <v>38</v>
      </c>
      <c r="AM39" s="313">
        <v>1.7366478325933199</v>
      </c>
      <c r="AN39" s="314">
        <v>22</v>
      </c>
      <c r="AO39" s="313">
        <v>2.6195638583932301</v>
      </c>
      <c r="AP39" s="314">
        <v>13</v>
      </c>
      <c r="AQ39" s="117"/>
      <c r="AR39" s="176">
        <f t="shared" ref="AR39:AR63" si="30">MIN(AL39-$AJ39,0)</f>
        <v>0</v>
      </c>
      <c r="AS39" s="175">
        <f t="shared" ref="AS39:AS63" si="31">MIN(AN39-$AJ39,0)</f>
        <v>-15</v>
      </c>
      <c r="AT39" s="175">
        <f t="shared" ref="AT39:AT63" si="32">MIN(AP39-$AJ39,0)</f>
        <v>-24</v>
      </c>
      <c r="AU39" s="33"/>
      <c r="AV39" s="177">
        <f t="shared" ref="AV39:AV63" si="33">MAX(AK39-$AI39,0)</f>
        <v>0</v>
      </c>
      <c r="AW39" s="177">
        <f t="shared" ref="AW39:AW63" si="34">MAX(AM39-$AI39,0)</f>
        <v>0</v>
      </c>
      <c r="AX39" s="178">
        <f t="shared" ref="AX39:AX63" si="35">MAX(AO39-$AI39,0)</f>
        <v>0.47200124364810003</v>
      </c>
      <c r="AY39" s="33"/>
      <c r="AZ39" s="33"/>
      <c r="BA39" s="33"/>
      <c r="BB39" s="33"/>
    </row>
    <row r="40" spans="1:54" ht="18.600000000000001" thickBot="1" x14ac:dyDescent="0.4">
      <c r="A40" s="383" t="s">
        <v>357</v>
      </c>
      <c r="B40" s="175">
        <f t="shared" si="18"/>
        <v>3</v>
      </c>
      <c r="C40" s="178">
        <f t="shared" si="19"/>
        <v>3</v>
      </c>
      <c r="D40" s="81"/>
      <c r="E40" s="79">
        <v>3</v>
      </c>
      <c r="F40" s="910"/>
      <c r="G40" s="708" t="s">
        <v>307</v>
      </c>
      <c r="H40" s="665"/>
      <c r="I40" s="178">
        <v>5.6763095003170596</v>
      </c>
      <c r="J40" s="43">
        <v>7</v>
      </c>
      <c r="K40" s="458">
        <v>1.2252211195711999</v>
      </c>
      <c r="L40" s="43">
        <v>1</v>
      </c>
      <c r="M40" s="458">
        <v>5.4346664885721996</v>
      </c>
      <c r="N40" s="43">
        <v>13</v>
      </c>
      <c r="O40" s="179">
        <v>3.1385337578022399</v>
      </c>
      <c r="P40" s="175">
        <v>13</v>
      </c>
      <c r="Q40" s="661"/>
      <c r="R40" s="177">
        <v>5.6739611674540802</v>
      </c>
      <c r="S40" s="43">
        <v>41</v>
      </c>
      <c r="T40" s="179">
        <v>1.3880332622862901</v>
      </c>
      <c r="U40" s="43">
        <v>52</v>
      </c>
      <c r="V40" s="117"/>
      <c r="W40" s="176">
        <f t="shared" si="20"/>
        <v>-6</v>
      </c>
      <c r="X40" s="180">
        <f t="shared" si="21"/>
        <v>0</v>
      </c>
      <c r="Y40" s="702">
        <f t="shared" si="22"/>
        <v>0</v>
      </c>
      <c r="Z40" s="176">
        <f t="shared" si="23"/>
        <v>0</v>
      </c>
      <c r="AA40" s="175">
        <f t="shared" si="24"/>
        <v>0</v>
      </c>
      <c r="AB40" s="668"/>
      <c r="AC40" s="177">
        <f t="shared" si="25"/>
        <v>0</v>
      </c>
      <c r="AD40" s="189">
        <f t="shared" si="26"/>
        <v>0</v>
      </c>
      <c r="AE40" s="178">
        <f t="shared" si="27"/>
        <v>0</v>
      </c>
      <c r="AF40" s="179">
        <f t="shared" si="28"/>
        <v>0</v>
      </c>
      <c r="AG40" s="178">
        <f t="shared" si="29"/>
        <v>0</v>
      </c>
      <c r="AH40" s="661"/>
      <c r="AI40" s="45">
        <v>0</v>
      </c>
      <c r="AJ40" s="314">
        <v>44</v>
      </c>
      <c r="AK40" s="313">
        <v>0</v>
      </c>
      <c r="AL40" s="314">
        <v>38</v>
      </c>
      <c r="AM40" s="313">
        <v>0</v>
      </c>
      <c r="AN40" s="314">
        <v>28</v>
      </c>
      <c r="AO40" s="313">
        <v>0</v>
      </c>
      <c r="AP40" s="314">
        <v>15</v>
      </c>
      <c r="AQ40" s="117"/>
      <c r="AR40" s="176">
        <f t="shared" si="30"/>
        <v>-6</v>
      </c>
      <c r="AS40" s="175">
        <f t="shared" si="31"/>
        <v>-16</v>
      </c>
      <c r="AT40" s="175">
        <f t="shared" si="32"/>
        <v>-29</v>
      </c>
      <c r="AU40" s="33"/>
      <c r="AV40" s="177">
        <f t="shared" si="33"/>
        <v>0</v>
      </c>
      <c r="AW40" s="177">
        <f t="shared" si="34"/>
        <v>0</v>
      </c>
      <c r="AX40" s="178">
        <f t="shared" si="35"/>
        <v>0</v>
      </c>
      <c r="AY40" s="33"/>
      <c r="AZ40" s="33"/>
      <c r="BA40" s="33"/>
      <c r="BB40" s="33"/>
    </row>
    <row r="41" spans="1:54" ht="18.600000000000001" thickBot="1" x14ac:dyDescent="0.4">
      <c r="A41" s="384" t="s">
        <v>154</v>
      </c>
      <c r="B41" s="175">
        <f t="shared" si="18"/>
        <v>30</v>
      </c>
      <c r="C41" s="178">
        <f t="shared" si="19"/>
        <v>1</v>
      </c>
      <c r="D41" s="81"/>
      <c r="E41" s="79">
        <v>1</v>
      </c>
      <c r="F41" s="910"/>
      <c r="G41" s="705" t="s">
        <v>93</v>
      </c>
      <c r="H41" s="665"/>
      <c r="I41" s="178">
        <v>4.9132001314357296</v>
      </c>
      <c r="J41" s="43">
        <v>42</v>
      </c>
      <c r="K41" s="458">
        <v>4.5530091907135004</v>
      </c>
      <c r="L41" s="43">
        <v>32</v>
      </c>
      <c r="M41" s="458">
        <v>3.87128465562449</v>
      </c>
      <c r="N41" s="43">
        <v>21</v>
      </c>
      <c r="O41" s="179">
        <v>0</v>
      </c>
      <c r="P41" s="43">
        <v>14</v>
      </c>
      <c r="Q41" s="661"/>
      <c r="R41" s="177">
        <v>4.4573016842654596</v>
      </c>
      <c r="S41" s="43">
        <v>16</v>
      </c>
      <c r="T41" s="179">
        <v>4.1167233071303597</v>
      </c>
      <c r="U41" s="43">
        <v>25</v>
      </c>
      <c r="V41" s="117"/>
      <c r="W41" s="176">
        <f t="shared" si="20"/>
        <v>-10</v>
      </c>
      <c r="X41" s="180">
        <f t="shared" si="21"/>
        <v>-21</v>
      </c>
      <c r="Y41" s="702">
        <f t="shared" si="22"/>
        <v>-28</v>
      </c>
      <c r="Z41" s="176">
        <f t="shared" si="23"/>
        <v>-26</v>
      </c>
      <c r="AA41" s="175">
        <f t="shared" si="24"/>
        <v>-17</v>
      </c>
      <c r="AB41" s="668"/>
      <c r="AC41" s="177">
        <f t="shared" si="25"/>
        <v>0</v>
      </c>
      <c r="AD41" s="189">
        <f t="shared" si="26"/>
        <v>0</v>
      </c>
      <c r="AE41" s="178">
        <f t="shared" si="27"/>
        <v>0</v>
      </c>
      <c r="AF41" s="179">
        <f t="shared" si="28"/>
        <v>0</v>
      </c>
      <c r="AG41" s="178">
        <f t="shared" si="29"/>
        <v>0</v>
      </c>
      <c r="AH41" s="661"/>
      <c r="AI41" s="45">
        <v>4.6676051953440698</v>
      </c>
      <c r="AJ41" s="314">
        <v>16</v>
      </c>
      <c r="AK41" s="313">
        <v>5.1652492219120001</v>
      </c>
      <c r="AL41" s="314">
        <v>16</v>
      </c>
      <c r="AM41" s="313">
        <v>2.6479082321482998</v>
      </c>
      <c r="AN41" s="314">
        <v>16</v>
      </c>
      <c r="AO41" s="313">
        <v>0</v>
      </c>
      <c r="AP41" s="314">
        <v>15</v>
      </c>
      <c r="AQ41" s="117"/>
      <c r="AR41" s="176">
        <f t="shared" si="30"/>
        <v>0</v>
      </c>
      <c r="AS41" s="175">
        <f t="shared" si="31"/>
        <v>0</v>
      </c>
      <c r="AT41" s="175">
        <f t="shared" si="32"/>
        <v>-1</v>
      </c>
      <c r="AU41" s="33"/>
      <c r="AV41" s="177">
        <f t="shared" si="33"/>
        <v>0.49764402656793028</v>
      </c>
      <c r="AW41" s="177">
        <f t="shared" si="34"/>
        <v>0</v>
      </c>
      <c r="AX41" s="178">
        <f t="shared" si="35"/>
        <v>0</v>
      </c>
      <c r="AY41" s="33"/>
      <c r="AZ41" s="33"/>
      <c r="BA41" s="33"/>
      <c r="BB41" s="33"/>
    </row>
    <row r="42" spans="1:54" ht="18.600000000000001" thickBot="1" x14ac:dyDescent="0.4">
      <c r="A42" s="384" t="s">
        <v>341</v>
      </c>
      <c r="B42" s="175">
        <f t="shared" si="18"/>
        <v>3</v>
      </c>
      <c r="C42" s="178">
        <f t="shared" si="19"/>
        <v>3</v>
      </c>
      <c r="D42" s="81">
        <v>2</v>
      </c>
      <c r="E42" s="79">
        <v>1</v>
      </c>
      <c r="F42" s="910"/>
      <c r="G42" s="705" t="s">
        <v>93</v>
      </c>
      <c r="H42" s="665"/>
      <c r="I42" s="178">
        <v>2.8082045344317099</v>
      </c>
      <c r="J42" s="43">
        <v>39</v>
      </c>
      <c r="K42" s="458">
        <v>2.19720445816567</v>
      </c>
      <c r="L42" s="43">
        <v>24</v>
      </c>
      <c r="M42" s="458">
        <v>1.55508583136496</v>
      </c>
      <c r="N42" s="43">
        <v>45</v>
      </c>
      <c r="O42" s="179">
        <v>2.9355201940245701</v>
      </c>
      <c r="P42" s="175">
        <v>15</v>
      </c>
      <c r="Q42" s="661"/>
      <c r="R42" s="177">
        <v>2.7272449289638998</v>
      </c>
      <c r="S42" s="43">
        <v>5</v>
      </c>
      <c r="T42" s="179">
        <v>2.16577478138151</v>
      </c>
      <c r="U42" s="43">
        <v>28</v>
      </c>
      <c r="V42" s="117"/>
      <c r="W42" s="176">
        <f t="shared" si="20"/>
        <v>-15</v>
      </c>
      <c r="X42" s="180">
        <f t="shared" si="21"/>
        <v>0</v>
      </c>
      <c r="Y42" s="702">
        <f t="shared" si="22"/>
        <v>-24</v>
      </c>
      <c r="Z42" s="176">
        <f t="shared" si="23"/>
        <v>-34</v>
      </c>
      <c r="AA42" s="175">
        <f t="shared" si="24"/>
        <v>-11</v>
      </c>
      <c r="AB42" s="668"/>
      <c r="AC42" s="177">
        <f t="shared" si="25"/>
        <v>0</v>
      </c>
      <c r="AD42" s="189">
        <f t="shared" si="26"/>
        <v>0</v>
      </c>
      <c r="AE42" s="178">
        <f t="shared" si="27"/>
        <v>0.12731565959286018</v>
      </c>
      <c r="AF42" s="179">
        <f t="shared" si="28"/>
        <v>0</v>
      </c>
      <c r="AG42" s="178">
        <f t="shared" si="29"/>
        <v>0</v>
      </c>
      <c r="AH42" s="661"/>
      <c r="AI42" s="45">
        <v>2.7461000527396502</v>
      </c>
      <c r="AJ42" s="314">
        <v>32</v>
      </c>
      <c r="AK42" s="313">
        <v>3.04938290365636</v>
      </c>
      <c r="AL42" s="314">
        <v>30</v>
      </c>
      <c r="AM42" s="313">
        <v>0</v>
      </c>
      <c r="AN42" s="314">
        <v>28</v>
      </c>
      <c r="AO42" s="313">
        <v>0</v>
      </c>
      <c r="AP42" s="314">
        <v>15</v>
      </c>
      <c r="AQ42" s="117"/>
      <c r="AR42" s="176">
        <f t="shared" si="30"/>
        <v>-2</v>
      </c>
      <c r="AS42" s="175">
        <f t="shared" si="31"/>
        <v>-4</v>
      </c>
      <c r="AT42" s="175">
        <f t="shared" si="32"/>
        <v>-17</v>
      </c>
      <c r="AU42" s="33"/>
      <c r="AV42" s="177">
        <f t="shared" si="33"/>
        <v>0.30328285091670981</v>
      </c>
      <c r="AW42" s="177">
        <f t="shared" si="34"/>
        <v>0</v>
      </c>
      <c r="AX42" s="178">
        <f t="shared" si="35"/>
        <v>0</v>
      </c>
      <c r="AY42" s="33"/>
      <c r="AZ42" s="33"/>
      <c r="BA42" s="33"/>
      <c r="BB42" s="33"/>
    </row>
    <row r="43" spans="1:54" ht="18.600000000000001" thickBot="1" x14ac:dyDescent="0.4">
      <c r="A43" s="384" t="s">
        <v>7</v>
      </c>
      <c r="B43" s="175">
        <f t="shared" si="18"/>
        <v>17</v>
      </c>
      <c r="C43" s="178">
        <f t="shared" si="19"/>
        <v>2</v>
      </c>
      <c r="D43" s="81">
        <v>1</v>
      </c>
      <c r="E43" s="79">
        <v>1</v>
      </c>
      <c r="F43" s="910"/>
      <c r="G43" s="707" t="s">
        <v>95</v>
      </c>
      <c r="H43" s="665"/>
      <c r="I43" s="178">
        <v>7.9799126043586703</v>
      </c>
      <c r="J43" s="43">
        <v>44</v>
      </c>
      <c r="K43" s="458">
        <v>8.4097997874185193</v>
      </c>
      <c r="L43" s="43">
        <v>49</v>
      </c>
      <c r="M43" s="458">
        <v>7.5184722215390201</v>
      </c>
      <c r="N43" s="43">
        <v>51</v>
      </c>
      <c r="O43" s="179">
        <v>6.3435717180487803</v>
      </c>
      <c r="P43" s="175">
        <v>16</v>
      </c>
      <c r="Q43" s="661"/>
      <c r="R43" s="177">
        <v>7.9770106883778498</v>
      </c>
      <c r="S43" s="43">
        <v>54</v>
      </c>
      <c r="T43" s="179">
        <v>3.5773074244660901</v>
      </c>
      <c r="U43" s="43">
        <v>18</v>
      </c>
      <c r="V43" s="117"/>
      <c r="W43" s="176">
        <f t="shared" si="20"/>
        <v>0</v>
      </c>
      <c r="X43" s="180">
        <f t="shared" si="21"/>
        <v>0</v>
      </c>
      <c r="Y43" s="702">
        <f t="shared" si="22"/>
        <v>-28</v>
      </c>
      <c r="Z43" s="176">
        <f t="shared" si="23"/>
        <v>0</v>
      </c>
      <c r="AA43" s="175">
        <f t="shared" si="24"/>
        <v>-26</v>
      </c>
      <c r="AB43" s="668"/>
      <c r="AC43" s="177">
        <f t="shared" si="25"/>
        <v>0.42988718305984897</v>
      </c>
      <c r="AD43" s="189">
        <f t="shared" si="26"/>
        <v>0</v>
      </c>
      <c r="AE43" s="178">
        <f t="shared" si="27"/>
        <v>0</v>
      </c>
      <c r="AF43" s="179">
        <f t="shared" si="28"/>
        <v>0</v>
      </c>
      <c r="AG43" s="178">
        <f t="shared" si="29"/>
        <v>0</v>
      </c>
      <c r="AH43" s="661"/>
      <c r="AI43" s="45">
        <v>3.4393268323190802</v>
      </c>
      <c r="AJ43" s="314">
        <v>28</v>
      </c>
      <c r="AK43" s="313">
        <v>3.3247513399065198</v>
      </c>
      <c r="AL43" s="314">
        <v>29</v>
      </c>
      <c r="AM43" s="313">
        <v>3.5610113521699098</v>
      </c>
      <c r="AN43" s="314">
        <v>12</v>
      </c>
      <c r="AO43" s="313">
        <v>0</v>
      </c>
      <c r="AP43" s="314">
        <v>15</v>
      </c>
      <c r="AQ43" s="117"/>
      <c r="AR43" s="176">
        <f t="shared" si="30"/>
        <v>0</v>
      </c>
      <c r="AS43" s="175">
        <f t="shared" si="31"/>
        <v>-16</v>
      </c>
      <c r="AT43" s="175">
        <f t="shared" si="32"/>
        <v>-13</v>
      </c>
      <c r="AU43" s="33"/>
      <c r="AV43" s="177">
        <f t="shared" si="33"/>
        <v>0</v>
      </c>
      <c r="AW43" s="177">
        <f t="shared" si="34"/>
        <v>0.12168451985082962</v>
      </c>
      <c r="AX43" s="178">
        <f t="shared" si="35"/>
        <v>0</v>
      </c>
      <c r="AY43" s="33"/>
      <c r="AZ43" s="33"/>
      <c r="BA43" s="33"/>
      <c r="BB43" s="33"/>
    </row>
    <row r="44" spans="1:54" ht="18.600000000000001" thickBot="1" x14ac:dyDescent="0.4">
      <c r="A44" s="384" t="s">
        <v>155</v>
      </c>
      <c r="B44" s="175">
        <f t="shared" si="18"/>
        <v>3</v>
      </c>
      <c r="C44" s="178">
        <f t="shared" si="19"/>
        <v>3</v>
      </c>
      <c r="D44" s="81">
        <v>1</v>
      </c>
      <c r="E44" s="79">
        <v>2</v>
      </c>
      <c r="F44" s="910"/>
      <c r="G44" s="705" t="s">
        <v>96</v>
      </c>
      <c r="H44" s="665"/>
      <c r="I44" s="178">
        <v>4.0447952712566702</v>
      </c>
      <c r="J44" s="43">
        <v>11</v>
      </c>
      <c r="K44" s="458">
        <v>3.78504220939833</v>
      </c>
      <c r="L44" s="43">
        <v>25</v>
      </c>
      <c r="M44" s="458">
        <v>3.40262701722098</v>
      </c>
      <c r="N44" s="43">
        <v>6</v>
      </c>
      <c r="O44" s="179">
        <v>0</v>
      </c>
      <c r="P44" s="43">
        <v>20</v>
      </c>
      <c r="Q44" s="661"/>
      <c r="R44" s="177">
        <v>0</v>
      </c>
      <c r="S44" s="43">
        <v>24</v>
      </c>
      <c r="T44" s="179">
        <v>4.1253525234053301</v>
      </c>
      <c r="U44" s="43">
        <v>48</v>
      </c>
      <c r="V44" s="117"/>
      <c r="W44" s="176">
        <f t="shared" si="20"/>
        <v>0</v>
      </c>
      <c r="X44" s="180">
        <f t="shared" si="21"/>
        <v>-5</v>
      </c>
      <c r="Y44" s="702">
        <f t="shared" si="22"/>
        <v>0</v>
      </c>
      <c r="Z44" s="176">
        <f t="shared" si="23"/>
        <v>0</v>
      </c>
      <c r="AA44" s="175">
        <f t="shared" si="24"/>
        <v>0</v>
      </c>
      <c r="AB44" s="668"/>
      <c r="AC44" s="177">
        <f t="shared" si="25"/>
        <v>0</v>
      </c>
      <c r="AD44" s="189">
        <f t="shared" si="26"/>
        <v>0</v>
      </c>
      <c r="AE44" s="178">
        <f t="shared" si="27"/>
        <v>0</v>
      </c>
      <c r="AF44" s="179">
        <f t="shared" si="28"/>
        <v>0</v>
      </c>
      <c r="AG44" s="178">
        <f t="shared" si="29"/>
        <v>8.0557252148659941E-2</v>
      </c>
      <c r="AH44" s="661"/>
      <c r="AI44" s="45">
        <v>4.3662328149163496</v>
      </c>
      <c r="AJ44" s="314">
        <v>20</v>
      </c>
      <c r="AK44" s="313">
        <v>4.3269887097952902</v>
      </c>
      <c r="AL44" s="314">
        <v>23</v>
      </c>
      <c r="AM44" s="313">
        <v>4.2123015189282897</v>
      </c>
      <c r="AN44" s="314">
        <v>8</v>
      </c>
      <c r="AO44" s="313">
        <v>3.6497317615804601</v>
      </c>
      <c r="AP44" s="314">
        <v>7</v>
      </c>
      <c r="AQ44" s="117"/>
      <c r="AR44" s="176">
        <f t="shared" si="30"/>
        <v>0</v>
      </c>
      <c r="AS44" s="175">
        <f t="shared" si="31"/>
        <v>-12</v>
      </c>
      <c r="AT44" s="175">
        <f t="shared" si="32"/>
        <v>-13</v>
      </c>
      <c r="AU44" s="33"/>
      <c r="AV44" s="177">
        <f t="shared" si="33"/>
        <v>0</v>
      </c>
      <c r="AW44" s="177">
        <f t="shared" si="34"/>
        <v>0</v>
      </c>
      <c r="AX44" s="178">
        <f t="shared" si="35"/>
        <v>0</v>
      </c>
      <c r="AY44" s="33"/>
      <c r="AZ44" s="33"/>
      <c r="BA44" s="33"/>
      <c r="BB44" s="33"/>
    </row>
    <row r="45" spans="1:54" ht="18.600000000000001" thickBot="1" x14ac:dyDescent="0.4">
      <c r="A45" s="384" t="s">
        <v>156</v>
      </c>
      <c r="B45" s="175">
        <f t="shared" si="18"/>
        <v>17</v>
      </c>
      <c r="C45" s="178">
        <f t="shared" si="19"/>
        <v>2</v>
      </c>
      <c r="D45" s="81">
        <v>1</v>
      </c>
      <c r="E45" s="79">
        <v>1</v>
      </c>
      <c r="F45" s="910"/>
      <c r="G45" s="705" t="s">
        <v>93</v>
      </c>
      <c r="H45" s="665"/>
      <c r="I45" s="178">
        <v>3.7463881015550902</v>
      </c>
      <c r="J45" s="43">
        <v>52</v>
      </c>
      <c r="K45" s="458">
        <v>2.7344209636730201</v>
      </c>
      <c r="L45" s="43">
        <v>51</v>
      </c>
      <c r="M45" s="458">
        <v>3.2926349837242599</v>
      </c>
      <c r="N45" s="43">
        <v>25</v>
      </c>
      <c r="O45" s="179">
        <v>2.66648879887927</v>
      </c>
      <c r="P45" s="175">
        <v>21</v>
      </c>
      <c r="Q45" s="661"/>
      <c r="R45" s="177">
        <v>2.5839711724007799</v>
      </c>
      <c r="S45" s="43">
        <v>56</v>
      </c>
      <c r="T45" s="179">
        <v>3.36905903579368</v>
      </c>
      <c r="U45" s="43">
        <v>3</v>
      </c>
      <c r="V45" s="117"/>
      <c r="W45" s="176">
        <f t="shared" si="20"/>
        <v>-1</v>
      </c>
      <c r="X45" s="180">
        <f t="shared" si="21"/>
        <v>-27</v>
      </c>
      <c r="Y45" s="702">
        <f t="shared" si="22"/>
        <v>-31</v>
      </c>
      <c r="Z45" s="176">
        <f t="shared" si="23"/>
        <v>0</v>
      </c>
      <c r="AA45" s="175">
        <f t="shared" si="24"/>
        <v>-49</v>
      </c>
      <c r="AB45" s="668"/>
      <c r="AC45" s="177">
        <f t="shared" si="25"/>
        <v>0</v>
      </c>
      <c r="AD45" s="189">
        <f t="shared" si="26"/>
        <v>0</v>
      </c>
      <c r="AE45" s="178">
        <f t="shared" si="27"/>
        <v>0</v>
      </c>
      <c r="AF45" s="179">
        <f t="shared" si="28"/>
        <v>0</v>
      </c>
      <c r="AG45" s="178">
        <f t="shared" si="29"/>
        <v>0</v>
      </c>
      <c r="AH45" s="661"/>
      <c r="AI45" s="45">
        <v>0</v>
      </c>
      <c r="AJ45" s="314">
        <v>44</v>
      </c>
      <c r="AK45" s="313">
        <v>0</v>
      </c>
      <c r="AL45" s="314">
        <v>38</v>
      </c>
      <c r="AM45" s="313">
        <v>0</v>
      </c>
      <c r="AN45" s="314">
        <v>28</v>
      </c>
      <c r="AO45" s="313">
        <v>0</v>
      </c>
      <c r="AP45" s="314">
        <v>15</v>
      </c>
      <c r="AQ45" s="117"/>
      <c r="AR45" s="176">
        <f t="shared" si="30"/>
        <v>-6</v>
      </c>
      <c r="AS45" s="175">
        <f t="shared" si="31"/>
        <v>-16</v>
      </c>
      <c r="AT45" s="175">
        <f t="shared" si="32"/>
        <v>-29</v>
      </c>
      <c r="AU45" s="33"/>
      <c r="AV45" s="177">
        <f t="shared" si="33"/>
        <v>0</v>
      </c>
      <c r="AW45" s="177">
        <f t="shared" si="34"/>
        <v>0</v>
      </c>
      <c r="AX45" s="178">
        <f t="shared" si="35"/>
        <v>0</v>
      </c>
      <c r="AY45" s="33"/>
      <c r="AZ45" s="33"/>
      <c r="BA45" s="33"/>
      <c r="BB45" s="33"/>
    </row>
    <row r="46" spans="1:54" ht="18.600000000000001" thickBot="1" x14ac:dyDescent="0.4">
      <c r="A46" s="384" t="s">
        <v>13</v>
      </c>
      <c r="B46" s="175">
        <f t="shared" si="18"/>
        <v>17</v>
      </c>
      <c r="C46" s="178">
        <f t="shared" si="19"/>
        <v>2</v>
      </c>
      <c r="D46" s="81"/>
      <c r="E46" s="79">
        <v>2</v>
      </c>
      <c r="F46" s="910"/>
      <c r="G46" s="707" t="s">
        <v>94</v>
      </c>
      <c r="H46" s="665"/>
      <c r="I46" s="178">
        <v>6.3492164527464201</v>
      </c>
      <c r="J46" s="43">
        <v>2</v>
      </c>
      <c r="K46" s="458">
        <v>3.5058634275101399</v>
      </c>
      <c r="L46" s="43">
        <v>39</v>
      </c>
      <c r="M46" s="458">
        <v>6.0602981694564999</v>
      </c>
      <c r="N46" s="43">
        <v>22</v>
      </c>
      <c r="O46" s="179">
        <v>2.1869742816032001</v>
      </c>
      <c r="P46" s="175">
        <v>22</v>
      </c>
      <c r="Q46" s="661"/>
      <c r="R46" s="177">
        <v>6.3463969443769104</v>
      </c>
      <c r="S46" s="43">
        <v>15</v>
      </c>
      <c r="T46" s="179">
        <v>1.57248051509869</v>
      </c>
      <c r="U46" s="43">
        <v>1</v>
      </c>
      <c r="V46" s="117"/>
      <c r="W46" s="176">
        <f t="shared" si="20"/>
        <v>0</v>
      </c>
      <c r="X46" s="180">
        <f t="shared" si="21"/>
        <v>0</v>
      </c>
      <c r="Y46" s="702">
        <f t="shared" si="22"/>
        <v>0</v>
      </c>
      <c r="Z46" s="176">
        <f t="shared" si="23"/>
        <v>0</v>
      </c>
      <c r="AA46" s="175">
        <f t="shared" si="24"/>
        <v>-1</v>
      </c>
      <c r="AB46" s="668"/>
      <c r="AC46" s="177">
        <f t="shared" si="25"/>
        <v>0</v>
      </c>
      <c r="AD46" s="189">
        <f t="shared" si="26"/>
        <v>0</v>
      </c>
      <c r="AE46" s="178">
        <f t="shared" si="27"/>
        <v>0</v>
      </c>
      <c r="AF46" s="179">
        <f t="shared" si="28"/>
        <v>0</v>
      </c>
      <c r="AG46" s="178">
        <f t="shared" si="29"/>
        <v>0</v>
      </c>
      <c r="AH46" s="661"/>
      <c r="AI46" s="45">
        <v>1.5066921456690601</v>
      </c>
      <c r="AJ46" s="314">
        <v>41</v>
      </c>
      <c r="AK46" s="313">
        <v>0</v>
      </c>
      <c r="AL46" s="314">
        <v>44</v>
      </c>
      <c r="AM46" s="313">
        <v>1.7446832712034701</v>
      </c>
      <c r="AN46" s="314">
        <v>21</v>
      </c>
      <c r="AO46" s="313">
        <v>0</v>
      </c>
      <c r="AP46" s="314">
        <v>44</v>
      </c>
      <c r="AQ46" s="117"/>
      <c r="AR46" s="176">
        <f t="shared" si="30"/>
        <v>0</v>
      </c>
      <c r="AS46" s="175">
        <f t="shared" si="31"/>
        <v>-20</v>
      </c>
      <c r="AT46" s="175">
        <f t="shared" si="32"/>
        <v>0</v>
      </c>
      <c r="AU46" s="33"/>
      <c r="AV46" s="177">
        <f t="shared" si="33"/>
        <v>0</v>
      </c>
      <c r="AW46" s="177">
        <f t="shared" si="34"/>
        <v>0.23799112553441004</v>
      </c>
      <c r="AX46" s="178">
        <f t="shared" si="35"/>
        <v>0</v>
      </c>
      <c r="AY46" s="33"/>
      <c r="AZ46" s="33"/>
      <c r="BA46" s="33"/>
      <c r="BB46" s="33"/>
    </row>
    <row r="47" spans="1:54" ht="18.600000000000001" thickBot="1" x14ac:dyDescent="0.4">
      <c r="A47" s="384" t="s">
        <v>25</v>
      </c>
      <c r="B47" s="175">
        <f t="shared" si="18"/>
        <v>17</v>
      </c>
      <c r="C47" s="178">
        <f t="shared" si="19"/>
        <v>2</v>
      </c>
      <c r="D47" s="81">
        <v>1</v>
      </c>
      <c r="E47" s="79">
        <v>1</v>
      </c>
      <c r="F47" s="910"/>
      <c r="G47" s="705" t="s">
        <v>93</v>
      </c>
      <c r="H47" s="665"/>
      <c r="I47" s="178">
        <v>2.4698884927300901</v>
      </c>
      <c r="J47" s="43">
        <v>46</v>
      </c>
      <c r="K47" s="458">
        <v>2.3170643678256102</v>
      </c>
      <c r="L47" s="43">
        <v>4</v>
      </c>
      <c r="M47" s="458">
        <v>1.8717857048664901</v>
      </c>
      <c r="N47" s="43">
        <v>23</v>
      </c>
      <c r="O47" s="179">
        <v>0</v>
      </c>
      <c r="P47" s="43">
        <v>23</v>
      </c>
      <c r="Q47" s="661"/>
      <c r="R47" s="177">
        <v>2.1205158617702899</v>
      </c>
      <c r="S47" s="43">
        <v>7</v>
      </c>
      <c r="T47" s="179">
        <v>2.1360187592212099</v>
      </c>
      <c r="U47" s="43">
        <v>36</v>
      </c>
      <c r="V47" s="117"/>
      <c r="W47" s="176">
        <f t="shared" si="20"/>
        <v>-42</v>
      </c>
      <c r="X47" s="180">
        <f t="shared" si="21"/>
        <v>-23</v>
      </c>
      <c r="Y47" s="702">
        <f t="shared" si="22"/>
        <v>-23</v>
      </c>
      <c r="Z47" s="176">
        <f t="shared" si="23"/>
        <v>-39</v>
      </c>
      <c r="AA47" s="175">
        <f t="shared" si="24"/>
        <v>-10</v>
      </c>
      <c r="AB47" s="668"/>
      <c r="AC47" s="177">
        <f t="shared" si="25"/>
        <v>0</v>
      </c>
      <c r="AD47" s="189">
        <f t="shared" si="26"/>
        <v>0</v>
      </c>
      <c r="AE47" s="178">
        <f t="shared" si="27"/>
        <v>0</v>
      </c>
      <c r="AF47" s="179">
        <f t="shared" si="28"/>
        <v>0</v>
      </c>
      <c r="AG47" s="178">
        <f t="shared" si="29"/>
        <v>0</v>
      </c>
      <c r="AH47" s="661"/>
      <c r="AI47" s="45">
        <v>0</v>
      </c>
      <c r="AJ47" s="314">
        <v>44</v>
      </c>
      <c r="AK47" s="313">
        <v>0</v>
      </c>
      <c r="AL47" s="314">
        <v>44</v>
      </c>
      <c r="AM47" s="313">
        <v>0</v>
      </c>
      <c r="AN47" s="314">
        <v>44</v>
      </c>
      <c r="AO47" s="313">
        <v>0</v>
      </c>
      <c r="AP47" s="314">
        <v>44</v>
      </c>
      <c r="AQ47" s="117"/>
      <c r="AR47" s="176">
        <f t="shared" si="30"/>
        <v>0</v>
      </c>
      <c r="AS47" s="175">
        <f t="shared" si="31"/>
        <v>0</v>
      </c>
      <c r="AT47" s="175">
        <f t="shared" si="32"/>
        <v>0</v>
      </c>
      <c r="AU47" s="33"/>
      <c r="AV47" s="177">
        <f t="shared" si="33"/>
        <v>0</v>
      </c>
      <c r="AW47" s="177">
        <f t="shared" si="34"/>
        <v>0</v>
      </c>
      <c r="AX47" s="178">
        <f t="shared" si="35"/>
        <v>0</v>
      </c>
      <c r="AY47" s="33"/>
      <c r="AZ47" s="33"/>
      <c r="BA47" s="33"/>
      <c r="BB47" s="33"/>
    </row>
    <row r="48" spans="1:54" ht="18.600000000000001" thickBot="1" x14ac:dyDescent="0.4">
      <c r="A48" s="384" t="s">
        <v>472</v>
      </c>
      <c r="B48" s="175">
        <f t="shared" si="18"/>
        <v>3</v>
      </c>
      <c r="C48" s="178">
        <f t="shared" si="19"/>
        <v>3</v>
      </c>
      <c r="D48" s="81">
        <v>2</v>
      </c>
      <c r="E48" s="79">
        <v>1</v>
      </c>
      <c r="F48" s="910"/>
      <c r="G48" s="705" t="s">
        <v>93</v>
      </c>
      <c r="H48" s="665"/>
      <c r="I48" s="178">
        <v>3.7484480092545298</v>
      </c>
      <c r="J48" s="43">
        <v>28</v>
      </c>
      <c r="K48" s="458">
        <v>2.30590533429192</v>
      </c>
      <c r="L48" s="43">
        <v>52</v>
      </c>
      <c r="M48" s="458">
        <v>3.4474798794033901</v>
      </c>
      <c r="N48" s="43">
        <v>41</v>
      </c>
      <c r="O48" s="179">
        <v>3.33475533289996</v>
      </c>
      <c r="P48" s="175">
        <v>24</v>
      </c>
      <c r="Q48" s="661"/>
      <c r="R48" s="177">
        <v>3.1137550191849499</v>
      </c>
      <c r="S48" s="43">
        <v>9</v>
      </c>
      <c r="T48" s="179">
        <v>3.7596605062849102</v>
      </c>
      <c r="U48" s="43">
        <v>4</v>
      </c>
      <c r="V48" s="117"/>
      <c r="W48" s="176">
        <f t="shared" si="20"/>
        <v>0</v>
      </c>
      <c r="X48" s="180">
        <f t="shared" si="21"/>
        <v>0</v>
      </c>
      <c r="Y48" s="702">
        <f t="shared" si="22"/>
        <v>-4</v>
      </c>
      <c r="Z48" s="176">
        <f t="shared" si="23"/>
        <v>-19</v>
      </c>
      <c r="AA48" s="175">
        <f t="shared" si="24"/>
        <v>-24</v>
      </c>
      <c r="AB48" s="668"/>
      <c r="AC48" s="177">
        <f t="shared" si="25"/>
        <v>0</v>
      </c>
      <c r="AD48" s="189">
        <f t="shared" si="26"/>
        <v>0</v>
      </c>
      <c r="AE48" s="178">
        <f t="shared" si="27"/>
        <v>0</v>
      </c>
      <c r="AF48" s="179">
        <f t="shared" si="28"/>
        <v>0</v>
      </c>
      <c r="AG48" s="178">
        <f t="shared" si="29"/>
        <v>1.1212497030380408E-2</v>
      </c>
      <c r="AH48" s="661"/>
      <c r="AI48" s="45">
        <v>2.4591344959510302</v>
      </c>
      <c r="AJ48" s="314">
        <v>35</v>
      </c>
      <c r="AK48" s="313">
        <v>2.73072449864434</v>
      </c>
      <c r="AL48" s="314">
        <v>34</v>
      </c>
      <c r="AM48" s="313">
        <v>0</v>
      </c>
      <c r="AN48" s="314">
        <v>44</v>
      </c>
      <c r="AO48" s="313">
        <v>0</v>
      </c>
      <c r="AP48" s="314">
        <v>44</v>
      </c>
      <c r="AQ48" s="117"/>
      <c r="AR48" s="176">
        <f t="shared" si="30"/>
        <v>-1</v>
      </c>
      <c r="AS48" s="175">
        <f t="shared" si="31"/>
        <v>0</v>
      </c>
      <c r="AT48" s="175">
        <f t="shared" si="32"/>
        <v>0</v>
      </c>
      <c r="AU48" s="33"/>
      <c r="AV48" s="177">
        <f t="shared" si="33"/>
        <v>0.2715900026933098</v>
      </c>
      <c r="AW48" s="177">
        <f t="shared" si="34"/>
        <v>0</v>
      </c>
      <c r="AX48" s="178">
        <f t="shared" si="35"/>
        <v>0</v>
      </c>
      <c r="AY48" s="33"/>
      <c r="AZ48" s="33"/>
      <c r="BA48" s="33"/>
      <c r="BB48" s="33"/>
    </row>
    <row r="49" spans="1:54" ht="18.600000000000001" thickBot="1" x14ac:dyDescent="0.4">
      <c r="A49" s="384" t="s">
        <v>130</v>
      </c>
      <c r="B49" s="175">
        <f t="shared" si="18"/>
        <v>17</v>
      </c>
      <c r="C49" s="178">
        <f t="shared" si="19"/>
        <v>2</v>
      </c>
      <c r="D49" s="81">
        <v>1</v>
      </c>
      <c r="E49" s="79">
        <v>1</v>
      </c>
      <c r="F49" s="910"/>
      <c r="G49" s="705" t="s">
        <v>93</v>
      </c>
      <c r="H49" s="665"/>
      <c r="I49" s="178">
        <v>10</v>
      </c>
      <c r="J49" s="43">
        <v>51</v>
      </c>
      <c r="K49" s="458">
        <v>11.152580947453099</v>
      </c>
      <c r="L49" s="43">
        <v>28</v>
      </c>
      <c r="M49" s="458">
        <v>8.8481770903463097</v>
      </c>
      <c r="N49" s="43">
        <v>3</v>
      </c>
      <c r="O49" s="179">
        <v>10</v>
      </c>
      <c r="P49" s="175">
        <v>26</v>
      </c>
      <c r="Q49" s="661"/>
      <c r="R49" s="177">
        <v>7.4995744765803298</v>
      </c>
      <c r="S49" s="43">
        <v>10</v>
      </c>
      <c r="T49" s="179">
        <v>13.151953381285599</v>
      </c>
      <c r="U49" s="43">
        <v>41</v>
      </c>
      <c r="V49" s="117"/>
      <c r="W49" s="176">
        <f t="shared" si="20"/>
        <v>-23</v>
      </c>
      <c r="X49" s="180">
        <f t="shared" si="21"/>
        <v>-48</v>
      </c>
      <c r="Y49" s="702">
        <f t="shared" si="22"/>
        <v>-25</v>
      </c>
      <c r="Z49" s="176">
        <f t="shared" si="23"/>
        <v>-41</v>
      </c>
      <c r="AA49" s="175">
        <f t="shared" si="24"/>
        <v>-10</v>
      </c>
      <c r="AB49" s="668"/>
      <c r="AC49" s="177">
        <f t="shared" si="25"/>
        <v>1.1525809474530995</v>
      </c>
      <c r="AD49" s="189">
        <f t="shared" si="26"/>
        <v>0</v>
      </c>
      <c r="AE49" s="178">
        <f t="shared" si="27"/>
        <v>0</v>
      </c>
      <c r="AF49" s="179">
        <f t="shared" si="28"/>
        <v>0</v>
      </c>
      <c r="AG49" s="178">
        <f t="shared" si="29"/>
        <v>3.1519533812855993</v>
      </c>
      <c r="AH49" s="661"/>
      <c r="AI49" s="45">
        <v>1.5066921456690601</v>
      </c>
      <c r="AJ49" s="314">
        <v>41</v>
      </c>
      <c r="AK49" s="313">
        <v>0</v>
      </c>
      <c r="AL49" s="314">
        <v>44</v>
      </c>
      <c r="AM49" s="313">
        <v>1.7446832712034701</v>
      </c>
      <c r="AN49" s="314">
        <v>21</v>
      </c>
      <c r="AO49" s="313">
        <v>0</v>
      </c>
      <c r="AP49" s="314">
        <v>44</v>
      </c>
      <c r="AQ49" s="117"/>
      <c r="AR49" s="176">
        <f t="shared" si="30"/>
        <v>0</v>
      </c>
      <c r="AS49" s="175">
        <f t="shared" si="31"/>
        <v>-20</v>
      </c>
      <c r="AT49" s="175">
        <f t="shared" si="32"/>
        <v>0</v>
      </c>
      <c r="AU49" s="33"/>
      <c r="AV49" s="177">
        <f t="shared" si="33"/>
        <v>0</v>
      </c>
      <c r="AW49" s="177">
        <f t="shared" si="34"/>
        <v>0.23799112553441004</v>
      </c>
      <c r="AX49" s="178">
        <f t="shared" si="35"/>
        <v>0</v>
      </c>
      <c r="AY49" s="33"/>
      <c r="AZ49" s="33"/>
      <c r="BA49" s="33"/>
      <c r="BB49" s="33"/>
    </row>
    <row r="50" spans="1:54" ht="18.600000000000001" thickBot="1" x14ac:dyDescent="0.4">
      <c r="A50" s="384" t="s">
        <v>19</v>
      </c>
      <c r="B50" s="175">
        <f t="shared" si="18"/>
        <v>30</v>
      </c>
      <c r="C50" s="178">
        <f t="shared" si="19"/>
        <v>1</v>
      </c>
      <c r="D50" s="81"/>
      <c r="E50" s="79">
        <v>1</v>
      </c>
      <c r="F50" s="910"/>
      <c r="G50" s="705" t="s">
        <v>93</v>
      </c>
      <c r="H50" s="665"/>
      <c r="I50" s="178">
        <v>3.6949157100907</v>
      </c>
      <c r="J50" s="43">
        <v>32</v>
      </c>
      <c r="K50" s="458">
        <v>3.3569326712805201</v>
      </c>
      <c r="L50" s="43">
        <v>48</v>
      </c>
      <c r="M50" s="458">
        <v>3.2412603611034698</v>
      </c>
      <c r="N50" s="43">
        <v>36</v>
      </c>
      <c r="O50" s="179">
        <v>0</v>
      </c>
      <c r="P50" s="43">
        <v>27</v>
      </c>
      <c r="Q50" s="661"/>
      <c r="R50" s="177">
        <v>3.68122755232972</v>
      </c>
      <c r="S50" s="43">
        <v>11</v>
      </c>
      <c r="T50" s="179">
        <v>1.8717857048664901</v>
      </c>
      <c r="U50" s="43">
        <v>20</v>
      </c>
      <c r="V50" s="117"/>
      <c r="W50" s="176">
        <f t="shared" si="20"/>
        <v>0</v>
      </c>
      <c r="X50" s="180">
        <f t="shared" si="21"/>
        <v>0</v>
      </c>
      <c r="Y50" s="702">
        <f t="shared" si="22"/>
        <v>-5</v>
      </c>
      <c r="Z50" s="176">
        <f t="shared" si="23"/>
        <v>-21</v>
      </c>
      <c r="AA50" s="175">
        <f t="shared" si="24"/>
        <v>-12</v>
      </c>
      <c r="AB50" s="668"/>
      <c r="AC50" s="177">
        <f t="shared" si="25"/>
        <v>0</v>
      </c>
      <c r="AD50" s="189">
        <f t="shared" si="26"/>
        <v>0</v>
      </c>
      <c r="AE50" s="178">
        <f t="shared" si="27"/>
        <v>0</v>
      </c>
      <c r="AF50" s="179">
        <f t="shared" si="28"/>
        <v>0</v>
      </c>
      <c r="AG50" s="178">
        <f t="shared" si="29"/>
        <v>0</v>
      </c>
      <c r="AH50" s="661"/>
      <c r="AI50" s="45">
        <v>0</v>
      </c>
      <c r="AJ50" s="314">
        <v>44</v>
      </c>
      <c r="AK50" s="313">
        <v>0</v>
      </c>
      <c r="AL50" s="314">
        <v>44</v>
      </c>
      <c r="AM50" s="313">
        <v>0</v>
      </c>
      <c r="AN50" s="314">
        <v>44</v>
      </c>
      <c r="AO50" s="313">
        <v>0</v>
      </c>
      <c r="AP50" s="314">
        <v>44</v>
      </c>
      <c r="AQ50" s="117"/>
      <c r="AR50" s="176">
        <f t="shared" si="30"/>
        <v>0</v>
      </c>
      <c r="AS50" s="175">
        <f t="shared" si="31"/>
        <v>0</v>
      </c>
      <c r="AT50" s="175">
        <f t="shared" si="32"/>
        <v>0</v>
      </c>
      <c r="AU50" s="33"/>
      <c r="AV50" s="177">
        <f t="shared" si="33"/>
        <v>0</v>
      </c>
      <c r="AW50" s="177">
        <f t="shared" si="34"/>
        <v>0</v>
      </c>
      <c r="AX50" s="178">
        <f t="shared" si="35"/>
        <v>0</v>
      </c>
      <c r="AY50" s="33"/>
      <c r="AZ50" s="33"/>
      <c r="BA50" s="33"/>
      <c r="BB50" s="33"/>
    </row>
    <row r="51" spans="1:54" ht="18.600000000000001" thickBot="1" x14ac:dyDescent="0.4">
      <c r="A51" s="384" t="s">
        <v>211</v>
      </c>
      <c r="B51" s="175">
        <f t="shared" si="18"/>
        <v>17</v>
      </c>
      <c r="C51" s="178">
        <f t="shared" si="19"/>
        <v>2</v>
      </c>
      <c r="D51" s="81">
        <v>1</v>
      </c>
      <c r="E51" s="79">
        <v>1</v>
      </c>
      <c r="F51" s="910"/>
      <c r="G51" s="705" t="s">
        <v>93</v>
      </c>
      <c r="H51" s="665"/>
      <c r="I51" s="178">
        <v>2.5061447170814</v>
      </c>
      <c r="J51" s="43">
        <v>49</v>
      </c>
      <c r="K51" s="458">
        <v>0</v>
      </c>
      <c r="L51" s="43">
        <v>41</v>
      </c>
      <c r="M51" s="458">
        <v>2.4348470125270398</v>
      </c>
      <c r="N51" s="43">
        <v>56</v>
      </c>
      <c r="O51" s="179">
        <v>1.6377338936901</v>
      </c>
      <c r="P51" s="175">
        <v>28</v>
      </c>
      <c r="Q51" s="661"/>
      <c r="R51" s="177">
        <v>2.5061447170814</v>
      </c>
      <c r="S51" s="43">
        <v>14</v>
      </c>
      <c r="T51" s="179">
        <v>0</v>
      </c>
      <c r="U51" s="43">
        <v>33</v>
      </c>
      <c r="V51" s="117"/>
      <c r="W51" s="176">
        <f t="shared" si="20"/>
        <v>-8</v>
      </c>
      <c r="X51" s="180">
        <f t="shared" si="21"/>
        <v>0</v>
      </c>
      <c r="Y51" s="702">
        <f t="shared" si="22"/>
        <v>-21</v>
      </c>
      <c r="Z51" s="176">
        <f t="shared" si="23"/>
        <v>-35</v>
      </c>
      <c r="AA51" s="175">
        <f t="shared" si="24"/>
        <v>-16</v>
      </c>
      <c r="AB51" s="668"/>
      <c r="AC51" s="177">
        <f t="shared" si="25"/>
        <v>0</v>
      </c>
      <c r="AD51" s="189">
        <f t="shared" si="26"/>
        <v>0</v>
      </c>
      <c r="AE51" s="178">
        <f t="shared" si="27"/>
        <v>0</v>
      </c>
      <c r="AF51" s="179">
        <f t="shared" si="28"/>
        <v>0</v>
      </c>
      <c r="AG51" s="178">
        <f t="shared" si="29"/>
        <v>0</v>
      </c>
      <c r="AH51" s="661"/>
      <c r="AI51" s="45">
        <v>2.4591344959510302</v>
      </c>
      <c r="AJ51" s="314">
        <v>35</v>
      </c>
      <c r="AK51" s="313">
        <v>2.73072449864434</v>
      </c>
      <c r="AL51" s="314">
        <v>34</v>
      </c>
      <c r="AM51" s="313">
        <v>0</v>
      </c>
      <c r="AN51" s="314">
        <v>44</v>
      </c>
      <c r="AO51" s="313">
        <v>0</v>
      </c>
      <c r="AP51" s="314">
        <v>44</v>
      </c>
      <c r="AQ51" s="117"/>
      <c r="AR51" s="176">
        <f t="shared" si="30"/>
        <v>-1</v>
      </c>
      <c r="AS51" s="175">
        <f t="shared" si="31"/>
        <v>0</v>
      </c>
      <c r="AT51" s="175">
        <f t="shared" si="32"/>
        <v>0</v>
      </c>
      <c r="AU51" s="33"/>
      <c r="AV51" s="177">
        <f t="shared" si="33"/>
        <v>0.2715900026933098</v>
      </c>
      <c r="AW51" s="177">
        <f t="shared" si="34"/>
        <v>0</v>
      </c>
      <c r="AX51" s="178">
        <f t="shared" si="35"/>
        <v>0</v>
      </c>
      <c r="AY51" s="33"/>
      <c r="AZ51" s="33"/>
      <c r="BA51" s="33"/>
      <c r="BB51" s="33"/>
    </row>
    <row r="52" spans="1:54" ht="18.600000000000001" thickBot="1" x14ac:dyDescent="0.4">
      <c r="A52" s="384" t="s">
        <v>157</v>
      </c>
      <c r="B52" s="175">
        <f t="shared" si="18"/>
        <v>49</v>
      </c>
      <c r="C52" s="178">
        <f t="shared" si="19"/>
        <v>0</v>
      </c>
      <c r="D52" s="81"/>
      <c r="E52" s="79"/>
      <c r="F52" s="910"/>
      <c r="G52" s="707"/>
      <c r="H52" s="665"/>
      <c r="I52" s="178">
        <v>3.4295130196147898</v>
      </c>
      <c r="J52" s="43">
        <v>36</v>
      </c>
      <c r="K52" s="458">
        <v>0</v>
      </c>
      <c r="L52" s="43">
        <v>42</v>
      </c>
      <c r="M52" s="458">
        <v>3.1988748506097302</v>
      </c>
      <c r="N52" s="43">
        <v>9</v>
      </c>
      <c r="O52" s="179">
        <v>2.0181622164907198</v>
      </c>
      <c r="P52" s="175">
        <v>32</v>
      </c>
      <c r="Q52" s="661"/>
      <c r="R52" s="177">
        <v>3.2452968532537398</v>
      </c>
      <c r="S52" s="43">
        <v>20</v>
      </c>
      <c r="T52" s="179">
        <v>1.97023269056094</v>
      </c>
      <c r="U52" s="43">
        <v>46</v>
      </c>
      <c r="V52" s="117"/>
      <c r="W52" s="176">
        <f t="shared" si="20"/>
        <v>0</v>
      </c>
      <c r="X52" s="180">
        <f t="shared" si="21"/>
        <v>-27</v>
      </c>
      <c r="Y52" s="702">
        <f t="shared" si="22"/>
        <v>-4</v>
      </c>
      <c r="Z52" s="176">
        <f t="shared" si="23"/>
        <v>-16</v>
      </c>
      <c r="AA52" s="175">
        <f t="shared" si="24"/>
        <v>0</v>
      </c>
      <c r="AB52" s="668"/>
      <c r="AC52" s="177">
        <f t="shared" si="25"/>
        <v>0</v>
      </c>
      <c r="AD52" s="189">
        <f t="shared" si="26"/>
        <v>0</v>
      </c>
      <c r="AE52" s="178">
        <f t="shared" si="27"/>
        <v>0</v>
      </c>
      <c r="AF52" s="179">
        <f t="shared" si="28"/>
        <v>0</v>
      </c>
      <c r="AG52" s="178">
        <f t="shared" si="29"/>
        <v>0</v>
      </c>
      <c r="AH52" s="661"/>
      <c r="AI52" s="45">
        <v>0</v>
      </c>
      <c r="AJ52" s="314">
        <v>44</v>
      </c>
      <c r="AK52" s="313">
        <v>0</v>
      </c>
      <c r="AL52" s="314">
        <v>44</v>
      </c>
      <c r="AM52" s="313">
        <v>0</v>
      </c>
      <c r="AN52" s="314">
        <v>44</v>
      </c>
      <c r="AO52" s="313">
        <v>0</v>
      </c>
      <c r="AP52" s="314">
        <v>44</v>
      </c>
      <c r="AQ52" s="117"/>
      <c r="AR52" s="176">
        <f t="shared" si="30"/>
        <v>0</v>
      </c>
      <c r="AS52" s="175">
        <f t="shared" si="31"/>
        <v>0</v>
      </c>
      <c r="AT52" s="175">
        <f t="shared" si="32"/>
        <v>0</v>
      </c>
      <c r="AU52" s="33"/>
      <c r="AV52" s="177">
        <f t="shared" si="33"/>
        <v>0</v>
      </c>
      <c r="AW52" s="177">
        <f t="shared" si="34"/>
        <v>0</v>
      </c>
      <c r="AX52" s="178">
        <f t="shared" si="35"/>
        <v>0</v>
      </c>
      <c r="AY52" s="33"/>
      <c r="AZ52" s="33"/>
      <c r="BA52" s="33"/>
      <c r="BB52" s="33"/>
    </row>
    <row r="53" spans="1:54" ht="18.600000000000001" thickBot="1" x14ac:dyDescent="0.4">
      <c r="A53" s="384" t="s">
        <v>126</v>
      </c>
      <c r="B53" s="175">
        <f t="shared" si="18"/>
        <v>49</v>
      </c>
      <c r="C53" s="178">
        <f t="shared" si="19"/>
        <v>0</v>
      </c>
      <c r="D53" s="81"/>
      <c r="E53" s="79"/>
      <c r="F53" s="910"/>
      <c r="G53" s="707"/>
      <c r="H53" s="665"/>
      <c r="I53" s="178">
        <v>8.7412085466832998</v>
      </c>
      <c r="J53" s="43">
        <v>24</v>
      </c>
      <c r="K53" s="458">
        <v>8.2476830041455695</v>
      </c>
      <c r="L53" s="43">
        <v>36</v>
      </c>
      <c r="M53" s="458">
        <v>6.39640492462157</v>
      </c>
      <c r="N53" s="43">
        <v>24</v>
      </c>
      <c r="O53" s="179">
        <v>3.8841118407636501</v>
      </c>
      <c r="P53" s="175">
        <v>35</v>
      </c>
      <c r="Q53" s="661"/>
      <c r="R53" s="177">
        <v>7.0001586425483504</v>
      </c>
      <c r="S53" s="43">
        <v>22</v>
      </c>
      <c r="T53" s="179">
        <v>8.0498219956243098</v>
      </c>
      <c r="U53" s="43">
        <v>44</v>
      </c>
      <c r="V53" s="117"/>
      <c r="W53" s="176">
        <f t="shared" si="20"/>
        <v>0</v>
      </c>
      <c r="X53" s="180">
        <f t="shared" si="21"/>
        <v>0</v>
      </c>
      <c r="Y53" s="702">
        <f t="shared" si="22"/>
        <v>0</v>
      </c>
      <c r="Z53" s="176">
        <f t="shared" si="23"/>
        <v>-2</v>
      </c>
      <c r="AA53" s="175">
        <f t="shared" si="24"/>
        <v>0</v>
      </c>
      <c r="AB53" s="668"/>
      <c r="AC53" s="177">
        <f t="shared" si="25"/>
        <v>0</v>
      </c>
      <c r="AD53" s="189">
        <f t="shared" si="26"/>
        <v>0</v>
      </c>
      <c r="AE53" s="178">
        <f t="shared" si="27"/>
        <v>0</v>
      </c>
      <c r="AF53" s="179">
        <f t="shared" si="28"/>
        <v>0</v>
      </c>
      <c r="AG53" s="178">
        <f t="shared" si="29"/>
        <v>0</v>
      </c>
      <c r="AH53" s="661"/>
      <c r="AI53" s="45">
        <v>9.7465731314616093</v>
      </c>
      <c r="AJ53" s="314">
        <v>2</v>
      </c>
      <c r="AK53" s="313">
        <v>7.7729406452055398</v>
      </c>
      <c r="AL53" s="314">
        <v>5</v>
      </c>
      <c r="AM53" s="313">
        <v>10</v>
      </c>
      <c r="AN53" s="314">
        <v>1</v>
      </c>
      <c r="AO53" s="313">
        <v>10</v>
      </c>
      <c r="AP53" s="314">
        <v>1</v>
      </c>
      <c r="AQ53" s="117"/>
      <c r="AR53" s="176">
        <f t="shared" si="30"/>
        <v>0</v>
      </c>
      <c r="AS53" s="175">
        <f t="shared" si="31"/>
        <v>-1</v>
      </c>
      <c r="AT53" s="175">
        <f t="shared" si="32"/>
        <v>-1</v>
      </c>
      <c r="AU53" s="33"/>
      <c r="AV53" s="177">
        <f t="shared" si="33"/>
        <v>0</v>
      </c>
      <c r="AW53" s="177">
        <f t="shared" si="34"/>
        <v>0.25342686853839069</v>
      </c>
      <c r="AX53" s="178">
        <f t="shared" si="35"/>
        <v>0.25342686853839069</v>
      </c>
      <c r="AY53" s="33"/>
      <c r="AZ53" s="33"/>
      <c r="BA53" s="33"/>
      <c r="BB53" s="33"/>
    </row>
    <row r="54" spans="1:54" ht="18.600000000000001" thickBot="1" x14ac:dyDescent="0.4">
      <c r="A54" s="384" t="s">
        <v>158</v>
      </c>
      <c r="B54" s="175">
        <f t="shared" si="18"/>
        <v>17</v>
      </c>
      <c r="C54" s="178">
        <f t="shared" si="19"/>
        <v>2</v>
      </c>
      <c r="D54" s="81"/>
      <c r="E54" s="79">
        <v>2</v>
      </c>
      <c r="F54" s="910"/>
      <c r="G54" s="707" t="s">
        <v>94</v>
      </c>
      <c r="H54" s="665"/>
      <c r="I54" s="178">
        <v>2.1880535056712</v>
      </c>
      <c r="J54" s="43">
        <v>21</v>
      </c>
      <c r="K54" s="458">
        <v>2.3743572669099802</v>
      </c>
      <c r="L54" s="43">
        <v>20</v>
      </c>
      <c r="M54" s="458">
        <v>0</v>
      </c>
      <c r="N54" s="43">
        <v>11</v>
      </c>
      <c r="O54" s="179">
        <v>0</v>
      </c>
      <c r="P54" s="43">
        <v>38</v>
      </c>
      <c r="Q54" s="661"/>
      <c r="R54" s="177">
        <v>0</v>
      </c>
      <c r="S54" s="43">
        <v>23</v>
      </c>
      <c r="T54" s="179">
        <v>2.3743572669099802</v>
      </c>
      <c r="U54" s="43">
        <v>50</v>
      </c>
      <c r="V54" s="117"/>
      <c r="W54" s="176">
        <f t="shared" si="20"/>
        <v>-1</v>
      </c>
      <c r="X54" s="180">
        <f t="shared" si="21"/>
        <v>-10</v>
      </c>
      <c r="Y54" s="702">
        <f t="shared" si="22"/>
        <v>0</v>
      </c>
      <c r="Z54" s="176">
        <f t="shared" si="23"/>
        <v>0</v>
      </c>
      <c r="AA54" s="175">
        <f t="shared" si="24"/>
        <v>0</v>
      </c>
      <c r="AB54" s="668"/>
      <c r="AC54" s="177">
        <f t="shared" si="25"/>
        <v>0.18630376123878012</v>
      </c>
      <c r="AD54" s="189">
        <f t="shared" si="26"/>
        <v>0</v>
      </c>
      <c r="AE54" s="178">
        <f t="shared" si="27"/>
        <v>0</v>
      </c>
      <c r="AF54" s="179">
        <f t="shared" si="28"/>
        <v>0</v>
      </c>
      <c r="AG54" s="178">
        <f t="shared" si="29"/>
        <v>0.18630376123878012</v>
      </c>
      <c r="AH54" s="661"/>
      <c r="AI54" s="45">
        <v>0</v>
      </c>
      <c r="AJ54" s="314">
        <v>44</v>
      </c>
      <c r="AK54" s="313">
        <v>0</v>
      </c>
      <c r="AL54" s="314">
        <v>44</v>
      </c>
      <c r="AM54" s="313">
        <v>0</v>
      </c>
      <c r="AN54" s="314">
        <v>28</v>
      </c>
      <c r="AO54" s="313">
        <v>0</v>
      </c>
      <c r="AP54" s="314">
        <v>44</v>
      </c>
      <c r="AQ54" s="117"/>
      <c r="AR54" s="176">
        <f t="shared" si="30"/>
        <v>0</v>
      </c>
      <c r="AS54" s="175">
        <f t="shared" si="31"/>
        <v>-16</v>
      </c>
      <c r="AT54" s="175">
        <f t="shared" si="32"/>
        <v>0</v>
      </c>
      <c r="AU54" s="33"/>
      <c r="AV54" s="177">
        <f t="shared" si="33"/>
        <v>0</v>
      </c>
      <c r="AW54" s="177">
        <f t="shared" si="34"/>
        <v>0</v>
      </c>
      <c r="AX54" s="178">
        <f t="shared" si="35"/>
        <v>0</v>
      </c>
      <c r="AY54" s="33"/>
      <c r="AZ54" s="33"/>
      <c r="BA54" s="33"/>
      <c r="BB54" s="33"/>
    </row>
    <row r="55" spans="1:54" ht="18.600000000000001" thickBot="1" x14ac:dyDescent="0.4">
      <c r="A55" s="384" t="s">
        <v>213</v>
      </c>
      <c r="B55" s="175">
        <f t="shared" si="18"/>
        <v>30</v>
      </c>
      <c r="C55" s="178">
        <f t="shared" si="19"/>
        <v>1</v>
      </c>
      <c r="D55" s="81"/>
      <c r="E55" s="79">
        <v>1</v>
      </c>
      <c r="F55" s="910"/>
      <c r="G55" s="705" t="s">
        <v>93</v>
      </c>
      <c r="H55" s="665"/>
      <c r="I55" s="178">
        <v>2.9546617478096202</v>
      </c>
      <c r="J55" s="43">
        <v>45</v>
      </c>
      <c r="K55" s="458">
        <v>2.9737251297338401</v>
      </c>
      <c r="L55" s="43">
        <v>50</v>
      </c>
      <c r="M55" s="458">
        <v>2.74855654193503</v>
      </c>
      <c r="N55" s="43">
        <v>16</v>
      </c>
      <c r="O55" s="179">
        <v>2.87771777023461</v>
      </c>
      <c r="P55" s="175">
        <v>41</v>
      </c>
      <c r="Q55" s="661"/>
      <c r="R55" s="177">
        <v>2.9466144040914601</v>
      </c>
      <c r="S55" s="43">
        <v>26</v>
      </c>
      <c r="T55" s="179">
        <v>1.67827374074846</v>
      </c>
      <c r="U55" s="43">
        <v>49</v>
      </c>
      <c r="V55" s="117"/>
      <c r="W55" s="176">
        <f t="shared" si="20"/>
        <v>0</v>
      </c>
      <c r="X55" s="180">
        <f t="shared" si="21"/>
        <v>-29</v>
      </c>
      <c r="Y55" s="702">
        <f t="shared" si="22"/>
        <v>-4</v>
      </c>
      <c r="Z55" s="176">
        <f t="shared" si="23"/>
        <v>-19</v>
      </c>
      <c r="AA55" s="175">
        <f t="shared" si="24"/>
        <v>0</v>
      </c>
      <c r="AB55" s="668"/>
      <c r="AC55" s="177">
        <f t="shared" si="25"/>
        <v>1.9063381924219858E-2</v>
      </c>
      <c r="AD55" s="189">
        <f t="shared" si="26"/>
        <v>0</v>
      </c>
      <c r="AE55" s="178">
        <f t="shared" si="27"/>
        <v>0</v>
      </c>
      <c r="AF55" s="179">
        <f t="shared" si="28"/>
        <v>0</v>
      </c>
      <c r="AG55" s="178">
        <f t="shared" si="29"/>
        <v>0</v>
      </c>
      <c r="AH55" s="661"/>
      <c r="AI55" s="45">
        <v>7.5754008245066098</v>
      </c>
      <c r="AJ55" s="314">
        <v>4</v>
      </c>
      <c r="AK55" s="313">
        <v>8.2318785744136704</v>
      </c>
      <c r="AL55" s="314">
        <v>3</v>
      </c>
      <c r="AM55" s="313">
        <v>5.8591115838408996</v>
      </c>
      <c r="AN55" s="314">
        <v>4</v>
      </c>
      <c r="AO55" s="313">
        <v>3.8916473750556202</v>
      </c>
      <c r="AP55" s="314">
        <v>6</v>
      </c>
      <c r="AQ55" s="117"/>
      <c r="AR55" s="176">
        <f t="shared" si="30"/>
        <v>-1</v>
      </c>
      <c r="AS55" s="175">
        <f t="shared" si="31"/>
        <v>0</v>
      </c>
      <c r="AT55" s="175">
        <f t="shared" si="32"/>
        <v>0</v>
      </c>
      <c r="AU55" s="33"/>
      <c r="AV55" s="177">
        <f t="shared" si="33"/>
        <v>0.65647774990706065</v>
      </c>
      <c r="AW55" s="177">
        <f t="shared" si="34"/>
        <v>0</v>
      </c>
      <c r="AX55" s="178">
        <f t="shared" si="35"/>
        <v>0</v>
      </c>
      <c r="AY55" s="33"/>
      <c r="AZ55" s="33"/>
      <c r="BA55" s="33"/>
      <c r="BB55" s="33"/>
    </row>
    <row r="56" spans="1:54" ht="18.600000000000001" thickBot="1" x14ac:dyDescent="0.4">
      <c r="A56" s="384" t="s">
        <v>159</v>
      </c>
      <c r="B56" s="175">
        <f t="shared" si="18"/>
        <v>30</v>
      </c>
      <c r="C56" s="178">
        <f t="shared" si="19"/>
        <v>1</v>
      </c>
      <c r="D56" s="81">
        <v>1</v>
      </c>
      <c r="E56" s="79"/>
      <c r="F56" s="910"/>
      <c r="G56" s="707"/>
      <c r="H56" s="665"/>
      <c r="I56" s="178">
        <v>1.70479755759426</v>
      </c>
      <c r="J56" s="43">
        <v>41</v>
      </c>
      <c r="K56" s="458">
        <v>1.74004187346595</v>
      </c>
      <c r="L56" s="43">
        <v>26</v>
      </c>
      <c r="M56" s="458">
        <v>0</v>
      </c>
      <c r="N56" s="43">
        <v>20</v>
      </c>
      <c r="O56" s="179">
        <v>0</v>
      </c>
      <c r="P56" s="43">
        <v>44</v>
      </c>
      <c r="Q56" s="661"/>
      <c r="R56" s="177">
        <v>0</v>
      </c>
      <c r="S56" s="43">
        <v>27</v>
      </c>
      <c r="T56" s="179">
        <v>1.74004187346595</v>
      </c>
      <c r="U56" s="43">
        <v>51</v>
      </c>
      <c r="V56" s="117"/>
      <c r="W56" s="176">
        <f t="shared" si="20"/>
        <v>-15</v>
      </c>
      <c r="X56" s="180">
        <f t="shared" si="21"/>
        <v>-21</v>
      </c>
      <c r="Y56" s="702">
        <f t="shared" si="22"/>
        <v>0</v>
      </c>
      <c r="Z56" s="176">
        <f t="shared" si="23"/>
        <v>-14</v>
      </c>
      <c r="AA56" s="175">
        <f t="shared" si="24"/>
        <v>0</v>
      </c>
      <c r="AB56" s="668"/>
      <c r="AC56" s="177">
        <f t="shared" si="25"/>
        <v>3.5244315871689968E-2</v>
      </c>
      <c r="AD56" s="189">
        <f t="shared" si="26"/>
        <v>0</v>
      </c>
      <c r="AE56" s="178">
        <f t="shared" si="27"/>
        <v>0</v>
      </c>
      <c r="AF56" s="179">
        <f t="shared" si="28"/>
        <v>0</v>
      </c>
      <c r="AG56" s="178">
        <f t="shared" si="29"/>
        <v>3.5244315871689968E-2</v>
      </c>
      <c r="AH56" s="661"/>
      <c r="AI56" s="45">
        <v>6.9103984557911602</v>
      </c>
      <c r="AJ56" s="314">
        <v>6</v>
      </c>
      <c r="AK56" s="313">
        <v>7.6630857306711597</v>
      </c>
      <c r="AL56" s="314">
        <v>6</v>
      </c>
      <c r="AM56" s="313">
        <v>2.2317217888417402</v>
      </c>
      <c r="AN56" s="314">
        <v>18</v>
      </c>
      <c r="AO56" s="313">
        <v>3.5198368374046001</v>
      </c>
      <c r="AP56" s="314">
        <v>9</v>
      </c>
      <c r="AQ56" s="117"/>
      <c r="AR56" s="176">
        <f t="shared" si="30"/>
        <v>0</v>
      </c>
      <c r="AS56" s="175">
        <f t="shared" si="31"/>
        <v>0</v>
      </c>
      <c r="AT56" s="175">
        <f t="shared" si="32"/>
        <v>0</v>
      </c>
      <c r="AU56" s="33"/>
      <c r="AV56" s="177">
        <f t="shared" si="33"/>
        <v>0.75268727487999953</v>
      </c>
      <c r="AW56" s="177">
        <f t="shared" si="34"/>
        <v>0</v>
      </c>
      <c r="AX56" s="178">
        <f t="shared" si="35"/>
        <v>0</v>
      </c>
      <c r="AY56" s="33"/>
      <c r="AZ56" s="33"/>
      <c r="BA56" s="33"/>
      <c r="BB56" s="33"/>
    </row>
    <row r="57" spans="1:54" ht="18.600000000000001" thickBot="1" x14ac:dyDescent="0.4">
      <c r="A57" s="384" t="s">
        <v>23</v>
      </c>
      <c r="B57" s="175">
        <f t="shared" si="18"/>
        <v>30</v>
      </c>
      <c r="C57" s="178">
        <f t="shared" si="19"/>
        <v>1</v>
      </c>
      <c r="D57" s="81"/>
      <c r="E57" s="79">
        <v>1</v>
      </c>
      <c r="F57" s="910"/>
      <c r="G57" s="705" t="s">
        <v>93</v>
      </c>
      <c r="H57" s="665"/>
      <c r="I57" s="178">
        <v>3.14897701083413</v>
      </c>
      <c r="J57" s="43">
        <v>25</v>
      </c>
      <c r="K57" s="458">
        <v>2.8082045344317099</v>
      </c>
      <c r="L57" s="43">
        <v>56</v>
      </c>
      <c r="M57" s="458">
        <v>2.30590533429192</v>
      </c>
      <c r="N57" s="43">
        <v>26</v>
      </c>
      <c r="O57" s="179">
        <v>0</v>
      </c>
      <c r="P57" s="43">
        <v>48</v>
      </c>
      <c r="Q57" s="661"/>
      <c r="R57" s="177">
        <v>3.1249457124808799</v>
      </c>
      <c r="S57" s="43">
        <v>28</v>
      </c>
      <c r="T57" s="179">
        <v>1.6377338936901</v>
      </c>
      <c r="U57" s="43">
        <v>40</v>
      </c>
      <c r="V57" s="117"/>
      <c r="W57" s="176">
        <f t="shared" si="20"/>
        <v>0</v>
      </c>
      <c r="X57" s="180">
        <f t="shared" si="21"/>
        <v>0</v>
      </c>
      <c r="Y57" s="702">
        <f t="shared" si="22"/>
        <v>0</v>
      </c>
      <c r="Z57" s="176">
        <f t="shared" si="23"/>
        <v>0</v>
      </c>
      <c r="AA57" s="175">
        <f t="shared" si="24"/>
        <v>0</v>
      </c>
      <c r="AB57" s="668"/>
      <c r="AC57" s="177">
        <f t="shared" si="25"/>
        <v>0</v>
      </c>
      <c r="AD57" s="189">
        <f t="shared" si="26"/>
        <v>0</v>
      </c>
      <c r="AE57" s="178">
        <f t="shared" si="27"/>
        <v>0</v>
      </c>
      <c r="AF57" s="179">
        <f t="shared" si="28"/>
        <v>0</v>
      </c>
      <c r="AG57" s="178">
        <f t="shared" si="29"/>
        <v>0</v>
      </c>
      <c r="AH57" s="661"/>
      <c r="AI57" s="45">
        <v>6.1895336926856803</v>
      </c>
      <c r="AJ57" s="314">
        <v>10</v>
      </c>
      <c r="AK57" s="313">
        <v>6.8725609156987</v>
      </c>
      <c r="AL57" s="314">
        <v>8</v>
      </c>
      <c r="AM57" s="313">
        <v>1.7880349861071301</v>
      </c>
      <c r="AN57" s="314">
        <v>20</v>
      </c>
      <c r="AO57" s="313">
        <v>0</v>
      </c>
      <c r="AP57" s="314">
        <v>44</v>
      </c>
      <c r="AQ57" s="117"/>
      <c r="AR57" s="176">
        <f t="shared" si="30"/>
        <v>-2</v>
      </c>
      <c r="AS57" s="175">
        <f t="shared" si="31"/>
        <v>0</v>
      </c>
      <c r="AT57" s="175">
        <f t="shared" si="32"/>
        <v>0</v>
      </c>
      <c r="AU57" s="33"/>
      <c r="AV57" s="177">
        <f t="shared" si="33"/>
        <v>0.68302722301301966</v>
      </c>
      <c r="AW57" s="177">
        <f t="shared" si="34"/>
        <v>0</v>
      </c>
      <c r="AX57" s="178">
        <f t="shared" si="35"/>
        <v>0</v>
      </c>
      <c r="AY57" s="33"/>
      <c r="AZ57" s="33"/>
      <c r="BA57" s="33"/>
      <c r="BB57" s="33"/>
    </row>
    <row r="58" spans="1:54" ht="18.600000000000001" thickBot="1" x14ac:dyDescent="0.4">
      <c r="A58" s="384" t="s">
        <v>160</v>
      </c>
      <c r="B58" s="175">
        <f t="shared" si="18"/>
        <v>30</v>
      </c>
      <c r="C58" s="178">
        <f t="shared" si="19"/>
        <v>1</v>
      </c>
      <c r="D58" s="81">
        <v>1</v>
      </c>
      <c r="E58" s="79"/>
      <c r="F58" s="910"/>
      <c r="G58" s="707"/>
      <c r="H58" s="665"/>
      <c r="I58" s="178">
        <v>3.4856183898906998</v>
      </c>
      <c r="J58" s="43">
        <v>48</v>
      </c>
      <c r="K58" s="458">
        <v>2.5446702539451298</v>
      </c>
      <c r="L58" s="43">
        <v>16</v>
      </c>
      <c r="M58" s="458">
        <v>0</v>
      </c>
      <c r="N58" s="43">
        <v>28</v>
      </c>
      <c r="O58" s="179">
        <v>0</v>
      </c>
      <c r="P58" s="43">
        <v>50</v>
      </c>
      <c r="Q58" s="661"/>
      <c r="R58" s="177">
        <v>0</v>
      </c>
      <c r="S58" s="43">
        <v>32</v>
      </c>
      <c r="T58" s="179">
        <v>2.5446702539451298</v>
      </c>
      <c r="U58" s="43">
        <v>26</v>
      </c>
      <c r="V58" s="117"/>
      <c r="W58" s="176">
        <f t="shared" si="20"/>
        <v>-32</v>
      </c>
      <c r="X58" s="180">
        <f t="shared" si="21"/>
        <v>-20</v>
      </c>
      <c r="Y58" s="702">
        <f t="shared" si="22"/>
        <v>0</v>
      </c>
      <c r="Z58" s="176">
        <f t="shared" si="23"/>
        <v>-16</v>
      </c>
      <c r="AA58" s="175">
        <f t="shared" si="24"/>
        <v>-22</v>
      </c>
      <c r="AB58" s="668"/>
      <c r="AC58" s="177">
        <f t="shared" si="25"/>
        <v>0</v>
      </c>
      <c r="AD58" s="189">
        <f t="shared" si="26"/>
        <v>0</v>
      </c>
      <c r="AE58" s="178">
        <f t="shared" si="27"/>
        <v>0</v>
      </c>
      <c r="AF58" s="179">
        <f t="shared" si="28"/>
        <v>0</v>
      </c>
      <c r="AG58" s="178">
        <f t="shared" si="29"/>
        <v>0</v>
      </c>
      <c r="AH58" s="661"/>
      <c r="AI58" s="45">
        <v>5.5655533943911699</v>
      </c>
      <c r="AJ58" s="314">
        <v>11</v>
      </c>
      <c r="AK58" s="313">
        <v>5.5502470557640704</v>
      </c>
      <c r="AL58" s="314">
        <v>14</v>
      </c>
      <c r="AM58" s="313">
        <v>5.3987341568236697</v>
      </c>
      <c r="AN58" s="314">
        <v>6</v>
      </c>
      <c r="AO58" s="313">
        <v>4.3811094101388104</v>
      </c>
      <c r="AP58" s="314">
        <v>5</v>
      </c>
      <c r="AQ58" s="117"/>
      <c r="AR58" s="176">
        <f t="shared" si="30"/>
        <v>0</v>
      </c>
      <c r="AS58" s="175">
        <f t="shared" si="31"/>
        <v>-5</v>
      </c>
      <c r="AT58" s="175">
        <f t="shared" si="32"/>
        <v>-6</v>
      </c>
      <c r="AU58" s="33"/>
      <c r="AV58" s="177">
        <f t="shared" si="33"/>
        <v>0</v>
      </c>
      <c r="AW58" s="177">
        <f t="shared" si="34"/>
        <v>0</v>
      </c>
      <c r="AX58" s="178">
        <f t="shared" si="35"/>
        <v>0</v>
      </c>
      <c r="AY58" s="33"/>
      <c r="AZ58" s="33"/>
      <c r="BA58" s="33"/>
      <c r="BB58" s="33"/>
    </row>
    <row r="59" spans="1:54" ht="18.600000000000001" thickBot="1" x14ac:dyDescent="0.4">
      <c r="A59" s="384" t="s">
        <v>338</v>
      </c>
      <c r="B59" s="175">
        <f t="shared" si="18"/>
        <v>17</v>
      </c>
      <c r="C59" s="178">
        <f t="shared" si="19"/>
        <v>2</v>
      </c>
      <c r="D59" s="81">
        <v>1</v>
      </c>
      <c r="E59" s="79">
        <v>1</v>
      </c>
      <c r="F59" s="910"/>
      <c r="G59" s="705" t="s">
        <v>93</v>
      </c>
      <c r="H59" s="665"/>
      <c r="I59" s="178">
        <v>4.0877592580285</v>
      </c>
      <c r="J59" s="43">
        <v>20</v>
      </c>
      <c r="K59" s="458">
        <v>4.0049622399254696</v>
      </c>
      <c r="L59" s="43">
        <v>34</v>
      </c>
      <c r="M59" s="458">
        <v>0</v>
      </c>
      <c r="N59" s="43">
        <v>32</v>
      </c>
      <c r="O59" s="179">
        <v>0</v>
      </c>
      <c r="P59" s="43">
        <v>51</v>
      </c>
      <c r="Q59" s="661"/>
      <c r="R59" s="177">
        <v>0</v>
      </c>
      <c r="S59" s="43">
        <v>38</v>
      </c>
      <c r="T59" s="179">
        <v>4.0049622399254696</v>
      </c>
      <c r="U59" s="43">
        <v>56</v>
      </c>
      <c r="V59" s="117"/>
      <c r="W59" s="176">
        <f t="shared" si="20"/>
        <v>0</v>
      </c>
      <c r="X59" s="180">
        <f t="shared" si="21"/>
        <v>0</v>
      </c>
      <c r="Y59" s="702">
        <f t="shared" si="22"/>
        <v>0</v>
      </c>
      <c r="Z59" s="176">
        <f t="shared" si="23"/>
        <v>0</v>
      </c>
      <c r="AA59" s="175">
        <f t="shared" si="24"/>
        <v>0</v>
      </c>
      <c r="AB59" s="668"/>
      <c r="AC59" s="177">
        <f t="shared" si="25"/>
        <v>0</v>
      </c>
      <c r="AD59" s="189">
        <f t="shared" si="26"/>
        <v>0</v>
      </c>
      <c r="AE59" s="178">
        <f t="shared" si="27"/>
        <v>0</v>
      </c>
      <c r="AF59" s="179">
        <f t="shared" si="28"/>
        <v>0</v>
      </c>
      <c r="AG59" s="178">
        <f t="shared" si="29"/>
        <v>0</v>
      </c>
      <c r="AH59" s="661"/>
      <c r="AI59" s="45">
        <v>6.76174369568953</v>
      </c>
      <c r="AJ59" s="314">
        <v>7</v>
      </c>
      <c r="AK59" s="313">
        <v>7.5085194379465898</v>
      </c>
      <c r="AL59" s="314">
        <v>7</v>
      </c>
      <c r="AM59" s="313">
        <v>0</v>
      </c>
      <c r="AN59" s="314">
        <v>44</v>
      </c>
      <c r="AO59" s="313">
        <v>0</v>
      </c>
      <c r="AP59" s="314">
        <v>44</v>
      </c>
      <c r="AQ59" s="117"/>
      <c r="AR59" s="176">
        <f t="shared" si="30"/>
        <v>0</v>
      </c>
      <c r="AS59" s="175">
        <f t="shared" si="31"/>
        <v>0</v>
      </c>
      <c r="AT59" s="175">
        <f t="shared" si="32"/>
        <v>0</v>
      </c>
      <c r="AU59" s="33"/>
      <c r="AV59" s="177">
        <f t="shared" si="33"/>
        <v>0.74677574225705978</v>
      </c>
      <c r="AW59" s="177">
        <f t="shared" si="34"/>
        <v>0</v>
      </c>
      <c r="AX59" s="178">
        <f t="shared" si="35"/>
        <v>0</v>
      </c>
      <c r="AY59" s="33"/>
      <c r="AZ59" s="33"/>
      <c r="BA59" s="33"/>
      <c r="BB59" s="33"/>
    </row>
    <row r="60" spans="1:54" ht="18.600000000000001" thickBot="1" x14ac:dyDescent="0.4">
      <c r="A60" s="384" t="s">
        <v>384</v>
      </c>
      <c r="B60" s="175">
        <f t="shared" si="18"/>
        <v>3</v>
      </c>
      <c r="C60" s="178">
        <f t="shared" si="19"/>
        <v>3</v>
      </c>
      <c r="D60" s="81">
        <v>2</v>
      </c>
      <c r="E60" s="79">
        <v>1</v>
      </c>
      <c r="F60" s="910"/>
      <c r="G60" s="705" t="s">
        <v>93</v>
      </c>
      <c r="H60" s="665"/>
      <c r="I60" s="178">
        <v>5.0025711054602002</v>
      </c>
      <c r="J60" s="43">
        <v>16</v>
      </c>
      <c r="K60" s="458">
        <v>5.3862817061941399</v>
      </c>
      <c r="L60" s="43">
        <v>21</v>
      </c>
      <c r="M60" s="458">
        <v>2.8390166872490901</v>
      </c>
      <c r="N60" s="43">
        <v>48</v>
      </c>
      <c r="O60" s="179">
        <v>0</v>
      </c>
      <c r="P60" s="43">
        <v>52</v>
      </c>
      <c r="Q60" s="661"/>
      <c r="R60" s="177">
        <v>1.6377338936901</v>
      </c>
      <c r="S60" s="43">
        <v>48</v>
      </c>
      <c r="T60" s="179">
        <v>5.4265418268494203</v>
      </c>
      <c r="U60" s="43">
        <v>34</v>
      </c>
      <c r="V60" s="117"/>
      <c r="W60" s="176">
        <f t="shared" si="20"/>
        <v>0</v>
      </c>
      <c r="X60" s="180">
        <f t="shared" si="21"/>
        <v>0</v>
      </c>
      <c r="Y60" s="702">
        <f t="shared" si="22"/>
        <v>0</v>
      </c>
      <c r="Z60" s="176">
        <f t="shared" si="23"/>
        <v>0</v>
      </c>
      <c r="AA60" s="175">
        <f t="shared" si="24"/>
        <v>0</v>
      </c>
      <c r="AB60" s="668"/>
      <c r="AC60" s="177">
        <f t="shared" si="25"/>
        <v>0.3837106007339397</v>
      </c>
      <c r="AD60" s="189">
        <f t="shared" si="26"/>
        <v>0</v>
      </c>
      <c r="AE60" s="178">
        <f t="shared" si="27"/>
        <v>0</v>
      </c>
      <c r="AF60" s="179">
        <f t="shared" si="28"/>
        <v>0</v>
      </c>
      <c r="AG60" s="178">
        <f t="shared" si="29"/>
        <v>0.4239707213892201</v>
      </c>
      <c r="AH60" s="661"/>
      <c r="AI60" s="45">
        <v>6.6650644551654796</v>
      </c>
      <c r="AJ60" s="314">
        <v>9</v>
      </c>
      <c r="AK60" s="313">
        <v>6.5980320216171098</v>
      </c>
      <c r="AL60" s="314">
        <v>9</v>
      </c>
      <c r="AM60" s="313">
        <v>6.55660079217619</v>
      </c>
      <c r="AN60" s="314">
        <v>3</v>
      </c>
      <c r="AO60" s="313">
        <v>5.1387470727017304</v>
      </c>
      <c r="AP60" s="314">
        <v>4</v>
      </c>
      <c r="AQ60" s="117"/>
      <c r="AR60" s="176">
        <f t="shared" si="30"/>
        <v>0</v>
      </c>
      <c r="AS60" s="175">
        <f t="shared" si="31"/>
        <v>-6</v>
      </c>
      <c r="AT60" s="175">
        <f t="shared" si="32"/>
        <v>-5</v>
      </c>
      <c r="AU60" s="33"/>
      <c r="AV60" s="177">
        <f t="shared" si="33"/>
        <v>0</v>
      </c>
      <c r="AW60" s="177">
        <f t="shared" si="34"/>
        <v>0</v>
      </c>
      <c r="AX60" s="178">
        <f t="shared" si="35"/>
        <v>0</v>
      </c>
      <c r="AY60" s="33"/>
      <c r="AZ60" s="33"/>
      <c r="BA60" s="33"/>
      <c r="BB60" s="33"/>
    </row>
    <row r="61" spans="1:54" ht="18.600000000000001" thickBot="1" x14ac:dyDescent="0.4">
      <c r="A61" s="384" t="s">
        <v>142</v>
      </c>
      <c r="B61" s="175">
        <f t="shared" si="18"/>
        <v>3</v>
      </c>
      <c r="C61" s="178">
        <f t="shared" si="19"/>
        <v>3</v>
      </c>
      <c r="D61" s="81"/>
      <c r="E61" s="79">
        <v>3</v>
      </c>
      <c r="F61" s="910"/>
      <c r="G61" s="708" t="s">
        <v>307</v>
      </c>
      <c r="H61" s="665"/>
      <c r="I61" s="178">
        <v>7.2756927704275904</v>
      </c>
      <c r="J61" s="43">
        <v>50</v>
      </c>
      <c r="K61" s="458">
        <v>5.1273354927908796</v>
      </c>
      <c r="L61" s="43">
        <v>33</v>
      </c>
      <c r="M61" s="458">
        <v>7.0785320182644504</v>
      </c>
      <c r="N61" s="43">
        <v>50</v>
      </c>
      <c r="O61" s="179">
        <v>6.7693892201707797</v>
      </c>
      <c r="P61" s="175">
        <v>53</v>
      </c>
      <c r="Q61" s="661"/>
      <c r="R61" s="177">
        <v>7.27226109392568</v>
      </c>
      <c r="S61" s="43">
        <v>50</v>
      </c>
      <c r="T61" s="179">
        <v>3.41777446907503</v>
      </c>
      <c r="U61" s="43">
        <v>16</v>
      </c>
      <c r="V61" s="117"/>
      <c r="W61" s="176">
        <f t="shared" si="20"/>
        <v>-17</v>
      </c>
      <c r="X61" s="180">
        <f t="shared" si="21"/>
        <v>0</v>
      </c>
      <c r="Y61" s="702">
        <f t="shared" si="22"/>
        <v>0</v>
      </c>
      <c r="Z61" s="176">
        <f t="shared" si="23"/>
        <v>0</v>
      </c>
      <c r="AA61" s="175">
        <f t="shared" si="24"/>
        <v>-34</v>
      </c>
      <c r="AB61" s="668"/>
      <c r="AC61" s="177">
        <f t="shared" si="25"/>
        <v>0</v>
      </c>
      <c r="AD61" s="189">
        <f t="shared" si="26"/>
        <v>0</v>
      </c>
      <c r="AE61" s="178">
        <f t="shared" si="27"/>
        <v>0</v>
      </c>
      <c r="AF61" s="179">
        <f t="shared" si="28"/>
        <v>0</v>
      </c>
      <c r="AG61" s="178">
        <f t="shared" si="29"/>
        <v>0</v>
      </c>
      <c r="AH61" s="661"/>
      <c r="AI61" s="45">
        <v>3.6094088780762501</v>
      </c>
      <c r="AJ61" s="314">
        <v>27</v>
      </c>
      <c r="AK61" s="313">
        <v>4.0080366751861698</v>
      </c>
      <c r="AL61" s="314">
        <v>27</v>
      </c>
      <c r="AM61" s="313">
        <v>0</v>
      </c>
      <c r="AN61" s="314">
        <v>44</v>
      </c>
      <c r="AO61" s="313">
        <v>0</v>
      </c>
      <c r="AP61" s="314">
        <v>44</v>
      </c>
      <c r="AQ61" s="117"/>
      <c r="AR61" s="176">
        <f t="shared" si="30"/>
        <v>0</v>
      </c>
      <c r="AS61" s="175">
        <f t="shared" si="31"/>
        <v>0</v>
      </c>
      <c r="AT61" s="175">
        <f t="shared" si="32"/>
        <v>0</v>
      </c>
      <c r="AU61" s="33"/>
      <c r="AV61" s="177">
        <f t="shared" si="33"/>
        <v>0.39862779710991969</v>
      </c>
      <c r="AW61" s="177">
        <f t="shared" si="34"/>
        <v>0</v>
      </c>
      <c r="AX61" s="178">
        <f t="shared" si="35"/>
        <v>0</v>
      </c>
      <c r="AY61" s="33"/>
      <c r="AZ61" s="33"/>
      <c r="BA61" s="33"/>
      <c r="BB61" s="33"/>
    </row>
    <row r="62" spans="1:54" ht="18.600000000000001" thickBot="1" x14ac:dyDescent="0.4">
      <c r="A62" s="1235" t="s">
        <v>214</v>
      </c>
      <c r="B62" s="175">
        <f t="shared" si="18"/>
        <v>1</v>
      </c>
      <c r="C62" s="178">
        <f t="shared" si="19"/>
        <v>10</v>
      </c>
      <c r="D62" s="81">
        <v>10</v>
      </c>
      <c r="E62" s="79"/>
      <c r="F62" s="910"/>
      <c r="G62" s="707"/>
      <c r="H62" s="665"/>
      <c r="I62" s="178">
        <v>1.70479755759426</v>
      </c>
      <c r="J62" s="43">
        <v>56</v>
      </c>
      <c r="K62" s="458">
        <v>1.5359401753796</v>
      </c>
      <c r="L62" s="43">
        <v>45</v>
      </c>
      <c r="M62" s="458">
        <v>1.50482991215744</v>
      </c>
      <c r="N62" s="43">
        <v>52</v>
      </c>
      <c r="O62" s="179">
        <v>0</v>
      </c>
      <c r="P62" s="43">
        <v>54</v>
      </c>
      <c r="Q62" s="661"/>
      <c r="R62" s="177">
        <v>1.50482991215744</v>
      </c>
      <c r="S62" s="43">
        <v>52</v>
      </c>
      <c r="T62" s="179">
        <v>1.5359401753796</v>
      </c>
      <c r="U62" s="43">
        <v>21</v>
      </c>
      <c r="V62" s="117"/>
      <c r="W62" s="176">
        <f t="shared" si="20"/>
        <v>-11</v>
      </c>
      <c r="X62" s="180">
        <f t="shared" si="21"/>
        <v>-4</v>
      </c>
      <c r="Y62" s="702">
        <f t="shared" si="22"/>
        <v>-2</v>
      </c>
      <c r="Z62" s="176">
        <f t="shared" si="23"/>
        <v>-4</v>
      </c>
      <c r="AA62" s="175">
        <f t="shared" si="24"/>
        <v>-35</v>
      </c>
      <c r="AB62" s="668"/>
      <c r="AC62" s="177">
        <f t="shared" si="25"/>
        <v>0</v>
      </c>
      <c r="AD62" s="189">
        <f t="shared" si="26"/>
        <v>0</v>
      </c>
      <c r="AE62" s="178">
        <f t="shared" si="27"/>
        <v>0</v>
      </c>
      <c r="AF62" s="179">
        <f t="shared" si="28"/>
        <v>0</v>
      </c>
      <c r="AG62" s="178">
        <f t="shared" si="29"/>
        <v>0</v>
      </c>
      <c r="AH62" s="661"/>
      <c r="AI62" s="45">
        <v>4.4411624389622704</v>
      </c>
      <c r="AJ62" s="314">
        <v>18</v>
      </c>
      <c r="AK62" s="313">
        <v>4.7727087744457997</v>
      </c>
      <c r="AL62" s="314">
        <v>18</v>
      </c>
      <c r="AM62" s="313">
        <v>3.3685424689205101</v>
      </c>
      <c r="AN62" s="314">
        <v>13</v>
      </c>
      <c r="AO62" s="313">
        <v>3.4556050768783799</v>
      </c>
      <c r="AP62" s="314">
        <v>11</v>
      </c>
      <c r="AQ62" s="117"/>
      <c r="AR62" s="176">
        <f t="shared" si="30"/>
        <v>0</v>
      </c>
      <c r="AS62" s="175">
        <f t="shared" si="31"/>
        <v>-5</v>
      </c>
      <c r="AT62" s="175">
        <f t="shared" si="32"/>
        <v>-7</v>
      </c>
      <c r="AU62" s="33"/>
      <c r="AV62" s="177">
        <f t="shared" si="33"/>
        <v>0.3315463354835293</v>
      </c>
      <c r="AW62" s="177">
        <f t="shared" si="34"/>
        <v>0</v>
      </c>
      <c r="AX62" s="178">
        <f t="shared" si="35"/>
        <v>0</v>
      </c>
      <c r="AY62" s="33"/>
      <c r="AZ62" s="33"/>
      <c r="BA62" s="33"/>
      <c r="BB62" s="33"/>
    </row>
    <row r="63" spans="1:54" ht="18.600000000000001" thickBot="1" x14ac:dyDescent="0.4">
      <c r="A63" s="385" t="s">
        <v>215</v>
      </c>
      <c r="B63" s="360">
        <f t="shared" si="18"/>
        <v>17</v>
      </c>
      <c r="C63" s="590">
        <f t="shared" si="19"/>
        <v>2</v>
      </c>
      <c r="D63" s="82"/>
      <c r="E63" s="359">
        <v>2</v>
      </c>
      <c r="F63" s="911"/>
      <c r="G63" s="709" t="s">
        <v>94</v>
      </c>
      <c r="H63" s="665"/>
      <c r="I63" s="178">
        <v>7.0805784853092497</v>
      </c>
      <c r="J63" s="43">
        <v>26</v>
      </c>
      <c r="K63" s="456">
        <v>3.5517345624872201</v>
      </c>
      <c r="L63" s="182">
        <v>46</v>
      </c>
      <c r="M63" s="456">
        <v>6.8202690283819596</v>
      </c>
      <c r="N63" s="182">
        <v>53</v>
      </c>
      <c r="O63" s="186">
        <v>4.6582692635462601</v>
      </c>
      <c r="P63" s="181">
        <v>56</v>
      </c>
      <c r="Q63" s="661"/>
      <c r="R63" s="184">
        <v>7.0350021372913902</v>
      </c>
      <c r="S63" s="182">
        <v>53</v>
      </c>
      <c r="T63" s="186">
        <v>3.5709994529503799</v>
      </c>
      <c r="U63" s="182">
        <v>45</v>
      </c>
      <c r="V63" s="117"/>
      <c r="W63" s="183">
        <f t="shared" si="20"/>
        <v>0</v>
      </c>
      <c r="X63" s="187">
        <f t="shared" si="21"/>
        <v>0</v>
      </c>
      <c r="Y63" s="703">
        <f t="shared" si="22"/>
        <v>0</v>
      </c>
      <c r="Z63" s="183">
        <f t="shared" si="23"/>
        <v>0</v>
      </c>
      <c r="AA63" s="181">
        <f t="shared" si="24"/>
        <v>0</v>
      </c>
      <c r="AB63" s="668"/>
      <c r="AC63" s="184">
        <f t="shared" si="25"/>
        <v>0</v>
      </c>
      <c r="AD63" s="190">
        <f t="shared" si="26"/>
        <v>0</v>
      </c>
      <c r="AE63" s="185">
        <f t="shared" si="27"/>
        <v>0</v>
      </c>
      <c r="AF63" s="186">
        <f t="shared" si="28"/>
        <v>0</v>
      </c>
      <c r="AG63" s="185">
        <f t="shared" si="29"/>
        <v>0</v>
      </c>
      <c r="AH63" s="661"/>
      <c r="AI63" s="794">
        <v>7.3585966636466802</v>
      </c>
      <c r="AJ63" s="314">
        <v>5</v>
      </c>
      <c r="AK63" s="795">
        <v>8.1344398599733001</v>
      </c>
      <c r="AL63" s="314">
        <v>4</v>
      </c>
      <c r="AM63" s="795">
        <v>4.1991159458501404</v>
      </c>
      <c r="AN63" s="314">
        <v>9</v>
      </c>
      <c r="AO63" s="795">
        <v>3.5736586967731898</v>
      </c>
      <c r="AP63" s="314">
        <v>8</v>
      </c>
      <c r="AQ63" s="117"/>
      <c r="AR63" s="183">
        <f t="shared" si="30"/>
        <v>-1</v>
      </c>
      <c r="AS63" s="181">
        <f t="shared" si="31"/>
        <v>0</v>
      </c>
      <c r="AT63" s="181">
        <f t="shared" si="32"/>
        <v>0</v>
      </c>
      <c r="AU63" s="33"/>
      <c r="AV63" s="184">
        <f t="shared" si="33"/>
        <v>0.77584319632661991</v>
      </c>
      <c r="AW63" s="184">
        <f t="shared" si="34"/>
        <v>0</v>
      </c>
      <c r="AX63" s="185">
        <f t="shared" si="35"/>
        <v>0</v>
      </c>
      <c r="AY63" s="33"/>
      <c r="AZ63" s="33"/>
      <c r="BA63" s="33"/>
      <c r="BB63" s="33"/>
    </row>
    <row r="64" spans="1:54" x14ac:dyDescent="0.35">
      <c r="E64" s="36"/>
      <c r="G64" s="36"/>
      <c r="H64" s="33"/>
      <c r="I64" s="413"/>
      <c r="J64" s="36"/>
      <c r="K64" s="413"/>
      <c r="L64" s="32"/>
      <c r="M64" s="413"/>
      <c r="N64" s="32"/>
      <c r="O64" s="413"/>
      <c r="P64" s="32"/>
      <c r="Q64" s="33"/>
      <c r="R64" s="33"/>
      <c r="S64" s="33"/>
      <c r="T64" s="413"/>
      <c r="U64" s="32"/>
      <c r="V64" s="33"/>
      <c r="W64" s="537"/>
      <c r="X64" s="537"/>
      <c r="Y64" s="537"/>
      <c r="Z64" s="537"/>
      <c r="AA64" s="537"/>
      <c r="AB64" s="75"/>
      <c r="AC64" s="515"/>
      <c r="AD64" s="515"/>
      <c r="AE64" s="515"/>
      <c r="AF64" s="515"/>
      <c r="AG64" s="515"/>
      <c r="AH64" s="75"/>
      <c r="AI64" s="33">
        <v>1.87637053109506</v>
      </c>
      <c r="AJ64" s="116">
        <v>39</v>
      </c>
      <c r="AK64" s="33">
        <v>2.08359932579206</v>
      </c>
      <c r="AL64" s="116">
        <v>36</v>
      </c>
      <c r="AM64" s="33">
        <v>0</v>
      </c>
      <c r="AN64" s="116">
        <v>44</v>
      </c>
      <c r="AO64" s="33">
        <v>0</v>
      </c>
      <c r="AP64" s="116">
        <v>44</v>
      </c>
      <c r="AQ64" s="33"/>
      <c r="AR64" s="33"/>
      <c r="AS64" s="33"/>
      <c r="AT64" s="33"/>
      <c r="AU64" s="33"/>
      <c r="AV64" s="578"/>
      <c r="AW64" s="578"/>
      <c r="AX64" s="578"/>
      <c r="AY64" s="33"/>
      <c r="AZ64" s="33"/>
      <c r="BA64" s="33"/>
      <c r="BB64" s="33"/>
    </row>
    <row r="65" spans="1:54" x14ac:dyDescent="0.35">
      <c r="E65" s="36"/>
      <c r="G65" s="454" t="s">
        <v>135</v>
      </c>
      <c r="H65" s="457" t="s">
        <v>137</v>
      </c>
      <c r="I65" s="509"/>
      <c r="J65" s="79"/>
      <c r="K65" s="509"/>
      <c r="L65" s="510"/>
      <c r="M65" s="509"/>
      <c r="N65" s="510"/>
      <c r="O65" s="509"/>
      <c r="P65" s="510"/>
      <c r="Q65" s="511"/>
      <c r="R65" s="511"/>
      <c r="S65" s="512"/>
      <c r="T65" s="413"/>
      <c r="U65" s="32"/>
      <c r="V65" s="33"/>
      <c r="W65" s="416"/>
      <c r="X65" s="537"/>
      <c r="Y65" s="537"/>
      <c r="Z65" s="537"/>
      <c r="AA65" s="537"/>
      <c r="AB65" s="75"/>
      <c r="AC65" s="515"/>
      <c r="AD65" s="515"/>
      <c r="AE65" s="515"/>
      <c r="AF65" s="515"/>
      <c r="AG65" s="515"/>
      <c r="AH65" s="75"/>
      <c r="AI65" s="33">
        <v>0</v>
      </c>
      <c r="AJ65" s="116">
        <v>44</v>
      </c>
      <c r="AK65" s="33">
        <v>0</v>
      </c>
      <c r="AL65" s="116">
        <v>44</v>
      </c>
      <c r="AM65" s="33">
        <v>0</v>
      </c>
      <c r="AN65" s="116">
        <v>44</v>
      </c>
      <c r="AO65" s="33">
        <v>0</v>
      </c>
      <c r="AP65" s="116">
        <v>44</v>
      </c>
      <c r="AQ65" s="33"/>
      <c r="AR65" s="33"/>
      <c r="AS65" s="33"/>
      <c r="AT65" s="33"/>
      <c r="AU65" s="33"/>
      <c r="AV65" s="578"/>
      <c r="AW65" s="578"/>
      <c r="AX65" s="578"/>
      <c r="AY65" s="33"/>
      <c r="AZ65" s="33"/>
      <c r="BA65" s="33"/>
      <c r="BB65" s="33"/>
    </row>
    <row r="66" spans="1:54" x14ac:dyDescent="0.35">
      <c r="E66" s="36"/>
      <c r="G66" s="454" t="s">
        <v>136</v>
      </c>
      <c r="H66" s="457" t="s">
        <v>138</v>
      </c>
      <c r="I66" s="509"/>
      <c r="J66" s="79"/>
      <c r="K66" s="509"/>
      <c r="L66" s="510"/>
      <c r="M66" s="509"/>
      <c r="N66" s="510"/>
      <c r="O66" s="509"/>
      <c r="P66" s="510"/>
      <c r="Q66" s="511"/>
      <c r="R66" s="511"/>
      <c r="S66" s="512"/>
      <c r="T66" s="413"/>
      <c r="U66" s="32"/>
      <c r="V66" s="33"/>
      <c r="W66" s="537"/>
      <c r="X66" s="537"/>
      <c r="Y66" s="537"/>
      <c r="Z66" s="537"/>
      <c r="AA66" s="537"/>
      <c r="AB66" s="75"/>
      <c r="AC66" s="515"/>
      <c r="AD66" s="515"/>
      <c r="AE66" s="515"/>
      <c r="AF66" s="515"/>
      <c r="AG66" s="515"/>
      <c r="AH66" s="75"/>
      <c r="AI66" s="33">
        <v>1.3637010661504601</v>
      </c>
      <c r="AJ66" s="116">
        <v>42</v>
      </c>
      <c r="AK66" s="33">
        <v>0</v>
      </c>
      <c r="AL66" s="116">
        <v>44</v>
      </c>
      <c r="AM66" s="33">
        <v>1.57910588694183</v>
      </c>
      <c r="AN66" s="116">
        <v>23</v>
      </c>
      <c r="AO66" s="33">
        <v>0</v>
      </c>
      <c r="AP66" s="116">
        <v>44</v>
      </c>
      <c r="AQ66" s="33"/>
      <c r="AR66" s="33"/>
      <c r="AS66" s="33"/>
      <c r="AT66" s="33"/>
      <c r="AU66" s="33"/>
      <c r="AV66" s="578"/>
      <c r="AW66" s="578"/>
      <c r="AX66" s="578"/>
      <c r="AY66" s="33"/>
      <c r="AZ66" s="33"/>
      <c r="BA66" s="33"/>
      <c r="BB66" s="33"/>
    </row>
    <row r="67" spans="1:54" x14ac:dyDescent="0.35">
      <c r="E67" s="36"/>
      <c r="G67" s="513" t="s">
        <v>302</v>
      </c>
      <c r="H67" s="511" t="s">
        <v>303</v>
      </c>
      <c r="I67" s="509"/>
      <c r="J67" s="79"/>
      <c r="K67" s="509"/>
      <c r="L67" s="510"/>
      <c r="M67" s="509"/>
      <c r="N67" s="510"/>
      <c r="O67" s="509"/>
      <c r="P67" s="510"/>
      <c r="Q67" s="511"/>
      <c r="R67" s="511"/>
      <c r="S67" s="512"/>
      <c r="T67" s="413"/>
      <c r="U67" s="32"/>
      <c r="V67" s="33"/>
      <c r="W67" s="537"/>
      <c r="X67" s="537"/>
      <c r="Y67" s="537"/>
      <c r="Z67" s="537"/>
      <c r="AA67" s="537"/>
      <c r="AB67" s="75"/>
      <c r="AC67" s="515"/>
      <c r="AD67" s="515"/>
      <c r="AE67" s="515"/>
      <c r="AF67" s="515"/>
      <c r="AG67" s="515"/>
      <c r="AH67" s="75"/>
      <c r="AI67" s="33">
        <v>0.83351239774091901</v>
      </c>
      <c r="AJ67" s="116">
        <v>43</v>
      </c>
      <c r="AK67" s="33">
        <v>0</v>
      </c>
      <c r="AL67" s="116">
        <v>44</v>
      </c>
      <c r="AM67" s="33">
        <v>0.96517071576922098</v>
      </c>
      <c r="AN67" s="116">
        <v>27</v>
      </c>
      <c r="AO67" s="33">
        <v>0</v>
      </c>
      <c r="AP67" s="116">
        <v>44</v>
      </c>
      <c r="AQ67" s="33"/>
      <c r="AR67" s="33"/>
      <c r="AS67" s="33"/>
      <c r="AT67" s="33"/>
      <c r="AU67" s="33"/>
      <c r="AV67" s="578"/>
      <c r="AW67" s="578"/>
      <c r="AX67" s="578"/>
      <c r="AY67" s="33"/>
      <c r="AZ67" s="33"/>
      <c r="BA67" s="33"/>
      <c r="BB67" s="33"/>
    </row>
    <row r="68" spans="1:54" x14ac:dyDescent="0.35">
      <c r="A68" s="9"/>
      <c r="B68" s="1"/>
      <c r="C68" s="33"/>
      <c r="D68" s="75"/>
      <c r="E68" s="36"/>
      <c r="G68" s="454" t="s">
        <v>169</v>
      </c>
      <c r="H68" s="514" t="s">
        <v>170</v>
      </c>
      <c r="I68" s="511"/>
      <c r="J68" s="511"/>
      <c r="K68" s="511"/>
      <c r="L68" s="511"/>
      <c r="M68" s="511"/>
      <c r="N68" s="511"/>
      <c r="O68" s="511"/>
      <c r="P68" s="511"/>
      <c r="Q68" s="511"/>
      <c r="R68" s="511"/>
      <c r="S68" s="512"/>
      <c r="T68" s="33"/>
      <c r="U68" s="33"/>
      <c r="V68" s="33"/>
      <c r="W68" s="537"/>
      <c r="X68" s="537"/>
      <c r="Y68" s="537"/>
      <c r="Z68" s="537"/>
      <c r="AA68" s="537"/>
      <c r="AB68" s="75"/>
      <c r="AC68" s="515"/>
      <c r="AD68" s="515"/>
      <c r="AE68" s="515"/>
      <c r="AF68" s="515"/>
      <c r="AG68" s="515"/>
      <c r="AH68" s="75"/>
      <c r="AI68" s="33">
        <v>4.2782868806890599</v>
      </c>
      <c r="AJ68" s="116">
        <v>21</v>
      </c>
      <c r="AK68" s="33">
        <v>4.75078643179625</v>
      </c>
      <c r="AL68" s="116">
        <v>19</v>
      </c>
      <c r="AM68" s="33">
        <v>0</v>
      </c>
      <c r="AN68" s="116">
        <v>44</v>
      </c>
      <c r="AO68" s="33">
        <v>0</v>
      </c>
      <c r="AP68" s="116">
        <v>44</v>
      </c>
      <c r="AQ68" s="33"/>
      <c r="AR68" s="33"/>
      <c r="AS68" s="33"/>
      <c r="AT68" s="33"/>
      <c r="AU68" s="33"/>
      <c r="AV68" s="578"/>
      <c r="AW68" s="578"/>
      <c r="AX68" s="578"/>
      <c r="AY68" s="33"/>
      <c r="AZ68" s="33"/>
      <c r="BA68" s="33"/>
      <c r="BB68" s="33"/>
    </row>
    <row r="69" spans="1:54" x14ac:dyDescent="0.35">
      <c r="E69" s="36"/>
      <c r="G69" s="36"/>
      <c r="H69" s="75"/>
      <c r="I69" s="515"/>
      <c r="J69" s="76"/>
      <c r="K69" s="515"/>
      <c r="L69" s="116"/>
      <c r="M69" s="515"/>
      <c r="N69" s="116"/>
      <c r="O69" s="515"/>
      <c r="P69" s="116"/>
      <c r="Q69" s="75"/>
      <c r="R69" s="75"/>
      <c r="S69" s="75"/>
      <c r="T69" s="413"/>
      <c r="U69" s="32"/>
      <c r="V69" s="33"/>
      <c r="W69" s="537"/>
      <c r="X69" s="537"/>
      <c r="Y69" s="537"/>
      <c r="Z69" s="537"/>
      <c r="AA69" s="537"/>
      <c r="AB69" s="75"/>
      <c r="AC69" s="515"/>
      <c r="AD69" s="515"/>
      <c r="AE69" s="515"/>
      <c r="AF69" s="515"/>
      <c r="AG69" s="515"/>
      <c r="AH69" s="75"/>
      <c r="AI69" s="33">
        <v>0</v>
      </c>
      <c r="AJ69" s="116">
        <v>44</v>
      </c>
      <c r="AK69" s="33">
        <v>0</v>
      </c>
      <c r="AL69" s="116">
        <v>44</v>
      </c>
      <c r="AM69" s="33">
        <v>0</v>
      </c>
      <c r="AN69" s="116">
        <v>44</v>
      </c>
      <c r="AO69" s="33">
        <v>0</v>
      </c>
      <c r="AP69" s="116">
        <v>44</v>
      </c>
      <c r="AQ69" s="33"/>
      <c r="AR69" s="33"/>
      <c r="AS69" s="33"/>
      <c r="AT69" s="33"/>
      <c r="AU69" s="33"/>
      <c r="AV69" s="578"/>
      <c r="AW69" s="578"/>
      <c r="AX69" s="578"/>
      <c r="AY69" s="33"/>
      <c r="AZ69" s="33"/>
      <c r="BA69" s="33"/>
      <c r="BB69" s="33"/>
    </row>
    <row r="70" spans="1:54" x14ac:dyDescent="0.35">
      <c r="E70" s="36"/>
      <c r="G70" s="36"/>
      <c r="H70" s="33"/>
      <c r="I70" s="413"/>
      <c r="J70" s="36"/>
      <c r="K70" s="413"/>
      <c r="L70" s="32"/>
      <c r="M70" s="413"/>
      <c r="N70" s="32"/>
      <c r="O70" s="413"/>
      <c r="P70" s="32"/>
      <c r="Q70" s="33"/>
      <c r="R70" s="33"/>
      <c r="S70" s="33"/>
      <c r="T70" s="413"/>
      <c r="U70" s="32"/>
      <c r="V70" s="33"/>
      <c r="W70" s="537"/>
      <c r="X70" s="537"/>
      <c r="Y70" s="537"/>
      <c r="Z70" s="537"/>
      <c r="AA70" s="537"/>
      <c r="AB70" s="75"/>
      <c r="AC70" s="515"/>
      <c r="AD70" s="515"/>
      <c r="AE70" s="515"/>
      <c r="AF70" s="515"/>
      <c r="AG70" s="515"/>
      <c r="AH70" s="75"/>
      <c r="AI70" s="33">
        <v>5.5407256284111099</v>
      </c>
      <c r="AJ70" s="116">
        <v>12</v>
      </c>
      <c r="AK70" s="33">
        <v>6.1526505519241201</v>
      </c>
      <c r="AL70" s="116">
        <v>11</v>
      </c>
      <c r="AM70" s="33">
        <v>0</v>
      </c>
      <c r="AN70" s="116">
        <v>44</v>
      </c>
      <c r="AO70" s="33">
        <v>0</v>
      </c>
      <c r="AP70" s="116">
        <v>44</v>
      </c>
      <c r="AQ70" s="33"/>
      <c r="AR70" s="33"/>
      <c r="AS70" s="33"/>
      <c r="AT70" s="33"/>
      <c r="AU70" s="33"/>
      <c r="AV70" s="578"/>
      <c r="AW70" s="578"/>
      <c r="AX70" s="578"/>
      <c r="AY70" s="33"/>
      <c r="AZ70" s="33"/>
      <c r="BA70" s="33"/>
      <c r="BB70" s="33"/>
    </row>
    <row r="71" spans="1:54" x14ac:dyDescent="0.35">
      <c r="E71" s="36"/>
      <c r="G71" s="36"/>
      <c r="H71" s="33"/>
      <c r="I71" s="413"/>
      <c r="J71" s="36"/>
      <c r="K71" s="413"/>
      <c r="L71" s="32"/>
      <c r="M71" s="413"/>
      <c r="N71" s="32"/>
      <c r="O71" s="413"/>
      <c r="P71" s="32"/>
      <c r="Q71" s="33"/>
      <c r="R71" s="33"/>
      <c r="S71" s="33"/>
      <c r="T71" s="413"/>
      <c r="U71" s="32"/>
      <c r="V71" s="33"/>
      <c r="W71" s="537"/>
      <c r="X71" s="537"/>
      <c r="Y71" s="537"/>
      <c r="Z71" s="537"/>
      <c r="AA71" s="537"/>
      <c r="AB71" s="75"/>
      <c r="AC71" s="515"/>
      <c r="AD71" s="515"/>
      <c r="AE71" s="515"/>
      <c r="AF71" s="515"/>
      <c r="AG71" s="515"/>
      <c r="AH71" s="75"/>
      <c r="AI71" s="33">
        <v>3.2990870779938399</v>
      </c>
      <c r="AJ71" s="116">
        <v>29</v>
      </c>
      <c r="AK71" s="33">
        <v>3.6634425330830398</v>
      </c>
      <c r="AL71" s="116">
        <v>28</v>
      </c>
      <c r="AM71" s="33">
        <v>0</v>
      </c>
      <c r="AN71" s="116">
        <v>44</v>
      </c>
      <c r="AO71" s="33">
        <v>0</v>
      </c>
      <c r="AP71" s="116">
        <v>44</v>
      </c>
      <c r="AQ71" s="33"/>
      <c r="AR71" s="33"/>
      <c r="AS71" s="33"/>
      <c r="AT71" s="33"/>
      <c r="AU71" s="33"/>
      <c r="AV71" s="578"/>
      <c r="AW71" s="578"/>
      <c r="AX71" s="578"/>
      <c r="AY71" s="33"/>
      <c r="AZ71" s="33"/>
      <c r="BA71" s="33"/>
      <c r="BB71" s="33"/>
    </row>
    <row r="72" spans="1:54" x14ac:dyDescent="0.35">
      <c r="E72" s="36"/>
      <c r="G72" s="36"/>
      <c r="H72" s="33"/>
      <c r="I72" s="413"/>
      <c r="J72" s="36"/>
      <c r="K72" s="413"/>
      <c r="L72" s="32"/>
      <c r="M72" s="413"/>
      <c r="N72" s="32"/>
      <c r="O72" s="413"/>
      <c r="P72" s="32"/>
      <c r="Q72" s="33"/>
      <c r="R72" s="33"/>
      <c r="S72" s="33"/>
      <c r="T72" s="413"/>
      <c r="U72" s="32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>
        <v>4.4892936782077797</v>
      </c>
      <c r="AJ72" s="116">
        <v>17</v>
      </c>
      <c r="AK72" s="33">
        <v>4.9850970936626799</v>
      </c>
      <c r="AL72" s="116">
        <v>17</v>
      </c>
      <c r="AM72" s="33">
        <v>0</v>
      </c>
      <c r="AN72" s="116">
        <v>44</v>
      </c>
      <c r="AO72" s="33">
        <v>0</v>
      </c>
      <c r="AP72" s="116">
        <v>44</v>
      </c>
      <c r="AQ72" s="33"/>
      <c r="AR72" s="33"/>
      <c r="AS72" s="33"/>
      <c r="AT72" s="33"/>
      <c r="AU72" s="33"/>
      <c r="AV72" s="578"/>
      <c r="AW72" s="578"/>
      <c r="AX72" s="578"/>
      <c r="AY72" s="33"/>
      <c r="AZ72" s="33"/>
      <c r="BA72" s="33"/>
      <c r="BB72" s="33"/>
    </row>
    <row r="73" spans="1:54" x14ac:dyDescent="0.35">
      <c r="E73" s="36"/>
      <c r="G73" s="36"/>
      <c r="H73" s="33"/>
      <c r="I73" s="413"/>
      <c r="J73" s="36"/>
      <c r="K73" s="413"/>
      <c r="L73" s="32"/>
      <c r="M73" s="413"/>
      <c r="N73" s="32"/>
      <c r="O73" s="413"/>
      <c r="P73" s="32"/>
      <c r="Q73" s="33"/>
      <c r="R73" s="33"/>
      <c r="S73" s="33"/>
      <c r="T73" s="413"/>
      <c r="U73" s="32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>
        <v>2.6169088225099899</v>
      </c>
      <c r="AJ73" s="116">
        <v>33</v>
      </c>
      <c r="AK73" s="33">
        <v>2.9059236264273101</v>
      </c>
      <c r="AL73" s="116">
        <v>32</v>
      </c>
      <c r="AM73" s="33">
        <v>0</v>
      </c>
      <c r="AN73" s="116">
        <v>44</v>
      </c>
      <c r="AO73" s="33">
        <v>0</v>
      </c>
      <c r="AP73" s="116">
        <v>44</v>
      </c>
      <c r="AQ73" s="33"/>
      <c r="AR73" s="33"/>
      <c r="AS73" s="33"/>
      <c r="AT73" s="33"/>
      <c r="AU73" s="33"/>
      <c r="AV73" s="578"/>
      <c r="AW73" s="578"/>
      <c r="AX73" s="578"/>
      <c r="AY73" s="33"/>
      <c r="AZ73" s="33"/>
      <c r="BA73" s="33"/>
      <c r="BB73" s="33"/>
    </row>
    <row r="74" spans="1:54" x14ac:dyDescent="0.35">
      <c r="E74" s="36"/>
      <c r="G74" s="36"/>
      <c r="H74" s="33"/>
      <c r="I74" s="413"/>
      <c r="J74" s="36"/>
      <c r="K74" s="413"/>
      <c r="L74" s="32"/>
      <c r="M74" s="413"/>
      <c r="N74" s="32"/>
      <c r="O74" s="413"/>
      <c r="P74" s="32"/>
      <c r="Q74" s="33"/>
      <c r="R74" s="33"/>
      <c r="S74" s="33"/>
      <c r="T74" s="413"/>
      <c r="U74" s="32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>
        <v>3.7383590120243202</v>
      </c>
      <c r="AJ74" s="116">
        <v>26</v>
      </c>
      <c r="AK74" s="33">
        <v>4.1512282291476303</v>
      </c>
      <c r="AL74" s="116">
        <v>26</v>
      </c>
      <c r="AM74" s="33">
        <v>0</v>
      </c>
      <c r="AN74" s="116">
        <v>44</v>
      </c>
      <c r="AO74" s="33">
        <v>0</v>
      </c>
      <c r="AP74" s="116">
        <v>44</v>
      </c>
      <c r="AQ74" s="33"/>
      <c r="AR74" s="33"/>
      <c r="AS74" s="33"/>
      <c r="AT74" s="33"/>
      <c r="AU74" s="33"/>
      <c r="AV74" s="578"/>
      <c r="AW74" s="578"/>
      <c r="AX74" s="578"/>
      <c r="AY74" s="33"/>
      <c r="AZ74" s="33"/>
      <c r="BA74" s="33"/>
      <c r="BB74" s="33"/>
    </row>
    <row r="75" spans="1:54" x14ac:dyDescent="0.35">
      <c r="E75" s="36"/>
      <c r="G75" s="36"/>
      <c r="H75" s="33"/>
      <c r="I75" s="413"/>
      <c r="J75" s="36"/>
      <c r="K75" s="413"/>
      <c r="L75" s="32"/>
      <c r="M75" s="413"/>
      <c r="N75" s="32"/>
      <c r="O75" s="413"/>
      <c r="P75" s="32"/>
      <c r="Q75" s="33"/>
      <c r="R75" s="33"/>
      <c r="S75" s="33"/>
      <c r="T75" s="413"/>
      <c r="U75" s="32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>
        <v>4.09448469339734</v>
      </c>
      <c r="AJ75" s="116">
        <v>23</v>
      </c>
      <c r="AK75" s="33">
        <v>4.2438184437217297</v>
      </c>
      <c r="AL75" s="116">
        <v>25</v>
      </c>
      <c r="AM75" s="33">
        <v>3.6258449325886399</v>
      </c>
      <c r="AN75" s="116">
        <v>11</v>
      </c>
      <c r="AO75" s="33">
        <v>3.3425726356668801</v>
      </c>
      <c r="AP75" s="116">
        <v>12</v>
      </c>
      <c r="AQ75" s="33"/>
      <c r="AR75" s="33"/>
      <c r="AS75" s="33"/>
      <c r="AT75" s="33"/>
      <c r="AU75" s="33"/>
      <c r="AV75" s="578"/>
      <c r="AW75" s="578"/>
      <c r="AX75" s="578"/>
      <c r="AY75" s="33"/>
      <c r="AZ75" s="33"/>
      <c r="BA75" s="33"/>
      <c r="BB75" s="33"/>
    </row>
    <row r="76" spans="1:54" x14ac:dyDescent="0.35">
      <c r="E76" s="36"/>
      <c r="G76" s="36"/>
      <c r="H76" s="33"/>
      <c r="I76" s="413"/>
      <c r="J76" s="36"/>
      <c r="K76" s="413"/>
      <c r="L76" s="32"/>
      <c r="M76" s="413"/>
      <c r="N76" s="32"/>
      <c r="O76" s="413"/>
      <c r="P76" s="32"/>
      <c r="Q76" s="33"/>
      <c r="R76" s="33"/>
      <c r="S76" s="33"/>
      <c r="T76" s="413"/>
      <c r="U76" s="32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>
        <v>3.9608130045718699</v>
      </c>
      <c r="AJ76" s="116">
        <v>24</v>
      </c>
      <c r="AK76" s="33">
        <v>4.3982503291063804</v>
      </c>
      <c r="AL76" s="116">
        <v>22</v>
      </c>
      <c r="AM76" s="33">
        <v>0</v>
      </c>
      <c r="AN76" s="116">
        <v>44</v>
      </c>
      <c r="AO76" s="33">
        <v>0</v>
      </c>
      <c r="AP76" s="116">
        <v>44</v>
      </c>
      <c r="AQ76" s="33"/>
      <c r="AR76" s="33"/>
      <c r="AS76" s="33"/>
      <c r="AT76" s="33"/>
      <c r="AU76" s="33"/>
      <c r="AV76" s="578"/>
      <c r="AW76" s="578"/>
      <c r="AX76" s="578"/>
      <c r="AY76" s="33"/>
      <c r="AZ76" s="33"/>
      <c r="BA76" s="33"/>
      <c r="BB76" s="33"/>
    </row>
    <row r="77" spans="1:54" x14ac:dyDescent="0.35">
      <c r="E77" s="36"/>
      <c r="G77" s="36"/>
      <c r="H77" s="33"/>
      <c r="I77" s="413"/>
      <c r="J77" s="36"/>
      <c r="K77" s="413"/>
      <c r="L77" s="32"/>
      <c r="M77" s="413"/>
      <c r="N77" s="32"/>
      <c r="O77" s="413"/>
      <c r="P77" s="32"/>
      <c r="Q77" s="33"/>
      <c r="R77" s="33"/>
      <c r="S77" s="33"/>
      <c r="T77" s="413"/>
      <c r="U77" s="32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>
        <v>10</v>
      </c>
      <c r="AJ77" s="116">
        <v>1</v>
      </c>
      <c r="AK77" s="33">
        <v>10</v>
      </c>
      <c r="AL77" s="116">
        <v>1</v>
      </c>
      <c r="AM77" s="33">
        <v>8.9089031905700509</v>
      </c>
      <c r="AN77" s="116">
        <v>2</v>
      </c>
      <c r="AO77" s="33">
        <v>9.4414491815750008</v>
      </c>
      <c r="AP77" s="116">
        <v>2</v>
      </c>
      <c r="AQ77" s="33"/>
      <c r="AR77" s="33"/>
      <c r="AS77" s="33"/>
      <c r="AT77" s="33"/>
      <c r="AU77" s="33"/>
      <c r="AV77" s="578"/>
      <c r="AW77" s="578"/>
      <c r="AX77" s="578"/>
      <c r="AY77" s="33"/>
      <c r="AZ77" s="33"/>
      <c r="BA77" s="33"/>
      <c r="BB77" s="33"/>
    </row>
    <row r="78" spans="1:54" x14ac:dyDescent="0.35">
      <c r="E78" s="36"/>
      <c r="G78" s="36"/>
      <c r="H78" s="33"/>
      <c r="I78" s="413"/>
      <c r="J78" s="36"/>
      <c r="K78" s="413"/>
      <c r="L78" s="32"/>
      <c r="M78" s="413"/>
      <c r="N78" s="32"/>
      <c r="O78" s="413"/>
      <c r="P78" s="32"/>
      <c r="Q78" s="33"/>
      <c r="R78" s="33"/>
      <c r="S78" s="33"/>
      <c r="T78" s="413"/>
      <c r="U78" s="32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>
        <v>1.6086065735683599</v>
      </c>
      <c r="AJ78" s="116">
        <v>40</v>
      </c>
      <c r="AK78" s="33">
        <v>0</v>
      </c>
      <c r="AL78" s="116">
        <v>44</v>
      </c>
      <c r="AM78" s="33">
        <v>1.86269569860032</v>
      </c>
      <c r="AN78" s="116">
        <v>19</v>
      </c>
      <c r="AO78" s="33">
        <v>0</v>
      </c>
      <c r="AP78" s="116">
        <v>44</v>
      </c>
      <c r="AQ78" s="33"/>
      <c r="AR78" s="33"/>
      <c r="AS78" s="33"/>
      <c r="AT78" s="33"/>
      <c r="AU78" s="33"/>
      <c r="AV78" s="578"/>
      <c r="AW78" s="578"/>
      <c r="AX78" s="578"/>
      <c r="AY78" s="33"/>
      <c r="AZ78" s="33"/>
      <c r="BA78" s="33"/>
      <c r="BB78" s="33"/>
    </row>
    <row r="79" spans="1:54" x14ac:dyDescent="0.35">
      <c r="E79" s="36"/>
      <c r="G79" s="36"/>
      <c r="H79" s="33"/>
      <c r="I79" s="413"/>
      <c r="J79" s="36"/>
      <c r="K79" s="413"/>
      <c r="L79" s="32"/>
      <c r="M79" s="413"/>
      <c r="N79" s="32"/>
      <c r="O79" s="413"/>
      <c r="P79" s="32"/>
      <c r="Q79" s="33"/>
      <c r="R79" s="33"/>
      <c r="S79" s="33"/>
      <c r="T79" s="413"/>
      <c r="U79" s="32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>
        <v>0</v>
      </c>
      <c r="AJ79" s="116">
        <v>44</v>
      </c>
      <c r="AK79" s="33">
        <v>0</v>
      </c>
      <c r="AL79" s="116">
        <v>44</v>
      </c>
      <c r="AM79" s="33">
        <v>0</v>
      </c>
      <c r="AN79" s="116">
        <v>44</v>
      </c>
      <c r="AO79" s="33">
        <v>0</v>
      </c>
      <c r="AP79" s="116">
        <v>44</v>
      </c>
      <c r="AQ79" s="33"/>
      <c r="AR79" s="33"/>
      <c r="AS79" s="33"/>
      <c r="AT79" s="33"/>
      <c r="AU79" s="33"/>
      <c r="AV79" s="578"/>
      <c r="AW79" s="578"/>
      <c r="AX79" s="578"/>
      <c r="AY79" s="33"/>
      <c r="AZ79" s="33"/>
      <c r="BA79" s="33"/>
      <c r="BB79" s="33"/>
    </row>
    <row r="80" spans="1:54" x14ac:dyDescent="0.35">
      <c r="E80" s="36"/>
      <c r="G80" s="36"/>
      <c r="H80" s="33"/>
      <c r="I80" s="413"/>
      <c r="J80" s="36"/>
      <c r="K80" s="413"/>
      <c r="L80" s="32"/>
      <c r="M80" s="413"/>
      <c r="N80" s="32"/>
      <c r="O80" s="413"/>
      <c r="P80" s="32"/>
      <c r="Q80" s="33"/>
      <c r="R80" s="33"/>
      <c r="S80" s="33"/>
      <c r="T80" s="413"/>
      <c r="U80" s="32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>
        <v>5.4891876289377501</v>
      </c>
      <c r="AJ80" s="116">
        <v>13</v>
      </c>
      <c r="AK80" s="33">
        <v>6.0952604605494303</v>
      </c>
      <c r="AL80" s="116">
        <v>12</v>
      </c>
      <c r="AM80" s="33">
        <v>1.29649124915944</v>
      </c>
      <c r="AN80" s="116">
        <v>26</v>
      </c>
      <c r="AO80" s="33">
        <v>0</v>
      </c>
      <c r="AP80" s="116">
        <v>44</v>
      </c>
      <c r="AQ80" s="33"/>
      <c r="AR80" s="33"/>
      <c r="AS80" s="33"/>
      <c r="AT80" s="33"/>
      <c r="AU80" s="33"/>
      <c r="AV80" s="578"/>
      <c r="AW80" s="578"/>
      <c r="AX80" s="578"/>
      <c r="AY80" s="33"/>
      <c r="AZ80" s="33"/>
      <c r="BA80" s="33"/>
      <c r="BB80" s="33"/>
    </row>
    <row r="81" spans="5:54" x14ac:dyDescent="0.35">
      <c r="E81" s="36"/>
      <c r="G81" s="36"/>
      <c r="H81" s="33"/>
      <c r="I81" s="413"/>
      <c r="J81" s="36"/>
      <c r="K81" s="413"/>
      <c r="L81" s="32"/>
      <c r="M81" s="413"/>
      <c r="N81" s="32"/>
      <c r="O81" s="413"/>
      <c r="P81" s="32"/>
      <c r="Q81" s="33"/>
      <c r="R81" s="33"/>
      <c r="S81" s="33"/>
      <c r="T81" s="413"/>
      <c r="U81" s="32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>
        <v>2.1475626147451301</v>
      </c>
      <c r="AJ81" s="116">
        <v>37</v>
      </c>
      <c r="AK81" s="33">
        <v>0</v>
      </c>
      <c r="AL81" s="116">
        <v>44</v>
      </c>
      <c r="AM81" s="33">
        <v>1.7366478325933199</v>
      </c>
      <c r="AN81" s="116">
        <v>22</v>
      </c>
      <c r="AO81" s="33">
        <v>2.6195638583932301</v>
      </c>
      <c r="AP81" s="116">
        <v>44</v>
      </c>
      <c r="AQ81" s="33"/>
      <c r="AR81" s="33"/>
      <c r="AS81" s="33"/>
      <c r="AT81" s="33"/>
      <c r="AU81" s="33"/>
      <c r="AV81" s="578"/>
      <c r="AW81" s="578"/>
      <c r="AX81" s="578"/>
      <c r="AY81" s="33"/>
      <c r="AZ81" s="33"/>
      <c r="BA81" s="33"/>
      <c r="BB81" s="33"/>
    </row>
    <row r="82" spans="5:54" x14ac:dyDescent="0.35">
      <c r="E82" s="36"/>
      <c r="G82" s="36"/>
      <c r="H82" s="33"/>
      <c r="I82" s="413"/>
      <c r="J82" s="36"/>
      <c r="K82" s="413"/>
      <c r="L82" s="32"/>
      <c r="M82" s="413"/>
      <c r="N82" s="32"/>
      <c r="O82" s="413"/>
      <c r="P82" s="32"/>
      <c r="Q82" s="33"/>
      <c r="R82" s="33"/>
      <c r="S82" s="33"/>
      <c r="T82" s="413"/>
      <c r="U82" s="32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>
        <v>0</v>
      </c>
      <c r="AJ82" s="116">
        <v>44</v>
      </c>
      <c r="AK82" s="33">
        <v>0</v>
      </c>
      <c r="AL82" s="116">
        <v>44</v>
      </c>
      <c r="AM82" s="33">
        <v>0</v>
      </c>
      <c r="AN82" s="116">
        <v>44</v>
      </c>
      <c r="AO82" s="33">
        <v>0</v>
      </c>
      <c r="AP82" s="116">
        <v>44</v>
      </c>
      <c r="AQ82" s="33"/>
      <c r="AR82" s="33"/>
      <c r="AS82" s="33"/>
      <c r="AT82" s="33"/>
      <c r="AU82" s="33"/>
      <c r="AV82" s="578"/>
      <c r="AW82" s="578"/>
      <c r="AX82" s="578"/>
      <c r="AY82" s="33"/>
      <c r="AZ82" s="33"/>
      <c r="BA82" s="33"/>
      <c r="BB82" s="33"/>
    </row>
    <row r="83" spans="5:54" x14ac:dyDescent="0.35">
      <c r="E83" s="36"/>
      <c r="G83" s="36"/>
      <c r="H83" s="33"/>
      <c r="I83" s="413"/>
      <c r="J83" s="36"/>
      <c r="K83" s="413"/>
      <c r="L83" s="32"/>
      <c r="M83" s="413"/>
      <c r="N83" s="32"/>
      <c r="O83" s="413"/>
      <c r="P83" s="32"/>
      <c r="Q83" s="33"/>
      <c r="R83" s="33"/>
      <c r="S83" s="33"/>
      <c r="T83" s="413"/>
      <c r="U83" s="32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>
        <v>4.6676051953440698</v>
      </c>
      <c r="AJ83" s="116">
        <v>16</v>
      </c>
      <c r="AK83" s="33">
        <v>5.1652492219120001</v>
      </c>
      <c r="AL83" s="116">
        <v>16</v>
      </c>
      <c r="AM83" s="33">
        <v>2.6479082321482998</v>
      </c>
      <c r="AN83" s="116">
        <v>16</v>
      </c>
      <c r="AO83" s="33">
        <v>0</v>
      </c>
      <c r="AP83" s="116">
        <v>44</v>
      </c>
      <c r="AQ83" s="33"/>
      <c r="AR83" s="33"/>
      <c r="AS83" s="33"/>
      <c r="AT83" s="33"/>
      <c r="AU83" s="33"/>
      <c r="AV83" s="578"/>
      <c r="AW83" s="578"/>
      <c r="AX83" s="578"/>
      <c r="AY83" s="33"/>
      <c r="AZ83" s="33"/>
      <c r="BA83" s="33"/>
      <c r="BB83" s="33"/>
    </row>
    <row r="84" spans="5:54" x14ac:dyDescent="0.35">
      <c r="E84" s="36"/>
      <c r="G84" s="36"/>
      <c r="H84" s="33"/>
      <c r="I84" s="413"/>
      <c r="J84" s="36"/>
      <c r="K84" s="413"/>
      <c r="L84" s="32"/>
      <c r="M84" s="413"/>
      <c r="N84" s="32"/>
      <c r="O84" s="413"/>
      <c r="P84" s="32"/>
      <c r="Q84" s="33"/>
      <c r="R84" s="33"/>
      <c r="S84" s="33"/>
      <c r="T84" s="413"/>
      <c r="U84" s="32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>
        <v>2.7461000527396502</v>
      </c>
      <c r="AJ84" s="116">
        <v>32</v>
      </c>
      <c r="AK84" s="33">
        <v>3.04938290365636</v>
      </c>
      <c r="AL84" s="116">
        <v>30</v>
      </c>
      <c r="AM84" s="33">
        <v>0</v>
      </c>
      <c r="AN84" s="116">
        <v>44</v>
      </c>
      <c r="AO84" s="33">
        <v>0</v>
      </c>
      <c r="AP84" s="116">
        <v>44</v>
      </c>
      <c r="AQ84" s="33"/>
      <c r="AR84" s="33"/>
      <c r="AS84" s="33"/>
      <c r="AT84" s="33"/>
      <c r="AU84" s="33"/>
      <c r="AV84" s="578"/>
      <c r="AW84" s="578"/>
      <c r="AX84" s="578"/>
      <c r="AY84" s="33"/>
      <c r="AZ84" s="33"/>
      <c r="BA84" s="33"/>
      <c r="BB84" s="33"/>
    </row>
    <row r="85" spans="5:54" x14ac:dyDescent="0.35">
      <c r="E85" s="36"/>
      <c r="G85" s="36"/>
      <c r="H85" s="33"/>
      <c r="I85" s="413"/>
      <c r="J85" s="36"/>
      <c r="K85" s="413"/>
      <c r="L85" s="32"/>
      <c r="M85" s="413"/>
      <c r="N85" s="32"/>
      <c r="O85" s="413"/>
      <c r="P85" s="32"/>
      <c r="Q85" s="33"/>
      <c r="R85" s="33"/>
      <c r="S85" s="33"/>
      <c r="T85" s="413"/>
      <c r="U85" s="32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>
        <v>3.4393268323190802</v>
      </c>
      <c r="AJ85" s="116">
        <v>28</v>
      </c>
      <c r="AK85" s="33">
        <v>3.3247513399065198</v>
      </c>
      <c r="AL85" s="116">
        <v>29</v>
      </c>
      <c r="AM85" s="33">
        <v>3.5610113521699098</v>
      </c>
      <c r="AN85" s="116">
        <v>12</v>
      </c>
      <c r="AO85" s="33">
        <v>0</v>
      </c>
      <c r="AP85" s="116">
        <v>44</v>
      </c>
      <c r="AQ85" s="33"/>
      <c r="AR85" s="33"/>
      <c r="AS85" s="33"/>
      <c r="AT85" s="33"/>
      <c r="AU85" s="33"/>
      <c r="AV85" s="578"/>
      <c r="AW85" s="578"/>
      <c r="AX85" s="578"/>
      <c r="AY85" s="33"/>
      <c r="AZ85" s="33"/>
      <c r="BA85" s="33"/>
      <c r="BB85" s="33"/>
    </row>
    <row r="86" spans="5:54" x14ac:dyDescent="0.35">
      <c r="E86" s="36"/>
      <c r="G86" s="36"/>
      <c r="H86" s="33"/>
      <c r="I86" s="413"/>
      <c r="J86" s="36"/>
      <c r="K86" s="413"/>
      <c r="L86" s="32"/>
      <c r="M86" s="413"/>
      <c r="N86" s="32"/>
      <c r="O86" s="413"/>
      <c r="P86" s="32"/>
      <c r="Q86" s="33"/>
      <c r="R86" s="33"/>
      <c r="S86" s="33"/>
      <c r="T86" s="413"/>
      <c r="U86" s="32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>
        <v>4.3662328149163496</v>
      </c>
      <c r="AJ86" s="116">
        <v>20</v>
      </c>
      <c r="AK86" s="33">
        <v>4.3269887097952902</v>
      </c>
      <c r="AL86" s="116">
        <v>23</v>
      </c>
      <c r="AM86" s="33">
        <v>4.2123015189282897</v>
      </c>
      <c r="AN86" s="116">
        <v>8</v>
      </c>
      <c r="AO86" s="33">
        <v>3.6497317615804601</v>
      </c>
      <c r="AP86" s="116">
        <v>7</v>
      </c>
      <c r="AQ86" s="33"/>
      <c r="AR86" s="33"/>
      <c r="AS86" s="33"/>
      <c r="AT86" s="33"/>
      <c r="AU86" s="33"/>
      <c r="AV86" s="578"/>
      <c r="AW86" s="578"/>
      <c r="AX86" s="578"/>
      <c r="AY86" s="33"/>
      <c r="AZ86" s="33"/>
      <c r="BA86" s="33"/>
      <c r="BB86" s="33"/>
    </row>
    <row r="87" spans="5:54" x14ac:dyDescent="0.35">
      <c r="E87" s="36"/>
      <c r="G87" s="36"/>
      <c r="H87" s="33"/>
      <c r="I87" s="413"/>
      <c r="J87" s="36"/>
      <c r="K87" s="413"/>
      <c r="L87" s="32"/>
      <c r="M87" s="413"/>
      <c r="N87" s="32"/>
      <c r="O87" s="413"/>
      <c r="P87" s="32"/>
      <c r="Q87" s="33"/>
      <c r="R87" s="33"/>
      <c r="S87" s="33"/>
      <c r="T87" s="413"/>
      <c r="U87" s="32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>
        <v>0</v>
      </c>
      <c r="AJ87" s="116">
        <v>44</v>
      </c>
      <c r="AK87" s="33">
        <v>0</v>
      </c>
      <c r="AL87" s="116">
        <v>44</v>
      </c>
      <c r="AM87" s="33">
        <v>0</v>
      </c>
      <c r="AN87" s="116">
        <v>44</v>
      </c>
      <c r="AO87" s="33">
        <v>0</v>
      </c>
      <c r="AP87" s="116">
        <v>44</v>
      </c>
      <c r="AQ87" s="33"/>
      <c r="AR87" s="33"/>
      <c r="AS87" s="33"/>
      <c r="AT87" s="33"/>
      <c r="AU87" s="33"/>
      <c r="AV87" s="578"/>
      <c r="AW87" s="578"/>
      <c r="AX87" s="578"/>
      <c r="AY87" s="33"/>
      <c r="AZ87" s="33"/>
      <c r="BA87" s="33"/>
      <c r="BB87" s="33"/>
    </row>
    <row r="88" spans="5:54" x14ac:dyDescent="0.35">
      <c r="E88" s="36"/>
      <c r="G88" s="36"/>
      <c r="H88" s="33"/>
      <c r="I88" s="413"/>
      <c r="J88" s="36"/>
      <c r="K88" s="413"/>
      <c r="L88" s="32"/>
      <c r="M88" s="413"/>
      <c r="N88" s="32"/>
      <c r="O88" s="413"/>
      <c r="P88" s="32"/>
      <c r="Q88" s="33"/>
      <c r="R88" s="33"/>
      <c r="S88" s="33"/>
      <c r="T88" s="413"/>
      <c r="U88" s="32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>
        <v>1.5066921456690601</v>
      </c>
      <c r="AJ88" s="116">
        <v>41</v>
      </c>
      <c r="AK88" s="33">
        <v>0</v>
      </c>
      <c r="AL88" s="116">
        <v>44</v>
      </c>
      <c r="AM88" s="33">
        <v>1.7446832712034701</v>
      </c>
      <c r="AN88" s="116">
        <v>21</v>
      </c>
      <c r="AO88" s="33">
        <v>0</v>
      </c>
      <c r="AP88" s="116">
        <v>44</v>
      </c>
      <c r="AQ88" s="33"/>
      <c r="AR88" s="33"/>
      <c r="AS88" s="33"/>
      <c r="AT88" s="33"/>
      <c r="AU88" s="33"/>
      <c r="AV88" s="578"/>
      <c r="AW88" s="578"/>
      <c r="AX88" s="578"/>
      <c r="AY88" s="33"/>
      <c r="AZ88" s="33"/>
      <c r="BA88" s="33"/>
      <c r="BB88" s="33"/>
    </row>
    <row r="89" spans="5:54" x14ac:dyDescent="0.35">
      <c r="E89" s="36"/>
      <c r="G89" s="36"/>
      <c r="H89" s="33"/>
      <c r="I89" s="413"/>
      <c r="J89" s="36"/>
      <c r="K89" s="413"/>
      <c r="L89" s="32"/>
      <c r="M89" s="413"/>
      <c r="N89" s="32"/>
      <c r="O89" s="413"/>
      <c r="P89" s="32"/>
      <c r="Q89" s="33"/>
      <c r="R89" s="33"/>
      <c r="S89" s="33"/>
      <c r="T89" s="413"/>
      <c r="U89" s="32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>
        <v>0</v>
      </c>
      <c r="AJ89" s="116">
        <v>44</v>
      </c>
      <c r="AK89" s="33">
        <v>0</v>
      </c>
      <c r="AL89" s="116">
        <v>44</v>
      </c>
      <c r="AM89" s="33">
        <v>0</v>
      </c>
      <c r="AN89" s="116">
        <v>44</v>
      </c>
      <c r="AO89" s="33">
        <v>0</v>
      </c>
      <c r="AP89" s="116">
        <v>44</v>
      </c>
      <c r="AQ89" s="33"/>
      <c r="AR89" s="33"/>
      <c r="AS89" s="33"/>
      <c r="AT89" s="33"/>
      <c r="AU89" s="33"/>
      <c r="AV89" s="578"/>
      <c r="AW89" s="578"/>
      <c r="AX89" s="578"/>
      <c r="AY89" s="33"/>
      <c r="AZ89" s="33"/>
      <c r="BA89" s="33"/>
      <c r="BB89" s="33"/>
    </row>
    <row r="90" spans="5:54" x14ac:dyDescent="0.35">
      <c r="E90" s="36"/>
      <c r="G90" s="36"/>
      <c r="H90" s="33"/>
      <c r="I90" s="413"/>
      <c r="J90" s="36"/>
      <c r="K90" s="413"/>
      <c r="L90" s="32"/>
      <c r="M90" s="413"/>
      <c r="N90" s="32"/>
      <c r="O90" s="413"/>
      <c r="P90" s="32"/>
      <c r="Q90" s="33"/>
      <c r="R90" s="33"/>
      <c r="S90" s="33"/>
      <c r="T90" s="413"/>
      <c r="U90" s="32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>
        <v>2.4591344959510302</v>
      </c>
      <c r="AJ90" s="116">
        <v>35</v>
      </c>
      <c r="AK90" s="33">
        <v>2.73072449864434</v>
      </c>
      <c r="AL90" s="116">
        <v>34</v>
      </c>
      <c r="AM90" s="33">
        <v>0</v>
      </c>
      <c r="AN90" s="116">
        <v>44</v>
      </c>
      <c r="AO90" s="33">
        <v>0</v>
      </c>
      <c r="AP90" s="116">
        <v>44</v>
      </c>
      <c r="AQ90" s="33"/>
      <c r="AR90" s="33"/>
      <c r="AS90" s="33"/>
      <c r="AT90" s="33"/>
      <c r="AU90" s="33"/>
      <c r="AV90" s="578"/>
      <c r="AW90" s="578"/>
      <c r="AX90" s="578"/>
      <c r="AY90" s="33"/>
      <c r="AZ90" s="33"/>
      <c r="BA90" s="33"/>
      <c r="BB90" s="33"/>
    </row>
    <row r="91" spans="5:54" x14ac:dyDescent="0.35">
      <c r="E91" s="36"/>
      <c r="G91" s="36"/>
      <c r="H91" s="33"/>
      <c r="I91" s="413"/>
      <c r="J91" s="36"/>
      <c r="K91" s="413"/>
      <c r="L91" s="32"/>
      <c r="M91" s="413"/>
      <c r="N91" s="32"/>
      <c r="O91" s="413"/>
      <c r="P91" s="32"/>
      <c r="Q91" s="33"/>
      <c r="R91" s="33"/>
      <c r="S91" s="33"/>
      <c r="T91" s="413"/>
      <c r="U91" s="32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>
        <v>0</v>
      </c>
      <c r="AJ91" s="116">
        <v>44</v>
      </c>
      <c r="AK91" s="33">
        <v>0</v>
      </c>
      <c r="AL91" s="116">
        <v>44</v>
      </c>
      <c r="AM91" s="33">
        <v>0</v>
      </c>
      <c r="AN91" s="116">
        <v>44</v>
      </c>
      <c r="AO91" s="33">
        <v>0</v>
      </c>
      <c r="AP91" s="116">
        <v>44</v>
      </c>
      <c r="AQ91" s="33"/>
      <c r="AR91" s="33"/>
      <c r="AS91" s="33"/>
      <c r="AT91" s="33"/>
      <c r="AU91" s="33"/>
      <c r="AV91" s="578"/>
      <c r="AW91" s="578"/>
      <c r="AX91" s="578"/>
      <c r="AY91" s="33"/>
      <c r="AZ91" s="33"/>
      <c r="BA91" s="33"/>
      <c r="BB91" s="33"/>
    </row>
    <row r="92" spans="5:54" x14ac:dyDescent="0.35">
      <c r="E92" s="36"/>
      <c r="G92" s="36"/>
      <c r="H92" s="33"/>
      <c r="I92" s="413"/>
      <c r="J92" s="36"/>
      <c r="K92" s="413"/>
      <c r="L92" s="32"/>
      <c r="M92" s="413"/>
      <c r="N92" s="32"/>
      <c r="O92" s="413"/>
      <c r="P92" s="32"/>
      <c r="Q92" s="33"/>
      <c r="R92" s="33"/>
      <c r="S92" s="33"/>
      <c r="T92" s="413"/>
      <c r="U92" s="32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>
        <v>9.7465731314616093</v>
      </c>
      <c r="AJ92" s="116">
        <v>2</v>
      </c>
      <c r="AK92" s="33">
        <v>7.7729406452055398</v>
      </c>
      <c r="AL92" s="116">
        <v>5</v>
      </c>
      <c r="AM92" s="33">
        <v>10</v>
      </c>
      <c r="AN92" s="116">
        <v>1</v>
      </c>
      <c r="AO92" s="33">
        <v>10</v>
      </c>
      <c r="AP92" s="116">
        <v>1</v>
      </c>
      <c r="AQ92" s="33"/>
      <c r="AR92" s="33"/>
      <c r="AS92" s="33"/>
      <c r="AT92" s="33"/>
      <c r="AU92" s="33"/>
      <c r="AV92" s="578"/>
      <c r="AW92" s="578"/>
      <c r="AX92" s="578"/>
      <c r="AY92" s="33"/>
      <c r="AZ92" s="33"/>
      <c r="BA92" s="33"/>
      <c r="BB92" s="33"/>
    </row>
    <row r="93" spans="5:54" x14ac:dyDescent="0.35">
      <c r="E93" s="36"/>
      <c r="G93" s="36"/>
      <c r="H93" s="33"/>
      <c r="I93" s="413"/>
      <c r="J93" s="36"/>
      <c r="K93" s="413"/>
      <c r="L93" s="32"/>
      <c r="M93" s="413"/>
      <c r="N93" s="32"/>
      <c r="O93" s="413"/>
      <c r="P93" s="32"/>
      <c r="Q93" s="33"/>
      <c r="R93" s="33"/>
      <c r="S93" s="33"/>
      <c r="T93" s="413"/>
      <c r="U93" s="32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>
        <v>0</v>
      </c>
      <c r="AJ93" s="116">
        <v>44</v>
      </c>
      <c r="AK93" s="33">
        <v>0</v>
      </c>
      <c r="AL93" s="116">
        <v>44</v>
      </c>
      <c r="AM93" s="33">
        <v>0</v>
      </c>
      <c r="AN93" s="116">
        <v>44</v>
      </c>
      <c r="AO93" s="33">
        <v>0</v>
      </c>
      <c r="AP93" s="116">
        <v>44</v>
      </c>
      <c r="AQ93" s="33"/>
      <c r="AR93" s="33"/>
      <c r="AS93" s="33"/>
      <c r="AT93" s="33"/>
      <c r="AU93" s="33"/>
      <c r="AV93" s="578"/>
      <c r="AW93" s="578"/>
      <c r="AX93" s="578"/>
      <c r="AY93" s="33"/>
      <c r="AZ93" s="33"/>
      <c r="BA93" s="33"/>
      <c r="BB93" s="33"/>
    </row>
    <row r="94" spans="5:54" x14ac:dyDescent="0.35">
      <c r="E94" s="36"/>
      <c r="G94" s="36"/>
      <c r="H94" s="33"/>
      <c r="I94" s="413"/>
      <c r="J94" s="36"/>
      <c r="K94" s="413"/>
      <c r="L94" s="32"/>
      <c r="M94" s="413"/>
      <c r="N94" s="32"/>
      <c r="O94" s="413"/>
      <c r="P94" s="32"/>
      <c r="Q94" s="33"/>
      <c r="R94" s="33"/>
      <c r="S94" s="33"/>
      <c r="T94" s="413"/>
      <c r="U94" s="32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>
        <v>7.5754008245066098</v>
      </c>
      <c r="AJ94" s="116">
        <v>4</v>
      </c>
      <c r="AK94" s="33">
        <v>8.2318785744136704</v>
      </c>
      <c r="AL94" s="116">
        <v>3</v>
      </c>
      <c r="AM94" s="33">
        <v>5.8591115838408996</v>
      </c>
      <c r="AN94" s="116">
        <v>4</v>
      </c>
      <c r="AO94" s="33">
        <v>3.8916473750556202</v>
      </c>
      <c r="AP94" s="116">
        <v>6</v>
      </c>
      <c r="AQ94" s="33"/>
      <c r="AR94" s="33"/>
      <c r="AS94" s="33"/>
      <c r="AT94" s="33"/>
      <c r="AU94" s="33"/>
      <c r="AV94" s="578"/>
      <c r="AW94" s="578"/>
      <c r="AX94" s="578"/>
      <c r="AY94" s="33"/>
      <c r="AZ94" s="33"/>
      <c r="BA94" s="33"/>
      <c r="BB94" s="33"/>
    </row>
    <row r="95" spans="5:54" x14ac:dyDescent="0.35">
      <c r="E95" s="36"/>
      <c r="G95" s="36"/>
      <c r="H95" s="33"/>
      <c r="I95" s="413"/>
      <c r="J95" s="36"/>
      <c r="K95" s="413"/>
      <c r="L95" s="32"/>
      <c r="M95" s="413"/>
      <c r="N95" s="32"/>
      <c r="O95" s="413"/>
      <c r="P95" s="32"/>
      <c r="Q95" s="33"/>
      <c r="R95" s="33"/>
      <c r="S95" s="33"/>
      <c r="T95" s="413"/>
      <c r="U95" s="32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>
        <v>6.9103984557911602</v>
      </c>
      <c r="AJ95" s="116">
        <v>6</v>
      </c>
      <c r="AK95" s="33">
        <v>7.6630857306711597</v>
      </c>
      <c r="AL95" s="116">
        <v>6</v>
      </c>
      <c r="AM95" s="33">
        <v>2.2317217888417402</v>
      </c>
      <c r="AN95" s="116">
        <v>18</v>
      </c>
      <c r="AO95" s="33">
        <v>3.5198368374046001</v>
      </c>
      <c r="AP95" s="116">
        <v>9</v>
      </c>
      <c r="AQ95" s="33"/>
      <c r="AR95" s="33"/>
      <c r="AS95" s="33"/>
      <c r="AT95" s="33"/>
      <c r="AU95" s="33"/>
      <c r="AV95" s="578"/>
      <c r="AW95" s="578"/>
      <c r="AX95" s="578"/>
      <c r="AY95" s="33"/>
      <c r="AZ95" s="33"/>
      <c r="BA95" s="33"/>
      <c r="BB95" s="33"/>
    </row>
    <row r="96" spans="5:54" x14ac:dyDescent="0.35">
      <c r="E96" s="36"/>
      <c r="G96" s="36"/>
      <c r="H96" s="33"/>
      <c r="I96" s="413"/>
      <c r="J96" s="36"/>
      <c r="K96" s="413"/>
      <c r="L96" s="32"/>
      <c r="M96" s="413"/>
      <c r="N96" s="32"/>
      <c r="O96" s="413"/>
      <c r="P96" s="32"/>
      <c r="Q96" s="33"/>
      <c r="R96" s="33"/>
      <c r="S96" s="33"/>
      <c r="T96" s="413"/>
      <c r="U96" s="32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>
        <v>6.1895336926856803</v>
      </c>
      <c r="AJ96" s="116">
        <v>10</v>
      </c>
      <c r="AK96" s="33">
        <v>6.8725609156987</v>
      </c>
      <c r="AL96" s="116">
        <v>8</v>
      </c>
      <c r="AM96" s="33">
        <v>1.7880349861071301</v>
      </c>
      <c r="AN96" s="116">
        <v>20</v>
      </c>
      <c r="AO96" s="33">
        <v>0</v>
      </c>
      <c r="AP96" s="116">
        <v>44</v>
      </c>
      <c r="AQ96" s="33"/>
      <c r="AR96" s="33"/>
      <c r="AS96" s="33"/>
      <c r="AT96" s="33"/>
      <c r="AU96" s="33"/>
      <c r="AV96" s="578"/>
      <c r="AW96" s="578"/>
      <c r="AX96" s="578"/>
      <c r="AY96" s="33"/>
      <c r="AZ96" s="33"/>
      <c r="BA96" s="33"/>
      <c r="BB96" s="33"/>
    </row>
    <row r="97" spans="23:50" x14ac:dyDescent="0.35"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>
        <v>5.5655533943911699</v>
      </c>
      <c r="AJ97" s="116">
        <v>11</v>
      </c>
      <c r="AK97" s="33">
        <v>5.5502470557640704</v>
      </c>
      <c r="AL97" s="116">
        <v>14</v>
      </c>
      <c r="AM97" s="33">
        <v>5.3987341568236697</v>
      </c>
      <c r="AN97" s="116">
        <v>6</v>
      </c>
      <c r="AO97" s="33">
        <v>4.3811094101388104</v>
      </c>
      <c r="AP97" s="116">
        <v>5</v>
      </c>
      <c r="AQ97" s="33"/>
      <c r="AR97" s="33"/>
      <c r="AS97" s="33"/>
      <c r="AT97" s="33"/>
      <c r="AU97" s="33"/>
      <c r="AV97" s="578"/>
      <c r="AW97" s="578"/>
      <c r="AX97" s="578"/>
    </row>
    <row r="98" spans="23:50" x14ac:dyDescent="0.35">
      <c r="AI98" s="1">
        <v>6.76174369568953</v>
      </c>
      <c r="AJ98" s="37">
        <v>7</v>
      </c>
      <c r="AK98" s="1">
        <v>7.5085194379465898</v>
      </c>
      <c r="AL98" s="37">
        <v>7</v>
      </c>
      <c r="AM98" s="1">
        <v>0</v>
      </c>
      <c r="AN98" s="37">
        <v>44</v>
      </c>
      <c r="AO98" s="1">
        <v>0</v>
      </c>
      <c r="AP98" s="37">
        <v>44</v>
      </c>
    </row>
    <row r="99" spans="23:50" x14ac:dyDescent="0.35">
      <c r="AI99" s="1">
        <v>6.6650644551654796</v>
      </c>
      <c r="AJ99" s="37">
        <v>9</v>
      </c>
      <c r="AK99" s="1">
        <v>6.5980320216171098</v>
      </c>
      <c r="AL99" s="37">
        <v>9</v>
      </c>
      <c r="AM99" s="1">
        <v>6.55660079217619</v>
      </c>
      <c r="AN99" s="37">
        <v>3</v>
      </c>
      <c r="AO99" s="1">
        <v>5.1387470727017304</v>
      </c>
      <c r="AP99" s="37">
        <v>4</v>
      </c>
    </row>
    <row r="100" spans="23:50" x14ac:dyDescent="0.35">
      <c r="AI100" s="1">
        <v>3.6094088780762501</v>
      </c>
      <c r="AJ100" s="37">
        <v>27</v>
      </c>
      <c r="AK100" s="1">
        <v>4.0080366751861698</v>
      </c>
      <c r="AL100" s="37">
        <v>27</v>
      </c>
      <c r="AM100" s="1">
        <v>0</v>
      </c>
      <c r="AN100" s="37">
        <v>44</v>
      </c>
      <c r="AO100" s="1">
        <v>0</v>
      </c>
      <c r="AP100" s="37">
        <v>44</v>
      </c>
    </row>
    <row r="101" spans="23:50" x14ac:dyDescent="0.35">
      <c r="AI101" s="1">
        <v>4.4411624389622704</v>
      </c>
      <c r="AJ101" s="37">
        <v>18</v>
      </c>
      <c r="AK101" s="1">
        <v>4.7727087744457997</v>
      </c>
      <c r="AL101" s="37">
        <v>18</v>
      </c>
      <c r="AM101" s="1">
        <v>3.3685424689205101</v>
      </c>
      <c r="AN101" s="37">
        <v>13</v>
      </c>
      <c r="AO101" s="1">
        <v>3.4556050768783799</v>
      </c>
      <c r="AP101" s="37">
        <v>11</v>
      </c>
    </row>
    <row r="102" spans="23:50" x14ac:dyDescent="0.35">
      <c r="AI102" s="1">
        <v>7.3585966636466802</v>
      </c>
      <c r="AJ102" s="37">
        <v>5</v>
      </c>
      <c r="AK102" s="1">
        <v>8.1344398599733001</v>
      </c>
      <c r="AL102" s="37">
        <v>4</v>
      </c>
      <c r="AM102" s="1">
        <v>4.1991159458501404</v>
      </c>
      <c r="AN102" s="37">
        <v>9</v>
      </c>
      <c r="AO102" s="1">
        <v>3.5736586967731898</v>
      </c>
      <c r="AP102" s="37">
        <v>8</v>
      </c>
    </row>
    <row r="103" spans="23:50" x14ac:dyDescent="0.35">
      <c r="AI103" s="1">
        <v>1.87637053109506</v>
      </c>
      <c r="AJ103" s="37">
        <v>39</v>
      </c>
      <c r="AK103" s="1">
        <v>2.08359932579206</v>
      </c>
      <c r="AL103" s="37">
        <v>36</v>
      </c>
      <c r="AM103" s="1">
        <v>0</v>
      </c>
      <c r="AN103" s="37">
        <v>44</v>
      </c>
      <c r="AO103" s="1">
        <v>0</v>
      </c>
      <c r="AP103" s="37">
        <v>44</v>
      </c>
    </row>
    <row r="104" spans="23:50" x14ac:dyDescent="0.35">
      <c r="AI104" s="1">
        <v>0</v>
      </c>
      <c r="AJ104" s="37">
        <v>44</v>
      </c>
      <c r="AK104" s="1">
        <v>0</v>
      </c>
      <c r="AL104" s="37">
        <v>44</v>
      </c>
      <c r="AM104" s="1">
        <v>0</v>
      </c>
      <c r="AN104" s="37">
        <v>44</v>
      </c>
      <c r="AO104" s="1">
        <v>0</v>
      </c>
      <c r="AP104" s="37">
        <v>44</v>
      </c>
    </row>
    <row r="105" spans="23:50" x14ac:dyDescent="0.35">
      <c r="AI105" s="1">
        <v>1.3637010661504601</v>
      </c>
      <c r="AJ105" s="37">
        <v>42</v>
      </c>
      <c r="AK105" s="1">
        <v>0</v>
      </c>
      <c r="AL105" s="37">
        <v>44</v>
      </c>
      <c r="AM105" s="1">
        <v>1.57910588694183</v>
      </c>
      <c r="AN105" s="37">
        <v>23</v>
      </c>
      <c r="AO105" s="1">
        <v>0</v>
      </c>
      <c r="AP105" s="37">
        <v>44</v>
      </c>
    </row>
  </sheetData>
  <sortState ref="A7:BB63">
    <sortCondition descending="1" ref="C7:C63"/>
  </sortState>
  <conditionalFormatting sqref="AS7:AS63">
    <cfRule type="colorScale" priority="1664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AT7:AT63 AR7:AR63">
    <cfRule type="colorScale" priority="1666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AV7:AV63">
    <cfRule type="colorScale" priority="1670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AW7:AX63">
    <cfRule type="colorScale" priority="1672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U7:U21 U52:U63 U47:U50 U26 U23:U24 U28:U45">
    <cfRule type="colorScale" priority="1690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S7:S12 S14:S15 S17:S19 S21:S25 S27 S30:S31 S35:S37 S39:S43 S45:S53 S55 S57 S60:S61 S63">
    <cfRule type="colorScale" priority="1692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L7:L26 N7:N16 P7:P8 P63 P61 P55 P51:P53 P48:P49 P45:P46 P42:P43 P39:P40 P35:P37 P23:P25 P18 P14 P12 P10 N18:N21 N23:N25 N27:N29 N31 N33 N35:N37 N39:N53 N55 N57 N60:N61 N63 L53:L63 L40:L50 L28:L38">
    <cfRule type="colorScale" priority="1694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W7:AA63">
    <cfRule type="colorScale" priority="1704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AC7:AG63">
    <cfRule type="colorScale" priority="1706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K7:K63">
    <cfRule type="colorScale" priority="1708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M7:M63">
    <cfRule type="colorScale" priority="1710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O7:O63">
    <cfRule type="colorScale" priority="1712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R7:R63">
    <cfRule type="colorScale" priority="1714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T7:T63">
    <cfRule type="colorScale" priority="1716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B7:B63">
    <cfRule type="colorScale" priority="1718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C7:C63">
    <cfRule type="colorScale" priority="1720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I7:I63">
    <cfRule type="colorScale" priority="18">
      <colorScale>
        <cfvo type="min"/>
        <cfvo type="percentile" val="50"/>
        <cfvo type="max"/>
        <color rgb="FFF97B7E"/>
        <color rgb="FFFFEB84"/>
        <color rgb="FF6AC281"/>
      </colorScale>
    </cfRule>
  </conditionalFormatting>
  <conditionalFormatting sqref="J7:J63">
    <cfRule type="colorScale" priority="17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U27 U51 U22 U25 U46">
    <cfRule type="colorScale" priority="15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S58:S59 S62 S32:S34 S56 S54 S44 S38 S28:S29 S13 S26 S20 S16">
    <cfRule type="colorScale" priority="14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P15:P17 P9 P11 P13 P19:P22 P26:P34 P56:P60 P38 P41 P44 P47 P50 P54 P62">
    <cfRule type="colorScale" priority="13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L51:L52 L27 L39 N58:N59 N62 N17 N56 N54 N38 N34 N32 N30 N26 N22">
    <cfRule type="colorScale" priority="10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AI7:AI63">
    <cfRule type="colorScale" priority="9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AK7:AK63">
    <cfRule type="colorScale" priority="8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AM7:AM63">
    <cfRule type="colorScale" priority="7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AO7:AO63">
    <cfRule type="colorScale" priority="6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AJ7">
    <cfRule type="colorScale" priority="5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AJ8:AJ63">
    <cfRule type="colorScale" priority="4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AP7 AL7 AN7">
    <cfRule type="colorScale" priority="3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AP8:AP63 AN8:AN63 AL8:AL63">
    <cfRule type="colorScale" priority="2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F7:F63">
    <cfRule type="colorScale" priority="1">
      <colorScale>
        <cfvo type="min"/>
        <cfvo type="percentile" val="50"/>
        <cfvo type="max"/>
        <color rgb="FF7AC88E"/>
        <color rgb="FFFFEB84"/>
        <color rgb="FFF97B7E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0"/>
  </sheetPr>
  <dimension ref="A1:J69"/>
  <sheetViews>
    <sheetView topLeftCell="A25" zoomScale="85" zoomScaleNormal="85" workbookViewId="0">
      <selection activeCell="A48" sqref="A48"/>
    </sheetView>
  </sheetViews>
  <sheetFormatPr defaultRowHeight="14.4" x14ac:dyDescent="0.3"/>
  <cols>
    <col min="1" max="1" width="41.21875" style="23" customWidth="1"/>
    <col min="2" max="2" width="13.33203125" customWidth="1"/>
    <col min="6" max="6" width="96.109375" bestFit="1" customWidth="1"/>
  </cols>
  <sheetData>
    <row r="1" spans="1:10" ht="21" x14ac:dyDescent="0.4">
      <c r="A1" s="114" t="s">
        <v>171</v>
      </c>
      <c r="B1" s="195"/>
      <c r="C1" s="195"/>
      <c r="D1" s="195"/>
      <c r="E1" s="195"/>
      <c r="F1" s="195"/>
      <c r="G1" s="195"/>
      <c r="H1" s="195"/>
      <c r="I1" s="195"/>
      <c r="J1" s="195"/>
    </row>
    <row r="2" spans="1:10" s="1" customFormat="1" ht="18" x14ac:dyDescent="0.35">
      <c r="A2" s="416"/>
      <c r="B2" s="33"/>
      <c r="C2" s="33"/>
      <c r="D2" s="33"/>
      <c r="E2" s="33"/>
      <c r="F2" s="33"/>
      <c r="G2" s="33"/>
      <c r="H2" s="33"/>
      <c r="I2" s="33"/>
      <c r="J2" s="33"/>
    </row>
    <row r="3" spans="1:10" s="1" customFormat="1" ht="18" x14ac:dyDescent="0.35">
      <c r="A3" s="34"/>
      <c r="B3" s="216" t="s">
        <v>97</v>
      </c>
      <c r="C3" s="33"/>
      <c r="D3" s="33"/>
      <c r="E3" s="33"/>
      <c r="F3" s="33"/>
      <c r="G3" s="33"/>
      <c r="H3" s="33"/>
      <c r="I3" s="33"/>
      <c r="J3" s="33"/>
    </row>
    <row r="4" spans="1:10" s="1" customFormat="1" ht="18" x14ac:dyDescent="0.35">
      <c r="A4" s="34"/>
      <c r="B4" s="216" t="s">
        <v>69</v>
      </c>
      <c r="C4" s="33"/>
      <c r="D4" s="33"/>
      <c r="E4" s="33"/>
      <c r="F4" s="33"/>
      <c r="G4" s="33"/>
      <c r="H4" s="33"/>
      <c r="I4" s="33"/>
      <c r="J4" s="33"/>
    </row>
    <row r="5" spans="1:10" s="1" customFormat="1" ht="18.600000000000001" thickBot="1" x14ac:dyDescent="0.4">
      <c r="A5" s="104" t="s">
        <v>4</v>
      </c>
      <c r="B5" s="217" t="s">
        <v>2</v>
      </c>
      <c r="C5" s="33"/>
      <c r="D5" s="33"/>
      <c r="G5" s="75"/>
      <c r="H5" s="75"/>
      <c r="I5" s="33"/>
      <c r="J5" s="33"/>
    </row>
    <row r="6" spans="1:10" s="1" customFormat="1" ht="18" x14ac:dyDescent="0.35">
      <c r="A6" s="164" t="s">
        <v>10</v>
      </c>
      <c r="B6" s="593">
        <v>0</v>
      </c>
      <c r="C6" s="33"/>
      <c r="D6" s="33"/>
      <c r="G6" s="75"/>
      <c r="H6" s="75"/>
      <c r="I6" s="33"/>
      <c r="J6" s="33"/>
    </row>
    <row r="7" spans="1:10" s="1" customFormat="1" ht="18" x14ac:dyDescent="0.35">
      <c r="A7" s="214" t="s">
        <v>209</v>
      </c>
      <c r="B7" s="593">
        <v>0</v>
      </c>
      <c r="C7" s="33"/>
      <c r="D7" s="33"/>
      <c r="E7" s="97" t="s">
        <v>2</v>
      </c>
      <c r="F7" s="97" t="s">
        <v>183</v>
      </c>
      <c r="G7" s="75"/>
      <c r="H7" s="75"/>
      <c r="I7" s="33"/>
      <c r="J7" s="33"/>
    </row>
    <row r="8" spans="1:10" s="1" customFormat="1" ht="18.600000000000001" thickBot="1" x14ac:dyDescent="0.4">
      <c r="A8" s="214" t="s">
        <v>146</v>
      </c>
      <c r="B8" s="593">
        <v>0</v>
      </c>
      <c r="C8" s="33"/>
      <c r="D8" s="33"/>
      <c r="E8" s="78">
        <v>0</v>
      </c>
      <c r="F8" s="591" t="s">
        <v>98</v>
      </c>
      <c r="G8" s="75"/>
      <c r="H8" s="75"/>
      <c r="I8" s="33"/>
      <c r="J8" s="33"/>
    </row>
    <row r="9" spans="1:10" s="1" customFormat="1" ht="18" x14ac:dyDescent="0.35">
      <c r="A9" s="214" t="s">
        <v>147</v>
      </c>
      <c r="B9" s="593">
        <v>0</v>
      </c>
      <c r="C9" s="33"/>
      <c r="D9" s="33"/>
      <c r="E9" s="35">
        <v>4</v>
      </c>
      <c r="F9" s="416" t="s">
        <v>99</v>
      </c>
      <c r="G9" s="75"/>
      <c r="H9" s="75"/>
      <c r="I9" s="33"/>
      <c r="J9" s="33"/>
    </row>
    <row r="10" spans="1:10" s="1" customFormat="1" ht="18" x14ac:dyDescent="0.35">
      <c r="A10" s="95" t="s">
        <v>5</v>
      </c>
      <c r="B10" s="593">
        <v>0</v>
      </c>
      <c r="C10" s="33"/>
      <c r="D10" s="33"/>
      <c r="E10" s="35">
        <v>6</v>
      </c>
      <c r="F10" s="416" t="s">
        <v>100</v>
      </c>
      <c r="G10" s="75"/>
      <c r="H10" s="75"/>
      <c r="I10" s="33"/>
      <c r="J10" s="33"/>
    </row>
    <row r="11" spans="1:10" s="1" customFormat="1" ht="18" x14ac:dyDescent="0.35">
      <c r="A11" s="214" t="s">
        <v>210</v>
      </c>
      <c r="B11" s="593">
        <v>0</v>
      </c>
      <c r="C11" s="33"/>
      <c r="D11" s="33"/>
      <c r="E11" s="35">
        <v>9</v>
      </c>
      <c r="F11" s="416" t="s">
        <v>101</v>
      </c>
      <c r="G11" s="75"/>
      <c r="H11" s="75"/>
      <c r="I11" s="33"/>
      <c r="J11" s="33"/>
    </row>
    <row r="12" spans="1:10" s="1" customFormat="1" ht="18" x14ac:dyDescent="0.35">
      <c r="A12" s="214" t="s">
        <v>339</v>
      </c>
      <c r="B12" s="593">
        <v>0</v>
      </c>
      <c r="C12" s="33"/>
      <c r="D12" s="33"/>
      <c r="E12" s="35">
        <v>10</v>
      </c>
      <c r="F12" s="416" t="s">
        <v>202</v>
      </c>
      <c r="G12" s="75"/>
      <c r="H12" s="75"/>
      <c r="I12" s="33"/>
      <c r="J12" s="33"/>
    </row>
    <row r="13" spans="1:10" s="1" customFormat="1" ht="18" x14ac:dyDescent="0.35">
      <c r="A13" s="95" t="s">
        <v>134</v>
      </c>
      <c r="B13" s="593">
        <v>0</v>
      </c>
      <c r="C13" s="33"/>
      <c r="D13" s="33"/>
      <c r="E13" s="508"/>
      <c r="F13" s="33"/>
      <c r="G13" s="33"/>
      <c r="H13" s="33"/>
      <c r="I13" s="33"/>
      <c r="J13" s="33"/>
    </row>
    <row r="14" spans="1:10" s="1" customFormat="1" ht="18" x14ac:dyDescent="0.35">
      <c r="A14" s="214" t="s">
        <v>148</v>
      </c>
      <c r="B14" s="593">
        <v>0</v>
      </c>
      <c r="C14" s="33"/>
      <c r="D14" s="33"/>
      <c r="E14" s="508"/>
      <c r="F14" s="33"/>
      <c r="G14" s="33"/>
      <c r="H14" s="33"/>
      <c r="I14" s="33"/>
      <c r="J14" s="33"/>
    </row>
    <row r="15" spans="1:10" s="1" customFormat="1" ht="18" x14ac:dyDescent="0.35">
      <c r="A15" s="214" t="s">
        <v>9</v>
      </c>
      <c r="B15" s="593">
        <v>0</v>
      </c>
      <c r="C15" s="33"/>
      <c r="D15" s="33"/>
      <c r="E15" s="33"/>
      <c r="F15" s="33"/>
      <c r="G15" s="33"/>
      <c r="H15" s="33"/>
      <c r="I15" s="33"/>
      <c r="J15" s="33"/>
    </row>
    <row r="16" spans="1:10" s="1" customFormat="1" ht="18" x14ac:dyDescent="0.35">
      <c r="A16" s="95" t="s">
        <v>129</v>
      </c>
      <c r="B16" s="593">
        <v>0</v>
      </c>
      <c r="C16" s="33"/>
      <c r="D16" s="33"/>
      <c r="E16" s="33"/>
      <c r="F16" s="33"/>
      <c r="G16" s="33"/>
      <c r="H16" s="33"/>
      <c r="I16" s="33"/>
      <c r="J16" s="33"/>
    </row>
    <row r="17" spans="1:10" s="1" customFormat="1" ht="18" x14ac:dyDescent="0.35">
      <c r="A17" s="95" t="s">
        <v>18</v>
      </c>
      <c r="B17" s="593">
        <v>0</v>
      </c>
      <c r="C17" s="33"/>
      <c r="D17" s="33"/>
      <c r="E17" s="33"/>
      <c r="F17" s="33"/>
      <c r="G17" s="33"/>
      <c r="H17" s="33"/>
      <c r="I17" s="33"/>
      <c r="J17" s="33"/>
    </row>
    <row r="18" spans="1:10" s="1" customFormat="1" ht="18" x14ac:dyDescent="0.35">
      <c r="A18" s="95" t="s">
        <v>140</v>
      </c>
      <c r="B18" s="593">
        <v>0</v>
      </c>
      <c r="C18" s="33"/>
      <c r="D18" s="33"/>
      <c r="E18" s="33"/>
      <c r="F18" s="33"/>
      <c r="G18" s="33"/>
      <c r="H18" s="33"/>
      <c r="I18" s="33"/>
      <c r="J18" s="33"/>
    </row>
    <row r="19" spans="1:10" s="1" customFormat="1" ht="18" x14ac:dyDescent="0.35">
      <c r="A19" s="214" t="s">
        <v>143</v>
      </c>
      <c r="B19" s="593">
        <v>0</v>
      </c>
      <c r="C19" s="33"/>
      <c r="D19" s="33"/>
      <c r="E19" s="33"/>
      <c r="F19" s="33"/>
      <c r="G19" s="33"/>
      <c r="H19" s="33"/>
      <c r="I19" s="33"/>
      <c r="J19" s="33"/>
    </row>
    <row r="20" spans="1:10" s="1" customFormat="1" ht="18" x14ac:dyDescent="0.35">
      <c r="A20" s="214" t="s">
        <v>149</v>
      </c>
      <c r="B20" s="593">
        <v>0</v>
      </c>
      <c r="C20" s="33"/>
      <c r="D20" s="33"/>
      <c r="E20" s="33"/>
      <c r="F20" s="33"/>
      <c r="G20" s="33"/>
      <c r="H20" s="33"/>
      <c r="I20" s="33"/>
      <c r="J20" s="33"/>
    </row>
    <row r="21" spans="1:10" s="1" customFormat="1" ht="18" x14ac:dyDescent="0.35">
      <c r="A21" s="95" t="s">
        <v>132</v>
      </c>
      <c r="B21" s="593">
        <v>0</v>
      </c>
      <c r="C21" s="33"/>
      <c r="D21" s="33"/>
      <c r="E21" s="33"/>
      <c r="F21" s="33"/>
      <c r="G21" s="33"/>
      <c r="H21" s="33"/>
      <c r="I21" s="33"/>
      <c r="J21" s="33"/>
    </row>
    <row r="22" spans="1:10" s="1" customFormat="1" ht="18" x14ac:dyDescent="0.35">
      <c r="A22" s="95" t="s">
        <v>16</v>
      </c>
      <c r="B22" s="593">
        <v>0</v>
      </c>
      <c r="C22" s="33"/>
      <c r="D22" s="33"/>
      <c r="E22" s="33"/>
      <c r="F22" s="33"/>
      <c r="G22" s="33"/>
      <c r="H22" s="33"/>
      <c r="I22" s="33"/>
      <c r="J22" s="33"/>
    </row>
    <row r="23" spans="1:10" s="1" customFormat="1" ht="18" x14ac:dyDescent="0.35">
      <c r="A23" s="95" t="s">
        <v>6</v>
      </c>
      <c r="B23" s="593">
        <v>0</v>
      </c>
      <c r="C23" s="33"/>
      <c r="D23" s="33"/>
      <c r="E23" s="33"/>
      <c r="F23" s="33"/>
      <c r="G23" s="33"/>
      <c r="H23" s="33"/>
      <c r="I23" s="33"/>
      <c r="J23" s="33"/>
    </row>
    <row r="24" spans="1:10" s="1" customFormat="1" ht="18" x14ac:dyDescent="0.35">
      <c r="A24" s="95" t="s">
        <v>20</v>
      </c>
      <c r="B24" s="593">
        <v>0</v>
      </c>
      <c r="C24" s="33"/>
      <c r="D24" s="33"/>
      <c r="E24" s="33"/>
      <c r="F24" s="33"/>
      <c r="G24" s="33"/>
      <c r="H24" s="33"/>
      <c r="I24" s="33"/>
      <c r="J24" s="33"/>
    </row>
    <row r="25" spans="1:10" s="1" customFormat="1" ht="18" x14ac:dyDescent="0.35">
      <c r="A25" s="214" t="s">
        <v>150</v>
      </c>
      <c r="B25" s="593">
        <v>0</v>
      </c>
      <c r="C25" s="33"/>
      <c r="D25" s="33"/>
      <c r="E25" s="33"/>
      <c r="F25" s="33"/>
      <c r="G25" s="33"/>
      <c r="H25" s="33"/>
      <c r="I25" s="33"/>
      <c r="J25" s="33"/>
    </row>
    <row r="26" spans="1:10" s="1" customFormat="1" ht="18" x14ac:dyDescent="0.35">
      <c r="A26" s="214" t="s">
        <v>33</v>
      </c>
      <c r="B26" s="593">
        <v>0</v>
      </c>
      <c r="C26" s="33"/>
      <c r="D26" s="33"/>
      <c r="E26" s="33"/>
      <c r="F26" s="33"/>
      <c r="G26" s="33"/>
      <c r="H26" s="33"/>
      <c r="I26" s="33"/>
      <c r="J26" s="33"/>
    </row>
    <row r="27" spans="1:10" s="1" customFormat="1" ht="18" x14ac:dyDescent="0.35">
      <c r="A27" s="214" t="s">
        <v>476</v>
      </c>
      <c r="B27" s="593">
        <v>0</v>
      </c>
      <c r="C27" s="33"/>
      <c r="D27" s="33"/>
      <c r="E27" s="33"/>
      <c r="F27" s="33"/>
      <c r="G27" s="33"/>
      <c r="H27" s="33"/>
      <c r="I27" s="33"/>
      <c r="J27" s="33"/>
    </row>
    <row r="28" spans="1:10" s="1" customFormat="1" ht="18" x14ac:dyDescent="0.35">
      <c r="A28" s="214" t="s">
        <v>151</v>
      </c>
      <c r="B28" s="593">
        <v>0</v>
      </c>
      <c r="C28" s="33"/>
      <c r="D28" s="33"/>
      <c r="E28" s="33"/>
      <c r="F28" s="33"/>
      <c r="G28" s="33"/>
      <c r="H28" s="33"/>
      <c r="I28" s="33"/>
      <c r="J28" s="33"/>
    </row>
    <row r="29" spans="1:10" s="1" customFormat="1" ht="18" x14ac:dyDescent="0.35">
      <c r="A29" s="214" t="s">
        <v>144</v>
      </c>
      <c r="B29" s="593">
        <v>0</v>
      </c>
      <c r="C29" s="33"/>
      <c r="D29" s="33"/>
      <c r="E29" s="33"/>
      <c r="F29" s="33"/>
      <c r="G29" s="33"/>
      <c r="H29" s="33"/>
      <c r="I29" s="33"/>
      <c r="J29" s="33"/>
    </row>
    <row r="30" spans="1:10" s="1" customFormat="1" ht="18" x14ac:dyDescent="0.35">
      <c r="A30" s="214" t="s">
        <v>145</v>
      </c>
      <c r="B30" s="593">
        <v>0</v>
      </c>
      <c r="C30" s="33"/>
      <c r="D30" s="33"/>
      <c r="E30" s="33"/>
      <c r="F30" s="33"/>
      <c r="G30" s="33"/>
      <c r="H30" s="33"/>
      <c r="I30" s="33"/>
      <c r="J30" s="33"/>
    </row>
    <row r="31" spans="1:10" s="1" customFormat="1" ht="18" x14ac:dyDescent="0.35">
      <c r="A31" s="214" t="s">
        <v>152</v>
      </c>
      <c r="B31" s="593">
        <v>0</v>
      </c>
      <c r="C31" s="33"/>
      <c r="D31" s="33"/>
      <c r="E31" s="33"/>
      <c r="F31" s="33"/>
      <c r="G31" s="33"/>
      <c r="H31" s="33"/>
      <c r="I31" s="33"/>
      <c r="J31" s="33"/>
    </row>
    <row r="32" spans="1:10" s="1" customFormat="1" ht="18" x14ac:dyDescent="0.35">
      <c r="A32" s="214" t="s">
        <v>356</v>
      </c>
      <c r="B32" s="593">
        <v>0</v>
      </c>
      <c r="C32" s="33"/>
      <c r="D32" s="33"/>
      <c r="E32" s="33"/>
      <c r="F32" s="33"/>
      <c r="G32" s="33"/>
      <c r="H32" s="33"/>
      <c r="I32" s="33"/>
      <c r="J32" s="33"/>
    </row>
    <row r="33" spans="1:10" s="1" customFormat="1" ht="18" x14ac:dyDescent="0.35">
      <c r="A33" s="214" t="s">
        <v>337</v>
      </c>
      <c r="B33" s="593">
        <v>0</v>
      </c>
      <c r="C33" s="33"/>
      <c r="D33" s="33"/>
      <c r="E33" s="33"/>
      <c r="F33" s="33"/>
      <c r="G33" s="33"/>
      <c r="H33" s="33"/>
      <c r="I33" s="33"/>
      <c r="J33" s="33"/>
    </row>
    <row r="34" spans="1:10" s="1" customFormat="1" ht="18" x14ac:dyDescent="0.35">
      <c r="A34" s="95" t="s">
        <v>128</v>
      </c>
      <c r="B34" s="593">
        <v>0</v>
      </c>
      <c r="C34" s="33"/>
      <c r="D34" s="33"/>
      <c r="E34" s="33"/>
      <c r="F34" s="33"/>
      <c r="G34" s="33"/>
      <c r="H34" s="33"/>
      <c r="I34" s="33"/>
      <c r="J34" s="33"/>
    </row>
    <row r="35" spans="1:10" s="1" customFormat="1" ht="18" x14ac:dyDescent="0.35">
      <c r="A35" s="96" t="s">
        <v>141</v>
      </c>
      <c r="B35" s="593">
        <v>0</v>
      </c>
      <c r="C35" s="33"/>
      <c r="D35" s="33"/>
      <c r="E35" s="33"/>
      <c r="F35" s="33"/>
      <c r="G35" s="33"/>
      <c r="H35" s="33"/>
      <c r="I35" s="33"/>
      <c r="J35" s="33"/>
    </row>
    <row r="36" spans="1:10" s="1" customFormat="1" ht="18" x14ac:dyDescent="0.35">
      <c r="A36" s="95" t="s">
        <v>125</v>
      </c>
      <c r="B36" s="593">
        <v>0</v>
      </c>
      <c r="C36" s="33"/>
      <c r="D36" s="33"/>
      <c r="E36" s="33"/>
      <c r="F36" s="33"/>
      <c r="G36" s="33"/>
      <c r="H36" s="33"/>
      <c r="I36" s="33"/>
      <c r="J36" s="33"/>
    </row>
    <row r="37" spans="1:10" s="1" customFormat="1" ht="18" x14ac:dyDescent="0.35">
      <c r="A37" s="214" t="s">
        <v>153</v>
      </c>
      <c r="B37" s="593">
        <v>0</v>
      </c>
      <c r="C37" s="33"/>
      <c r="D37" s="33"/>
      <c r="E37" s="33"/>
      <c r="F37" s="33"/>
      <c r="G37" s="33"/>
      <c r="H37" s="33"/>
      <c r="I37" s="33"/>
      <c r="J37" s="33"/>
    </row>
    <row r="38" spans="1:10" s="1" customFormat="1" ht="18" x14ac:dyDescent="0.35">
      <c r="A38" s="95" t="s">
        <v>133</v>
      </c>
      <c r="B38" s="593">
        <v>0</v>
      </c>
      <c r="C38" s="33"/>
      <c r="D38" s="33"/>
      <c r="E38" s="33"/>
      <c r="F38" s="33"/>
      <c r="G38" s="33"/>
      <c r="H38" s="33"/>
      <c r="I38" s="33"/>
      <c r="J38" s="33"/>
    </row>
    <row r="39" spans="1:10" s="1" customFormat="1" ht="18" x14ac:dyDescent="0.35">
      <c r="A39" s="95" t="s">
        <v>357</v>
      </c>
      <c r="B39" s="593">
        <v>0</v>
      </c>
      <c r="C39" s="33"/>
      <c r="D39" s="33"/>
      <c r="E39" s="33"/>
      <c r="F39" s="33"/>
      <c r="G39" s="33"/>
      <c r="H39" s="33"/>
      <c r="I39" s="33"/>
      <c r="J39" s="33"/>
    </row>
    <row r="40" spans="1:10" s="1" customFormat="1" ht="18" x14ac:dyDescent="0.35">
      <c r="A40" s="214" t="s">
        <v>154</v>
      </c>
      <c r="B40" s="593">
        <v>0</v>
      </c>
      <c r="C40" s="33"/>
      <c r="D40" s="33"/>
      <c r="E40" s="33"/>
      <c r="F40" s="33"/>
      <c r="G40" s="33"/>
      <c r="H40" s="33"/>
      <c r="I40" s="33"/>
      <c r="J40" s="33"/>
    </row>
    <row r="41" spans="1:10" s="1" customFormat="1" ht="18" x14ac:dyDescent="0.35">
      <c r="A41" s="214" t="s">
        <v>341</v>
      </c>
      <c r="B41" s="593">
        <v>0</v>
      </c>
      <c r="C41" s="33"/>
      <c r="D41" s="33"/>
      <c r="E41" s="33"/>
      <c r="F41" s="33"/>
      <c r="G41" s="33"/>
      <c r="H41" s="33"/>
      <c r="I41" s="33"/>
      <c r="J41" s="33"/>
    </row>
    <row r="42" spans="1:10" s="1" customFormat="1" ht="18" x14ac:dyDescent="0.35">
      <c r="A42" s="95" t="s">
        <v>7</v>
      </c>
      <c r="B42" s="593">
        <v>0</v>
      </c>
      <c r="C42" s="33"/>
      <c r="D42" s="33"/>
      <c r="E42" s="33"/>
      <c r="F42" s="33"/>
      <c r="G42" s="33"/>
      <c r="H42" s="33"/>
      <c r="I42" s="33"/>
      <c r="J42" s="33"/>
    </row>
    <row r="43" spans="1:10" s="1" customFormat="1" ht="18" x14ac:dyDescent="0.35">
      <c r="A43" s="214" t="s">
        <v>155</v>
      </c>
      <c r="B43" s="592">
        <v>4</v>
      </c>
      <c r="C43" s="33"/>
      <c r="D43" s="33"/>
      <c r="E43" s="33"/>
      <c r="F43" s="33"/>
      <c r="G43" s="33"/>
      <c r="H43" s="33"/>
      <c r="I43" s="33"/>
      <c r="J43" s="33"/>
    </row>
    <row r="44" spans="1:10" s="1" customFormat="1" ht="18" x14ac:dyDescent="0.35">
      <c r="A44" s="214" t="s">
        <v>156</v>
      </c>
      <c r="B44" s="593">
        <v>0</v>
      </c>
      <c r="C44" s="33"/>
      <c r="D44" s="33"/>
      <c r="E44" s="33"/>
      <c r="F44" s="33"/>
      <c r="G44" s="33"/>
      <c r="H44" s="33"/>
      <c r="I44" s="33"/>
      <c r="J44" s="33"/>
    </row>
    <row r="45" spans="1:10" s="1" customFormat="1" ht="18" x14ac:dyDescent="0.35">
      <c r="A45" s="214" t="s">
        <v>13</v>
      </c>
      <c r="B45" s="593">
        <v>0</v>
      </c>
      <c r="C45" s="33"/>
      <c r="D45" s="33"/>
      <c r="E45" s="33"/>
      <c r="F45" s="33"/>
      <c r="G45" s="33"/>
      <c r="H45" s="33"/>
      <c r="I45" s="33"/>
      <c r="J45" s="33"/>
    </row>
    <row r="46" spans="1:10" s="1" customFormat="1" ht="18" x14ac:dyDescent="0.35">
      <c r="A46" s="214" t="s">
        <v>25</v>
      </c>
      <c r="B46" s="593">
        <v>0</v>
      </c>
      <c r="C46" s="33"/>
      <c r="D46" s="33"/>
      <c r="E46" s="33"/>
      <c r="F46" s="33"/>
      <c r="G46" s="33"/>
      <c r="H46" s="33"/>
      <c r="I46" s="33"/>
      <c r="J46" s="33"/>
    </row>
    <row r="47" spans="1:10" s="1" customFormat="1" ht="18" x14ac:dyDescent="0.35">
      <c r="A47" s="214" t="s">
        <v>472</v>
      </c>
      <c r="B47" s="593">
        <v>0</v>
      </c>
      <c r="C47" s="33"/>
      <c r="D47" s="33"/>
      <c r="E47" s="33"/>
      <c r="F47" s="33"/>
      <c r="G47" s="33"/>
      <c r="H47" s="33"/>
      <c r="I47" s="33"/>
      <c r="J47" s="33"/>
    </row>
    <row r="48" spans="1:10" s="1" customFormat="1" ht="18" x14ac:dyDescent="0.35">
      <c r="A48" s="96" t="s">
        <v>130</v>
      </c>
      <c r="B48" s="593">
        <v>0</v>
      </c>
      <c r="C48" s="33"/>
      <c r="D48" s="33"/>
      <c r="E48" s="33"/>
      <c r="F48" s="33"/>
      <c r="G48" s="33"/>
      <c r="H48" s="33"/>
      <c r="I48" s="33"/>
      <c r="J48" s="33"/>
    </row>
    <row r="49" spans="1:10" s="1" customFormat="1" ht="18" x14ac:dyDescent="0.35">
      <c r="A49" s="214" t="s">
        <v>19</v>
      </c>
      <c r="B49" s="593">
        <v>0</v>
      </c>
      <c r="C49" s="33"/>
      <c r="D49" s="33"/>
      <c r="E49" s="33"/>
      <c r="F49" s="33"/>
      <c r="G49" s="33"/>
      <c r="H49" s="33"/>
      <c r="I49" s="33"/>
      <c r="J49" s="33"/>
    </row>
    <row r="50" spans="1:10" s="1" customFormat="1" ht="18" x14ac:dyDescent="0.35">
      <c r="A50" s="214" t="s">
        <v>211</v>
      </c>
      <c r="B50" s="593">
        <v>0</v>
      </c>
      <c r="C50" s="33"/>
      <c r="D50" s="33"/>
      <c r="E50" s="33"/>
      <c r="F50" s="33"/>
      <c r="G50" s="33"/>
      <c r="H50" s="33"/>
      <c r="I50" s="33"/>
      <c r="J50" s="33"/>
    </row>
    <row r="51" spans="1:10" s="1" customFormat="1" ht="18" x14ac:dyDescent="0.35">
      <c r="A51" s="214" t="s">
        <v>157</v>
      </c>
      <c r="B51" s="593">
        <v>0</v>
      </c>
      <c r="C51" s="33"/>
      <c r="D51" s="33"/>
      <c r="E51" s="33"/>
      <c r="F51" s="33"/>
      <c r="G51" s="33"/>
      <c r="H51" s="33"/>
      <c r="I51" s="33"/>
      <c r="J51" s="33"/>
    </row>
    <row r="52" spans="1:10" s="1" customFormat="1" ht="18" x14ac:dyDescent="0.35">
      <c r="A52" s="95" t="s">
        <v>126</v>
      </c>
      <c r="B52" s="593">
        <v>0</v>
      </c>
      <c r="C52" s="33"/>
      <c r="D52" s="33"/>
      <c r="E52" s="33"/>
      <c r="F52" s="33"/>
      <c r="G52" s="33"/>
      <c r="H52" s="33"/>
      <c r="I52" s="33"/>
      <c r="J52" s="33"/>
    </row>
    <row r="53" spans="1:10" s="1" customFormat="1" ht="18" x14ac:dyDescent="0.35">
      <c r="A53" s="214" t="s">
        <v>158</v>
      </c>
      <c r="B53" s="593">
        <v>0</v>
      </c>
      <c r="C53" s="33"/>
      <c r="D53" s="33"/>
      <c r="E53" s="33"/>
      <c r="F53" s="33"/>
      <c r="G53" s="33"/>
      <c r="H53" s="33"/>
      <c r="I53" s="33"/>
      <c r="J53" s="33"/>
    </row>
    <row r="54" spans="1:10" s="1" customFormat="1" ht="18" x14ac:dyDescent="0.35">
      <c r="A54" s="214" t="s">
        <v>213</v>
      </c>
      <c r="B54" s="593">
        <v>0</v>
      </c>
      <c r="C54" s="33"/>
      <c r="D54" s="33"/>
      <c r="E54" s="33"/>
      <c r="F54" s="33"/>
      <c r="G54" s="33"/>
      <c r="H54" s="33"/>
      <c r="I54" s="33"/>
      <c r="J54" s="33"/>
    </row>
    <row r="55" spans="1:10" s="1" customFormat="1" ht="18" x14ac:dyDescent="0.35">
      <c r="A55" s="214" t="s">
        <v>159</v>
      </c>
      <c r="B55" s="593">
        <v>0</v>
      </c>
      <c r="C55" s="33"/>
      <c r="D55" s="33"/>
      <c r="E55" s="33"/>
      <c r="F55" s="33"/>
      <c r="G55" s="33"/>
      <c r="H55" s="33"/>
      <c r="I55" s="33"/>
      <c r="J55" s="33"/>
    </row>
    <row r="56" spans="1:10" s="1" customFormat="1" ht="18" x14ac:dyDescent="0.35">
      <c r="A56" s="95" t="s">
        <v>23</v>
      </c>
      <c r="B56" s="593">
        <v>0</v>
      </c>
      <c r="C56" s="33"/>
      <c r="D56" s="33"/>
      <c r="E56" s="33"/>
      <c r="F56" s="33"/>
      <c r="G56" s="33"/>
      <c r="H56" s="33"/>
      <c r="I56" s="33"/>
      <c r="J56" s="33"/>
    </row>
    <row r="57" spans="1:10" s="1" customFormat="1" ht="18" x14ac:dyDescent="0.35">
      <c r="A57" s="214" t="s">
        <v>160</v>
      </c>
      <c r="B57" s="593">
        <v>0</v>
      </c>
      <c r="C57" s="33"/>
      <c r="D57" s="33"/>
      <c r="E57" s="33"/>
      <c r="F57" s="33"/>
      <c r="G57" s="33"/>
      <c r="H57" s="33"/>
      <c r="I57" s="33"/>
      <c r="J57" s="33"/>
    </row>
    <row r="58" spans="1:10" s="1" customFormat="1" ht="18" x14ac:dyDescent="0.35">
      <c r="A58" s="214" t="s">
        <v>338</v>
      </c>
      <c r="B58" s="593">
        <v>0</v>
      </c>
      <c r="C58" s="33"/>
      <c r="D58" s="33"/>
      <c r="E58" s="33"/>
      <c r="F58" s="33"/>
      <c r="G58" s="33"/>
      <c r="H58" s="33"/>
      <c r="I58" s="33"/>
      <c r="J58" s="33"/>
    </row>
    <row r="59" spans="1:10" s="1" customFormat="1" ht="18" x14ac:dyDescent="0.35">
      <c r="A59" s="214" t="s">
        <v>384</v>
      </c>
      <c r="B59" s="593">
        <v>0</v>
      </c>
      <c r="C59" s="33"/>
      <c r="D59" s="33"/>
      <c r="E59" s="33"/>
      <c r="F59" s="33"/>
      <c r="G59" s="33"/>
      <c r="H59" s="33"/>
      <c r="I59" s="33"/>
      <c r="J59" s="33"/>
    </row>
    <row r="60" spans="1:10" s="1" customFormat="1" ht="18" x14ac:dyDescent="0.35">
      <c r="A60" s="95" t="s">
        <v>142</v>
      </c>
      <c r="B60" s="593">
        <v>0</v>
      </c>
      <c r="C60" s="33"/>
      <c r="D60" s="33"/>
      <c r="E60" s="33"/>
      <c r="F60" s="33"/>
      <c r="G60" s="33"/>
      <c r="H60" s="33"/>
      <c r="I60" s="33"/>
      <c r="J60" s="33"/>
    </row>
    <row r="61" spans="1:10" s="1" customFormat="1" ht="18" x14ac:dyDescent="0.35">
      <c r="A61" s="95" t="s">
        <v>214</v>
      </c>
      <c r="B61" s="592">
        <v>6</v>
      </c>
      <c r="C61" s="33"/>
      <c r="D61" s="33"/>
      <c r="G61" s="75"/>
      <c r="H61" s="75"/>
      <c r="I61" s="33"/>
      <c r="J61" s="33"/>
    </row>
    <row r="62" spans="1:10" s="1" customFormat="1" ht="18.600000000000001" thickBot="1" x14ac:dyDescent="0.4">
      <c r="A62" s="165" t="s">
        <v>215</v>
      </c>
      <c r="B62" s="593">
        <v>0</v>
      </c>
      <c r="C62" s="33"/>
      <c r="D62" s="33"/>
      <c r="E62" s="33"/>
      <c r="F62" s="33"/>
      <c r="G62" s="33"/>
      <c r="H62" s="33"/>
      <c r="I62" s="33"/>
      <c r="J62" s="33"/>
    </row>
    <row r="63" spans="1:10" s="1" customFormat="1" ht="18" x14ac:dyDescent="0.35">
      <c r="A63" s="495"/>
      <c r="B63" s="195"/>
      <c r="C63" s="33"/>
      <c r="D63" s="33"/>
      <c r="E63" s="195"/>
      <c r="F63" s="195"/>
      <c r="G63" s="33"/>
      <c r="H63" s="33"/>
      <c r="I63" s="33"/>
      <c r="J63" s="33"/>
    </row>
    <row r="64" spans="1:10" x14ac:dyDescent="0.3">
      <c r="A64" s="495"/>
      <c r="B64" s="195"/>
      <c r="C64" s="195"/>
      <c r="D64" s="195"/>
      <c r="E64" s="195"/>
      <c r="F64" s="195"/>
      <c r="G64" s="195"/>
      <c r="H64" s="195"/>
      <c r="I64" s="195"/>
      <c r="J64" s="195"/>
    </row>
    <row r="65" spans="1:10" x14ac:dyDescent="0.3">
      <c r="A65" s="495"/>
      <c r="B65" s="195"/>
      <c r="C65" s="195"/>
      <c r="D65" s="195"/>
      <c r="E65" s="195"/>
      <c r="F65" s="195"/>
      <c r="G65" s="195"/>
      <c r="H65" s="195"/>
      <c r="I65" s="195"/>
      <c r="J65" s="195"/>
    </row>
    <row r="66" spans="1:10" x14ac:dyDescent="0.3">
      <c r="A66" s="495"/>
      <c r="B66" s="195"/>
      <c r="C66" s="195"/>
      <c r="D66" s="195"/>
      <c r="E66" s="195"/>
      <c r="F66" s="195"/>
      <c r="G66" s="195"/>
      <c r="H66" s="195"/>
      <c r="I66" s="195"/>
      <c r="J66" s="195"/>
    </row>
    <row r="67" spans="1:10" x14ac:dyDescent="0.3">
      <c r="A67" s="495"/>
      <c r="B67" s="195"/>
      <c r="C67" s="195"/>
      <c r="D67" s="195"/>
      <c r="E67" s="195"/>
      <c r="F67" s="195"/>
      <c r="G67" s="195"/>
      <c r="H67" s="195"/>
      <c r="I67" s="195"/>
      <c r="J67" s="195"/>
    </row>
    <row r="68" spans="1:10" x14ac:dyDescent="0.3">
      <c r="A68" s="495"/>
      <c r="B68" s="195"/>
      <c r="C68" s="195"/>
      <c r="D68" s="195"/>
      <c r="E68" s="195"/>
      <c r="F68" s="195"/>
      <c r="G68" s="195"/>
      <c r="H68" s="195"/>
      <c r="I68" s="195"/>
      <c r="J68" s="195"/>
    </row>
    <row r="69" spans="1:10" x14ac:dyDescent="0.3">
      <c r="C69" s="195"/>
      <c r="D69" s="195"/>
      <c r="E69" s="195"/>
      <c r="F69" s="195"/>
      <c r="G69" s="195"/>
      <c r="H69" s="195"/>
      <c r="I69" s="195"/>
      <c r="J69" s="195"/>
    </row>
  </sheetData>
  <sortState ref="A6:B62">
    <sortCondition descending="1" ref="B6"/>
  </sortState>
  <conditionalFormatting sqref="B6:B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0"/>
  </sheetPr>
  <dimension ref="A1:N91"/>
  <sheetViews>
    <sheetView topLeftCell="A28" zoomScale="90" zoomScaleNormal="90" workbookViewId="0">
      <selection activeCell="A46" sqref="A46"/>
    </sheetView>
  </sheetViews>
  <sheetFormatPr defaultColWidth="8.88671875" defaultRowHeight="15.6" x14ac:dyDescent="0.3"/>
  <cols>
    <col min="1" max="1" width="38" style="90" customWidth="1"/>
    <col min="2" max="3" width="13.33203125" style="25" customWidth="1"/>
    <col min="4" max="5" width="13.33203125" style="85" customWidth="1"/>
    <col min="6" max="6" width="13.33203125" style="86" customWidth="1"/>
    <col min="7" max="7" width="4.88671875" style="25" customWidth="1"/>
    <col min="8" max="8" width="7.33203125" style="86" customWidth="1"/>
    <col min="9" max="9" width="120.44140625" style="86" customWidth="1"/>
    <col min="10" max="10" width="5" style="86" customWidth="1"/>
    <col min="11" max="16384" width="8.88671875" style="86"/>
  </cols>
  <sheetData>
    <row r="1" spans="1:14" ht="21" x14ac:dyDescent="0.4">
      <c r="A1" s="594" t="s">
        <v>172</v>
      </c>
      <c r="B1" s="499"/>
      <c r="C1" s="499"/>
      <c r="D1" s="595"/>
      <c r="E1" s="595"/>
      <c r="F1" s="596"/>
      <c r="G1" s="499"/>
      <c r="H1" s="596"/>
      <c r="I1" s="597"/>
      <c r="J1" s="596"/>
      <c r="K1" s="596"/>
      <c r="L1" s="596"/>
      <c r="M1" s="596"/>
      <c r="N1" s="596"/>
    </row>
    <row r="2" spans="1:14" ht="18" x14ac:dyDescent="0.35">
      <c r="A2" s="598" t="s">
        <v>407</v>
      </c>
      <c r="B2" s="499"/>
      <c r="C2" s="600"/>
      <c r="D2" s="599"/>
      <c r="E2" s="599"/>
      <c r="F2" s="33"/>
      <c r="G2" s="499"/>
      <c r="H2" s="596"/>
      <c r="I2" s="596"/>
      <c r="J2" s="596"/>
      <c r="K2" s="596"/>
      <c r="L2" s="596"/>
      <c r="M2" s="596"/>
      <c r="N2" s="596"/>
    </row>
    <row r="3" spans="1:14" ht="18" x14ac:dyDescent="0.35">
      <c r="A3" s="601" t="s">
        <v>408</v>
      </c>
      <c r="B3" s="499"/>
      <c r="C3" s="600"/>
      <c r="D3" s="599"/>
      <c r="E3" s="599"/>
      <c r="F3" s="33"/>
      <c r="G3" s="499"/>
      <c r="H3" s="596"/>
      <c r="I3" s="596"/>
      <c r="J3" s="596"/>
      <c r="K3" s="596"/>
      <c r="L3" s="596"/>
      <c r="M3" s="596"/>
      <c r="N3" s="596"/>
    </row>
    <row r="4" spans="1:14" ht="18" x14ac:dyDescent="0.35">
      <c r="A4" s="601"/>
      <c r="B4" s="499"/>
      <c r="C4" s="600"/>
      <c r="D4" s="599"/>
      <c r="E4" s="599"/>
      <c r="F4" s="33"/>
      <c r="G4" s="499"/>
      <c r="H4" s="596"/>
      <c r="I4" s="596"/>
      <c r="J4" s="596"/>
      <c r="K4" s="596"/>
      <c r="L4" s="596"/>
      <c r="M4" s="596"/>
      <c r="N4" s="596"/>
    </row>
    <row r="5" spans="1:14" ht="18" x14ac:dyDescent="0.35">
      <c r="A5" s="1293"/>
      <c r="B5" s="1295"/>
      <c r="C5" s="1295"/>
      <c r="D5" s="1299" t="s">
        <v>474</v>
      </c>
      <c r="E5" s="1300"/>
      <c r="F5" s="668"/>
      <c r="G5" s="499"/>
      <c r="H5" s="596"/>
      <c r="I5" s="596"/>
      <c r="J5" s="596"/>
      <c r="K5" s="596"/>
      <c r="L5" s="596"/>
      <c r="M5" s="596"/>
      <c r="N5" s="596"/>
    </row>
    <row r="6" spans="1:14" ht="18" x14ac:dyDescent="0.35">
      <c r="A6" s="1293"/>
      <c r="B6" s="1296" t="s">
        <v>70</v>
      </c>
      <c r="C6" s="1296" t="s">
        <v>102</v>
      </c>
      <c r="D6" s="1299" t="s">
        <v>473</v>
      </c>
      <c r="E6" s="1299" t="s">
        <v>475</v>
      </c>
      <c r="F6" s="220"/>
      <c r="G6" s="499"/>
      <c r="H6" s="596"/>
      <c r="I6" s="596"/>
      <c r="J6" s="596"/>
      <c r="K6" s="596"/>
      <c r="L6" s="596"/>
      <c r="M6" s="596"/>
      <c r="N6" s="596"/>
    </row>
    <row r="7" spans="1:14" ht="18.600000000000001" thickBot="1" x14ac:dyDescent="0.4">
      <c r="A7" s="1294" t="s">
        <v>4</v>
      </c>
      <c r="B7" s="1297" t="s">
        <v>3</v>
      </c>
      <c r="C7" s="1298" t="s">
        <v>2</v>
      </c>
      <c r="D7" s="981" t="s">
        <v>409</v>
      </c>
      <c r="E7" s="981" t="s">
        <v>410</v>
      </c>
      <c r="F7" s="39" t="s">
        <v>103</v>
      </c>
      <c r="G7" s="499"/>
      <c r="J7" s="596"/>
      <c r="K7" s="596"/>
      <c r="L7" s="596"/>
      <c r="M7" s="596"/>
      <c r="N7" s="596"/>
    </row>
    <row r="8" spans="1:14" ht="18" x14ac:dyDescent="0.35">
      <c r="A8" s="164" t="s">
        <v>10</v>
      </c>
      <c r="B8" s="256">
        <f t="shared" ref="B8:B39" si="0">RANK(C8,C$8:C$64,0)</f>
        <v>51</v>
      </c>
      <c r="C8" s="946">
        <v>1</v>
      </c>
      <c r="D8" s="698">
        <v>0.87</v>
      </c>
      <c r="E8" s="976">
        <v>0.25</v>
      </c>
      <c r="F8" s="1280">
        <v>1.21</v>
      </c>
      <c r="G8" s="1284"/>
      <c r="H8" s="1285"/>
      <c r="I8" s="1285"/>
      <c r="J8" s="1285"/>
      <c r="K8" s="1285"/>
      <c r="L8" s="1285"/>
      <c r="M8" s="1285"/>
      <c r="N8" s="1285"/>
    </row>
    <row r="9" spans="1:14" ht="18.600000000000001" thickBot="1" x14ac:dyDescent="0.4">
      <c r="A9" s="214" t="s">
        <v>209</v>
      </c>
      <c r="B9" s="256">
        <f t="shared" si="0"/>
        <v>41</v>
      </c>
      <c r="C9" s="947">
        <v>2</v>
      </c>
      <c r="D9" s="367">
        <v>0.64</v>
      </c>
      <c r="E9" s="977">
        <v>0.4</v>
      </c>
      <c r="F9" s="962">
        <v>2.1</v>
      </c>
      <c r="G9" s="1284"/>
      <c r="H9" s="1285"/>
      <c r="I9" s="1285"/>
      <c r="J9" s="1285"/>
      <c r="K9" s="1285"/>
      <c r="L9" s="1285"/>
      <c r="M9" s="1285"/>
      <c r="N9" s="1285"/>
    </row>
    <row r="10" spans="1:14" ht="18" x14ac:dyDescent="0.35">
      <c r="A10" s="214" t="s">
        <v>146</v>
      </c>
      <c r="B10" s="256">
        <f t="shared" si="0"/>
        <v>6</v>
      </c>
      <c r="C10" s="947">
        <v>4</v>
      </c>
      <c r="D10" s="367"/>
      <c r="E10" s="978">
        <v>0.4</v>
      </c>
      <c r="F10" s="970">
        <v>2.02</v>
      </c>
      <c r="G10" s="1284"/>
      <c r="H10" s="1285"/>
      <c r="I10" s="1285"/>
      <c r="J10" s="1285"/>
      <c r="K10" s="1285"/>
      <c r="L10" s="1285"/>
      <c r="M10" s="1285"/>
      <c r="N10" s="1285"/>
    </row>
    <row r="11" spans="1:14" ht="20.399999999999999" customHeight="1" x14ac:dyDescent="0.35">
      <c r="A11" s="214" t="s">
        <v>147</v>
      </c>
      <c r="B11" s="256">
        <f t="shared" si="0"/>
        <v>41</v>
      </c>
      <c r="C11" s="947">
        <v>2</v>
      </c>
      <c r="D11" s="367">
        <v>0.79</v>
      </c>
      <c r="E11" s="977">
        <v>0.4</v>
      </c>
      <c r="F11" s="963">
        <v>1.99</v>
      </c>
      <c r="G11" s="1284"/>
      <c r="H11" s="1285"/>
      <c r="I11" s="1285"/>
      <c r="J11" s="1285"/>
      <c r="K11" s="1285"/>
      <c r="L11" s="1285"/>
      <c r="M11" s="1285"/>
      <c r="N11" s="1285"/>
    </row>
    <row r="12" spans="1:14" ht="20.399999999999999" customHeight="1" x14ac:dyDescent="0.35">
      <c r="A12" s="95" t="s">
        <v>5</v>
      </c>
      <c r="B12" s="256">
        <f t="shared" si="0"/>
        <v>6</v>
      </c>
      <c r="C12" s="947">
        <v>4</v>
      </c>
      <c r="D12" s="368">
        <v>0.43</v>
      </c>
      <c r="E12" s="977">
        <v>0.4</v>
      </c>
      <c r="F12" s="963">
        <v>1.94</v>
      </c>
      <c r="G12" s="1284"/>
      <c r="H12" s="67"/>
      <c r="I12" s="67"/>
      <c r="J12" s="1285"/>
      <c r="K12" s="1285"/>
      <c r="L12" s="1285"/>
      <c r="M12" s="1285"/>
      <c r="N12" s="1285"/>
    </row>
    <row r="13" spans="1:14" ht="20.399999999999999" customHeight="1" x14ac:dyDescent="0.35">
      <c r="A13" s="214" t="s">
        <v>210</v>
      </c>
      <c r="B13" s="256">
        <f t="shared" si="0"/>
        <v>6</v>
      </c>
      <c r="C13" s="947">
        <v>4</v>
      </c>
      <c r="D13" s="367">
        <v>0.39</v>
      </c>
      <c r="E13" s="977">
        <v>0.4</v>
      </c>
      <c r="F13" s="962">
        <v>2.08</v>
      </c>
      <c r="G13" s="1284"/>
      <c r="H13" s="1238"/>
      <c r="I13" s="67"/>
      <c r="J13" s="1285"/>
      <c r="K13" s="1285"/>
      <c r="L13" s="1285"/>
      <c r="M13" s="1285"/>
      <c r="N13" s="1285"/>
    </row>
    <row r="14" spans="1:14" ht="20.399999999999999" customHeight="1" x14ac:dyDescent="0.35">
      <c r="A14" s="214" t="s">
        <v>339</v>
      </c>
      <c r="B14" s="256">
        <f t="shared" si="0"/>
        <v>6</v>
      </c>
      <c r="C14" s="947">
        <v>4</v>
      </c>
      <c r="D14" s="367">
        <v>0.42</v>
      </c>
      <c r="E14" s="977">
        <v>0.4</v>
      </c>
      <c r="F14" s="962">
        <v>2.0099999999999998</v>
      </c>
      <c r="G14" s="1284"/>
      <c r="H14" s="1286"/>
      <c r="I14" s="1287"/>
      <c r="J14" s="1285"/>
      <c r="K14" s="1285"/>
      <c r="L14" s="1285"/>
      <c r="M14" s="1285"/>
      <c r="N14" s="1285"/>
    </row>
    <row r="15" spans="1:14" ht="18" x14ac:dyDescent="0.35">
      <c r="A15" s="95" t="s">
        <v>134</v>
      </c>
      <c r="B15" s="256">
        <f t="shared" si="0"/>
        <v>21</v>
      </c>
      <c r="C15" s="947">
        <v>3</v>
      </c>
      <c r="D15" s="367">
        <v>0.49</v>
      </c>
      <c r="E15" s="977">
        <v>0.4</v>
      </c>
      <c r="F15" s="963">
        <v>1.93</v>
      </c>
      <c r="G15" s="1284"/>
      <c r="H15" s="1286"/>
      <c r="I15" s="1287"/>
      <c r="J15" s="1285"/>
      <c r="K15" s="1285"/>
      <c r="L15" s="1285"/>
      <c r="M15" s="1285"/>
      <c r="N15" s="1285"/>
    </row>
    <row r="16" spans="1:14" ht="18" x14ac:dyDescent="0.35">
      <c r="A16" s="214" t="s">
        <v>148</v>
      </c>
      <c r="B16" s="256">
        <f t="shared" si="0"/>
        <v>6</v>
      </c>
      <c r="C16" s="947">
        <v>4</v>
      </c>
      <c r="D16" s="367">
        <v>0.43</v>
      </c>
      <c r="E16" s="977">
        <v>0.4</v>
      </c>
      <c r="F16" s="963">
        <v>1.99</v>
      </c>
      <c r="G16" s="1284"/>
      <c r="H16" s="1286"/>
      <c r="I16" s="1287"/>
      <c r="J16" s="1285"/>
      <c r="K16" s="1285"/>
      <c r="L16" s="1285"/>
      <c r="M16" s="1285"/>
      <c r="N16" s="1285"/>
    </row>
    <row r="17" spans="1:14" ht="18" x14ac:dyDescent="0.35">
      <c r="A17" s="214" t="s">
        <v>9</v>
      </c>
      <c r="B17" s="256">
        <f t="shared" si="0"/>
        <v>21</v>
      </c>
      <c r="C17" s="947">
        <v>3</v>
      </c>
      <c r="D17" s="368">
        <v>0.6</v>
      </c>
      <c r="E17" s="977">
        <v>0.4</v>
      </c>
      <c r="F17" s="966">
        <v>1.48</v>
      </c>
      <c r="G17" s="1284"/>
      <c r="H17" s="1286"/>
      <c r="I17" s="1287"/>
      <c r="J17" s="1285"/>
      <c r="K17" s="1285"/>
      <c r="L17" s="1285"/>
      <c r="M17" s="1285"/>
      <c r="N17" s="1285"/>
    </row>
    <row r="18" spans="1:14" ht="18" x14ac:dyDescent="0.35">
      <c r="A18" s="95" t="s">
        <v>129</v>
      </c>
      <c r="B18" s="256">
        <f t="shared" si="0"/>
        <v>21</v>
      </c>
      <c r="C18" s="949">
        <v>3</v>
      </c>
      <c r="D18" s="945">
        <v>0.54</v>
      </c>
      <c r="E18" s="977">
        <v>0.4</v>
      </c>
      <c r="F18" s="969">
        <v>1.41</v>
      </c>
      <c r="G18" s="1284"/>
      <c r="H18" s="67"/>
      <c r="I18" s="67"/>
      <c r="J18" s="1285"/>
      <c r="K18" s="1285"/>
      <c r="L18" s="1285"/>
      <c r="M18" s="1285"/>
      <c r="N18" s="1285"/>
    </row>
    <row r="19" spans="1:14" ht="18" x14ac:dyDescent="0.35">
      <c r="A19" s="95" t="s">
        <v>18</v>
      </c>
      <c r="B19" s="256">
        <f t="shared" si="0"/>
        <v>21</v>
      </c>
      <c r="C19" s="947">
        <v>3</v>
      </c>
      <c r="D19" s="367">
        <v>0.56999999999999995</v>
      </c>
      <c r="E19" s="977">
        <v>0.4</v>
      </c>
      <c r="F19" s="962">
        <v>2.0099999999999998</v>
      </c>
      <c r="G19" s="1284"/>
      <c r="H19" s="67"/>
      <c r="I19" s="67"/>
      <c r="J19" s="1285"/>
      <c r="K19" s="1285"/>
      <c r="L19" s="1285"/>
      <c r="M19" s="1285"/>
      <c r="N19" s="1285"/>
    </row>
    <row r="20" spans="1:14" ht="18" x14ac:dyDescent="0.35">
      <c r="A20" s="95" t="s">
        <v>140</v>
      </c>
      <c r="B20" s="256">
        <f t="shared" si="0"/>
        <v>41</v>
      </c>
      <c r="C20" s="949">
        <v>2</v>
      </c>
      <c r="D20" s="945">
        <v>0.69</v>
      </c>
      <c r="E20" s="977">
        <v>0.4</v>
      </c>
      <c r="F20" s="969">
        <v>1.35</v>
      </c>
      <c r="G20" s="1284"/>
      <c r="H20" s="1285"/>
      <c r="I20" s="1285"/>
      <c r="J20" s="1285"/>
      <c r="K20" s="1285"/>
      <c r="L20" s="1285"/>
      <c r="M20" s="1285"/>
      <c r="N20" s="1285"/>
    </row>
    <row r="21" spans="1:14" ht="18" customHeight="1" x14ac:dyDescent="0.35">
      <c r="A21" s="214" t="s">
        <v>143</v>
      </c>
      <c r="B21" s="256">
        <f t="shared" si="0"/>
        <v>21</v>
      </c>
      <c r="C21" s="947">
        <v>3</v>
      </c>
      <c r="D21" s="368">
        <v>0.46</v>
      </c>
      <c r="E21" s="977">
        <v>0.4</v>
      </c>
      <c r="F21" s="962">
        <v>2.23</v>
      </c>
      <c r="G21" s="1284"/>
      <c r="H21" s="67"/>
      <c r="I21" s="67"/>
      <c r="J21" s="1285"/>
      <c r="K21" s="1285"/>
      <c r="L21" s="1285"/>
      <c r="M21" s="1285"/>
      <c r="N21" s="1285"/>
    </row>
    <row r="22" spans="1:14" ht="20.399999999999999" customHeight="1" x14ac:dyDescent="0.35">
      <c r="A22" s="214" t="s">
        <v>149</v>
      </c>
      <c r="B22" s="256">
        <f t="shared" si="0"/>
        <v>2</v>
      </c>
      <c r="C22" s="947">
        <v>5</v>
      </c>
      <c r="D22" s="367">
        <v>0.34160293309992001</v>
      </c>
      <c r="E22" s="979">
        <v>0.4</v>
      </c>
      <c r="F22" s="962">
        <v>2.27</v>
      </c>
      <c r="G22" s="1284"/>
      <c r="H22" s="67"/>
      <c r="I22" s="67"/>
      <c r="J22" s="1285"/>
      <c r="K22" s="1285"/>
      <c r="L22" s="1285"/>
      <c r="M22" s="1285"/>
      <c r="N22" s="1285"/>
    </row>
    <row r="23" spans="1:14" ht="18" x14ac:dyDescent="0.35">
      <c r="A23" s="95" t="s">
        <v>132</v>
      </c>
      <c r="B23" s="256">
        <f t="shared" si="0"/>
        <v>21</v>
      </c>
      <c r="C23" s="947">
        <v>3</v>
      </c>
      <c r="D23" s="369">
        <v>0.56999999999999995</v>
      </c>
      <c r="E23" s="977">
        <v>0.4</v>
      </c>
      <c r="F23" s="962">
        <v>2.13</v>
      </c>
      <c r="G23" s="1284"/>
      <c r="H23" s="67"/>
      <c r="I23" s="1291"/>
      <c r="J23" s="1285"/>
      <c r="K23" s="1285"/>
      <c r="L23" s="1285"/>
      <c r="M23" s="1285"/>
      <c r="N23" s="1285"/>
    </row>
    <row r="24" spans="1:14" ht="18" x14ac:dyDescent="0.35">
      <c r="A24" s="95" t="s">
        <v>16</v>
      </c>
      <c r="B24" s="256">
        <f t="shared" si="0"/>
        <v>6</v>
      </c>
      <c r="C24" s="947">
        <v>4</v>
      </c>
      <c r="D24" s="367">
        <v>0.4</v>
      </c>
      <c r="E24" s="977">
        <v>0.4</v>
      </c>
      <c r="F24" s="963">
        <v>1.92</v>
      </c>
      <c r="G24" s="1284"/>
      <c r="H24" s="1288"/>
      <c r="I24" s="1289"/>
      <c r="J24" s="1285"/>
      <c r="K24" s="1285"/>
      <c r="L24" s="1285"/>
      <c r="M24" s="1285"/>
      <c r="N24" s="1285"/>
    </row>
    <row r="25" spans="1:14" ht="18" x14ac:dyDescent="0.35">
      <c r="A25" s="95" t="s">
        <v>6</v>
      </c>
      <c r="B25" s="256">
        <f t="shared" si="0"/>
        <v>51</v>
      </c>
      <c r="C25" s="947">
        <v>1</v>
      </c>
      <c r="D25" s="367">
        <v>0.78914884211242198</v>
      </c>
      <c r="E25" s="977">
        <v>0.25</v>
      </c>
      <c r="F25" s="968">
        <v>1.54</v>
      </c>
      <c r="G25" s="1284"/>
      <c r="H25" s="1285"/>
      <c r="I25" s="1285"/>
      <c r="J25" s="1285"/>
      <c r="K25" s="1285"/>
      <c r="L25" s="1285"/>
      <c r="M25" s="1285"/>
      <c r="N25" s="1285"/>
    </row>
    <row r="26" spans="1:14" ht="18" x14ac:dyDescent="0.35">
      <c r="A26" s="95" t="s">
        <v>20</v>
      </c>
      <c r="B26" s="256">
        <f t="shared" si="0"/>
        <v>51</v>
      </c>
      <c r="C26" s="947">
        <v>1</v>
      </c>
      <c r="D26" s="367">
        <v>0.88</v>
      </c>
      <c r="E26" s="977">
        <v>0.25</v>
      </c>
      <c r="F26" s="966">
        <v>1.19</v>
      </c>
      <c r="G26" s="1284"/>
      <c r="H26" s="1285"/>
      <c r="I26" s="1285"/>
      <c r="J26" s="1285"/>
      <c r="K26" s="1285"/>
      <c r="L26" s="1285"/>
      <c r="M26" s="1285"/>
      <c r="N26" s="1285"/>
    </row>
    <row r="27" spans="1:14" ht="18" x14ac:dyDescent="0.35">
      <c r="A27" s="214" t="s">
        <v>150</v>
      </c>
      <c r="B27" s="256">
        <f t="shared" si="0"/>
        <v>6</v>
      </c>
      <c r="C27" s="949">
        <v>4</v>
      </c>
      <c r="D27" s="945"/>
      <c r="E27" s="977">
        <v>0.4</v>
      </c>
      <c r="F27" s="973">
        <v>1.97</v>
      </c>
      <c r="G27" s="1284"/>
      <c r="H27" s="1288"/>
      <c r="I27" s="1287"/>
      <c r="J27" s="1285"/>
      <c r="K27" s="1285"/>
      <c r="L27" s="1285"/>
      <c r="M27" s="1285"/>
      <c r="N27" s="1285"/>
    </row>
    <row r="28" spans="1:14" ht="18" x14ac:dyDescent="0.35">
      <c r="A28" s="214" t="s">
        <v>33</v>
      </c>
      <c r="B28" s="256">
        <f t="shared" si="0"/>
        <v>21</v>
      </c>
      <c r="C28" s="947">
        <v>3</v>
      </c>
      <c r="D28" s="367"/>
      <c r="E28" s="977">
        <v>0.25</v>
      </c>
      <c r="F28" s="975">
        <v>1.03</v>
      </c>
      <c r="G28" s="1284"/>
      <c r="H28" s="67"/>
      <c r="I28" s="67"/>
      <c r="J28" s="1285"/>
      <c r="K28" s="1285"/>
      <c r="L28" s="1285"/>
      <c r="M28" s="1285"/>
      <c r="N28" s="1285"/>
    </row>
    <row r="29" spans="1:14" ht="18" x14ac:dyDescent="0.35">
      <c r="A29" s="214" t="s">
        <v>476</v>
      </c>
      <c r="B29" s="256">
        <f t="shared" si="0"/>
        <v>6</v>
      </c>
      <c r="C29" s="947">
        <v>4</v>
      </c>
      <c r="D29" s="367">
        <v>0.44</v>
      </c>
      <c r="E29" s="977">
        <v>0.4</v>
      </c>
      <c r="F29" s="966">
        <v>1.73</v>
      </c>
      <c r="G29" s="1284"/>
      <c r="H29" s="1288"/>
      <c r="I29" s="1290"/>
      <c r="J29" s="1285"/>
      <c r="K29" s="1285"/>
      <c r="L29" s="1285"/>
      <c r="M29" s="1285"/>
      <c r="N29" s="1285"/>
    </row>
    <row r="30" spans="1:14" ht="18" x14ac:dyDescent="0.35">
      <c r="A30" s="214" t="s">
        <v>151</v>
      </c>
      <c r="B30" s="256">
        <f t="shared" si="0"/>
        <v>6</v>
      </c>
      <c r="C30" s="947">
        <v>4</v>
      </c>
      <c r="D30" s="367"/>
      <c r="E30" s="977"/>
      <c r="F30" s="972">
        <v>1.89</v>
      </c>
      <c r="G30" s="1284"/>
      <c r="H30" s="1288"/>
      <c r="I30" s="1287"/>
      <c r="J30" s="1285"/>
      <c r="K30" s="1285"/>
      <c r="L30" s="1285"/>
      <c r="M30" s="1285"/>
      <c r="N30" s="1285"/>
    </row>
    <row r="31" spans="1:14" ht="18" customHeight="1" x14ac:dyDescent="0.35">
      <c r="A31" s="214" t="s">
        <v>144</v>
      </c>
      <c r="B31" s="256">
        <f t="shared" si="0"/>
        <v>2</v>
      </c>
      <c r="C31" s="948">
        <v>5</v>
      </c>
      <c r="D31" s="367">
        <v>0.35</v>
      </c>
      <c r="E31" s="977">
        <v>0.4</v>
      </c>
      <c r="F31" s="961">
        <v>1.98</v>
      </c>
      <c r="G31" s="1284"/>
      <c r="H31" s="67"/>
      <c r="I31" s="67"/>
      <c r="J31" s="1285"/>
      <c r="K31" s="1285"/>
      <c r="L31" s="1285"/>
      <c r="M31" s="1285"/>
      <c r="N31" s="1285"/>
    </row>
    <row r="32" spans="1:14" ht="20.399999999999999" customHeight="1" x14ac:dyDescent="0.35">
      <c r="A32" s="214" t="s">
        <v>145</v>
      </c>
      <c r="B32" s="256">
        <f t="shared" si="0"/>
        <v>51</v>
      </c>
      <c r="C32" s="947">
        <v>1</v>
      </c>
      <c r="D32" s="367">
        <v>0.81</v>
      </c>
      <c r="E32" s="977">
        <v>0.4</v>
      </c>
      <c r="F32" s="963">
        <v>1.88</v>
      </c>
      <c r="G32" s="1284"/>
      <c r="H32" s="1285"/>
      <c r="I32" s="1285"/>
      <c r="J32" s="1285"/>
      <c r="K32" s="1285"/>
      <c r="L32" s="1285"/>
      <c r="M32" s="1285"/>
      <c r="N32" s="1285"/>
    </row>
    <row r="33" spans="1:14" ht="20.399999999999999" customHeight="1" x14ac:dyDescent="0.35">
      <c r="A33" s="214" t="s">
        <v>152</v>
      </c>
      <c r="B33" s="256">
        <f t="shared" si="0"/>
        <v>6</v>
      </c>
      <c r="C33" s="947">
        <v>4</v>
      </c>
      <c r="D33" s="367"/>
      <c r="E33" s="977">
        <v>0.4</v>
      </c>
      <c r="F33" s="972">
        <v>1.97</v>
      </c>
      <c r="G33" s="1284"/>
      <c r="H33" s="1286"/>
      <c r="I33" s="1287"/>
      <c r="J33" s="1285"/>
      <c r="K33" s="1285"/>
      <c r="L33" s="1285"/>
      <c r="M33" s="1285"/>
      <c r="N33" s="1285"/>
    </row>
    <row r="34" spans="1:14" ht="18" x14ac:dyDescent="0.35">
      <c r="A34" s="214" t="s">
        <v>356</v>
      </c>
      <c r="B34" s="256">
        <f t="shared" si="0"/>
        <v>51</v>
      </c>
      <c r="C34" s="947">
        <v>1</v>
      </c>
      <c r="D34" s="367">
        <v>0.81</v>
      </c>
      <c r="E34" s="977">
        <v>0.4</v>
      </c>
      <c r="F34" s="966">
        <v>1.56</v>
      </c>
      <c r="G34" s="1292"/>
      <c r="H34" s="1284"/>
      <c r="I34" s="1285"/>
      <c r="J34" s="1285"/>
      <c r="K34" s="1285"/>
      <c r="L34" s="1285"/>
      <c r="M34" s="1285"/>
      <c r="N34" s="1285"/>
    </row>
    <row r="35" spans="1:14" ht="18" x14ac:dyDescent="0.35">
      <c r="A35" s="214" t="s">
        <v>337</v>
      </c>
      <c r="B35" s="256">
        <f t="shared" si="0"/>
        <v>21</v>
      </c>
      <c r="C35" s="949">
        <v>3</v>
      </c>
      <c r="D35" s="945"/>
      <c r="E35" s="977">
        <v>0.4</v>
      </c>
      <c r="F35" s="974">
        <v>1.59</v>
      </c>
      <c r="G35" s="1284"/>
      <c r="H35" s="67"/>
      <c r="I35" s="1291"/>
      <c r="J35" s="1285"/>
      <c r="K35" s="1285"/>
      <c r="L35" s="1285"/>
      <c r="M35" s="1285"/>
      <c r="N35" s="1285"/>
    </row>
    <row r="36" spans="1:14" ht="18" x14ac:dyDescent="0.35">
      <c r="A36" s="95" t="s">
        <v>128</v>
      </c>
      <c r="B36" s="256">
        <f t="shared" si="0"/>
        <v>21</v>
      </c>
      <c r="C36" s="947">
        <v>3</v>
      </c>
      <c r="D36" s="367">
        <v>0.49136535224317401</v>
      </c>
      <c r="E36" s="977">
        <v>0.4</v>
      </c>
      <c r="F36" s="966">
        <v>1.55</v>
      </c>
      <c r="G36" s="1284"/>
      <c r="H36" s="1285"/>
      <c r="I36" s="1285"/>
      <c r="J36" s="1285"/>
      <c r="K36" s="1285"/>
      <c r="L36" s="1285"/>
      <c r="M36" s="1285"/>
      <c r="N36" s="1285"/>
    </row>
    <row r="37" spans="1:14" ht="18" x14ac:dyDescent="0.35">
      <c r="A37" s="96" t="s">
        <v>141</v>
      </c>
      <c r="B37" s="256">
        <f t="shared" si="0"/>
        <v>21</v>
      </c>
      <c r="C37" s="947">
        <v>3</v>
      </c>
      <c r="D37" s="367">
        <v>0.56999999999999995</v>
      </c>
      <c r="E37" s="977">
        <v>0.4</v>
      </c>
      <c r="F37" s="966">
        <v>1.68</v>
      </c>
      <c r="G37" s="1284"/>
      <c r="H37" s="1285"/>
      <c r="I37" s="1285"/>
      <c r="J37" s="1285"/>
      <c r="K37" s="1285"/>
      <c r="L37" s="1285"/>
      <c r="M37" s="1285"/>
      <c r="N37" s="1285"/>
    </row>
    <row r="38" spans="1:14" ht="18" x14ac:dyDescent="0.35">
      <c r="A38" s="95" t="s">
        <v>125</v>
      </c>
      <c r="B38" s="256">
        <f t="shared" si="0"/>
        <v>41</v>
      </c>
      <c r="C38" s="947">
        <v>2</v>
      </c>
      <c r="D38" s="367">
        <v>0.75</v>
      </c>
      <c r="E38" s="977">
        <v>0.4</v>
      </c>
      <c r="F38" s="966">
        <v>1.53</v>
      </c>
      <c r="G38" s="1284"/>
      <c r="H38" s="1285"/>
      <c r="I38" s="1285"/>
      <c r="J38" s="1285"/>
      <c r="K38" s="1285"/>
      <c r="L38" s="1285"/>
      <c r="M38" s="1285"/>
      <c r="N38" s="1285"/>
    </row>
    <row r="39" spans="1:14" ht="18" x14ac:dyDescent="0.35">
      <c r="A39" s="214" t="s">
        <v>153</v>
      </c>
      <c r="B39" s="256">
        <f t="shared" si="0"/>
        <v>6</v>
      </c>
      <c r="C39" s="947">
        <v>4</v>
      </c>
      <c r="D39" s="367"/>
      <c r="E39" s="977">
        <v>0.4</v>
      </c>
      <c r="F39" s="972">
        <v>1.87</v>
      </c>
      <c r="G39" s="1284"/>
      <c r="H39" s="1286"/>
      <c r="I39" s="1289"/>
      <c r="J39" s="1285"/>
      <c r="K39" s="1285"/>
      <c r="L39" s="1285"/>
      <c r="M39" s="1285"/>
      <c r="N39" s="1285"/>
    </row>
    <row r="40" spans="1:14" ht="18" x14ac:dyDescent="0.35">
      <c r="A40" s="95" t="s">
        <v>133</v>
      </c>
      <c r="B40" s="256">
        <f t="shared" ref="B40:B64" si="1">RANK(C40,C$8:C$64,0)</f>
        <v>21</v>
      </c>
      <c r="C40" s="947">
        <v>3</v>
      </c>
      <c r="D40" s="367"/>
      <c r="E40" s="977">
        <v>0.4</v>
      </c>
      <c r="F40" s="975">
        <v>1.34</v>
      </c>
      <c r="G40" s="1284"/>
      <c r="H40" s="1285"/>
      <c r="I40" s="1285"/>
      <c r="J40" s="1285"/>
      <c r="K40" s="1285"/>
      <c r="L40" s="1285"/>
      <c r="M40" s="1285"/>
      <c r="N40" s="1285"/>
    </row>
    <row r="41" spans="1:14" ht="18" x14ac:dyDescent="0.35">
      <c r="A41" s="95" t="s">
        <v>357</v>
      </c>
      <c r="B41" s="256">
        <f t="shared" si="1"/>
        <v>41</v>
      </c>
      <c r="C41" s="949">
        <v>2</v>
      </c>
      <c r="D41" s="1279">
        <v>0.77</v>
      </c>
      <c r="E41" s="977">
        <v>0.4</v>
      </c>
      <c r="F41" s="967">
        <v>1.69</v>
      </c>
      <c r="G41" s="1284"/>
      <c r="H41" s="1285"/>
      <c r="I41" s="1285"/>
      <c r="J41" s="1285"/>
      <c r="K41" s="1285"/>
      <c r="L41" s="1285"/>
      <c r="M41" s="1285"/>
      <c r="N41" s="1285"/>
    </row>
    <row r="42" spans="1:14" ht="18" x14ac:dyDescent="0.35">
      <c r="A42" s="214" t="s">
        <v>154</v>
      </c>
      <c r="B42" s="256">
        <f t="shared" si="1"/>
        <v>21</v>
      </c>
      <c r="C42" s="947">
        <v>3</v>
      </c>
      <c r="D42" s="367"/>
      <c r="E42" s="977">
        <v>0.25</v>
      </c>
      <c r="F42" s="975">
        <v>1.25</v>
      </c>
      <c r="G42" s="1284"/>
      <c r="H42" s="1285"/>
      <c r="I42" s="1285"/>
      <c r="J42" s="1285"/>
      <c r="K42" s="1285"/>
      <c r="L42" s="1285"/>
      <c r="M42" s="1285"/>
      <c r="N42" s="1285"/>
    </row>
    <row r="43" spans="1:14" ht="18" x14ac:dyDescent="0.35">
      <c r="A43" s="214" t="s">
        <v>341</v>
      </c>
      <c r="B43" s="256">
        <f t="shared" si="1"/>
        <v>2</v>
      </c>
      <c r="C43" s="947">
        <v>5</v>
      </c>
      <c r="D43" s="367">
        <v>0.34383328873892799</v>
      </c>
      <c r="E43" s="977">
        <v>0.4</v>
      </c>
      <c r="F43" s="962">
        <v>2.13</v>
      </c>
      <c r="G43" s="1284"/>
      <c r="H43" s="1285"/>
      <c r="I43" s="1285"/>
      <c r="J43" s="1285"/>
      <c r="K43" s="1285"/>
      <c r="L43" s="1285"/>
      <c r="M43" s="1285"/>
      <c r="N43" s="1285"/>
    </row>
    <row r="44" spans="1:14" ht="18" x14ac:dyDescent="0.35">
      <c r="A44" s="95" t="s">
        <v>7</v>
      </c>
      <c r="B44" s="256">
        <f t="shared" si="1"/>
        <v>41</v>
      </c>
      <c r="C44" s="947">
        <v>2</v>
      </c>
      <c r="D44" s="367">
        <v>0.39</v>
      </c>
      <c r="E44" s="977">
        <v>0.25</v>
      </c>
      <c r="F44" s="1282">
        <v>1.94</v>
      </c>
      <c r="G44" s="1284"/>
      <c r="H44" s="1285"/>
      <c r="I44" s="1285"/>
      <c r="J44" s="1285"/>
      <c r="K44" s="1285"/>
      <c r="L44" s="1285"/>
      <c r="M44" s="1285"/>
      <c r="N44" s="1285"/>
    </row>
    <row r="45" spans="1:14" ht="18" x14ac:dyDescent="0.35">
      <c r="A45" s="214" t="s">
        <v>155</v>
      </c>
      <c r="B45" s="256">
        <f t="shared" si="1"/>
        <v>1</v>
      </c>
      <c r="C45" s="947">
        <v>7</v>
      </c>
      <c r="D45" s="367">
        <v>0.25651947487157201</v>
      </c>
      <c r="E45" s="977">
        <v>0.4</v>
      </c>
      <c r="F45" s="971">
        <v>2.2200000000000002</v>
      </c>
      <c r="G45" s="1284"/>
      <c r="H45" s="1236"/>
      <c r="I45" s="67"/>
      <c r="J45" s="1285"/>
      <c r="K45" s="1285"/>
      <c r="L45" s="1285"/>
      <c r="M45" s="1285"/>
      <c r="N45" s="1285"/>
    </row>
    <row r="46" spans="1:14" ht="18" x14ac:dyDescent="0.35">
      <c r="A46" s="214" t="s">
        <v>156</v>
      </c>
      <c r="B46" s="256">
        <f t="shared" si="1"/>
        <v>6</v>
      </c>
      <c r="C46" s="947">
        <v>4</v>
      </c>
      <c r="D46" s="367"/>
      <c r="E46" s="977">
        <v>0.4</v>
      </c>
      <c r="F46" s="971">
        <v>2.02</v>
      </c>
      <c r="G46" s="1284"/>
      <c r="H46" s="1238"/>
      <c r="I46" s="67"/>
      <c r="J46" s="1285"/>
      <c r="K46" s="1285"/>
      <c r="L46" s="1285"/>
      <c r="M46" s="1285"/>
      <c r="N46" s="1285"/>
    </row>
    <row r="47" spans="1:14" ht="18" x14ac:dyDescent="0.35">
      <c r="A47" s="214" t="s">
        <v>13</v>
      </c>
      <c r="B47" s="256">
        <f t="shared" si="1"/>
        <v>51</v>
      </c>
      <c r="C47" s="947">
        <v>1</v>
      </c>
      <c r="D47" s="367">
        <v>0.8</v>
      </c>
      <c r="E47" s="977">
        <v>0.25</v>
      </c>
      <c r="F47" s="966">
        <v>1.28</v>
      </c>
      <c r="G47" s="1284"/>
      <c r="H47" s="1285"/>
      <c r="I47" s="1285"/>
      <c r="J47" s="1285"/>
      <c r="K47" s="1285"/>
      <c r="L47" s="1285"/>
      <c r="M47" s="1285"/>
      <c r="N47" s="1285"/>
    </row>
    <row r="48" spans="1:14" ht="18" x14ac:dyDescent="0.35">
      <c r="A48" s="214" t="s">
        <v>25</v>
      </c>
      <c r="B48" s="256">
        <f t="shared" si="1"/>
        <v>21</v>
      </c>
      <c r="C48" s="947">
        <v>3</v>
      </c>
      <c r="D48" s="367"/>
      <c r="E48" s="977">
        <v>0.25</v>
      </c>
      <c r="F48" s="975">
        <v>1.42</v>
      </c>
      <c r="G48" s="1284"/>
      <c r="H48" s="1285"/>
      <c r="I48" s="1285"/>
      <c r="J48" s="1285"/>
      <c r="K48" s="1285"/>
      <c r="L48" s="1285"/>
      <c r="M48" s="1285"/>
      <c r="N48" s="1285"/>
    </row>
    <row r="49" spans="1:14" ht="18" x14ac:dyDescent="0.35">
      <c r="A49" s="214" t="s">
        <v>472</v>
      </c>
      <c r="B49" s="256">
        <f t="shared" si="1"/>
        <v>21</v>
      </c>
      <c r="C49" s="947">
        <v>3</v>
      </c>
      <c r="D49" s="367">
        <v>0.47</v>
      </c>
      <c r="E49" s="977">
        <v>0.4</v>
      </c>
      <c r="F49" s="962">
        <v>2.27</v>
      </c>
      <c r="G49" s="1284"/>
      <c r="H49" s="1285"/>
      <c r="I49" s="1285"/>
      <c r="J49" s="1285"/>
      <c r="K49" s="1285"/>
      <c r="L49" s="1285"/>
      <c r="M49" s="1285"/>
      <c r="N49" s="1285"/>
    </row>
    <row r="50" spans="1:14" ht="18" x14ac:dyDescent="0.35">
      <c r="A50" s="96" t="s">
        <v>130</v>
      </c>
      <c r="B50" s="256">
        <f t="shared" si="1"/>
        <v>21</v>
      </c>
      <c r="C50" s="947">
        <v>3</v>
      </c>
      <c r="D50" s="367">
        <v>0.57913782383419699</v>
      </c>
      <c r="E50" s="977">
        <v>0.4</v>
      </c>
      <c r="F50" s="966">
        <v>1.64</v>
      </c>
      <c r="G50" s="1284"/>
      <c r="H50" s="1286"/>
      <c r="I50" s="1287"/>
      <c r="J50" s="1285"/>
      <c r="K50" s="1285"/>
      <c r="L50" s="1285"/>
      <c r="M50" s="1285"/>
      <c r="N50" s="1285"/>
    </row>
    <row r="51" spans="1:14" ht="18" x14ac:dyDescent="0.35">
      <c r="A51" s="214" t="s">
        <v>19</v>
      </c>
      <c r="B51" s="256">
        <f t="shared" si="1"/>
        <v>21</v>
      </c>
      <c r="C51" s="947">
        <v>3</v>
      </c>
      <c r="D51" s="367"/>
      <c r="E51" s="977">
        <v>0.25</v>
      </c>
      <c r="F51" s="975">
        <v>1.23</v>
      </c>
      <c r="G51" s="1284"/>
      <c r="H51" s="1285"/>
      <c r="I51" s="1285"/>
      <c r="J51" s="1285"/>
      <c r="K51" s="1285"/>
      <c r="L51" s="1285"/>
      <c r="M51" s="1285"/>
      <c r="N51" s="1285"/>
    </row>
    <row r="52" spans="1:14" ht="18" x14ac:dyDescent="0.35">
      <c r="A52" s="214" t="s">
        <v>211</v>
      </c>
      <c r="B52" s="256">
        <f t="shared" si="1"/>
        <v>41</v>
      </c>
      <c r="C52" s="949">
        <v>2</v>
      </c>
      <c r="D52" s="945">
        <v>0.68</v>
      </c>
      <c r="E52" s="977">
        <v>0.4</v>
      </c>
      <c r="F52" s="962">
        <v>2.0499999999999998</v>
      </c>
      <c r="G52" s="1284"/>
      <c r="H52" s="1285"/>
      <c r="I52" s="1285"/>
      <c r="J52" s="1285"/>
      <c r="K52" s="1285"/>
      <c r="L52" s="1285"/>
      <c r="M52" s="1285"/>
      <c r="N52" s="1285"/>
    </row>
    <row r="53" spans="1:14" ht="18" customHeight="1" x14ac:dyDescent="0.35">
      <c r="A53" s="214" t="s">
        <v>157</v>
      </c>
      <c r="B53" s="256">
        <f t="shared" si="1"/>
        <v>6</v>
      </c>
      <c r="C53" s="947">
        <v>4</v>
      </c>
      <c r="D53" s="367"/>
      <c r="E53" s="977">
        <v>0.4</v>
      </c>
      <c r="F53" s="1283">
        <v>2.25</v>
      </c>
      <c r="G53" s="1284"/>
      <c r="H53" s="67"/>
      <c r="I53" s="67"/>
      <c r="J53" s="1285"/>
      <c r="K53" s="1285"/>
      <c r="L53" s="1285"/>
      <c r="M53" s="1285"/>
      <c r="N53" s="1285"/>
    </row>
    <row r="54" spans="1:14" ht="18" x14ac:dyDescent="0.35">
      <c r="A54" s="95" t="s">
        <v>126</v>
      </c>
      <c r="B54" s="256">
        <f t="shared" si="1"/>
        <v>41</v>
      </c>
      <c r="C54" s="947">
        <v>2</v>
      </c>
      <c r="D54" s="367">
        <v>0.74</v>
      </c>
      <c r="E54" s="977">
        <v>0.4</v>
      </c>
      <c r="F54" s="962">
        <v>1.8</v>
      </c>
      <c r="G54" s="1284"/>
      <c r="H54" s="1285"/>
      <c r="I54" s="1285"/>
      <c r="J54" s="1285"/>
      <c r="K54" s="1285"/>
      <c r="L54" s="1285"/>
      <c r="M54" s="1285"/>
      <c r="N54" s="1285"/>
    </row>
    <row r="55" spans="1:14" ht="18" customHeight="1" x14ac:dyDescent="0.35">
      <c r="A55" s="214" t="s">
        <v>158</v>
      </c>
      <c r="B55" s="256">
        <f t="shared" si="1"/>
        <v>6</v>
      </c>
      <c r="C55" s="947">
        <v>4</v>
      </c>
      <c r="D55" s="89"/>
      <c r="E55" s="977">
        <v>0.4</v>
      </c>
      <c r="F55" s="971">
        <v>2.1</v>
      </c>
      <c r="G55" s="1284"/>
      <c r="H55" s="67"/>
      <c r="I55" s="67"/>
      <c r="J55" s="1285"/>
      <c r="K55" s="1285"/>
      <c r="L55" s="1285"/>
      <c r="M55" s="1285"/>
      <c r="N55" s="1285"/>
    </row>
    <row r="56" spans="1:14" ht="18" x14ac:dyDescent="0.35">
      <c r="A56" s="214" t="s">
        <v>213</v>
      </c>
      <c r="B56" s="256">
        <f t="shared" si="1"/>
        <v>41</v>
      </c>
      <c r="C56" s="949">
        <v>2</v>
      </c>
      <c r="D56" s="1278">
        <v>0.66</v>
      </c>
      <c r="E56" s="977">
        <v>0.4</v>
      </c>
      <c r="F56" s="965">
        <v>1.82</v>
      </c>
      <c r="G56" s="1284"/>
      <c r="H56" s="1285"/>
      <c r="I56" s="1285"/>
      <c r="J56" s="1285"/>
      <c r="K56" s="1285"/>
      <c r="L56" s="1285"/>
      <c r="M56" s="1285"/>
      <c r="N56" s="1285"/>
    </row>
    <row r="57" spans="1:14" ht="18" x14ac:dyDescent="0.35">
      <c r="A57" s="214" t="s">
        <v>159</v>
      </c>
      <c r="B57" s="256">
        <f t="shared" si="1"/>
        <v>6</v>
      </c>
      <c r="C57" s="947">
        <v>4</v>
      </c>
      <c r="D57" s="367">
        <v>0.37463492155779698</v>
      </c>
      <c r="E57" s="977">
        <v>0.4</v>
      </c>
      <c r="F57" s="972">
        <v>1.86</v>
      </c>
      <c r="G57" s="1284"/>
      <c r="H57" s="1286"/>
      <c r="I57" s="1287"/>
      <c r="J57" s="1285"/>
      <c r="K57" s="1285"/>
      <c r="L57" s="1285"/>
      <c r="M57" s="1285"/>
      <c r="N57" s="1285"/>
    </row>
    <row r="58" spans="1:14" ht="18" x14ac:dyDescent="0.35">
      <c r="A58" s="95" t="s">
        <v>23</v>
      </c>
      <c r="B58" s="256">
        <f t="shared" si="1"/>
        <v>21</v>
      </c>
      <c r="C58" s="947">
        <v>3</v>
      </c>
      <c r="D58" s="367"/>
      <c r="E58" s="977">
        <v>0.25</v>
      </c>
      <c r="F58" s="975">
        <v>1.02</v>
      </c>
      <c r="G58" s="1284"/>
      <c r="H58" s="1285"/>
      <c r="I58" s="1285"/>
      <c r="J58" s="1285"/>
      <c r="K58" s="1285"/>
      <c r="L58" s="1285"/>
      <c r="M58" s="1285"/>
      <c r="N58" s="1285"/>
    </row>
    <row r="59" spans="1:14" ht="18" x14ac:dyDescent="0.35">
      <c r="A59" s="214" t="s">
        <v>160</v>
      </c>
      <c r="B59" s="256">
        <f t="shared" si="1"/>
        <v>21</v>
      </c>
      <c r="C59" s="947">
        <v>3</v>
      </c>
      <c r="D59" s="367">
        <v>0.5</v>
      </c>
      <c r="E59" s="977">
        <v>0.4</v>
      </c>
      <c r="F59" s="962">
        <v>2.09</v>
      </c>
      <c r="G59" s="1284"/>
      <c r="H59" s="1285"/>
      <c r="I59" s="1285"/>
      <c r="J59" s="1285"/>
      <c r="K59" s="1285"/>
      <c r="L59" s="1285"/>
      <c r="M59" s="1285"/>
      <c r="N59" s="1285"/>
    </row>
    <row r="60" spans="1:14" ht="18" x14ac:dyDescent="0.35">
      <c r="A60" s="214" t="s">
        <v>338</v>
      </c>
      <c r="B60" s="256">
        <f t="shared" si="1"/>
        <v>21</v>
      </c>
      <c r="C60" s="947">
        <v>3</v>
      </c>
      <c r="D60" s="367"/>
      <c r="E60" s="977">
        <v>0.4</v>
      </c>
      <c r="F60" s="975">
        <v>1.73</v>
      </c>
      <c r="G60" s="1284"/>
      <c r="H60" s="1285"/>
      <c r="I60" s="1285"/>
      <c r="J60" s="1285"/>
      <c r="K60" s="1285"/>
      <c r="L60" s="1285"/>
      <c r="M60" s="1285"/>
      <c r="N60" s="1285"/>
    </row>
    <row r="61" spans="1:14" ht="18" customHeight="1" x14ac:dyDescent="0.35">
      <c r="A61" s="214" t="s">
        <v>384</v>
      </c>
      <c r="B61" s="256">
        <f t="shared" si="1"/>
        <v>21</v>
      </c>
      <c r="C61" s="949">
        <v>3</v>
      </c>
      <c r="D61" s="945">
        <v>0.45638672070112202</v>
      </c>
      <c r="E61" s="977">
        <v>0.4</v>
      </c>
      <c r="F61" s="1283">
        <v>2.0499999999999998</v>
      </c>
      <c r="G61" s="1284"/>
      <c r="H61" s="67"/>
      <c r="I61" s="67"/>
      <c r="J61" s="1285"/>
      <c r="K61" s="1285"/>
      <c r="L61" s="1285"/>
      <c r="M61" s="1285"/>
      <c r="N61" s="1285"/>
    </row>
    <row r="62" spans="1:14" ht="18" x14ac:dyDescent="0.35">
      <c r="A62" s="95" t="s">
        <v>142</v>
      </c>
      <c r="B62" s="256">
        <f t="shared" si="1"/>
        <v>51</v>
      </c>
      <c r="C62" s="947">
        <v>1</v>
      </c>
      <c r="D62" s="367">
        <v>0.92</v>
      </c>
      <c r="E62" s="977">
        <v>0.4</v>
      </c>
      <c r="F62" s="962">
        <v>2.0499999999999998</v>
      </c>
      <c r="G62" s="1284"/>
      <c r="H62" s="1285"/>
      <c r="I62" s="1285"/>
      <c r="J62" s="1285"/>
      <c r="K62" s="1285"/>
      <c r="L62" s="1285"/>
      <c r="M62" s="1285"/>
      <c r="N62" s="1285"/>
    </row>
    <row r="63" spans="1:14" ht="18" x14ac:dyDescent="0.35">
      <c r="A63" s="95" t="s">
        <v>214</v>
      </c>
      <c r="B63" s="256">
        <f t="shared" si="1"/>
        <v>2</v>
      </c>
      <c r="C63" s="949">
        <v>5</v>
      </c>
      <c r="D63" s="945">
        <v>0.28000000000000003</v>
      </c>
      <c r="E63" s="977">
        <v>0.4</v>
      </c>
      <c r="F63" s="964">
        <v>2</v>
      </c>
      <c r="G63" s="1284"/>
      <c r="H63" s="67"/>
      <c r="I63" s="67"/>
      <c r="J63" s="1285"/>
      <c r="K63" s="1285"/>
      <c r="L63" s="1285"/>
      <c r="M63" s="1285"/>
      <c r="N63" s="1285"/>
    </row>
    <row r="64" spans="1:14" ht="18.600000000000001" thickBot="1" x14ac:dyDescent="0.4">
      <c r="A64" s="165" t="s">
        <v>215</v>
      </c>
      <c r="B64" s="296">
        <f t="shared" si="1"/>
        <v>41</v>
      </c>
      <c r="C64" s="950">
        <v>2</v>
      </c>
      <c r="D64" s="103">
        <v>0.75</v>
      </c>
      <c r="E64" s="980">
        <v>0.4</v>
      </c>
      <c r="F64" s="1281">
        <v>1.88</v>
      </c>
      <c r="G64" s="1284"/>
      <c r="H64" s="1285"/>
      <c r="I64" s="1285"/>
      <c r="J64" s="1285"/>
      <c r="K64" s="1285"/>
      <c r="L64" s="1285"/>
      <c r="M64" s="1285"/>
      <c r="N64" s="1285"/>
    </row>
    <row r="65" spans="1:14" ht="18" x14ac:dyDescent="0.35">
      <c r="A65" s="603"/>
      <c r="B65" s="499"/>
      <c r="C65" s="499"/>
      <c r="D65" s="595"/>
      <c r="E65" s="595"/>
      <c r="F65" s="596"/>
      <c r="G65" s="587"/>
      <c r="H65" s="596"/>
      <c r="I65" s="596"/>
      <c r="J65" s="596"/>
      <c r="K65" s="596"/>
      <c r="L65" s="596"/>
      <c r="M65" s="596"/>
      <c r="N65" s="596"/>
    </row>
    <row r="66" spans="1:14" x14ac:dyDescent="0.3">
      <c r="A66" s="603"/>
      <c r="B66" s="499"/>
      <c r="C66" s="499"/>
      <c r="D66" s="595"/>
      <c r="E66" s="595"/>
      <c r="F66" s="596"/>
      <c r="G66" s="499"/>
      <c r="H66" s="596"/>
      <c r="I66" s="596"/>
      <c r="J66" s="596"/>
      <c r="K66" s="596"/>
      <c r="L66" s="596"/>
      <c r="M66" s="596"/>
      <c r="N66" s="596"/>
    </row>
    <row r="67" spans="1:14" x14ac:dyDescent="0.3">
      <c r="A67" s="603"/>
      <c r="B67" s="499"/>
      <c r="C67" s="499"/>
      <c r="D67" s="595"/>
      <c r="E67" s="595"/>
      <c r="F67" s="596"/>
      <c r="G67" s="499"/>
      <c r="H67" s="596"/>
      <c r="I67" s="596"/>
      <c r="J67" s="596"/>
      <c r="K67" s="596"/>
      <c r="L67" s="596"/>
      <c r="M67" s="596"/>
      <c r="N67" s="596"/>
    </row>
    <row r="68" spans="1:14" x14ac:dyDescent="0.3">
      <c r="A68" s="603"/>
      <c r="B68" s="499"/>
      <c r="C68" s="499"/>
      <c r="D68" s="595"/>
      <c r="E68" s="595"/>
      <c r="F68" s="596"/>
      <c r="G68" s="499"/>
      <c r="H68" s="596"/>
      <c r="I68" s="596"/>
      <c r="J68" s="596"/>
      <c r="K68" s="596"/>
      <c r="L68" s="596"/>
      <c r="M68" s="596"/>
      <c r="N68" s="596"/>
    </row>
    <row r="69" spans="1:14" x14ac:dyDescent="0.3">
      <c r="A69" s="603"/>
      <c r="B69" s="499"/>
      <c r="C69" s="499"/>
      <c r="D69" s="699"/>
      <c r="E69" s="699"/>
      <c r="F69" s="596"/>
      <c r="G69" s="499"/>
      <c r="H69" s="596"/>
      <c r="I69" s="596"/>
      <c r="J69" s="596"/>
      <c r="K69" s="596"/>
      <c r="L69" s="596"/>
      <c r="M69" s="596"/>
      <c r="N69" s="596"/>
    </row>
    <row r="70" spans="1:14" x14ac:dyDescent="0.3">
      <c r="A70" s="603"/>
      <c r="B70" s="499"/>
      <c r="C70" s="499"/>
      <c r="D70" s="595"/>
      <c r="E70" s="595"/>
      <c r="F70" s="596"/>
      <c r="G70" s="499"/>
      <c r="H70" s="596"/>
      <c r="I70" s="596"/>
      <c r="J70" s="596"/>
      <c r="K70" s="596"/>
      <c r="L70" s="596"/>
      <c r="M70" s="596"/>
      <c r="N70" s="596"/>
    </row>
    <row r="71" spans="1:14" x14ac:dyDescent="0.3">
      <c r="A71" s="603"/>
      <c r="B71" s="499"/>
      <c r="C71" s="499"/>
      <c r="D71" s="595"/>
      <c r="E71" s="595"/>
      <c r="F71" s="596"/>
      <c r="G71" s="499"/>
      <c r="H71" s="596"/>
      <c r="I71" s="596"/>
      <c r="J71" s="596"/>
      <c r="K71" s="596"/>
      <c r="L71" s="596"/>
      <c r="M71" s="596"/>
      <c r="N71" s="596"/>
    </row>
    <row r="72" spans="1:14" x14ac:dyDescent="0.3">
      <c r="A72" s="603"/>
      <c r="B72" s="499"/>
      <c r="C72" s="499"/>
      <c r="D72" s="595"/>
      <c r="E72" s="595"/>
      <c r="F72" s="596"/>
      <c r="G72" s="499"/>
      <c r="H72" s="596"/>
      <c r="I72" s="596"/>
      <c r="J72" s="596"/>
      <c r="K72" s="596"/>
      <c r="L72" s="596"/>
      <c r="M72" s="596"/>
      <c r="N72" s="596"/>
    </row>
    <row r="73" spans="1:14" x14ac:dyDescent="0.3">
      <c r="A73" s="603"/>
      <c r="B73" s="499"/>
      <c r="C73" s="499"/>
      <c r="D73" s="595"/>
      <c r="E73" s="595"/>
      <c r="F73" s="596"/>
      <c r="G73" s="499"/>
      <c r="H73" s="596"/>
      <c r="I73" s="596"/>
      <c r="J73" s="596"/>
      <c r="K73" s="596"/>
      <c r="L73" s="596"/>
      <c r="M73" s="596"/>
      <c r="N73" s="596"/>
    </row>
    <row r="74" spans="1:14" x14ac:dyDescent="0.3">
      <c r="A74" s="603"/>
      <c r="B74" s="499"/>
      <c r="C74" s="499"/>
      <c r="D74" s="595"/>
      <c r="E74" s="595"/>
      <c r="F74" s="596"/>
      <c r="G74" s="499"/>
      <c r="H74" s="596"/>
      <c r="I74" s="596"/>
      <c r="J74" s="596"/>
      <c r="K74" s="596"/>
      <c r="L74" s="596"/>
      <c r="M74" s="596"/>
      <c r="N74" s="596"/>
    </row>
    <row r="75" spans="1:14" x14ac:dyDescent="0.3">
      <c r="A75" s="603"/>
      <c r="B75" s="499"/>
      <c r="C75" s="499"/>
      <c r="D75" s="595"/>
      <c r="E75" s="595"/>
      <c r="F75" s="596"/>
      <c r="G75" s="499"/>
      <c r="H75" s="596"/>
      <c r="I75" s="596"/>
      <c r="J75" s="596"/>
      <c r="K75" s="596"/>
      <c r="L75" s="596"/>
      <c r="M75" s="596"/>
      <c r="N75" s="596"/>
    </row>
    <row r="76" spans="1:14" x14ac:dyDescent="0.3">
      <c r="A76" s="603"/>
      <c r="B76" s="499"/>
      <c r="C76" s="499"/>
      <c r="D76" s="595"/>
      <c r="E76" s="595"/>
      <c r="F76" s="596"/>
      <c r="G76" s="499"/>
      <c r="H76" s="596"/>
      <c r="I76" s="596"/>
      <c r="J76" s="596"/>
      <c r="K76" s="596"/>
      <c r="L76" s="596"/>
      <c r="M76" s="596"/>
      <c r="N76" s="596"/>
    </row>
    <row r="77" spans="1:14" x14ac:dyDescent="0.3">
      <c r="A77" s="603"/>
      <c r="B77" s="499"/>
      <c r="C77" s="499"/>
      <c r="D77" s="595"/>
      <c r="E77" s="595"/>
      <c r="F77" s="596"/>
      <c r="G77" s="499"/>
      <c r="H77" s="596"/>
      <c r="I77" s="596"/>
      <c r="J77" s="596"/>
      <c r="K77" s="596"/>
      <c r="L77" s="596"/>
      <c r="M77" s="596"/>
      <c r="N77" s="596"/>
    </row>
    <row r="78" spans="1:14" x14ac:dyDescent="0.3">
      <c r="A78" s="603"/>
      <c r="B78" s="499"/>
      <c r="C78" s="499"/>
      <c r="D78" s="595"/>
      <c r="E78" s="595"/>
      <c r="F78" s="596"/>
      <c r="G78" s="499"/>
      <c r="H78" s="596"/>
      <c r="I78" s="596"/>
      <c r="J78" s="596"/>
      <c r="K78" s="596"/>
      <c r="L78" s="596"/>
      <c r="M78" s="596"/>
      <c r="N78" s="596"/>
    </row>
    <row r="79" spans="1:14" x14ac:dyDescent="0.3">
      <c r="A79" s="603"/>
      <c r="B79" s="499"/>
      <c r="C79" s="499"/>
      <c r="D79" s="595"/>
      <c r="E79" s="595"/>
      <c r="F79" s="596"/>
      <c r="G79" s="499"/>
      <c r="H79" s="596"/>
      <c r="I79" s="596"/>
      <c r="J79" s="596"/>
      <c r="K79" s="596"/>
      <c r="L79" s="596"/>
      <c r="M79" s="596"/>
      <c r="N79" s="596"/>
    </row>
    <row r="80" spans="1:14" x14ac:dyDescent="0.3">
      <c r="A80" s="603"/>
      <c r="B80" s="499"/>
      <c r="C80" s="499"/>
      <c r="D80" s="595"/>
      <c r="E80" s="595"/>
      <c r="F80" s="596"/>
      <c r="G80" s="499"/>
      <c r="H80" s="596"/>
      <c r="I80" s="596"/>
      <c r="J80" s="596"/>
      <c r="K80" s="596"/>
      <c r="L80" s="596"/>
      <c r="M80" s="596"/>
      <c r="N80" s="596"/>
    </row>
    <row r="81" spans="1:14" x14ac:dyDescent="0.3">
      <c r="A81" s="603"/>
      <c r="B81" s="499"/>
      <c r="C81" s="499"/>
      <c r="D81" s="595"/>
      <c r="E81" s="595"/>
      <c r="F81" s="596"/>
      <c r="G81" s="499"/>
      <c r="H81" s="596"/>
      <c r="I81" s="596"/>
      <c r="J81" s="596"/>
      <c r="K81" s="596"/>
      <c r="L81" s="596"/>
      <c r="M81" s="596"/>
      <c r="N81" s="596"/>
    </row>
    <row r="82" spans="1:14" x14ac:dyDescent="0.3">
      <c r="A82" s="603"/>
      <c r="B82" s="499"/>
      <c r="C82" s="499"/>
      <c r="D82" s="595"/>
      <c r="E82" s="595"/>
      <c r="F82" s="596"/>
      <c r="G82" s="499"/>
      <c r="H82" s="596"/>
      <c r="I82" s="596"/>
      <c r="J82" s="596"/>
      <c r="K82" s="596"/>
      <c r="L82" s="596"/>
      <c r="M82" s="596"/>
      <c r="N82" s="596"/>
    </row>
    <row r="83" spans="1:14" x14ac:dyDescent="0.3">
      <c r="A83" s="603"/>
      <c r="B83" s="499"/>
      <c r="C83" s="499"/>
      <c r="D83" s="595"/>
      <c r="E83" s="595"/>
      <c r="F83" s="596"/>
      <c r="G83" s="499"/>
      <c r="H83" s="596"/>
      <c r="I83" s="596"/>
      <c r="J83" s="596"/>
      <c r="K83" s="596"/>
      <c r="L83" s="596"/>
      <c r="M83" s="596"/>
      <c r="N83" s="596"/>
    </row>
    <row r="84" spans="1:14" x14ac:dyDescent="0.3">
      <c r="A84" s="603"/>
      <c r="B84" s="499"/>
      <c r="C84" s="499"/>
      <c r="D84" s="595"/>
      <c r="E84" s="595"/>
      <c r="F84" s="596"/>
      <c r="G84" s="499"/>
      <c r="H84" s="596"/>
      <c r="I84" s="596"/>
      <c r="J84" s="596"/>
      <c r="K84" s="596"/>
      <c r="L84" s="596"/>
      <c r="M84" s="596"/>
      <c r="N84" s="596"/>
    </row>
    <row r="85" spans="1:14" x14ac:dyDescent="0.3">
      <c r="A85" s="603"/>
      <c r="B85" s="499"/>
      <c r="C85" s="499"/>
      <c r="D85" s="595"/>
      <c r="E85" s="595"/>
      <c r="F85" s="596"/>
      <c r="G85" s="499"/>
      <c r="H85" s="596"/>
      <c r="I85" s="596"/>
      <c r="J85" s="596"/>
      <c r="K85" s="596"/>
      <c r="L85" s="596"/>
      <c r="M85" s="596"/>
      <c r="N85" s="596"/>
    </row>
    <row r="86" spans="1:14" x14ac:dyDescent="0.3">
      <c r="A86" s="603"/>
      <c r="B86" s="499"/>
      <c r="C86" s="499"/>
      <c r="D86" s="595"/>
      <c r="E86" s="595"/>
      <c r="F86" s="596"/>
      <c r="G86" s="499"/>
      <c r="H86" s="596"/>
      <c r="I86" s="596"/>
      <c r="J86" s="596"/>
      <c r="K86" s="596"/>
      <c r="L86" s="596"/>
      <c r="M86" s="596"/>
      <c r="N86" s="596"/>
    </row>
    <row r="87" spans="1:14" x14ac:dyDescent="0.3">
      <c r="A87" s="603"/>
      <c r="B87" s="499"/>
      <c r="C87" s="499"/>
      <c r="D87" s="595"/>
      <c r="E87" s="595"/>
      <c r="F87" s="596"/>
      <c r="G87" s="499"/>
      <c r="H87" s="596"/>
      <c r="I87" s="596"/>
      <c r="J87" s="596"/>
      <c r="K87" s="596"/>
      <c r="L87" s="596"/>
      <c r="M87" s="596"/>
      <c r="N87" s="596"/>
    </row>
    <row r="88" spans="1:14" x14ac:dyDescent="0.3">
      <c r="A88" s="603"/>
      <c r="B88" s="499"/>
      <c r="C88" s="499"/>
      <c r="D88" s="595"/>
      <c r="E88" s="595"/>
      <c r="F88" s="596"/>
      <c r="G88" s="499"/>
      <c r="H88" s="596"/>
      <c r="I88" s="596"/>
      <c r="J88" s="596"/>
      <c r="K88" s="596"/>
      <c r="L88" s="596"/>
      <c r="M88" s="596"/>
      <c r="N88" s="596"/>
    </row>
    <row r="89" spans="1:14" x14ac:dyDescent="0.3">
      <c r="A89" s="603"/>
      <c r="B89" s="499"/>
      <c r="C89" s="499"/>
      <c r="D89" s="595"/>
      <c r="E89" s="595"/>
      <c r="F89" s="596"/>
      <c r="G89" s="499"/>
      <c r="H89" s="596"/>
      <c r="I89" s="596"/>
      <c r="J89" s="596"/>
      <c r="K89" s="596"/>
      <c r="L89" s="596"/>
      <c r="M89" s="596"/>
      <c r="N89" s="596"/>
    </row>
    <row r="90" spans="1:14" x14ac:dyDescent="0.3">
      <c r="A90" s="603"/>
      <c r="B90" s="499"/>
      <c r="C90" s="499"/>
      <c r="D90" s="595"/>
      <c r="E90" s="595"/>
      <c r="F90" s="596"/>
      <c r="G90" s="499"/>
      <c r="H90" s="596"/>
      <c r="I90" s="596"/>
      <c r="J90" s="596"/>
      <c r="K90" s="596"/>
      <c r="L90" s="596"/>
      <c r="M90" s="596"/>
      <c r="N90" s="596"/>
    </row>
    <row r="91" spans="1:14" x14ac:dyDescent="0.3">
      <c r="A91" s="603"/>
      <c r="B91" s="499"/>
      <c r="C91" s="499"/>
      <c r="D91" s="595"/>
      <c r="E91" s="595"/>
      <c r="F91" s="596"/>
      <c r="G91" s="499"/>
      <c r="H91" s="596"/>
      <c r="I91" s="596"/>
      <c r="J91" s="596"/>
    </row>
  </sheetData>
  <conditionalFormatting sqref="G8:G62 G64:G65 H63">
    <cfRule type="colorScale" priority="2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B8:B64">
    <cfRule type="colorScale" priority="1">
      <colorScale>
        <cfvo type="min"/>
        <cfvo type="percentile" val="50"/>
        <cfvo type="max"/>
        <color rgb="FF6AC281"/>
        <color rgb="FFFFEB84"/>
        <color rgb="FFF97B7E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L107"/>
  <sheetViews>
    <sheetView zoomScale="85" zoomScaleNormal="85" workbookViewId="0">
      <pane ySplit="6" topLeftCell="A49" activePane="bottomLeft" state="frozen"/>
      <selection activeCell="A22" sqref="A22"/>
      <selection pane="bottomLeft" activeCell="C48" sqref="C48"/>
    </sheetView>
  </sheetViews>
  <sheetFormatPr defaultColWidth="8.88671875" defaultRowHeight="18" x14ac:dyDescent="0.35"/>
  <cols>
    <col min="1" max="1" width="38" style="84" customWidth="1"/>
    <col min="2" max="3" width="8.88671875" style="93"/>
    <col min="4" max="4" width="13.88671875" style="88" customWidth="1"/>
    <col min="5" max="5" width="16" style="88" customWidth="1"/>
    <col min="6" max="6" width="11.44140625" style="91" customWidth="1"/>
    <col min="7" max="7" width="9.6640625" style="92" customWidth="1"/>
    <col min="8" max="8" width="15.88671875" style="92" customWidth="1"/>
    <col min="9" max="9" width="10.6640625" style="92" customWidth="1"/>
    <col min="10" max="10" width="8.88671875" style="93"/>
    <col min="11" max="11" width="8.88671875" style="88"/>
    <col min="12" max="12" width="89.109375" style="88" customWidth="1"/>
    <col min="13" max="16384" width="8.88671875" style="93"/>
  </cols>
  <sheetData>
    <row r="1" spans="1:12" ht="21" x14ac:dyDescent="0.4">
      <c r="A1" s="594" t="s">
        <v>287</v>
      </c>
      <c r="B1" s="607"/>
      <c r="C1" s="607"/>
      <c r="D1" s="598"/>
      <c r="E1" s="598"/>
      <c r="F1" s="605"/>
      <c r="G1" s="606"/>
      <c r="H1" s="606"/>
      <c r="I1" s="606"/>
      <c r="J1" s="607"/>
      <c r="K1" s="598"/>
      <c r="L1" s="598"/>
    </row>
    <row r="2" spans="1:12" x14ac:dyDescent="0.35">
      <c r="A2" s="598" t="s">
        <v>173</v>
      </c>
      <c r="B2" s="607"/>
      <c r="C2" s="607"/>
      <c r="D2" s="598"/>
      <c r="E2" s="598"/>
      <c r="F2" s="605"/>
      <c r="G2" s="606"/>
      <c r="H2" s="606"/>
      <c r="I2" s="606"/>
      <c r="J2" s="607"/>
      <c r="K2" s="598"/>
      <c r="L2" s="598"/>
    </row>
    <row r="3" spans="1:12" x14ac:dyDescent="0.35">
      <c r="A3" s="598"/>
      <c r="B3" s="607"/>
      <c r="C3" s="607"/>
      <c r="D3" s="598"/>
      <c r="E3" s="598"/>
      <c r="F3" s="605"/>
      <c r="G3" s="606"/>
      <c r="H3" s="606"/>
      <c r="I3" s="606"/>
      <c r="J3" s="607"/>
      <c r="K3" s="598"/>
      <c r="L3" s="598"/>
    </row>
    <row r="4" spans="1:12" x14ac:dyDescent="0.35">
      <c r="A4" s="598"/>
      <c r="B4" s="607"/>
      <c r="C4" s="607"/>
      <c r="D4" s="598"/>
      <c r="E4" s="598"/>
      <c r="F4" s="605"/>
      <c r="G4" s="606"/>
      <c r="J4" s="607"/>
      <c r="K4" s="598"/>
      <c r="L4" s="598"/>
    </row>
    <row r="5" spans="1:12" ht="21" x14ac:dyDescent="0.4">
      <c r="A5" s="757"/>
      <c r="B5" s="1328"/>
      <c r="C5" s="1333" t="s">
        <v>460</v>
      </c>
      <c r="D5" s="1334"/>
      <c r="E5" s="1334"/>
      <c r="F5" s="1335"/>
      <c r="G5" s="1334"/>
      <c r="H5" s="1330" t="s">
        <v>383</v>
      </c>
      <c r="I5" s="1330"/>
      <c r="J5" s="608"/>
      <c r="K5" s="598"/>
      <c r="L5" s="598"/>
    </row>
    <row r="6" spans="1:12" ht="57.6" thickBot="1" x14ac:dyDescent="0.4">
      <c r="A6" s="104" t="s">
        <v>4</v>
      </c>
      <c r="B6" s="1329" t="s">
        <v>3</v>
      </c>
      <c r="C6" s="1336" t="s">
        <v>222</v>
      </c>
      <c r="D6" s="1337" t="s">
        <v>203</v>
      </c>
      <c r="E6" s="1338" t="s">
        <v>220</v>
      </c>
      <c r="F6" s="1338" t="s">
        <v>351</v>
      </c>
      <c r="G6" s="1332" t="s">
        <v>352</v>
      </c>
      <c r="H6" s="1331" t="s">
        <v>353</v>
      </c>
      <c r="I6" s="1332" t="s">
        <v>354</v>
      </c>
      <c r="J6" s="602"/>
      <c r="K6" s="598"/>
      <c r="L6" s="598"/>
    </row>
    <row r="7" spans="1:12" x14ac:dyDescent="0.35">
      <c r="A7" s="164" t="s">
        <v>10</v>
      </c>
      <c r="B7" s="229">
        <f t="shared" ref="B7:B38" si="0">RANK(C7,C$7:C$65,0)</f>
        <v>43</v>
      </c>
      <c r="C7" s="728">
        <v>1</v>
      </c>
      <c r="D7" s="1240">
        <v>923.29817402799995</v>
      </c>
      <c r="E7" s="982">
        <v>16833.333333333299</v>
      </c>
      <c r="F7" s="1241">
        <v>5.4849396476910901E-2</v>
      </c>
      <c r="G7" s="1243">
        <v>15910.0351593053</v>
      </c>
      <c r="H7" s="1245">
        <v>14022.166666666701</v>
      </c>
      <c r="I7" s="1247">
        <v>6.5845614017900206E-2</v>
      </c>
      <c r="J7" s="587"/>
      <c r="K7" s="598"/>
      <c r="L7" s="598"/>
    </row>
    <row r="8" spans="1:12" x14ac:dyDescent="0.35">
      <c r="A8" s="214" t="s">
        <v>209</v>
      </c>
      <c r="B8" s="42">
        <f t="shared" si="0"/>
        <v>19</v>
      </c>
      <c r="C8" s="729">
        <v>3</v>
      </c>
      <c r="D8" s="379">
        <v>38.2176660426667</v>
      </c>
      <c r="E8" s="984">
        <v>92.065399999999997</v>
      </c>
      <c r="F8" s="985">
        <v>0.41511432137009902</v>
      </c>
      <c r="G8" s="986">
        <v>53.847733957333297</v>
      </c>
      <c r="H8" s="987">
        <v>87.646259999999998</v>
      </c>
      <c r="I8" s="988">
        <v>0.43604445920073098</v>
      </c>
      <c r="J8" s="587"/>
      <c r="K8" s="598"/>
      <c r="L8" s="598"/>
    </row>
    <row r="9" spans="1:12" x14ac:dyDescent="0.35">
      <c r="A9" s="214" t="s">
        <v>146</v>
      </c>
      <c r="B9" s="42">
        <f t="shared" si="0"/>
        <v>43</v>
      </c>
      <c r="C9" s="729">
        <v>1</v>
      </c>
      <c r="D9" s="379">
        <v>32.598339951</v>
      </c>
      <c r="E9" s="984">
        <v>520.43501399333297</v>
      </c>
      <c r="F9" s="985">
        <v>6.2636715583124794E-2</v>
      </c>
      <c r="G9" s="986">
        <v>487.83667404233302</v>
      </c>
      <c r="H9" s="987">
        <v>434.04280167666701</v>
      </c>
      <c r="I9" s="988">
        <v>7.5103975518256899E-2</v>
      </c>
      <c r="J9" s="587"/>
      <c r="K9" s="598"/>
      <c r="L9" s="598"/>
    </row>
    <row r="10" spans="1:12" x14ac:dyDescent="0.35">
      <c r="A10" s="214" t="s">
        <v>147</v>
      </c>
      <c r="B10" s="42">
        <f t="shared" si="0"/>
        <v>19</v>
      </c>
      <c r="C10" s="729">
        <v>3</v>
      </c>
      <c r="D10" s="379">
        <v>178.72212854200001</v>
      </c>
      <c r="E10" s="984">
        <v>541</v>
      </c>
      <c r="F10" s="985">
        <v>0.33035513593715299</v>
      </c>
      <c r="G10" s="986">
        <v>362.27787145799999</v>
      </c>
      <c r="H10" s="987">
        <v>493.93299999999999</v>
      </c>
      <c r="I10" s="988">
        <v>0.36183476006260001</v>
      </c>
      <c r="J10" s="587"/>
      <c r="K10" s="1237"/>
      <c r="L10" s="1239"/>
    </row>
    <row r="11" spans="1:12" x14ac:dyDescent="0.35">
      <c r="A11" s="95" t="s">
        <v>5</v>
      </c>
      <c r="B11" s="42">
        <f t="shared" si="0"/>
        <v>19</v>
      </c>
      <c r="C11" s="729">
        <v>3</v>
      </c>
      <c r="D11" s="379">
        <v>781.09810975966695</v>
      </c>
      <c r="E11" s="375">
        <v>1671.0333333333299</v>
      </c>
      <c r="F11" s="371">
        <v>0.4674341882825</v>
      </c>
      <c r="G11" s="730">
        <v>889.93522357366703</v>
      </c>
      <c r="H11" s="731">
        <v>1553.2267999999999</v>
      </c>
      <c r="I11" s="732">
        <v>0.50288735023093001</v>
      </c>
      <c r="J11" s="587"/>
      <c r="K11" s="1237"/>
      <c r="L11" s="1239"/>
    </row>
    <row r="12" spans="1:12" x14ac:dyDescent="0.35">
      <c r="A12" s="214" t="s">
        <v>210</v>
      </c>
      <c r="B12" s="42">
        <f t="shared" si="0"/>
        <v>19</v>
      </c>
      <c r="C12" s="729">
        <v>3</v>
      </c>
      <c r="D12" s="379">
        <v>44.780663763333301</v>
      </c>
      <c r="E12" s="984">
        <v>169.36666666666699</v>
      </c>
      <c r="F12" s="985">
        <v>0.26440069137965</v>
      </c>
      <c r="G12" s="986">
        <v>124.586002903333</v>
      </c>
      <c r="H12" s="987">
        <v>154.26046666666701</v>
      </c>
      <c r="I12" s="988">
        <v>0.29029254695629497</v>
      </c>
      <c r="J12" s="587"/>
      <c r="K12" s="598"/>
      <c r="L12" s="598"/>
    </row>
    <row r="13" spans="1:12" x14ac:dyDescent="0.35">
      <c r="A13" s="214" t="s">
        <v>339</v>
      </c>
      <c r="B13" s="42">
        <f t="shared" si="0"/>
        <v>4</v>
      </c>
      <c r="C13" s="729">
        <v>8</v>
      </c>
      <c r="D13" s="379">
        <v>407.47760702333301</v>
      </c>
      <c r="E13" s="984">
        <v>431.64333333333298</v>
      </c>
      <c r="F13" s="985">
        <v>0.94401459620983397</v>
      </c>
      <c r="G13" s="986">
        <v>24.16572631</v>
      </c>
      <c r="H13" s="987">
        <v>378.74819333333301</v>
      </c>
      <c r="I13" s="988">
        <v>1.07585359929286</v>
      </c>
      <c r="J13" s="587"/>
      <c r="K13" s="1237"/>
      <c r="L13" s="1239"/>
    </row>
    <row r="14" spans="1:12" x14ac:dyDescent="0.35">
      <c r="A14" s="95" t="s">
        <v>134</v>
      </c>
      <c r="B14" s="42">
        <f t="shared" si="0"/>
        <v>32</v>
      </c>
      <c r="C14" s="729">
        <v>2</v>
      </c>
      <c r="D14" s="379">
        <v>485.522911298667</v>
      </c>
      <c r="E14" s="375">
        <v>2387.5721283333301</v>
      </c>
      <c r="F14" s="371">
        <v>0.203354238197441</v>
      </c>
      <c r="G14" s="730">
        <v>1902.0492170346699</v>
      </c>
      <c r="H14" s="731">
        <v>2247.8698491</v>
      </c>
      <c r="I14" s="732">
        <v>0.21599244791377001</v>
      </c>
      <c r="J14" s="587"/>
      <c r="K14" s="598"/>
      <c r="L14" s="598"/>
    </row>
    <row r="15" spans="1:12" x14ac:dyDescent="0.35">
      <c r="A15" s="214" t="s">
        <v>148</v>
      </c>
      <c r="B15" s="42">
        <f t="shared" si="0"/>
        <v>10</v>
      </c>
      <c r="C15" s="729">
        <v>5</v>
      </c>
      <c r="D15" s="379">
        <v>95.011801165333296</v>
      </c>
      <c r="E15" s="376">
        <v>179.996933333333</v>
      </c>
      <c r="F15" s="372">
        <v>0.52785233284715205</v>
      </c>
      <c r="G15" s="733">
        <v>84.985132168000007</v>
      </c>
      <c r="H15" s="734">
        <v>164.33143346666699</v>
      </c>
      <c r="I15" s="735">
        <v>0.57817180292902204</v>
      </c>
      <c r="J15" s="587"/>
      <c r="K15" s="1237"/>
      <c r="L15" s="1239"/>
    </row>
    <row r="16" spans="1:12" x14ac:dyDescent="0.35">
      <c r="A16" s="214" t="s">
        <v>9</v>
      </c>
      <c r="B16" s="42">
        <f t="shared" si="0"/>
        <v>19</v>
      </c>
      <c r="C16" s="729">
        <v>3</v>
      </c>
      <c r="D16" s="379">
        <v>93.139825275333294</v>
      </c>
      <c r="E16" s="375">
        <v>365.23666666666702</v>
      </c>
      <c r="F16" s="989">
        <v>0.25501225308338898</v>
      </c>
      <c r="G16" s="730">
        <v>272.09684139133299</v>
      </c>
      <c r="H16" s="731">
        <v>346.41216666666702</v>
      </c>
      <c r="I16" s="732">
        <v>0.26886995965403399</v>
      </c>
      <c r="J16" s="587"/>
      <c r="K16" s="1237"/>
      <c r="L16" s="1237"/>
    </row>
    <row r="17" spans="1:12" x14ac:dyDescent="0.35">
      <c r="A17" s="95" t="s">
        <v>129</v>
      </c>
      <c r="B17" s="42">
        <f t="shared" si="0"/>
        <v>19</v>
      </c>
      <c r="C17" s="729">
        <v>3</v>
      </c>
      <c r="D17" s="379">
        <v>100.06323631766701</v>
      </c>
      <c r="E17" s="375">
        <v>315.33333333333297</v>
      </c>
      <c r="F17" s="371">
        <v>0.31732527373467201</v>
      </c>
      <c r="G17" s="730">
        <v>215.27009701566701</v>
      </c>
      <c r="H17" s="731">
        <v>291.46199999999999</v>
      </c>
      <c r="I17" s="732">
        <v>0.34331486203232903</v>
      </c>
      <c r="J17" s="587"/>
      <c r="K17" s="598"/>
      <c r="L17" s="598"/>
    </row>
    <row r="18" spans="1:12" x14ac:dyDescent="0.35">
      <c r="A18" s="95" t="s">
        <v>18</v>
      </c>
      <c r="B18" s="42">
        <f t="shared" si="0"/>
        <v>19</v>
      </c>
      <c r="C18" s="729">
        <v>3</v>
      </c>
      <c r="D18" s="379">
        <v>556.72940134999999</v>
      </c>
      <c r="E18" s="375">
        <v>1514.6666666666699</v>
      </c>
      <c r="F18" s="371">
        <v>0.367559023778609</v>
      </c>
      <c r="G18" s="730">
        <v>957.93726531666698</v>
      </c>
      <c r="H18" s="731">
        <v>1448.0213333333299</v>
      </c>
      <c r="I18" s="732">
        <v>0.38447596629561598</v>
      </c>
      <c r="J18" s="587"/>
      <c r="K18" s="598"/>
      <c r="L18" s="598"/>
    </row>
    <row r="19" spans="1:12" x14ac:dyDescent="0.35">
      <c r="A19" s="95" t="s">
        <v>140</v>
      </c>
      <c r="B19" s="42">
        <f t="shared" si="0"/>
        <v>32</v>
      </c>
      <c r="C19" s="729">
        <v>2</v>
      </c>
      <c r="D19" s="379">
        <v>606.91935543233296</v>
      </c>
      <c r="E19" s="375">
        <v>2794.32</v>
      </c>
      <c r="F19" s="371">
        <v>0.21719751332429099</v>
      </c>
      <c r="G19" s="730">
        <v>2187.40064456767</v>
      </c>
      <c r="H19" s="731">
        <v>2671.3699200000001</v>
      </c>
      <c r="I19" s="732">
        <v>0.227194051594447</v>
      </c>
      <c r="J19" s="587"/>
      <c r="K19" s="598"/>
      <c r="L19" s="598"/>
    </row>
    <row r="20" spans="1:12" x14ac:dyDescent="0.35">
      <c r="A20" s="214" t="s">
        <v>143</v>
      </c>
      <c r="B20" s="42">
        <f t="shared" si="0"/>
        <v>10</v>
      </c>
      <c r="C20" s="729">
        <v>5</v>
      </c>
      <c r="D20" s="379">
        <v>24.815723733999999</v>
      </c>
      <c r="E20" s="984">
        <v>42.926666666666698</v>
      </c>
      <c r="F20" s="990">
        <v>0.57809575401459901</v>
      </c>
      <c r="G20" s="986">
        <v>18.110942932666699</v>
      </c>
      <c r="H20" s="987">
        <v>39.197213333333302</v>
      </c>
      <c r="I20" s="988">
        <v>0.63309918291810596</v>
      </c>
      <c r="J20" s="587"/>
      <c r="K20" s="1237"/>
      <c r="L20" s="1239"/>
    </row>
    <row r="21" spans="1:12" x14ac:dyDescent="0.35">
      <c r="A21" s="214" t="s">
        <v>149</v>
      </c>
      <c r="B21" s="42">
        <f t="shared" si="0"/>
        <v>10</v>
      </c>
      <c r="C21" s="729">
        <v>5</v>
      </c>
      <c r="D21" s="379">
        <v>169.836589057</v>
      </c>
      <c r="E21" s="984">
        <v>333.932633333333</v>
      </c>
      <c r="F21" s="985">
        <v>0.50859536356684298</v>
      </c>
      <c r="G21" s="986">
        <v>164.096044276333</v>
      </c>
      <c r="H21" s="987">
        <v>304.8922609</v>
      </c>
      <c r="I21" s="988">
        <v>0.55703804535958301</v>
      </c>
      <c r="J21" s="587"/>
      <c r="K21" s="1237"/>
      <c r="L21" s="1239"/>
    </row>
    <row r="22" spans="1:12" x14ac:dyDescent="0.35">
      <c r="A22" s="95" t="s">
        <v>132</v>
      </c>
      <c r="B22" s="42">
        <f t="shared" si="0"/>
        <v>43</v>
      </c>
      <c r="C22" s="729">
        <v>1</v>
      </c>
      <c r="D22" s="379">
        <v>4.9997945579999996</v>
      </c>
      <c r="E22" s="375">
        <v>74.1666666666667</v>
      </c>
      <c r="F22" s="371">
        <v>6.7412960332584301E-2</v>
      </c>
      <c r="G22" s="730">
        <v>69.166872108666695</v>
      </c>
      <c r="H22" s="731">
        <v>66.6661</v>
      </c>
      <c r="I22" s="732">
        <v>7.4997555849224698E-2</v>
      </c>
      <c r="J22" s="587"/>
      <c r="K22" s="598"/>
      <c r="L22" s="598"/>
    </row>
    <row r="23" spans="1:12" x14ac:dyDescent="0.35">
      <c r="A23" s="95" t="s">
        <v>16</v>
      </c>
      <c r="B23" s="42">
        <f t="shared" si="0"/>
        <v>19</v>
      </c>
      <c r="C23" s="729">
        <v>3</v>
      </c>
      <c r="D23" s="379">
        <v>367.37862562200002</v>
      </c>
      <c r="E23" s="375">
        <v>778.66666666666697</v>
      </c>
      <c r="F23" s="371">
        <v>0.471804741809075</v>
      </c>
      <c r="G23" s="730">
        <v>411.28804104466701</v>
      </c>
      <c r="H23" s="731">
        <v>744.24933333333297</v>
      </c>
      <c r="I23" s="732">
        <v>0.49362304965271497</v>
      </c>
      <c r="J23" s="587"/>
      <c r="K23" s="598"/>
      <c r="L23" s="598"/>
    </row>
    <row r="24" spans="1:12" x14ac:dyDescent="0.35">
      <c r="A24" s="95" t="s">
        <v>6</v>
      </c>
      <c r="B24" s="42">
        <f t="shared" si="0"/>
        <v>43</v>
      </c>
      <c r="C24" s="729">
        <v>1</v>
      </c>
      <c r="D24" s="379">
        <v>5714.55349029233</v>
      </c>
      <c r="E24" s="375">
        <v>91144.2</v>
      </c>
      <c r="F24" s="371">
        <v>6.2697938983416704E-2</v>
      </c>
      <c r="G24" s="730">
        <v>85429.646509707702</v>
      </c>
      <c r="H24" s="731">
        <v>87133.855200000005</v>
      </c>
      <c r="I24" s="732">
        <v>6.5583618183490303E-2</v>
      </c>
      <c r="J24" s="587"/>
      <c r="K24" s="598"/>
      <c r="L24" s="598"/>
    </row>
    <row r="25" spans="1:12" x14ac:dyDescent="0.35">
      <c r="A25" s="95" t="s">
        <v>20</v>
      </c>
      <c r="B25" s="42">
        <f t="shared" si="0"/>
        <v>43</v>
      </c>
      <c r="C25" s="729">
        <v>1</v>
      </c>
      <c r="D25" s="379">
        <v>241.77977643633301</v>
      </c>
      <c r="E25" s="375">
        <v>10136</v>
      </c>
      <c r="F25" s="371">
        <v>2.3853569103821401E-2</v>
      </c>
      <c r="G25" s="730">
        <v>9894.2202235636705</v>
      </c>
      <c r="H25" s="731">
        <v>9254.1679999999997</v>
      </c>
      <c r="I25" s="732">
        <v>2.6126581712838302E-2</v>
      </c>
      <c r="J25" s="587"/>
      <c r="K25" s="598"/>
      <c r="L25" s="598"/>
    </row>
    <row r="26" spans="1:12" x14ac:dyDescent="0.35">
      <c r="A26" s="214" t="s">
        <v>150</v>
      </c>
      <c r="B26" s="42">
        <f t="shared" si="0"/>
        <v>19</v>
      </c>
      <c r="C26" s="729">
        <v>3</v>
      </c>
      <c r="D26" s="379">
        <v>8.4146731986666694</v>
      </c>
      <c r="E26" s="984">
        <v>23.4975103316667</v>
      </c>
      <c r="F26" s="985">
        <v>0.35810913921916798</v>
      </c>
      <c r="G26" s="986">
        <v>15.082837133</v>
      </c>
      <c r="H26" s="987">
        <v>19.596923617333299</v>
      </c>
      <c r="I26" s="988">
        <v>0.42938745708147502</v>
      </c>
      <c r="J26" s="587"/>
      <c r="K26" s="1237"/>
      <c r="L26" s="1239"/>
    </row>
    <row r="27" spans="1:12" x14ac:dyDescent="0.35">
      <c r="A27" s="214" t="s">
        <v>33</v>
      </c>
      <c r="B27" s="42">
        <f t="shared" si="0"/>
        <v>10</v>
      </c>
      <c r="C27" s="729">
        <v>5</v>
      </c>
      <c r="D27" s="379">
        <v>20.9389613333333</v>
      </c>
      <c r="E27" s="984">
        <v>35</v>
      </c>
      <c r="F27" s="985">
        <v>0.59825603809523797</v>
      </c>
      <c r="G27" s="986">
        <v>14.0610386666667</v>
      </c>
      <c r="H27" s="987">
        <v>24.29</v>
      </c>
      <c r="I27" s="988">
        <v>0.8620404007136</v>
      </c>
      <c r="J27" s="587"/>
      <c r="K27" s="1237"/>
      <c r="L27" s="1239"/>
    </row>
    <row r="28" spans="1:12" x14ac:dyDescent="0.35">
      <c r="A28" s="214" t="s">
        <v>476</v>
      </c>
      <c r="B28" s="42">
        <f t="shared" si="0"/>
        <v>10</v>
      </c>
      <c r="C28" s="729">
        <v>5</v>
      </c>
      <c r="D28" s="379">
        <v>88.821788517666704</v>
      </c>
      <c r="E28" s="984">
        <v>168.478191616667</v>
      </c>
      <c r="F28" s="985">
        <v>0.52720050984260403</v>
      </c>
      <c r="G28" s="986">
        <v>79.656403099000002</v>
      </c>
      <c r="H28" s="987">
        <v>140.51081180666699</v>
      </c>
      <c r="I28" s="988">
        <v>0.63213490389536298</v>
      </c>
      <c r="J28" s="587"/>
      <c r="K28" s="1237"/>
      <c r="L28" s="1239"/>
    </row>
    <row r="29" spans="1:12" x14ac:dyDescent="0.35">
      <c r="A29" s="214" t="s">
        <v>151</v>
      </c>
      <c r="B29" s="42">
        <f t="shared" si="0"/>
        <v>32</v>
      </c>
      <c r="C29" s="729">
        <v>2</v>
      </c>
      <c r="D29" s="380">
        <v>11.4293510263333</v>
      </c>
      <c r="E29" s="992">
        <v>60.283484667666698</v>
      </c>
      <c r="F29" s="993">
        <v>0.18959340338969399</v>
      </c>
      <c r="G29" s="994">
        <v>48.854133641333298</v>
      </c>
      <c r="H29" s="995">
        <v>50.276426213000001</v>
      </c>
      <c r="I29" s="996">
        <v>0.22733021989096799</v>
      </c>
      <c r="J29" s="587"/>
      <c r="K29" s="598"/>
      <c r="L29" s="598"/>
    </row>
    <row r="30" spans="1:12" x14ac:dyDescent="0.35">
      <c r="A30" s="214" t="s">
        <v>144</v>
      </c>
      <c r="B30" s="42">
        <f t="shared" si="0"/>
        <v>32</v>
      </c>
      <c r="C30" s="729">
        <v>2</v>
      </c>
      <c r="D30" s="380">
        <v>17.939762000999998</v>
      </c>
      <c r="E30" s="992">
        <v>93.719700000000003</v>
      </c>
      <c r="F30" s="993">
        <v>0.19141932807083301</v>
      </c>
      <c r="G30" s="994">
        <v>75.779937998999998</v>
      </c>
      <c r="H30" s="995">
        <v>84.515012100000007</v>
      </c>
      <c r="I30" s="996">
        <v>0.21226716479402799</v>
      </c>
      <c r="J30" s="587"/>
      <c r="K30" s="598"/>
      <c r="L30" s="598"/>
    </row>
    <row r="31" spans="1:12" x14ac:dyDescent="0.35">
      <c r="A31" s="214" t="s">
        <v>145</v>
      </c>
      <c r="B31" s="42">
        <f t="shared" si="0"/>
        <v>43</v>
      </c>
      <c r="C31" s="729">
        <v>1</v>
      </c>
      <c r="D31" s="380">
        <v>44.969601271666697</v>
      </c>
      <c r="E31" s="992">
        <v>1551.3333333333301</v>
      </c>
      <c r="F31" s="993">
        <v>2.89877103169317E-2</v>
      </c>
      <c r="G31" s="994">
        <v>1506.3637320616699</v>
      </c>
      <c r="H31" s="995">
        <v>1416.36733333333</v>
      </c>
      <c r="I31" s="996">
        <v>3.1749956535522102E-2</v>
      </c>
      <c r="J31" s="587"/>
      <c r="K31" s="598"/>
      <c r="L31" s="598"/>
    </row>
    <row r="32" spans="1:12" x14ac:dyDescent="0.35">
      <c r="A32" s="214" t="s">
        <v>152</v>
      </c>
      <c r="B32" s="42">
        <f t="shared" si="0"/>
        <v>19</v>
      </c>
      <c r="C32" s="729">
        <v>3</v>
      </c>
      <c r="D32" s="379">
        <v>3.26121701033333</v>
      </c>
      <c r="E32" s="984">
        <v>9.8778593333333298</v>
      </c>
      <c r="F32" s="990">
        <v>0.330154226769376</v>
      </c>
      <c r="G32" s="986">
        <v>6.6166423229999998</v>
      </c>
      <c r="H32" s="987">
        <v>8.2381346840000003</v>
      </c>
      <c r="I32" s="988">
        <v>0.39586837742131398</v>
      </c>
      <c r="J32" s="587"/>
      <c r="K32" s="1237"/>
      <c r="L32" s="1237"/>
    </row>
    <row r="33" spans="1:12" x14ac:dyDescent="0.35">
      <c r="A33" s="214" t="s">
        <v>356</v>
      </c>
      <c r="B33" s="42">
        <f t="shared" si="0"/>
        <v>43</v>
      </c>
      <c r="C33" s="729">
        <v>1</v>
      </c>
      <c r="D33" s="379">
        <v>37.959476385333303</v>
      </c>
      <c r="E33" s="984">
        <v>466.20666666666699</v>
      </c>
      <c r="F33" s="985">
        <v>8.1421993934020706E-2</v>
      </c>
      <c r="G33" s="986">
        <v>428.24719028133302</v>
      </c>
      <c r="H33" s="987">
        <v>426.37430000000001</v>
      </c>
      <c r="I33" s="988">
        <v>8.9028528185993702E-2</v>
      </c>
      <c r="J33" s="587"/>
      <c r="K33" s="598"/>
      <c r="L33" s="598"/>
    </row>
    <row r="34" spans="1:12" x14ac:dyDescent="0.35">
      <c r="A34" s="214" t="s">
        <v>337</v>
      </c>
      <c r="B34" s="42">
        <f t="shared" si="0"/>
        <v>32</v>
      </c>
      <c r="C34" s="729">
        <v>2</v>
      </c>
      <c r="D34" s="379">
        <v>4.4101751496666699</v>
      </c>
      <c r="E34" s="984">
        <v>27.668519000666699</v>
      </c>
      <c r="F34" s="985">
        <v>0.15939324940234101</v>
      </c>
      <c r="G34" s="986">
        <v>23.258343850999999</v>
      </c>
      <c r="H34" s="987">
        <v>23.075544847333301</v>
      </c>
      <c r="I34" s="988">
        <v>0.191119004073107</v>
      </c>
      <c r="J34" s="587"/>
      <c r="K34" s="1237"/>
      <c r="L34" s="1237"/>
    </row>
    <row r="35" spans="1:12" x14ac:dyDescent="0.35">
      <c r="A35" s="95" t="s">
        <v>128</v>
      </c>
      <c r="B35" s="42">
        <f t="shared" si="0"/>
        <v>32</v>
      </c>
      <c r="C35" s="729">
        <v>2</v>
      </c>
      <c r="D35" s="379">
        <v>1328.3575658316699</v>
      </c>
      <c r="E35" s="375">
        <v>5560.2533333333304</v>
      </c>
      <c r="F35" s="371">
        <v>0.23890234602589999</v>
      </c>
      <c r="G35" s="730">
        <v>4231.89576750167</v>
      </c>
      <c r="H35" s="731">
        <v>5241.18918653333</v>
      </c>
      <c r="I35" s="732">
        <v>0.25344583424783401</v>
      </c>
      <c r="J35" s="587"/>
      <c r="K35" s="598"/>
      <c r="L35" s="598"/>
    </row>
    <row r="36" spans="1:12" x14ac:dyDescent="0.35">
      <c r="A36" s="96" t="s">
        <v>141</v>
      </c>
      <c r="B36" s="42">
        <f t="shared" si="0"/>
        <v>19</v>
      </c>
      <c r="C36" s="729">
        <v>3</v>
      </c>
      <c r="D36" s="379">
        <v>681.278912848</v>
      </c>
      <c r="E36" s="375">
        <v>2499.6666666666702</v>
      </c>
      <c r="F36" s="371">
        <v>0.27254790485984798</v>
      </c>
      <c r="G36" s="730">
        <v>1818.38775381867</v>
      </c>
      <c r="H36" s="731">
        <v>2389.6813333333298</v>
      </c>
      <c r="I36" s="732">
        <v>0.28509195069021798</v>
      </c>
      <c r="J36" s="587"/>
      <c r="K36" s="598"/>
      <c r="L36" s="598"/>
    </row>
    <row r="37" spans="1:12" x14ac:dyDescent="0.35">
      <c r="A37" s="95" t="s">
        <v>125</v>
      </c>
      <c r="B37" s="42">
        <f t="shared" si="0"/>
        <v>43</v>
      </c>
      <c r="C37" s="729">
        <v>1</v>
      </c>
      <c r="D37" s="379">
        <v>277.57070821333298</v>
      </c>
      <c r="E37" s="375">
        <v>4117.3333333333303</v>
      </c>
      <c r="F37" s="371">
        <v>6.7415165531088103E-2</v>
      </c>
      <c r="G37" s="730">
        <v>3839.7626251199999</v>
      </c>
      <c r="H37" s="731">
        <v>3429.7386666666698</v>
      </c>
      <c r="I37" s="732">
        <v>8.0930570865652002E-2</v>
      </c>
      <c r="J37" s="587"/>
      <c r="K37" s="598"/>
      <c r="L37" s="598"/>
    </row>
    <row r="38" spans="1:12" x14ac:dyDescent="0.35">
      <c r="A38" s="214" t="s">
        <v>153</v>
      </c>
      <c r="B38" s="42">
        <f t="shared" si="0"/>
        <v>32</v>
      </c>
      <c r="C38" s="729">
        <v>2</v>
      </c>
      <c r="D38" s="379">
        <v>50.136247276666701</v>
      </c>
      <c r="E38" s="984">
        <v>224.957734319</v>
      </c>
      <c r="F38" s="985">
        <v>0.22286963117067701</v>
      </c>
      <c r="G38" s="986">
        <v>174.82148704233299</v>
      </c>
      <c r="H38" s="987">
        <v>187.614750431</v>
      </c>
      <c r="I38" s="988">
        <v>0.26722977357319</v>
      </c>
      <c r="J38" s="587"/>
      <c r="K38" s="598"/>
      <c r="L38" s="598"/>
    </row>
    <row r="39" spans="1:12" x14ac:dyDescent="0.35">
      <c r="A39" s="95" t="s">
        <v>133</v>
      </c>
      <c r="B39" s="42">
        <f t="shared" ref="B39:B70" si="1">RANK(C39,C$7:C$65,0)</f>
        <v>43</v>
      </c>
      <c r="C39" s="729">
        <v>1</v>
      </c>
      <c r="D39" s="379">
        <v>54.165091263333302</v>
      </c>
      <c r="E39" s="375">
        <v>3200</v>
      </c>
      <c r="F39" s="371">
        <v>1.6926591019791701E-2</v>
      </c>
      <c r="G39" s="730">
        <v>3145.8349087366701</v>
      </c>
      <c r="H39" s="731">
        <v>2220.8000000000002</v>
      </c>
      <c r="I39" s="732">
        <v>2.4389900604887101E-2</v>
      </c>
      <c r="J39" s="587"/>
      <c r="K39" s="598"/>
      <c r="L39" s="598"/>
    </row>
    <row r="40" spans="1:12" x14ac:dyDescent="0.35">
      <c r="A40" s="95" t="s">
        <v>357</v>
      </c>
      <c r="B40" s="42">
        <f t="shared" si="1"/>
        <v>32</v>
      </c>
      <c r="C40" s="729">
        <v>2</v>
      </c>
      <c r="D40" s="379">
        <v>434.868640088333</v>
      </c>
      <c r="E40" s="375">
        <v>3456.4833333333299</v>
      </c>
      <c r="F40" s="371">
        <v>0.12581245102343899</v>
      </c>
      <c r="G40" s="730">
        <v>3021.6146932450001</v>
      </c>
      <c r="H40" s="731">
        <v>3169.8732833333302</v>
      </c>
      <c r="I40" s="732">
        <v>0.13718802021986201</v>
      </c>
      <c r="J40" s="587"/>
      <c r="K40" s="598"/>
      <c r="L40" s="598"/>
    </row>
    <row r="41" spans="1:12" x14ac:dyDescent="0.35">
      <c r="A41" s="214" t="s">
        <v>154</v>
      </c>
      <c r="B41" s="42">
        <f t="shared" si="1"/>
        <v>43</v>
      </c>
      <c r="C41" s="729">
        <v>1</v>
      </c>
      <c r="D41" s="379">
        <v>142.17948308366701</v>
      </c>
      <c r="E41" s="378">
        <v>4801</v>
      </c>
      <c r="F41" s="374">
        <v>2.9614555943275701E-2</v>
      </c>
      <c r="G41" s="736">
        <v>4658.8205169163302</v>
      </c>
      <c r="H41" s="737">
        <v>3331.8939999999998</v>
      </c>
      <c r="I41" s="738">
        <v>4.2672270811636499E-2</v>
      </c>
      <c r="J41" s="587"/>
      <c r="K41" s="598"/>
      <c r="L41" s="598"/>
    </row>
    <row r="42" spans="1:12" x14ac:dyDescent="0.35">
      <c r="A42" s="214" t="s">
        <v>341</v>
      </c>
      <c r="B42" s="42">
        <f t="shared" si="1"/>
        <v>10</v>
      </c>
      <c r="C42" s="729">
        <v>5</v>
      </c>
      <c r="D42" s="379">
        <v>1360.50982856467</v>
      </c>
      <c r="E42" s="375">
        <v>2486</v>
      </c>
      <c r="F42" s="371">
        <v>0.54726863578627005</v>
      </c>
      <c r="G42" s="730">
        <v>1125.49017143533</v>
      </c>
      <c r="H42" s="731">
        <v>2070.8380000000002</v>
      </c>
      <c r="I42" s="732">
        <v>0.65698515700632598</v>
      </c>
      <c r="J42" s="587"/>
      <c r="K42" s="598"/>
      <c r="L42" s="598"/>
    </row>
    <row r="43" spans="1:12" x14ac:dyDescent="0.35">
      <c r="A43" s="95" t="s">
        <v>7</v>
      </c>
      <c r="B43" s="42">
        <f t="shared" si="1"/>
        <v>5</v>
      </c>
      <c r="C43" s="729">
        <v>7</v>
      </c>
      <c r="D43" s="379">
        <v>2567.2361505303302</v>
      </c>
      <c r="E43" s="375">
        <v>3056.6666666666702</v>
      </c>
      <c r="F43" s="371">
        <v>0.83988096527709899</v>
      </c>
      <c r="G43" s="730">
        <v>489.43051613633298</v>
      </c>
      <c r="H43" s="731">
        <v>2922.17333333333</v>
      </c>
      <c r="I43" s="732">
        <v>0.87853657455763501</v>
      </c>
      <c r="J43" s="587"/>
      <c r="K43" s="1237"/>
      <c r="L43" s="1239"/>
    </row>
    <row r="44" spans="1:12" x14ac:dyDescent="0.35">
      <c r="A44" s="214" t="s">
        <v>155</v>
      </c>
      <c r="B44" s="42">
        <f t="shared" si="1"/>
        <v>1</v>
      </c>
      <c r="C44" s="729">
        <v>10</v>
      </c>
      <c r="D44" s="379">
        <v>27.006160184999999</v>
      </c>
      <c r="E44" s="984">
        <v>12.758006</v>
      </c>
      <c r="F44" s="1339">
        <v>2.1168010255677898</v>
      </c>
      <c r="G44" s="1340">
        <v>-14.248154185000001</v>
      </c>
      <c r="H44" s="987">
        <v>10.640177004</v>
      </c>
      <c r="I44" s="1341">
        <v>2.5381307261004702</v>
      </c>
      <c r="J44" s="587"/>
      <c r="K44" s="1238"/>
      <c r="L44" s="1237"/>
    </row>
    <row r="45" spans="1:12" x14ac:dyDescent="0.35">
      <c r="A45" s="214" t="s">
        <v>156</v>
      </c>
      <c r="B45" s="42">
        <f t="shared" si="1"/>
        <v>5</v>
      </c>
      <c r="C45" s="729">
        <v>7</v>
      </c>
      <c r="D45" s="379">
        <v>46.491946964</v>
      </c>
      <c r="E45" s="984">
        <v>55.678323333333303</v>
      </c>
      <c r="F45" s="985">
        <v>0.83500982394285495</v>
      </c>
      <c r="G45" s="986">
        <v>9.1863763693333294</v>
      </c>
      <c r="H45" s="987">
        <v>46.435721661000002</v>
      </c>
      <c r="I45" s="988">
        <v>1.0012108200537999</v>
      </c>
      <c r="J45" s="587"/>
      <c r="K45" s="1237"/>
      <c r="L45" s="1237"/>
    </row>
    <row r="46" spans="1:12" x14ac:dyDescent="0.35">
      <c r="A46" s="214" t="s">
        <v>13</v>
      </c>
      <c r="B46" s="42">
        <f t="shared" si="1"/>
        <v>32</v>
      </c>
      <c r="C46" s="729">
        <v>2</v>
      </c>
      <c r="D46" s="379">
        <v>474.61816429599997</v>
      </c>
      <c r="E46" s="984">
        <v>3191.5916666666699</v>
      </c>
      <c r="F46" s="985">
        <v>0.14870892453222101</v>
      </c>
      <c r="G46" s="986">
        <v>2716.9735023706698</v>
      </c>
      <c r="H46" s="987">
        <v>2658.5958583333299</v>
      </c>
      <c r="I46" s="988">
        <v>0.17852211828598</v>
      </c>
      <c r="J46" s="587"/>
      <c r="K46" s="598"/>
      <c r="L46" s="598"/>
    </row>
    <row r="47" spans="1:12" x14ac:dyDescent="0.35">
      <c r="A47" s="214" t="s">
        <v>25</v>
      </c>
      <c r="B47" s="42">
        <f t="shared" si="1"/>
        <v>43</v>
      </c>
      <c r="C47" s="729">
        <v>1</v>
      </c>
      <c r="D47" s="379">
        <v>3.4892383436666701</v>
      </c>
      <c r="E47" s="984">
        <v>66.7</v>
      </c>
      <c r="F47" s="985">
        <v>5.2312418945527198E-2</v>
      </c>
      <c r="G47" s="986">
        <v>63.210761656333297</v>
      </c>
      <c r="H47" s="987">
        <v>46.2898</v>
      </c>
      <c r="I47" s="988">
        <v>7.5378125281739594E-2</v>
      </c>
      <c r="J47" s="587"/>
      <c r="K47" s="598"/>
      <c r="L47" s="598"/>
    </row>
    <row r="48" spans="1:12" x14ac:dyDescent="0.35">
      <c r="A48" s="214" t="s">
        <v>472</v>
      </c>
      <c r="B48" s="42">
        <f t="shared" si="1"/>
        <v>5</v>
      </c>
      <c r="C48" s="729">
        <v>7</v>
      </c>
      <c r="D48" s="379">
        <v>384.44428578066697</v>
      </c>
      <c r="E48" s="984">
        <v>443.32</v>
      </c>
      <c r="F48" s="985">
        <v>0.86719364292309498</v>
      </c>
      <c r="G48" s="986">
        <v>58.875714219333403</v>
      </c>
      <c r="H48" s="987">
        <v>404.75116000000003</v>
      </c>
      <c r="I48" s="988">
        <v>0.94982874361784797</v>
      </c>
      <c r="J48" s="587"/>
      <c r="K48" s="1237"/>
      <c r="L48" s="1239"/>
    </row>
    <row r="49" spans="1:12" x14ac:dyDescent="0.35">
      <c r="A49" s="96" t="s">
        <v>130</v>
      </c>
      <c r="B49" s="42">
        <f t="shared" si="1"/>
        <v>10</v>
      </c>
      <c r="C49" s="729">
        <v>5</v>
      </c>
      <c r="D49" s="379">
        <v>5065.0483590169997</v>
      </c>
      <c r="E49" s="375">
        <v>8488.6666666666697</v>
      </c>
      <c r="F49" s="371">
        <v>0.59668362039782497</v>
      </c>
      <c r="G49" s="730">
        <v>3423.61830764967</v>
      </c>
      <c r="H49" s="731">
        <v>7750.3333333333303</v>
      </c>
      <c r="I49" s="732">
        <v>0.65352651830248198</v>
      </c>
      <c r="J49" s="587"/>
      <c r="K49" s="1237"/>
      <c r="L49" s="1239"/>
    </row>
    <row r="50" spans="1:12" x14ac:dyDescent="0.35">
      <c r="A50" s="214" t="s">
        <v>19</v>
      </c>
      <c r="B50" s="42">
        <f t="shared" si="1"/>
        <v>43</v>
      </c>
      <c r="C50" s="729">
        <v>1</v>
      </c>
      <c r="D50" s="379">
        <v>31.064340464333299</v>
      </c>
      <c r="E50" s="984">
        <v>773.2</v>
      </c>
      <c r="F50" s="985">
        <v>4.01763327267632E-2</v>
      </c>
      <c r="G50" s="986">
        <v>742.13565953566695</v>
      </c>
      <c r="H50" s="987">
        <v>536.60080000000005</v>
      </c>
      <c r="I50" s="988">
        <v>5.7890969346921103E-2</v>
      </c>
      <c r="J50" s="587"/>
      <c r="K50" s="598"/>
      <c r="L50" s="598"/>
    </row>
    <row r="51" spans="1:12" x14ac:dyDescent="0.35">
      <c r="A51" s="214" t="s">
        <v>211</v>
      </c>
      <c r="B51" s="42">
        <f t="shared" si="1"/>
        <v>43</v>
      </c>
      <c r="C51" s="729">
        <v>1</v>
      </c>
      <c r="D51" s="379">
        <v>25.352288555333299</v>
      </c>
      <c r="E51" s="984">
        <v>441.33333333333297</v>
      </c>
      <c r="F51" s="985">
        <v>5.7444762587613302E-2</v>
      </c>
      <c r="G51" s="986">
        <v>415.98104477800001</v>
      </c>
      <c r="H51" s="987">
        <v>402.93733333333302</v>
      </c>
      <c r="I51" s="988">
        <v>6.2918688485885305E-2</v>
      </c>
      <c r="J51" s="587"/>
      <c r="K51" s="598"/>
      <c r="L51" s="598"/>
    </row>
    <row r="52" spans="1:12" x14ac:dyDescent="0.35">
      <c r="A52" s="214" t="s">
        <v>157</v>
      </c>
      <c r="B52" s="42">
        <f t="shared" si="1"/>
        <v>10</v>
      </c>
      <c r="C52" s="729">
        <v>5</v>
      </c>
      <c r="D52" s="379">
        <v>10.733480725</v>
      </c>
      <c r="E52" s="984">
        <v>18.805823665666701</v>
      </c>
      <c r="F52" s="985">
        <v>0.57075302394735605</v>
      </c>
      <c r="G52" s="986">
        <v>8.0723429406666707</v>
      </c>
      <c r="H52" s="987">
        <v>15.6840569366667</v>
      </c>
      <c r="I52" s="988">
        <v>0.68435614384355803</v>
      </c>
      <c r="J52" s="587"/>
      <c r="K52" s="1238"/>
      <c r="L52" s="1237"/>
    </row>
    <row r="53" spans="1:12" x14ac:dyDescent="0.35">
      <c r="A53" s="95" t="s">
        <v>126</v>
      </c>
      <c r="B53" s="42">
        <f t="shared" si="1"/>
        <v>32</v>
      </c>
      <c r="C53" s="729">
        <v>2</v>
      </c>
      <c r="D53" s="379">
        <v>709.73127219100002</v>
      </c>
      <c r="E53" s="375">
        <v>3089.3333333333298</v>
      </c>
      <c r="F53" s="371">
        <v>0.229736061347971</v>
      </c>
      <c r="G53" s="730">
        <v>2379.6020611423301</v>
      </c>
      <c r="H53" s="731">
        <v>2573.4146666666702</v>
      </c>
      <c r="I53" s="732">
        <v>0.27579359105398699</v>
      </c>
      <c r="J53" s="587"/>
      <c r="K53" s="598"/>
      <c r="L53" s="598"/>
    </row>
    <row r="54" spans="1:12" x14ac:dyDescent="0.35">
      <c r="A54" s="214" t="s">
        <v>158</v>
      </c>
      <c r="B54" s="42">
        <f t="shared" si="1"/>
        <v>32</v>
      </c>
      <c r="C54" s="729">
        <v>2</v>
      </c>
      <c r="D54" s="379">
        <v>8.0016167046666702</v>
      </c>
      <c r="E54" s="984">
        <v>39.568280666</v>
      </c>
      <c r="F54" s="985">
        <v>0.202223007165996</v>
      </c>
      <c r="G54" s="986">
        <v>31.566663961333301</v>
      </c>
      <c r="H54" s="987">
        <v>32.999946074333302</v>
      </c>
      <c r="I54" s="988">
        <v>0.24247362970360001</v>
      </c>
      <c r="J54" s="587"/>
      <c r="K54" s="598"/>
      <c r="L54" s="598"/>
    </row>
    <row r="55" spans="1:12" x14ac:dyDescent="0.35">
      <c r="A55" s="214" t="s">
        <v>213</v>
      </c>
      <c r="B55" s="42">
        <f t="shared" si="1"/>
        <v>43</v>
      </c>
      <c r="C55" s="729">
        <v>1</v>
      </c>
      <c r="D55" s="379">
        <v>202.79070928233301</v>
      </c>
      <c r="E55" s="375">
        <v>2846.9946666666701</v>
      </c>
      <c r="F55" s="371">
        <v>7.1229746812194003E-2</v>
      </c>
      <c r="G55" s="730">
        <v>2644.2039573843299</v>
      </c>
      <c r="H55" s="731">
        <v>2721.7269013333298</v>
      </c>
      <c r="I55" s="732">
        <v>7.4508103360035605E-2</v>
      </c>
      <c r="J55" s="587"/>
      <c r="K55" s="598"/>
      <c r="L55" s="598"/>
    </row>
    <row r="56" spans="1:12" x14ac:dyDescent="0.35">
      <c r="A56" s="214" t="s">
        <v>159</v>
      </c>
      <c r="B56" s="42">
        <f t="shared" si="1"/>
        <v>1</v>
      </c>
      <c r="C56" s="729">
        <v>10</v>
      </c>
      <c r="D56" s="379">
        <v>16.401270479666699</v>
      </c>
      <c r="E56" s="984">
        <v>11.2751963333333</v>
      </c>
      <c r="F56" s="1339">
        <v>1.4546328059209801</v>
      </c>
      <c r="G56" s="1340">
        <v>-5.1260741463333304</v>
      </c>
      <c r="H56" s="987">
        <v>9.4035137419999995</v>
      </c>
      <c r="I56" s="1341">
        <v>1.7441640358764801</v>
      </c>
      <c r="J56" s="587"/>
      <c r="K56" s="1236"/>
      <c r="L56" s="1237"/>
    </row>
    <row r="57" spans="1:12" x14ac:dyDescent="0.35">
      <c r="A57" s="95" t="s">
        <v>23</v>
      </c>
      <c r="B57" s="42">
        <f t="shared" si="1"/>
        <v>43</v>
      </c>
      <c r="C57" s="729">
        <v>1</v>
      </c>
      <c r="D57" s="379">
        <v>10.187006399333301</v>
      </c>
      <c r="E57" s="984">
        <v>1050.06666666667</v>
      </c>
      <c r="F57" s="985">
        <v>9.7012949012761102E-3</v>
      </c>
      <c r="G57" s="986">
        <v>1039.8796602673301</v>
      </c>
      <c r="H57" s="987">
        <v>728.746266666667</v>
      </c>
      <c r="I57" s="988">
        <v>1.3978811096939599E-2</v>
      </c>
      <c r="J57" s="587"/>
      <c r="K57" s="598"/>
      <c r="L57" s="598"/>
    </row>
    <row r="58" spans="1:12" x14ac:dyDescent="0.35">
      <c r="A58" s="214" t="s">
        <v>160</v>
      </c>
      <c r="B58" s="42">
        <f t="shared" si="1"/>
        <v>10</v>
      </c>
      <c r="C58" s="729">
        <v>5</v>
      </c>
      <c r="D58" s="379">
        <v>36.346446176999997</v>
      </c>
      <c r="E58" s="984">
        <v>62.584782666000002</v>
      </c>
      <c r="F58" s="985">
        <v>0.58075533106781396</v>
      </c>
      <c r="G58" s="986">
        <v>26.238336489000002</v>
      </c>
      <c r="H58" s="987">
        <v>52.195708744000001</v>
      </c>
      <c r="I58" s="988">
        <v>0.696349317819697</v>
      </c>
      <c r="J58" s="587"/>
      <c r="K58" s="1237"/>
      <c r="L58" s="1239"/>
    </row>
    <row r="59" spans="1:12" x14ac:dyDescent="0.35">
      <c r="A59" s="214" t="s">
        <v>338</v>
      </c>
      <c r="B59" s="42">
        <f t="shared" si="1"/>
        <v>5</v>
      </c>
      <c r="C59" s="729">
        <v>7</v>
      </c>
      <c r="D59" s="379">
        <v>11.0624866293333</v>
      </c>
      <c r="E59" s="984">
        <v>13.445981668</v>
      </c>
      <c r="F59" s="1339">
        <v>0.82273551329174199</v>
      </c>
      <c r="G59" s="1340">
        <v>2.3834950386666698</v>
      </c>
      <c r="H59" s="987">
        <v>11.214108945</v>
      </c>
      <c r="I59" s="1341">
        <v>0.986479325605779</v>
      </c>
      <c r="J59" s="587"/>
      <c r="K59" s="1237"/>
      <c r="L59" s="1239"/>
    </row>
    <row r="60" spans="1:12" x14ac:dyDescent="0.35">
      <c r="A60" s="214" t="s">
        <v>384</v>
      </c>
      <c r="B60" s="42">
        <f t="shared" si="1"/>
        <v>1</v>
      </c>
      <c r="C60" s="729">
        <v>10</v>
      </c>
      <c r="D60" s="379">
        <v>386.09212047266698</v>
      </c>
      <c r="E60" s="984">
        <v>278.99544801433302</v>
      </c>
      <c r="F60" s="1339">
        <v>1.38386530397023</v>
      </c>
      <c r="G60" s="1340">
        <v>-107.096672458333</v>
      </c>
      <c r="H60" s="987">
        <v>232.682203644</v>
      </c>
      <c r="I60" s="1341">
        <v>1.6593109160311299</v>
      </c>
      <c r="J60" s="587"/>
      <c r="K60" s="1237"/>
      <c r="L60" s="1239"/>
    </row>
    <row r="61" spans="1:12" x14ac:dyDescent="0.35">
      <c r="A61" s="95" t="s">
        <v>142</v>
      </c>
      <c r="B61" s="42">
        <f t="shared" si="1"/>
        <v>5</v>
      </c>
      <c r="C61" s="729">
        <v>7</v>
      </c>
      <c r="D61" s="379">
        <v>9523.2874112376703</v>
      </c>
      <c r="E61" s="375">
        <v>12442</v>
      </c>
      <c r="F61" s="371">
        <v>0.76541451625443402</v>
      </c>
      <c r="G61" s="730">
        <v>2918.7125887623301</v>
      </c>
      <c r="H61" s="731">
        <v>11894.552</v>
      </c>
      <c r="I61" s="732">
        <v>0.80064279942932404</v>
      </c>
      <c r="J61" s="587"/>
      <c r="K61" s="1237"/>
      <c r="L61" s="1239"/>
    </row>
    <row r="62" spans="1:12" x14ac:dyDescent="0.35">
      <c r="A62" s="95" t="s">
        <v>214</v>
      </c>
      <c r="B62" s="42">
        <f t="shared" si="1"/>
        <v>19</v>
      </c>
      <c r="C62" s="729">
        <v>3</v>
      </c>
      <c r="D62" s="381">
        <v>22.146472718999998</v>
      </c>
      <c r="E62" s="377">
        <v>74.400000000000006</v>
      </c>
      <c r="F62" s="373">
        <v>0.29766764407258101</v>
      </c>
      <c r="G62" s="739">
        <v>52.253527280999997</v>
      </c>
      <c r="H62" s="740">
        <v>66.393866666666696</v>
      </c>
      <c r="I62" s="741">
        <v>0.33356202659783801</v>
      </c>
      <c r="J62" s="587"/>
      <c r="K62" s="598"/>
      <c r="L62" s="598"/>
    </row>
    <row r="63" spans="1:12" ht="18.600000000000001" thickBot="1" x14ac:dyDescent="0.4">
      <c r="A63" s="165" t="s">
        <v>215</v>
      </c>
      <c r="B63" s="44">
        <f t="shared" si="1"/>
        <v>19</v>
      </c>
      <c r="C63" s="742">
        <v>3</v>
      </c>
      <c r="D63" s="382">
        <v>3714.0424060649998</v>
      </c>
      <c r="E63" s="983">
        <v>7532.0927879999999</v>
      </c>
      <c r="F63" s="1242">
        <v>0.49309567879755101</v>
      </c>
      <c r="G63" s="1244">
        <v>3818.0503819350001</v>
      </c>
      <c r="H63" s="1246">
        <v>6976.5933851999998</v>
      </c>
      <c r="I63" s="1248">
        <v>0.53235758499899</v>
      </c>
      <c r="J63" s="587"/>
      <c r="K63" s="598"/>
      <c r="L63" s="598"/>
    </row>
    <row r="64" spans="1:12" x14ac:dyDescent="0.35">
      <c r="J64" s="587"/>
      <c r="K64" s="598"/>
      <c r="L64" s="598"/>
    </row>
    <row r="65" spans="1:12" x14ac:dyDescent="0.35">
      <c r="A65" s="598"/>
      <c r="B65" s="610"/>
      <c r="C65" s="620"/>
      <c r="D65" s="619"/>
      <c r="E65" s="619"/>
      <c r="F65" s="605"/>
      <c r="G65" s="605"/>
      <c r="H65" s="605"/>
      <c r="I65" s="605"/>
      <c r="J65" s="610"/>
      <c r="K65" s="598"/>
      <c r="L65" s="598"/>
    </row>
    <row r="66" spans="1:12" x14ac:dyDescent="0.35">
      <c r="A66" s="598"/>
      <c r="B66" s="610"/>
      <c r="C66" s="620"/>
      <c r="D66" s="619"/>
      <c r="E66" s="619"/>
      <c r="F66" s="605"/>
      <c r="G66" s="605"/>
      <c r="H66" s="605"/>
      <c r="I66" s="605"/>
      <c r="J66" s="610"/>
      <c r="K66" s="598"/>
      <c r="L66" s="598"/>
    </row>
    <row r="67" spans="1:12" ht="19.8" x14ac:dyDescent="0.4">
      <c r="A67" s="743" t="s">
        <v>284</v>
      </c>
      <c r="B67" s="611"/>
      <c r="C67" s="623"/>
      <c r="D67" s="621"/>
      <c r="E67" s="621"/>
      <c r="F67" s="622"/>
      <c r="G67" s="622"/>
      <c r="H67" s="622"/>
      <c r="I67" s="622"/>
      <c r="J67" s="612"/>
      <c r="K67" s="613"/>
      <c r="L67" s="598"/>
    </row>
    <row r="68" spans="1:12" x14ac:dyDescent="0.35">
      <c r="A68" s="598"/>
      <c r="B68" s="610"/>
      <c r="C68" s="606"/>
      <c r="D68" s="619"/>
      <c r="E68" s="619"/>
      <c r="F68" s="605"/>
      <c r="G68" s="605"/>
      <c r="H68" s="605"/>
      <c r="I68" s="605"/>
      <c r="J68" s="610"/>
      <c r="K68" s="598"/>
      <c r="L68" s="598"/>
    </row>
    <row r="69" spans="1:12" x14ac:dyDescent="0.35">
      <c r="A69" s="624" t="s">
        <v>217</v>
      </c>
      <c r="B69" s="610"/>
      <c r="C69" s="606"/>
      <c r="D69" s="619"/>
      <c r="E69" s="619"/>
      <c r="F69" s="605"/>
      <c r="G69" s="605"/>
      <c r="H69" s="605"/>
      <c r="I69" s="605"/>
      <c r="J69" s="610"/>
      <c r="K69" s="598"/>
      <c r="L69" s="598"/>
    </row>
    <row r="70" spans="1:12" x14ac:dyDescent="0.35">
      <c r="A70" s="355" t="s">
        <v>274</v>
      </c>
      <c r="B70" s="610"/>
      <c r="C70" s="746"/>
      <c r="D70" s="749"/>
      <c r="E70" s="750"/>
      <c r="F70" s="370"/>
      <c r="G70" s="751"/>
      <c r="H70" s="744"/>
      <c r="I70" s="745"/>
      <c r="J70" s="610"/>
      <c r="K70" s="598"/>
      <c r="L70" s="598"/>
    </row>
    <row r="71" spans="1:12" x14ac:dyDescent="0.35">
      <c r="A71" s="50" t="s">
        <v>218</v>
      </c>
      <c r="B71" s="612"/>
      <c r="C71" s="746"/>
      <c r="D71" s="997"/>
      <c r="E71" s="998"/>
      <c r="F71" s="991"/>
      <c r="G71" s="999"/>
      <c r="H71" s="747"/>
      <c r="I71" s="748"/>
      <c r="J71" s="612"/>
      <c r="K71" s="598"/>
      <c r="L71" s="598"/>
    </row>
    <row r="72" spans="1:12" x14ac:dyDescent="0.35">
      <c r="A72" s="50" t="s">
        <v>275</v>
      </c>
      <c r="B72" s="610"/>
      <c r="C72" s="746"/>
      <c r="D72" s="749"/>
      <c r="E72" s="750"/>
      <c r="F72" s="370"/>
      <c r="G72" s="751"/>
      <c r="H72" s="744"/>
      <c r="I72" s="745"/>
      <c r="J72" s="610"/>
      <c r="K72" s="598"/>
      <c r="L72" s="598"/>
    </row>
    <row r="73" spans="1:12" x14ac:dyDescent="0.35">
      <c r="A73" s="50" t="s">
        <v>276</v>
      </c>
      <c r="B73" s="614"/>
      <c r="C73" s="746"/>
      <c r="D73" s="749"/>
      <c r="E73" s="750"/>
      <c r="F73" s="370"/>
      <c r="G73" s="752"/>
      <c r="H73" s="744"/>
      <c r="I73" s="745"/>
      <c r="J73" s="614"/>
      <c r="K73" s="598"/>
      <c r="L73" s="598"/>
    </row>
    <row r="74" spans="1:12" x14ac:dyDescent="0.35">
      <c r="A74" s="50" t="s">
        <v>277</v>
      </c>
      <c r="B74" s="608"/>
      <c r="C74" s="746"/>
      <c r="D74" s="749"/>
      <c r="E74" s="750"/>
      <c r="F74" s="370"/>
      <c r="G74" s="751"/>
      <c r="H74" s="744"/>
      <c r="I74" s="745"/>
      <c r="J74" s="608"/>
      <c r="K74" s="598"/>
      <c r="L74" s="598"/>
    </row>
    <row r="75" spans="1:12" x14ac:dyDescent="0.35">
      <c r="A75" s="601"/>
      <c r="B75" s="608"/>
      <c r="C75" s="746"/>
      <c r="D75" s="625"/>
      <c r="E75" s="625"/>
      <c r="F75" s="626"/>
      <c r="G75" s="617"/>
      <c r="H75" s="753"/>
      <c r="I75" s="753"/>
      <c r="J75" s="608"/>
      <c r="K75" s="598"/>
      <c r="L75" s="598"/>
    </row>
    <row r="76" spans="1:12" x14ac:dyDescent="0.35">
      <c r="A76" s="627" t="s">
        <v>219</v>
      </c>
      <c r="B76" s="608"/>
      <c r="C76" s="746"/>
      <c r="D76" s="625"/>
      <c r="E76" s="625"/>
      <c r="F76" s="626"/>
      <c r="G76" s="617"/>
      <c r="H76" s="753"/>
      <c r="I76" s="753"/>
      <c r="J76" s="608"/>
      <c r="K76" s="598"/>
      <c r="L76" s="598"/>
    </row>
    <row r="77" spans="1:12" x14ac:dyDescent="0.35">
      <c r="A77" s="1251" t="s">
        <v>37</v>
      </c>
      <c r="B77" s="610"/>
      <c r="C77" s="756"/>
      <c r="D77" s="774"/>
      <c r="E77" s="774"/>
      <c r="F77" s="1249"/>
      <c r="G77" s="1250"/>
      <c r="H77" s="754"/>
      <c r="I77" s="755"/>
      <c r="J77" s="610"/>
      <c r="K77" s="598"/>
      <c r="L77" s="598"/>
    </row>
    <row r="78" spans="1:12" x14ac:dyDescent="0.35">
      <c r="A78" s="598"/>
      <c r="B78" s="610"/>
      <c r="C78" s="758"/>
      <c r="D78" s="619"/>
      <c r="E78" s="598"/>
      <c r="F78" s="619"/>
      <c r="G78" s="598"/>
      <c r="H78" s="757"/>
      <c r="I78" s="757"/>
      <c r="J78" s="610"/>
      <c r="K78" s="598"/>
      <c r="L78" s="598"/>
    </row>
    <row r="79" spans="1:12" x14ac:dyDescent="0.35">
      <c r="A79" s="624" t="s">
        <v>471</v>
      </c>
      <c r="B79" s="610"/>
      <c r="C79" s="746"/>
      <c r="D79" s="625"/>
      <c r="E79" s="628"/>
      <c r="F79" s="626"/>
      <c r="G79" s="617"/>
      <c r="H79" s="753"/>
      <c r="I79" s="753"/>
      <c r="J79" s="610"/>
      <c r="K79" s="598"/>
      <c r="L79" s="598"/>
    </row>
    <row r="80" spans="1:12" x14ac:dyDescent="0.35">
      <c r="A80" s="356" t="s">
        <v>106</v>
      </c>
      <c r="B80" s="610"/>
      <c r="C80" s="756"/>
      <c r="D80" s="761"/>
      <c r="E80" s="1000"/>
      <c r="F80" s="1001"/>
      <c r="G80" s="762"/>
      <c r="H80" s="759"/>
      <c r="I80" s="760"/>
      <c r="J80" s="598"/>
      <c r="K80" s="615"/>
      <c r="L80" s="598"/>
    </row>
    <row r="81" spans="1:12" x14ac:dyDescent="0.35">
      <c r="A81" s="354" t="s">
        <v>30</v>
      </c>
      <c r="B81" s="610"/>
      <c r="C81" s="756"/>
      <c r="D81" s="761"/>
      <c r="E81" s="1000"/>
      <c r="F81" s="1001"/>
      <c r="G81" s="762"/>
      <c r="H81" s="759"/>
      <c r="I81" s="760"/>
      <c r="J81" s="598"/>
      <c r="K81" s="615"/>
      <c r="L81" s="598"/>
    </row>
    <row r="82" spans="1:12" x14ac:dyDescent="0.35">
      <c r="A82" s="354" t="s">
        <v>28</v>
      </c>
      <c r="B82" s="610"/>
      <c r="C82" s="756"/>
      <c r="D82" s="761"/>
      <c r="E82" s="1002" t="s">
        <v>104</v>
      </c>
      <c r="F82" s="1001"/>
      <c r="G82" s="763"/>
      <c r="H82" s="764"/>
      <c r="I82" s="765"/>
      <c r="J82" s="598"/>
      <c r="K82" s="616"/>
      <c r="L82" s="598"/>
    </row>
    <row r="83" spans="1:12" x14ac:dyDescent="0.35">
      <c r="A83" s="357" t="s">
        <v>31</v>
      </c>
      <c r="B83" s="610"/>
      <c r="C83" s="746"/>
      <c r="D83" s="766"/>
      <c r="E83" s="1003"/>
      <c r="F83" s="1004"/>
      <c r="G83" s="767"/>
      <c r="H83" s="759"/>
      <c r="I83" s="760"/>
      <c r="J83" s="598"/>
      <c r="K83" s="617"/>
      <c r="L83" s="598"/>
    </row>
    <row r="84" spans="1:12" x14ac:dyDescent="0.35">
      <c r="A84" s="354" t="s">
        <v>107</v>
      </c>
      <c r="B84" s="610"/>
      <c r="C84" s="756"/>
      <c r="D84" s="761"/>
      <c r="E84" s="1002" t="s">
        <v>104</v>
      </c>
      <c r="F84" s="1001"/>
      <c r="G84" s="768"/>
      <c r="H84" s="769"/>
      <c r="I84" s="770"/>
      <c r="J84" s="598"/>
      <c r="K84" s="616"/>
      <c r="L84" s="598"/>
    </row>
    <row r="85" spans="1:12" x14ac:dyDescent="0.35">
      <c r="A85" s="354" t="s">
        <v>26</v>
      </c>
      <c r="B85" s="608"/>
      <c r="C85" s="756"/>
      <c r="D85" s="761"/>
      <c r="E85" s="1000"/>
      <c r="F85" s="1001"/>
      <c r="G85" s="762"/>
      <c r="H85" s="759"/>
      <c r="I85" s="760"/>
      <c r="J85" s="598"/>
      <c r="K85" s="615"/>
      <c r="L85" s="598"/>
    </row>
    <row r="86" spans="1:12" x14ac:dyDescent="0.35">
      <c r="A86" s="354" t="s">
        <v>42</v>
      </c>
      <c r="B86" s="618"/>
      <c r="C86" s="746"/>
      <c r="D86" s="766"/>
      <c r="E86" s="1002" t="s">
        <v>104</v>
      </c>
      <c r="F86" s="1005"/>
      <c r="G86" s="771"/>
      <c r="H86" s="772"/>
      <c r="I86" s="773"/>
      <c r="J86" s="598"/>
      <c r="K86" s="616"/>
      <c r="L86" s="598"/>
    </row>
    <row r="87" spans="1:12" x14ac:dyDescent="0.35">
      <c r="A87" s="354" t="s">
        <v>108</v>
      </c>
      <c r="B87" s="610"/>
      <c r="C87" s="756"/>
      <c r="D87" s="761"/>
      <c r="E87" s="1002" t="s">
        <v>104</v>
      </c>
      <c r="F87" s="1001"/>
      <c r="G87" s="763"/>
      <c r="H87" s="764"/>
      <c r="I87" s="765"/>
      <c r="J87" s="598"/>
      <c r="K87" s="616"/>
      <c r="L87" s="598"/>
    </row>
    <row r="88" spans="1:12" x14ac:dyDescent="0.35">
      <c r="A88" s="357" t="s">
        <v>15</v>
      </c>
      <c r="B88" s="610"/>
      <c r="C88" s="746"/>
      <c r="D88" s="766"/>
      <c r="E88" s="1003"/>
      <c r="F88" s="1004"/>
      <c r="G88" s="767"/>
      <c r="H88" s="759"/>
      <c r="I88" s="760"/>
      <c r="J88" s="598"/>
      <c r="K88" s="617"/>
      <c r="L88" s="598"/>
    </row>
    <row r="89" spans="1:12" x14ac:dyDescent="0.35">
      <c r="A89" s="354" t="s">
        <v>109</v>
      </c>
      <c r="B89" s="608"/>
      <c r="C89" s="756"/>
      <c r="D89" s="761"/>
      <c r="E89" s="1000"/>
      <c r="F89" s="1001"/>
      <c r="G89" s="762"/>
      <c r="H89" s="759"/>
      <c r="I89" s="760"/>
      <c r="J89" s="598"/>
      <c r="K89" s="615"/>
      <c r="L89" s="598"/>
    </row>
    <row r="90" spans="1:12" x14ac:dyDescent="0.35">
      <c r="A90" s="354" t="s">
        <v>110</v>
      </c>
      <c r="B90" s="608"/>
      <c r="C90" s="756"/>
      <c r="D90" s="761"/>
      <c r="E90" s="1000"/>
      <c r="F90" s="1001"/>
      <c r="G90" s="762"/>
      <c r="H90" s="759"/>
      <c r="I90" s="760"/>
      <c r="J90" s="598"/>
      <c r="K90" s="615"/>
      <c r="L90" s="598"/>
    </row>
    <row r="91" spans="1:12" x14ac:dyDescent="0.35">
      <c r="A91" s="354" t="s">
        <v>111</v>
      </c>
      <c r="B91" s="608"/>
      <c r="C91" s="756"/>
      <c r="D91" s="761"/>
      <c r="E91" s="1002" t="s">
        <v>104</v>
      </c>
      <c r="F91" s="1001"/>
      <c r="G91" s="768"/>
      <c r="H91" s="769"/>
      <c r="I91" s="770"/>
      <c r="J91" s="598"/>
      <c r="K91" s="616"/>
      <c r="L91" s="598"/>
    </row>
    <row r="92" spans="1:12" x14ac:dyDescent="0.35">
      <c r="A92" s="354" t="s">
        <v>112</v>
      </c>
      <c r="B92" s="610"/>
      <c r="C92" s="756"/>
      <c r="D92" s="761"/>
      <c r="E92" s="1002" t="s">
        <v>104</v>
      </c>
      <c r="F92" s="1001"/>
      <c r="G92" s="763"/>
      <c r="H92" s="764"/>
      <c r="I92" s="765"/>
      <c r="J92" s="598"/>
      <c r="K92" s="616"/>
      <c r="L92" s="598"/>
    </row>
    <row r="93" spans="1:12" x14ac:dyDescent="0.35">
      <c r="A93" s="357" t="s">
        <v>34</v>
      </c>
      <c r="B93" s="608"/>
      <c r="C93" s="746"/>
      <c r="D93" s="766"/>
      <c r="E93" s="1003"/>
      <c r="F93" s="1004"/>
      <c r="G93" s="767"/>
      <c r="H93" s="759"/>
      <c r="I93" s="760"/>
      <c r="J93" s="598"/>
      <c r="K93" s="617"/>
      <c r="L93" s="598"/>
    </row>
    <row r="94" spans="1:12" x14ac:dyDescent="0.35">
      <c r="A94" s="357" t="s">
        <v>32</v>
      </c>
      <c r="B94" s="608"/>
      <c r="C94" s="746"/>
      <c r="D94" s="766"/>
      <c r="E94" s="1003"/>
      <c r="F94" s="1004"/>
      <c r="G94" s="767"/>
      <c r="H94" s="759"/>
      <c r="I94" s="760"/>
      <c r="J94" s="598"/>
      <c r="K94" s="617"/>
      <c r="L94" s="598"/>
    </row>
    <row r="95" spans="1:12" x14ac:dyDescent="0.35">
      <c r="A95" s="357" t="s">
        <v>22</v>
      </c>
      <c r="B95" s="608"/>
      <c r="C95" s="746"/>
      <c r="D95" s="766"/>
      <c r="E95" s="1003"/>
      <c r="F95" s="1004"/>
      <c r="G95" s="767"/>
      <c r="H95" s="759"/>
      <c r="I95" s="760"/>
      <c r="J95" s="598"/>
      <c r="K95" s="617"/>
      <c r="L95" s="598"/>
    </row>
    <row r="96" spans="1:12" x14ac:dyDescent="0.35">
      <c r="A96" s="354" t="s">
        <v>35</v>
      </c>
      <c r="B96" s="608"/>
      <c r="C96" s="756"/>
      <c r="D96" s="761"/>
      <c r="E96" s="1000"/>
      <c r="F96" s="1001"/>
      <c r="G96" s="762"/>
      <c r="H96" s="759"/>
      <c r="I96" s="760"/>
      <c r="J96" s="598"/>
      <c r="K96" s="615"/>
      <c r="L96" s="598"/>
    </row>
    <row r="97" spans="1:12" x14ac:dyDescent="0.35">
      <c r="A97" s="357" t="s">
        <v>36</v>
      </c>
      <c r="B97" s="607"/>
      <c r="C97" s="746"/>
      <c r="D97" s="774"/>
      <c r="E97" s="1006"/>
      <c r="F97" s="1007"/>
      <c r="G97" s="775"/>
      <c r="H97" s="759"/>
      <c r="I97" s="760"/>
      <c r="J97" s="598"/>
      <c r="K97" s="617"/>
      <c r="L97" s="598"/>
    </row>
    <row r="98" spans="1:12" x14ac:dyDescent="0.35">
      <c r="A98" s="354" t="s">
        <v>113</v>
      </c>
      <c r="B98" s="607"/>
      <c r="C98" s="756"/>
      <c r="D98" s="761"/>
      <c r="E98" s="1000"/>
      <c r="F98" s="1001"/>
      <c r="G98" s="762"/>
      <c r="H98" s="759"/>
      <c r="I98" s="760"/>
      <c r="J98" s="598"/>
      <c r="K98" s="615"/>
      <c r="L98" s="598"/>
    </row>
    <row r="99" spans="1:12" x14ac:dyDescent="0.35">
      <c r="A99" s="357" t="s">
        <v>17</v>
      </c>
      <c r="B99" s="607"/>
      <c r="C99" s="746"/>
      <c r="D99" s="1008"/>
      <c r="E99" s="1009"/>
      <c r="F99" s="1010"/>
      <c r="G99" s="1011"/>
      <c r="H99" s="772"/>
      <c r="I99" s="773"/>
      <c r="J99" s="598"/>
      <c r="K99" s="617"/>
      <c r="L99" s="598"/>
    </row>
    <row r="100" spans="1:12" x14ac:dyDescent="0.35">
      <c r="A100" s="357" t="s">
        <v>29</v>
      </c>
      <c r="B100" s="608"/>
      <c r="C100" s="746"/>
      <c r="D100" s="766"/>
      <c r="E100" s="1003"/>
      <c r="F100" s="1004"/>
      <c r="G100" s="767"/>
      <c r="H100" s="759"/>
      <c r="I100" s="760"/>
      <c r="J100" s="598"/>
      <c r="K100" s="617"/>
      <c r="L100" s="598"/>
    </row>
    <row r="101" spans="1:12" x14ac:dyDescent="0.35">
      <c r="A101" s="609"/>
      <c r="B101" s="607"/>
      <c r="C101" s="607"/>
      <c r="D101" s="598"/>
      <c r="E101" s="598"/>
      <c r="F101" s="605"/>
      <c r="G101" s="606"/>
      <c r="H101" s="606"/>
      <c r="I101" s="606"/>
      <c r="J101" s="607"/>
      <c r="K101" s="598"/>
      <c r="L101" s="598"/>
    </row>
    <row r="102" spans="1:12" x14ac:dyDescent="0.35">
      <c r="A102" s="607"/>
      <c r="B102" s="608"/>
      <c r="C102" s="607"/>
      <c r="D102" s="607"/>
      <c r="E102" s="607"/>
      <c r="F102" s="607"/>
      <c r="G102" s="607"/>
      <c r="H102" s="598"/>
      <c r="I102" s="607"/>
      <c r="J102" s="608"/>
      <c r="K102" s="598"/>
      <c r="L102" s="598"/>
    </row>
    <row r="103" spans="1:12" x14ac:dyDescent="0.35">
      <c r="A103" s="609"/>
      <c r="B103" s="608"/>
      <c r="C103" s="607"/>
      <c r="D103" s="598"/>
      <c r="E103" s="598"/>
      <c r="F103" s="605"/>
      <c r="G103" s="606"/>
      <c r="H103" s="606"/>
      <c r="I103" s="606"/>
      <c r="J103" s="608"/>
      <c r="K103" s="598"/>
      <c r="L103" s="598"/>
    </row>
    <row r="104" spans="1:12" x14ac:dyDescent="0.35">
      <c r="A104" s="609"/>
      <c r="B104" s="608"/>
      <c r="C104" s="607"/>
      <c r="D104" s="598"/>
      <c r="E104" s="598"/>
      <c r="F104" s="605"/>
      <c r="G104" s="606"/>
      <c r="H104" s="606"/>
      <c r="I104" s="606"/>
      <c r="J104" s="608"/>
      <c r="K104" s="598"/>
      <c r="L104" s="598"/>
    </row>
    <row r="105" spans="1:12" x14ac:dyDescent="0.35">
      <c r="A105" s="609"/>
      <c r="B105" s="608"/>
      <c r="C105" s="607"/>
      <c r="D105" s="598"/>
      <c r="E105" s="598"/>
      <c r="F105" s="605"/>
      <c r="G105" s="606"/>
      <c r="H105" s="606"/>
      <c r="I105" s="606"/>
      <c r="J105" s="608"/>
      <c r="K105" s="598"/>
      <c r="L105" s="598"/>
    </row>
    <row r="106" spans="1:12" x14ac:dyDescent="0.35">
      <c r="A106" s="609"/>
      <c r="B106" s="608"/>
      <c r="C106" s="607"/>
      <c r="D106" s="598"/>
      <c r="E106" s="598"/>
      <c r="F106" s="605"/>
      <c r="G106" s="606"/>
      <c r="H106" s="606"/>
      <c r="I106" s="606"/>
      <c r="J106" s="608"/>
      <c r="K106" s="598"/>
      <c r="L106" s="598"/>
    </row>
    <row r="107" spans="1:12" x14ac:dyDescent="0.35">
      <c r="A107" s="609"/>
      <c r="B107" s="610"/>
      <c r="C107" s="607"/>
      <c r="D107" s="598"/>
      <c r="E107" s="598"/>
      <c r="F107" s="605"/>
      <c r="G107" s="606"/>
      <c r="H107" s="606"/>
      <c r="I107" s="606"/>
      <c r="J107" s="610"/>
      <c r="K107" s="598"/>
      <c r="L107" s="598"/>
    </row>
  </sheetData>
  <sortState ref="A7:M63">
    <sortCondition descending="1" ref="F7:F63"/>
  </sortState>
  <conditionalFormatting sqref="J7:J64 B7:B63">
    <cfRule type="colorScale" priority="5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G7:G63">
    <cfRule type="cellIs" dxfId="4" priority="2" operator="lessThan">
      <formula>0</formula>
    </cfRule>
  </conditionalFormatting>
  <conditionalFormatting sqref="F7:F63 I7:I63">
    <cfRule type="cellIs" dxfId="3" priority="1" operator="greaterThan">
      <formula>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Overview</vt:lpstr>
      <vt:lpstr>Factor Summary</vt:lpstr>
      <vt:lpstr>Commercial</vt:lpstr>
      <vt:lpstr>Recreational</vt:lpstr>
      <vt:lpstr>Tribal</vt:lpstr>
      <vt:lpstr>Const Demand</vt:lpstr>
      <vt:lpstr>Rebuilding</vt:lpstr>
      <vt:lpstr>Stock Status</vt:lpstr>
      <vt:lpstr>Fishing mortality</vt:lpstr>
      <vt:lpstr>Ecosystem</vt:lpstr>
      <vt:lpstr>New Information</vt:lpstr>
      <vt:lpstr>Assess Freq</vt:lpstr>
      <vt:lpstr>2023 SPEX Limiting</vt:lpstr>
      <vt:lpstr>2023 Scoring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Chantel.Wetzel</cp:lastModifiedBy>
  <cp:lastPrinted>2020-02-13T00:26:16Z</cp:lastPrinted>
  <dcterms:created xsi:type="dcterms:W3CDTF">2016-02-28T22:16:21Z</dcterms:created>
  <dcterms:modified xsi:type="dcterms:W3CDTF">2021-12-17T14:43:24Z</dcterms:modified>
</cp:coreProperties>
</file>