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ntel.Wetzel\Documents\GitHub\assessment_prioritization\tables\"/>
    </mc:Choice>
  </mc:AlternateContent>
  <bookViews>
    <workbookView xWindow="-120" yWindow="-120" windowWidth="28920" windowHeight="12420" tabRatio="792" firstSheet="2" activeTab="11"/>
  </bookViews>
  <sheets>
    <sheet name="Overview" sheetId="3" r:id="rId1"/>
    <sheet name="Factor Summary" sheetId="4" r:id="rId2"/>
    <sheet name="Commercial" sheetId="5" r:id="rId3"/>
    <sheet name="Recreational" sheetId="6" r:id="rId4"/>
    <sheet name="Tribal" sheetId="7" r:id="rId5"/>
    <sheet name="Const Demand" sheetId="8" r:id="rId6"/>
    <sheet name="Rebuilding" sheetId="9" r:id="rId7"/>
    <sheet name="Stock Status" sheetId="11" r:id="rId8"/>
    <sheet name="Fishing mortality" sheetId="50" r:id="rId9"/>
    <sheet name="Ecosystem" sheetId="34" r:id="rId10"/>
    <sheet name="New Information" sheetId="13" r:id="rId11"/>
    <sheet name="Assess Freq" sheetId="14" r:id="rId12"/>
    <sheet name="2024 SPEX Limiting" sheetId="49" r:id="rId13"/>
    <sheet name="2025 Scoring" sheetId="51" r:id="rId14"/>
  </sheets>
  <definedNames>
    <definedName name="_xlnm._FilterDatabase" localSheetId="12" hidden="1">'2024 SPEX Limiting'!$A$6:$U$6</definedName>
    <definedName name="_xlnm._FilterDatabase" localSheetId="13" hidden="1">'2025 Scoring'!$A$7:$AB$7</definedName>
    <definedName name="_xlnm._FilterDatabase" localSheetId="11" hidden="1">'Assess Freq'!$A$6:$BL$6</definedName>
    <definedName name="_xlnm._FilterDatabase" localSheetId="2" hidden="1">Commercial!$A$6:$J$6</definedName>
    <definedName name="_xlnm._FilterDatabase" localSheetId="5" hidden="1">'Const Demand'!$A$5:$AA$5</definedName>
    <definedName name="_xlnm._FilterDatabase" localSheetId="9" hidden="1">Ecosystem!$A$5:$X$5</definedName>
    <definedName name="_xlnm._FilterDatabase" localSheetId="1" hidden="1">'Factor Summary'!$A$7:$AH$7</definedName>
    <definedName name="_xlnm._FilterDatabase" localSheetId="8" hidden="1">'Fishing mortality'!$A$4:$I$4</definedName>
    <definedName name="_xlnm._FilterDatabase" localSheetId="10" hidden="1">'New Information'!$A$6:$O$6</definedName>
    <definedName name="_xlnm._FilterDatabase" localSheetId="6" hidden="1">Rebuilding!$A$6:$C$6</definedName>
    <definedName name="_xlnm._FilterDatabase" localSheetId="3" hidden="1">Recreational!$A$6:$T$6</definedName>
    <definedName name="_xlnm._FilterDatabase" localSheetId="7" hidden="1">'Stock Status'!$A$6:$P$6</definedName>
    <definedName name="_xlnm._FilterDatabase" localSheetId="4" hidden="1">Tribal!$A$6:$J$6</definedName>
    <definedName name="solver_adj" localSheetId="4" hidden="1">Tribal!#REF!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Tribal!#REF!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10</definedName>
    <definedName name="solver_ver" localSheetId="4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4" l="1"/>
  <c r="J8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8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8" i="5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8" i="4"/>
  <c r="O73" i="4"/>
  <c r="U70" i="14"/>
  <c r="U65" i="14"/>
  <c r="U60" i="14"/>
  <c r="U59" i="14"/>
  <c r="U51" i="14"/>
  <c r="U52" i="14"/>
  <c r="U48" i="14"/>
  <c r="U36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7" i="14"/>
  <c r="R22" i="14"/>
  <c r="R24" i="14"/>
  <c r="R25" i="14"/>
  <c r="R26" i="14"/>
  <c r="R29" i="14"/>
  <c r="R31" i="14"/>
  <c r="R32" i="14"/>
  <c r="R34" i="14"/>
  <c r="R37" i="14"/>
  <c r="R38" i="14"/>
  <c r="R39" i="14"/>
  <c r="R42" i="14"/>
  <c r="R44" i="14"/>
  <c r="R45" i="14"/>
  <c r="R46" i="14"/>
  <c r="R49" i="14"/>
  <c r="R53" i="14"/>
  <c r="R54" i="14"/>
  <c r="R56" i="14"/>
  <c r="R58" i="14"/>
  <c r="R61" i="14"/>
  <c r="R62" i="14"/>
  <c r="R67" i="14"/>
  <c r="R68" i="14"/>
  <c r="R69" i="14"/>
  <c r="R71" i="14"/>
  <c r="R8" i="14"/>
  <c r="R10" i="14"/>
  <c r="R11" i="14"/>
  <c r="R12" i="14"/>
  <c r="R13" i="14"/>
  <c r="R14" i="14"/>
  <c r="R16" i="14"/>
  <c r="R17" i="14"/>
  <c r="R18" i="14"/>
  <c r="R19" i="14"/>
  <c r="R20" i="14"/>
  <c r="R21" i="14"/>
  <c r="R7" i="14"/>
  <c r="Q70" i="14"/>
  <c r="Q65" i="14"/>
  <c r="Q59" i="14"/>
  <c r="Q51" i="14"/>
  <c r="Q52" i="14"/>
  <c r="Q48" i="14"/>
  <c r="Q23" i="14"/>
  <c r="Q36" i="14"/>
  <c r="O67" i="14"/>
  <c r="P67" i="14" s="1"/>
  <c r="P63" i="14"/>
  <c r="P36" i="14"/>
  <c r="P70" i="14"/>
  <c r="P65" i="14"/>
  <c r="P59" i="14"/>
  <c r="P52" i="14"/>
  <c r="P51" i="14"/>
  <c r="P48" i="14"/>
  <c r="P23" i="14"/>
  <c r="O7" i="14"/>
  <c r="P9" i="14"/>
  <c r="G21" i="14"/>
  <c r="G46" i="14"/>
  <c r="G67" i="14"/>
  <c r="G62" i="14"/>
  <c r="H46" i="14"/>
  <c r="H7" i="14"/>
  <c r="H8" i="14"/>
  <c r="H10" i="14"/>
  <c r="H11" i="14"/>
  <c r="H12" i="14"/>
  <c r="H13" i="14"/>
  <c r="H14" i="14"/>
  <c r="H16" i="14"/>
  <c r="H17" i="14"/>
  <c r="H18" i="14"/>
  <c r="H19" i="14"/>
  <c r="H20" i="14"/>
  <c r="H21" i="14"/>
  <c r="H24" i="14"/>
  <c r="H25" i="14"/>
  <c r="H26" i="14"/>
  <c r="H29" i="14"/>
  <c r="H31" i="14"/>
  <c r="H32" i="14"/>
  <c r="H34" i="14"/>
  <c r="H37" i="14"/>
  <c r="H38" i="14"/>
  <c r="H39" i="14"/>
  <c r="H42" i="14"/>
  <c r="H44" i="14"/>
  <c r="H45" i="14"/>
  <c r="H49" i="14"/>
  <c r="H53" i="14"/>
  <c r="H54" i="14"/>
  <c r="H56" i="14"/>
  <c r="H58" i="14"/>
  <c r="H61" i="14"/>
  <c r="H62" i="14"/>
  <c r="H67" i="14"/>
  <c r="H68" i="14"/>
  <c r="H69" i="14"/>
  <c r="H71" i="14"/>
  <c r="D6" i="34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6" i="8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50" i="49"/>
  <c r="G51" i="49"/>
  <c r="G52" i="49"/>
  <c r="G53" i="49"/>
  <c r="G54" i="49"/>
  <c r="G55" i="49"/>
  <c r="G56" i="49"/>
  <c r="G57" i="49"/>
  <c r="G58" i="49"/>
  <c r="G59" i="49"/>
  <c r="G60" i="49"/>
  <c r="G61" i="49"/>
  <c r="G62" i="49"/>
  <c r="G63" i="49"/>
  <c r="G64" i="49"/>
  <c r="G65" i="49"/>
  <c r="G66" i="49"/>
  <c r="G67" i="49"/>
  <c r="G68" i="49"/>
  <c r="G69" i="49"/>
  <c r="G70" i="49"/>
  <c r="G71" i="49"/>
  <c r="G7" i="49"/>
  <c r="C7" i="7" l="1"/>
  <c r="F46" i="7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6" i="8"/>
  <c r="D72" i="8" l="1"/>
  <c r="C64" i="8" s="1"/>
  <c r="M8" i="4"/>
  <c r="C27" i="8" l="1"/>
  <c r="C6" i="8"/>
  <c r="C65" i="8"/>
  <c r="C23" i="8"/>
  <c r="C7" i="8"/>
  <c r="C31" i="8"/>
  <c r="C8" i="8"/>
  <c r="C32" i="8"/>
  <c r="C28" i="8"/>
  <c r="C16" i="8"/>
  <c r="C70" i="8"/>
  <c r="C55" i="8"/>
  <c r="C17" i="8"/>
  <c r="C53" i="8"/>
  <c r="C60" i="8"/>
  <c r="C35" i="8"/>
  <c r="C45" i="8"/>
  <c r="C59" i="8"/>
  <c r="C21" i="8"/>
  <c r="C9" i="8"/>
  <c r="C43" i="8"/>
  <c r="C15" i="8"/>
  <c r="C57" i="8"/>
  <c r="C37" i="8"/>
  <c r="C46" i="8"/>
  <c r="C36" i="8"/>
  <c r="C62" i="8"/>
  <c r="C48" i="8"/>
  <c r="C39" i="8"/>
  <c r="C51" i="8"/>
  <c r="C22" i="8"/>
  <c r="C49" i="8"/>
  <c r="C63" i="8"/>
  <c r="C56" i="8"/>
  <c r="C52" i="8"/>
  <c r="C40" i="8"/>
  <c r="C67" i="8"/>
  <c r="C33" i="8"/>
  <c r="C47" i="8"/>
  <c r="C12" i="8"/>
  <c r="C20" i="8"/>
  <c r="C25" i="8"/>
  <c r="C10" i="8"/>
  <c r="C29" i="8"/>
  <c r="C19" i="8"/>
  <c r="C38" i="8"/>
  <c r="C44" i="8"/>
  <c r="C34" i="8"/>
  <c r="C24" i="8"/>
  <c r="C13" i="8"/>
  <c r="C14" i="8"/>
  <c r="C58" i="8"/>
  <c r="C61" i="8"/>
  <c r="C68" i="8"/>
  <c r="C18" i="8"/>
  <c r="C66" i="8"/>
  <c r="C42" i="8"/>
  <c r="C54" i="8"/>
  <c r="C30" i="8"/>
  <c r="C69" i="8"/>
  <c r="C11" i="8"/>
  <c r="C50" i="8"/>
  <c r="C26" i="8"/>
  <c r="C41" i="8"/>
  <c r="C70" i="13"/>
  <c r="C65" i="13"/>
  <c r="C59" i="13"/>
  <c r="C51" i="13"/>
  <c r="C52" i="13"/>
  <c r="C48" i="13"/>
  <c r="C36" i="13"/>
  <c r="C23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D69" i="34"/>
  <c r="D64" i="34"/>
  <c r="D58" i="34"/>
  <c r="D50" i="34"/>
  <c r="D51" i="34"/>
  <c r="D47" i="34"/>
  <c r="D35" i="34"/>
  <c r="D22" i="34"/>
  <c r="V71" i="4"/>
  <c r="AA71" i="4"/>
  <c r="AB71" i="4"/>
  <c r="V66" i="4"/>
  <c r="AA66" i="4"/>
  <c r="AB66" i="4"/>
  <c r="V60" i="4"/>
  <c r="AA60" i="4"/>
  <c r="AB60" i="4"/>
  <c r="V52" i="4"/>
  <c r="AA52" i="4"/>
  <c r="AB52" i="4"/>
  <c r="V53" i="4"/>
  <c r="AA53" i="4"/>
  <c r="AB53" i="4"/>
  <c r="V49" i="4"/>
  <c r="AA49" i="4"/>
  <c r="AB49" i="4"/>
  <c r="V37" i="4"/>
  <c r="AA37" i="4"/>
  <c r="AB37" i="4"/>
  <c r="V24" i="4"/>
  <c r="AA24" i="4"/>
  <c r="AB24" i="4"/>
  <c r="J58" i="4"/>
  <c r="J59" i="4"/>
  <c r="J60" i="4"/>
  <c r="U60" i="4" s="1"/>
  <c r="J61" i="4"/>
  <c r="J62" i="4"/>
  <c r="J63" i="4"/>
  <c r="J64" i="4"/>
  <c r="J65" i="4"/>
  <c r="J66" i="4"/>
  <c r="U66" i="4" s="1"/>
  <c r="J67" i="4"/>
  <c r="J68" i="4"/>
  <c r="J69" i="4"/>
  <c r="J70" i="4"/>
  <c r="J71" i="4"/>
  <c r="U71" i="4" s="1"/>
  <c r="J72" i="4"/>
  <c r="U58" i="4"/>
  <c r="G59" i="7"/>
  <c r="G70" i="7"/>
  <c r="G65" i="7"/>
  <c r="G51" i="7"/>
  <c r="G52" i="7"/>
  <c r="G48" i="7"/>
  <c r="G36" i="7"/>
  <c r="G23" i="7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7" i="6"/>
  <c r="E70" i="6"/>
  <c r="E65" i="6"/>
  <c r="E57" i="6"/>
  <c r="E51" i="6"/>
  <c r="E52" i="6"/>
  <c r="E48" i="6"/>
  <c r="E36" i="6"/>
  <c r="E23" i="6"/>
  <c r="B23" i="5"/>
  <c r="D23" i="5"/>
  <c r="B24" i="5"/>
  <c r="D24" i="5"/>
  <c r="B25" i="5"/>
  <c r="D25" i="5"/>
  <c r="B26" i="5"/>
  <c r="D26" i="5"/>
  <c r="B27" i="5"/>
  <c r="D27" i="5"/>
  <c r="B28" i="5"/>
  <c r="D28" i="5"/>
  <c r="B29" i="5"/>
  <c r="D29" i="5"/>
  <c r="B30" i="5"/>
  <c r="D30" i="5"/>
  <c r="B31" i="5"/>
  <c r="D31" i="5"/>
  <c r="B32" i="5"/>
  <c r="D32" i="5"/>
  <c r="B33" i="5"/>
  <c r="D33" i="5"/>
  <c r="B34" i="5"/>
  <c r="D34" i="5"/>
  <c r="B35" i="5"/>
  <c r="D35" i="5"/>
  <c r="B36" i="5"/>
  <c r="D36" i="5"/>
  <c r="B37" i="5"/>
  <c r="D37" i="5"/>
  <c r="B38" i="5"/>
  <c r="D38" i="5"/>
  <c r="B39" i="5"/>
  <c r="D39" i="5"/>
  <c r="B40" i="5"/>
  <c r="D40" i="5"/>
  <c r="B41" i="5"/>
  <c r="D41" i="5"/>
  <c r="B42" i="5"/>
  <c r="D42" i="5"/>
  <c r="B43" i="5"/>
  <c r="D43" i="5"/>
  <c r="B44" i="5"/>
  <c r="D44" i="5"/>
  <c r="B45" i="5"/>
  <c r="D45" i="5"/>
  <c r="B46" i="5"/>
  <c r="D46" i="5"/>
  <c r="B47" i="5"/>
  <c r="D47" i="5"/>
  <c r="B48" i="5"/>
  <c r="D48" i="5"/>
  <c r="B49" i="5"/>
  <c r="D49" i="5"/>
  <c r="B50" i="5"/>
  <c r="D50" i="5"/>
  <c r="B51" i="5"/>
  <c r="D51" i="5"/>
  <c r="B52" i="5"/>
  <c r="D52" i="5"/>
  <c r="B53" i="5"/>
  <c r="D53" i="5"/>
  <c r="B54" i="5"/>
  <c r="D54" i="5"/>
  <c r="B55" i="5"/>
  <c r="D55" i="5"/>
  <c r="B56" i="5"/>
  <c r="D56" i="5"/>
  <c r="B57" i="5"/>
  <c r="D57" i="5"/>
  <c r="B58" i="5"/>
  <c r="D58" i="5"/>
  <c r="B59" i="5"/>
  <c r="D59" i="5"/>
  <c r="B60" i="5"/>
  <c r="D60" i="5"/>
  <c r="B61" i="5"/>
  <c r="D61" i="5"/>
  <c r="B62" i="5"/>
  <c r="D62" i="5"/>
  <c r="B63" i="5"/>
  <c r="D63" i="5"/>
  <c r="B64" i="5"/>
  <c r="D64" i="5"/>
  <c r="B65" i="5"/>
  <c r="D65" i="5"/>
  <c r="B66" i="5"/>
  <c r="D66" i="5"/>
  <c r="B67" i="5"/>
  <c r="D67" i="5"/>
  <c r="B68" i="5"/>
  <c r="D68" i="5"/>
  <c r="B69" i="5"/>
  <c r="D69" i="5"/>
  <c r="B70" i="5"/>
  <c r="D70" i="5"/>
  <c r="B71" i="5"/>
  <c r="D71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W24" i="4" s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W37" i="4" s="1"/>
  <c r="L38" i="4"/>
  <c r="L39" i="4"/>
  <c r="L40" i="4"/>
  <c r="L41" i="4"/>
  <c r="L42" i="4"/>
  <c r="L43" i="4"/>
  <c r="L44" i="4"/>
  <c r="L45" i="4"/>
  <c r="L46" i="4"/>
  <c r="L47" i="4"/>
  <c r="L48" i="4"/>
  <c r="L49" i="4"/>
  <c r="W49" i="4" s="1"/>
  <c r="L50" i="4"/>
  <c r="L51" i="4"/>
  <c r="L52" i="4"/>
  <c r="W52" i="4" s="1"/>
  <c r="L53" i="4"/>
  <c r="W53" i="4" s="1"/>
  <c r="L54" i="4"/>
  <c r="L55" i="4"/>
  <c r="L56" i="4"/>
  <c r="L57" i="4"/>
  <c r="L58" i="4"/>
  <c r="L59" i="4"/>
  <c r="L60" i="4"/>
  <c r="W60" i="4" s="1"/>
  <c r="L61" i="4"/>
  <c r="L62" i="4"/>
  <c r="L63" i="4"/>
  <c r="L64" i="4"/>
  <c r="L65" i="4"/>
  <c r="L66" i="4"/>
  <c r="W66" i="4" s="1"/>
  <c r="L67" i="4"/>
  <c r="L68" i="4"/>
  <c r="L69" i="4"/>
  <c r="L70" i="4"/>
  <c r="L71" i="4"/>
  <c r="W71" i="4" s="1"/>
  <c r="L72" i="4"/>
  <c r="L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Y24" i="4" s="1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Y37" i="4" s="1"/>
  <c r="N38" i="4"/>
  <c r="N39" i="4"/>
  <c r="N40" i="4"/>
  <c r="N41" i="4"/>
  <c r="N42" i="4"/>
  <c r="N43" i="4"/>
  <c r="N44" i="4"/>
  <c r="N45" i="4"/>
  <c r="N46" i="4"/>
  <c r="N47" i="4"/>
  <c r="N48" i="4"/>
  <c r="N49" i="4"/>
  <c r="Y49" i="4" s="1"/>
  <c r="N50" i="4"/>
  <c r="N51" i="4"/>
  <c r="N52" i="4"/>
  <c r="Y52" i="4" s="1"/>
  <c r="N53" i="4"/>
  <c r="Y53" i="4" s="1"/>
  <c r="N54" i="4"/>
  <c r="N55" i="4"/>
  <c r="N56" i="4"/>
  <c r="N57" i="4"/>
  <c r="N58" i="4"/>
  <c r="N59" i="4"/>
  <c r="N60" i="4"/>
  <c r="Y60" i="4" s="1"/>
  <c r="N61" i="4"/>
  <c r="N62" i="4"/>
  <c r="N63" i="4"/>
  <c r="N64" i="4"/>
  <c r="N65" i="4"/>
  <c r="N66" i="4"/>
  <c r="Y66" i="4" s="1"/>
  <c r="N67" i="4"/>
  <c r="N68" i="4"/>
  <c r="N69" i="4"/>
  <c r="N70" i="4"/>
  <c r="N71" i="4"/>
  <c r="Y71" i="4" s="1"/>
  <c r="N72" i="4"/>
  <c r="N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X24" i="4" s="1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X37" i="4" s="1"/>
  <c r="M38" i="4"/>
  <c r="M39" i="4"/>
  <c r="M40" i="4"/>
  <c r="M41" i="4"/>
  <c r="M42" i="4"/>
  <c r="M43" i="4"/>
  <c r="M44" i="4"/>
  <c r="M45" i="4"/>
  <c r="M46" i="4"/>
  <c r="M47" i="4"/>
  <c r="M48" i="4"/>
  <c r="M49" i="4"/>
  <c r="X49" i="4" s="1"/>
  <c r="M50" i="4"/>
  <c r="M51" i="4"/>
  <c r="M52" i="4"/>
  <c r="X52" i="4" s="1"/>
  <c r="M53" i="4"/>
  <c r="X53" i="4" s="1"/>
  <c r="M54" i="4"/>
  <c r="M55" i="4"/>
  <c r="M56" i="4"/>
  <c r="M57" i="4"/>
  <c r="M58" i="4"/>
  <c r="M59" i="4"/>
  <c r="M60" i="4"/>
  <c r="X60" i="4" s="1"/>
  <c r="M61" i="4"/>
  <c r="M62" i="4"/>
  <c r="M63" i="4"/>
  <c r="M64" i="4"/>
  <c r="M65" i="4"/>
  <c r="M66" i="4"/>
  <c r="X66" i="4" s="1"/>
  <c r="M67" i="4"/>
  <c r="M68" i="4"/>
  <c r="M69" i="4"/>
  <c r="M70" i="4"/>
  <c r="M71" i="4"/>
  <c r="X71" i="4" s="1"/>
  <c r="M72" i="4"/>
  <c r="G24" i="7"/>
  <c r="B6" i="50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  <c r="B45" i="50"/>
  <c r="B46" i="50"/>
  <c r="B47" i="50"/>
  <c r="B48" i="50"/>
  <c r="B49" i="50"/>
  <c r="B50" i="50"/>
  <c r="B51" i="50"/>
  <c r="B52" i="50"/>
  <c r="B53" i="50"/>
  <c r="B54" i="50"/>
  <c r="B55" i="50"/>
  <c r="B56" i="50"/>
  <c r="B57" i="50"/>
  <c r="B58" i="50"/>
  <c r="B59" i="50"/>
  <c r="B60" i="50"/>
  <c r="B61" i="50"/>
  <c r="B62" i="50"/>
  <c r="B63" i="50"/>
  <c r="B64" i="50"/>
  <c r="B65" i="50"/>
  <c r="B66" i="50"/>
  <c r="B67" i="50"/>
  <c r="B68" i="50"/>
  <c r="B69" i="50"/>
  <c r="G7" i="7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0" i="6"/>
  <c r="E31" i="6"/>
  <c r="E32" i="6"/>
  <c r="E33" i="6"/>
  <c r="E34" i="6"/>
  <c r="E35" i="6"/>
  <c r="E37" i="6"/>
  <c r="E38" i="6"/>
  <c r="E39" i="6"/>
  <c r="E40" i="6"/>
  <c r="E41" i="6"/>
  <c r="E42" i="6"/>
  <c r="E43" i="6"/>
  <c r="E44" i="6"/>
  <c r="E45" i="6"/>
  <c r="E46" i="6"/>
  <c r="E47" i="6"/>
  <c r="E49" i="6"/>
  <c r="E50" i="6"/>
  <c r="E53" i="6"/>
  <c r="E54" i="6"/>
  <c r="E55" i="6"/>
  <c r="E56" i="6"/>
  <c r="E58" i="6"/>
  <c r="E59" i="6"/>
  <c r="E60" i="6"/>
  <c r="E61" i="6"/>
  <c r="E62" i="6"/>
  <c r="E63" i="6"/>
  <c r="E64" i="6"/>
  <c r="E66" i="6"/>
  <c r="E67" i="6"/>
  <c r="E68" i="6"/>
  <c r="E69" i="6"/>
  <c r="E71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4" i="6"/>
  <c r="N25" i="6"/>
  <c r="N26" i="6"/>
  <c r="N27" i="6"/>
  <c r="N28" i="6"/>
  <c r="N29" i="6"/>
  <c r="N30" i="6"/>
  <c r="N31" i="6"/>
  <c r="N32" i="6"/>
  <c r="N33" i="6"/>
  <c r="N34" i="6"/>
  <c r="N35" i="6"/>
  <c r="N37" i="6"/>
  <c r="N38" i="6"/>
  <c r="N39" i="6"/>
  <c r="N40" i="6"/>
  <c r="N41" i="6"/>
  <c r="N42" i="6"/>
  <c r="N43" i="6"/>
  <c r="N44" i="6"/>
  <c r="N45" i="6"/>
  <c r="N46" i="6"/>
  <c r="N47" i="6"/>
  <c r="N49" i="6"/>
  <c r="N50" i="6"/>
  <c r="N53" i="6"/>
  <c r="N54" i="6"/>
  <c r="N55" i="6"/>
  <c r="N56" i="6"/>
  <c r="N58" i="6"/>
  <c r="N59" i="6"/>
  <c r="N60" i="6"/>
  <c r="N61" i="6"/>
  <c r="N62" i="6"/>
  <c r="N63" i="6"/>
  <c r="N64" i="6"/>
  <c r="N66" i="6"/>
  <c r="N67" i="6"/>
  <c r="N68" i="6"/>
  <c r="N69" i="6"/>
  <c r="N71" i="6"/>
  <c r="N7" i="6"/>
  <c r="B7" i="5" l="1"/>
  <c r="O62" i="14"/>
  <c r="P62" i="14" s="1"/>
  <c r="O46" i="14"/>
  <c r="P46" i="14" s="1"/>
  <c r="O21" i="14"/>
  <c r="P21" i="14" s="1"/>
  <c r="D24" i="34"/>
  <c r="U72" i="51" l="1"/>
  <c r="O72" i="51"/>
  <c r="P72" i="51" s="1"/>
  <c r="N72" i="51"/>
  <c r="J72" i="51"/>
  <c r="K72" i="51" s="1"/>
  <c r="L72" i="51" s="1"/>
  <c r="U70" i="51"/>
  <c r="O70" i="51"/>
  <c r="P70" i="51" s="1"/>
  <c r="N70" i="51"/>
  <c r="J70" i="51"/>
  <c r="K70" i="51" s="1"/>
  <c r="L70" i="51" s="1"/>
  <c r="U69" i="51"/>
  <c r="O69" i="51"/>
  <c r="P69" i="51" s="1"/>
  <c r="N69" i="51"/>
  <c r="J69" i="51"/>
  <c r="K69" i="51" s="1"/>
  <c r="L69" i="51" s="1"/>
  <c r="U68" i="51"/>
  <c r="N68" i="51"/>
  <c r="O68" i="51" s="1"/>
  <c r="P68" i="51" s="1"/>
  <c r="J68" i="51"/>
  <c r="K68" i="51" s="1"/>
  <c r="L68" i="51" s="1"/>
  <c r="U67" i="51"/>
  <c r="O67" i="51"/>
  <c r="P67" i="51" s="1"/>
  <c r="N67" i="51"/>
  <c r="J67" i="51"/>
  <c r="K67" i="51" s="1"/>
  <c r="L67" i="51" s="1"/>
  <c r="U65" i="51"/>
  <c r="O65" i="51"/>
  <c r="P65" i="51" s="1"/>
  <c r="N65" i="51"/>
  <c r="J65" i="51"/>
  <c r="K65" i="51" s="1"/>
  <c r="L65" i="51" s="1"/>
  <c r="U64" i="51"/>
  <c r="O64" i="51"/>
  <c r="P64" i="51" s="1"/>
  <c r="N64" i="51"/>
  <c r="J64" i="51"/>
  <c r="K64" i="51" s="1"/>
  <c r="L64" i="51" s="1"/>
  <c r="U63" i="51"/>
  <c r="O63" i="51"/>
  <c r="P63" i="51" s="1"/>
  <c r="N63" i="51"/>
  <c r="J63" i="51"/>
  <c r="K63" i="51" s="1"/>
  <c r="L63" i="51" s="1"/>
  <c r="U62" i="51"/>
  <c r="O62" i="51"/>
  <c r="P62" i="51" s="1"/>
  <c r="N62" i="51"/>
  <c r="J62" i="51"/>
  <c r="K62" i="51" s="1"/>
  <c r="L62" i="51" s="1"/>
  <c r="U61" i="51"/>
  <c r="O61" i="51"/>
  <c r="P61" i="51" s="1"/>
  <c r="N61" i="51"/>
  <c r="J61" i="51"/>
  <c r="K61" i="51" s="1"/>
  <c r="L61" i="51" s="1"/>
  <c r="U59" i="51"/>
  <c r="O59" i="51"/>
  <c r="P59" i="51" s="1"/>
  <c r="N59" i="51"/>
  <c r="J59" i="51"/>
  <c r="K59" i="51" s="1"/>
  <c r="L59" i="51" s="1"/>
  <c r="U58" i="51"/>
  <c r="O58" i="51"/>
  <c r="P58" i="51" s="1"/>
  <c r="N58" i="51"/>
  <c r="J58" i="51"/>
  <c r="K58" i="51" s="1"/>
  <c r="L58" i="51" s="1"/>
  <c r="Q58" i="51" s="1"/>
  <c r="U57" i="51"/>
  <c r="O57" i="51"/>
  <c r="P57" i="51" s="1"/>
  <c r="N57" i="51"/>
  <c r="J57" i="51"/>
  <c r="K57" i="51" s="1"/>
  <c r="L57" i="51" s="1"/>
  <c r="U56" i="51"/>
  <c r="O56" i="51"/>
  <c r="P56" i="51" s="1"/>
  <c r="N56" i="51"/>
  <c r="J56" i="51"/>
  <c r="K56" i="51" s="1"/>
  <c r="L56" i="51" s="1"/>
  <c r="U55" i="51"/>
  <c r="O55" i="51"/>
  <c r="P55" i="51" s="1"/>
  <c r="N55" i="51"/>
  <c r="J55" i="51"/>
  <c r="K55" i="51" s="1"/>
  <c r="L55" i="51" s="1"/>
  <c r="U54" i="51"/>
  <c r="O54" i="51"/>
  <c r="P54" i="51" s="1"/>
  <c r="N54" i="51"/>
  <c r="J54" i="51"/>
  <c r="K54" i="51" s="1"/>
  <c r="L54" i="51" s="1"/>
  <c r="U51" i="51"/>
  <c r="O51" i="51"/>
  <c r="P51" i="51" s="1"/>
  <c r="N51" i="51"/>
  <c r="J51" i="51"/>
  <c r="K51" i="51" s="1"/>
  <c r="L51" i="51" s="1"/>
  <c r="U50" i="51"/>
  <c r="O50" i="51"/>
  <c r="P50" i="51" s="1"/>
  <c r="N50" i="51"/>
  <c r="J50" i="51"/>
  <c r="K50" i="51" s="1"/>
  <c r="L50" i="51" s="1"/>
  <c r="U48" i="51"/>
  <c r="O48" i="51"/>
  <c r="P48" i="51" s="1"/>
  <c r="N48" i="51"/>
  <c r="J48" i="51"/>
  <c r="K48" i="51" s="1"/>
  <c r="L48" i="51" s="1"/>
  <c r="U47" i="51"/>
  <c r="O47" i="51"/>
  <c r="P47" i="51" s="1"/>
  <c r="N47" i="51"/>
  <c r="J47" i="51"/>
  <c r="K47" i="51" s="1"/>
  <c r="L47" i="51" s="1"/>
  <c r="U46" i="51"/>
  <c r="O46" i="51"/>
  <c r="P46" i="51" s="1"/>
  <c r="N46" i="51"/>
  <c r="J46" i="51"/>
  <c r="K46" i="51" s="1"/>
  <c r="L46" i="51" s="1"/>
  <c r="U45" i="51"/>
  <c r="O45" i="51"/>
  <c r="P45" i="51" s="1"/>
  <c r="N45" i="51"/>
  <c r="J45" i="51"/>
  <c r="K45" i="51" s="1"/>
  <c r="L45" i="51" s="1"/>
  <c r="U44" i="51"/>
  <c r="O44" i="51"/>
  <c r="P44" i="51" s="1"/>
  <c r="N44" i="51"/>
  <c r="J44" i="51"/>
  <c r="K44" i="51" s="1"/>
  <c r="L44" i="51" s="1"/>
  <c r="U43" i="51"/>
  <c r="O43" i="51"/>
  <c r="P43" i="51" s="1"/>
  <c r="N43" i="51"/>
  <c r="J43" i="51"/>
  <c r="K43" i="51" s="1"/>
  <c r="L43" i="51" s="1"/>
  <c r="U42" i="51"/>
  <c r="O42" i="51"/>
  <c r="P42" i="51" s="1"/>
  <c r="N42" i="51"/>
  <c r="J42" i="51"/>
  <c r="K42" i="51" s="1"/>
  <c r="L42" i="51" s="1"/>
  <c r="U41" i="51"/>
  <c r="O41" i="51"/>
  <c r="P41" i="51" s="1"/>
  <c r="N41" i="51"/>
  <c r="J41" i="51"/>
  <c r="K41" i="51" s="1"/>
  <c r="L41" i="51" s="1"/>
  <c r="U40" i="51"/>
  <c r="O40" i="51"/>
  <c r="P40" i="51" s="1"/>
  <c r="N40" i="51"/>
  <c r="J40" i="51"/>
  <c r="K40" i="51" s="1"/>
  <c r="L40" i="51" s="1"/>
  <c r="U39" i="51"/>
  <c r="O39" i="51"/>
  <c r="P39" i="51" s="1"/>
  <c r="N39" i="51"/>
  <c r="J39" i="51"/>
  <c r="K39" i="51" s="1"/>
  <c r="L39" i="51" s="1"/>
  <c r="U38" i="51"/>
  <c r="O38" i="51"/>
  <c r="P38" i="51" s="1"/>
  <c r="N38" i="51"/>
  <c r="J38" i="51"/>
  <c r="K38" i="51" s="1"/>
  <c r="L38" i="51" s="1"/>
  <c r="U36" i="51"/>
  <c r="O36" i="51"/>
  <c r="P36" i="51" s="1"/>
  <c r="N36" i="51"/>
  <c r="J36" i="51"/>
  <c r="K36" i="51" s="1"/>
  <c r="L36" i="51" s="1"/>
  <c r="U35" i="51"/>
  <c r="O35" i="51"/>
  <c r="P35" i="51" s="1"/>
  <c r="N35" i="51"/>
  <c r="J35" i="51"/>
  <c r="K35" i="51" s="1"/>
  <c r="L35" i="51" s="1"/>
  <c r="U34" i="51"/>
  <c r="O34" i="51"/>
  <c r="P34" i="51" s="1"/>
  <c r="N34" i="51"/>
  <c r="J34" i="51"/>
  <c r="K34" i="51" s="1"/>
  <c r="L34" i="51" s="1"/>
  <c r="U33" i="51"/>
  <c r="O33" i="51"/>
  <c r="P33" i="51" s="1"/>
  <c r="N33" i="51"/>
  <c r="J33" i="51"/>
  <c r="K33" i="51" s="1"/>
  <c r="L33" i="51" s="1"/>
  <c r="U32" i="51"/>
  <c r="O32" i="51"/>
  <c r="P32" i="51" s="1"/>
  <c r="N32" i="51"/>
  <c r="J32" i="51"/>
  <c r="K32" i="51" s="1"/>
  <c r="L32" i="51" s="1"/>
  <c r="U31" i="51"/>
  <c r="O31" i="51"/>
  <c r="P31" i="51" s="1"/>
  <c r="N31" i="51"/>
  <c r="J31" i="51"/>
  <c r="K31" i="51" s="1"/>
  <c r="L31" i="51" s="1"/>
  <c r="U30" i="51"/>
  <c r="O30" i="51"/>
  <c r="P30" i="51" s="1"/>
  <c r="N30" i="51"/>
  <c r="J30" i="51"/>
  <c r="K30" i="51" s="1"/>
  <c r="L30" i="51" s="1"/>
  <c r="U29" i="51"/>
  <c r="O29" i="51"/>
  <c r="P29" i="51" s="1"/>
  <c r="N29" i="51"/>
  <c r="K29" i="51"/>
  <c r="L29" i="51" s="1"/>
  <c r="J29" i="51"/>
  <c r="U28" i="51"/>
  <c r="O28" i="51"/>
  <c r="P28" i="51" s="1"/>
  <c r="N28" i="51"/>
  <c r="J28" i="51"/>
  <c r="K28" i="51" s="1"/>
  <c r="L28" i="51" s="1"/>
  <c r="U27" i="51"/>
  <c r="O27" i="51"/>
  <c r="P27" i="51" s="1"/>
  <c r="N27" i="51"/>
  <c r="J27" i="51"/>
  <c r="K27" i="51" s="1"/>
  <c r="L27" i="51" s="1"/>
  <c r="U26" i="51"/>
  <c r="N26" i="51"/>
  <c r="O26" i="51" s="1"/>
  <c r="P26" i="51" s="1"/>
  <c r="J26" i="51"/>
  <c r="K26" i="51" s="1"/>
  <c r="L26" i="51" s="1"/>
  <c r="U25" i="51"/>
  <c r="O25" i="51"/>
  <c r="P25" i="51" s="1"/>
  <c r="N25" i="51"/>
  <c r="J25" i="51"/>
  <c r="K25" i="51" s="1"/>
  <c r="L25" i="51" s="1"/>
  <c r="U23" i="51"/>
  <c r="O23" i="51"/>
  <c r="P23" i="51" s="1"/>
  <c r="N23" i="51"/>
  <c r="J23" i="51"/>
  <c r="K23" i="51" s="1"/>
  <c r="L23" i="51" s="1"/>
  <c r="U22" i="51"/>
  <c r="N22" i="51"/>
  <c r="O22" i="51" s="1"/>
  <c r="P22" i="51" s="1"/>
  <c r="J22" i="51"/>
  <c r="K22" i="51" s="1"/>
  <c r="L22" i="51" s="1"/>
  <c r="U21" i="51"/>
  <c r="O21" i="51"/>
  <c r="P21" i="51" s="1"/>
  <c r="N21" i="51"/>
  <c r="J21" i="51"/>
  <c r="K21" i="51" s="1"/>
  <c r="L21" i="51" s="1"/>
  <c r="U20" i="51"/>
  <c r="O20" i="51"/>
  <c r="P20" i="51" s="1"/>
  <c r="N20" i="51"/>
  <c r="J20" i="51"/>
  <c r="K20" i="51" s="1"/>
  <c r="L20" i="51" s="1"/>
  <c r="U19" i="51"/>
  <c r="O19" i="51"/>
  <c r="P19" i="51" s="1"/>
  <c r="N19" i="51"/>
  <c r="J19" i="51"/>
  <c r="K19" i="51" s="1"/>
  <c r="L19" i="51" s="1"/>
  <c r="U18" i="51"/>
  <c r="O18" i="51"/>
  <c r="P18" i="51" s="1"/>
  <c r="N18" i="51"/>
  <c r="J18" i="51"/>
  <c r="K18" i="51" s="1"/>
  <c r="L18" i="51" s="1"/>
  <c r="U17" i="51"/>
  <c r="O17" i="51"/>
  <c r="P17" i="51" s="1"/>
  <c r="N17" i="51"/>
  <c r="J17" i="51"/>
  <c r="K17" i="51" s="1"/>
  <c r="L17" i="51" s="1"/>
  <c r="U16" i="51"/>
  <c r="N16" i="51"/>
  <c r="O16" i="51" s="1"/>
  <c r="P16" i="51" s="1"/>
  <c r="J16" i="51"/>
  <c r="K16" i="51" s="1"/>
  <c r="L16" i="51" s="1"/>
  <c r="U15" i="51"/>
  <c r="O15" i="51"/>
  <c r="P15" i="51" s="1"/>
  <c r="N15" i="51"/>
  <c r="J15" i="51"/>
  <c r="K15" i="51" s="1"/>
  <c r="L15" i="51" s="1"/>
  <c r="U14" i="51"/>
  <c r="O14" i="51"/>
  <c r="P14" i="51" s="1"/>
  <c r="N14" i="51"/>
  <c r="J14" i="51"/>
  <c r="K14" i="51" s="1"/>
  <c r="L14" i="51" s="1"/>
  <c r="U13" i="51"/>
  <c r="O13" i="51"/>
  <c r="P13" i="51" s="1"/>
  <c r="N13" i="51"/>
  <c r="J13" i="51"/>
  <c r="K13" i="51" s="1"/>
  <c r="L13" i="51" s="1"/>
  <c r="U12" i="51"/>
  <c r="O12" i="51"/>
  <c r="P12" i="51" s="1"/>
  <c r="N12" i="51"/>
  <c r="J12" i="51"/>
  <c r="K12" i="51" s="1"/>
  <c r="L12" i="51" s="1"/>
  <c r="Q12" i="51" s="1"/>
  <c r="U11" i="51"/>
  <c r="O11" i="51"/>
  <c r="P11" i="51" s="1"/>
  <c r="N11" i="51"/>
  <c r="J11" i="51"/>
  <c r="K11" i="51" s="1"/>
  <c r="L11" i="51" s="1"/>
  <c r="U10" i="51"/>
  <c r="O10" i="51"/>
  <c r="P10" i="51" s="1"/>
  <c r="N10" i="51"/>
  <c r="J10" i="51"/>
  <c r="K10" i="51" s="1"/>
  <c r="L10" i="51" s="1"/>
  <c r="U9" i="51"/>
  <c r="O9" i="51"/>
  <c r="P9" i="51" s="1"/>
  <c r="N9" i="51"/>
  <c r="J9" i="51"/>
  <c r="K9" i="51" s="1"/>
  <c r="L9" i="51" s="1"/>
  <c r="U8" i="51"/>
  <c r="O8" i="51"/>
  <c r="P8" i="51" s="1"/>
  <c r="N8" i="51"/>
  <c r="K8" i="51"/>
  <c r="L8" i="51" s="1"/>
  <c r="O71" i="14"/>
  <c r="K71" i="14"/>
  <c r="G71" i="14"/>
  <c r="O69" i="14"/>
  <c r="K69" i="14"/>
  <c r="G69" i="14"/>
  <c r="O68" i="14"/>
  <c r="K68" i="14"/>
  <c r="G68" i="14"/>
  <c r="K67" i="14"/>
  <c r="L67" i="14" s="1"/>
  <c r="M67" i="14" s="1"/>
  <c r="T67" i="14" s="1"/>
  <c r="T66" i="14"/>
  <c r="P66" i="14"/>
  <c r="K66" i="14"/>
  <c r="Q66" i="14" s="1"/>
  <c r="T64" i="14"/>
  <c r="P64" i="14"/>
  <c r="K64" i="14"/>
  <c r="Q64" i="14" s="1"/>
  <c r="T63" i="14"/>
  <c r="K63" i="14"/>
  <c r="Q63" i="14" s="1"/>
  <c r="K62" i="14"/>
  <c r="L62" i="14" s="1"/>
  <c r="M62" i="14" s="1"/>
  <c r="T62" i="14" s="1"/>
  <c r="O61" i="14"/>
  <c r="K61" i="14"/>
  <c r="G61" i="14"/>
  <c r="T60" i="14"/>
  <c r="P60" i="14"/>
  <c r="K60" i="14"/>
  <c r="Q60" i="14" s="1"/>
  <c r="O58" i="14"/>
  <c r="K58" i="14"/>
  <c r="G58" i="14"/>
  <c r="T57" i="14"/>
  <c r="P57" i="14"/>
  <c r="K57" i="14"/>
  <c r="Q57" i="14" s="1"/>
  <c r="O56" i="14"/>
  <c r="K56" i="14"/>
  <c r="G56" i="14"/>
  <c r="T55" i="14"/>
  <c r="P55" i="14"/>
  <c r="K55" i="14"/>
  <c r="Q55" i="14" s="1"/>
  <c r="O54" i="14"/>
  <c r="P54" i="14" s="1"/>
  <c r="K54" i="14"/>
  <c r="G54" i="14"/>
  <c r="O53" i="14"/>
  <c r="K53" i="14"/>
  <c r="G53" i="14"/>
  <c r="T50" i="14"/>
  <c r="P50" i="14"/>
  <c r="K50" i="14"/>
  <c r="Q50" i="14" s="1"/>
  <c r="O49" i="14"/>
  <c r="K49" i="14"/>
  <c r="G49" i="14"/>
  <c r="T47" i="14"/>
  <c r="P47" i="14"/>
  <c r="K47" i="14"/>
  <c r="Q47" i="14" s="1"/>
  <c r="K46" i="14"/>
  <c r="L46" i="14" s="1"/>
  <c r="M46" i="14" s="1"/>
  <c r="T46" i="14" s="1"/>
  <c r="O45" i="14"/>
  <c r="S45" i="14" s="1"/>
  <c r="K45" i="14"/>
  <c r="G45" i="14"/>
  <c r="O44" i="14"/>
  <c r="K44" i="14"/>
  <c r="G44" i="14"/>
  <c r="T43" i="14"/>
  <c r="P43" i="14"/>
  <c r="K43" i="14"/>
  <c r="Q43" i="14" s="1"/>
  <c r="O42" i="14"/>
  <c r="K42" i="14"/>
  <c r="G42" i="14"/>
  <c r="T41" i="14"/>
  <c r="P41" i="14"/>
  <c r="K41" i="14"/>
  <c r="Q41" i="14" s="1"/>
  <c r="T40" i="14"/>
  <c r="P40" i="14"/>
  <c r="K40" i="14"/>
  <c r="Q40" i="14" s="1"/>
  <c r="O39" i="14"/>
  <c r="K39" i="14"/>
  <c r="G39" i="14"/>
  <c r="O38" i="14"/>
  <c r="K38" i="14"/>
  <c r="G38" i="14"/>
  <c r="O37" i="14"/>
  <c r="K37" i="14"/>
  <c r="G37" i="14"/>
  <c r="T35" i="14"/>
  <c r="P35" i="14"/>
  <c r="K35" i="14"/>
  <c r="Q35" i="14" s="1"/>
  <c r="O34" i="14"/>
  <c r="K34" i="14"/>
  <c r="G34" i="14"/>
  <c r="T33" i="14"/>
  <c r="P33" i="14"/>
  <c r="K33" i="14"/>
  <c r="Q33" i="14" s="1"/>
  <c r="O32" i="14"/>
  <c r="K32" i="14"/>
  <c r="G32" i="14"/>
  <c r="O31" i="14"/>
  <c r="K31" i="14"/>
  <c r="G31" i="14"/>
  <c r="T30" i="14"/>
  <c r="P30" i="14"/>
  <c r="K30" i="14"/>
  <c r="Q30" i="14" s="1"/>
  <c r="O29" i="14"/>
  <c r="K29" i="14"/>
  <c r="G29" i="14"/>
  <c r="T28" i="14"/>
  <c r="P28" i="14"/>
  <c r="K28" i="14"/>
  <c r="Q28" i="14" s="1"/>
  <c r="T27" i="14"/>
  <c r="P27" i="14"/>
  <c r="K27" i="14"/>
  <c r="Q27" i="14" s="1"/>
  <c r="O26" i="14"/>
  <c r="K26" i="14"/>
  <c r="G26" i="14"/>
  <c r="O25" i="14"/>
  <c r="K25" i="14"/>
  <c r="G25" i="14"/>
  <c r="O24" i="14"/>
  <c r="K24" i="14"/>
  <c r="G24" i="14"/>
  <c r="O22" i="14"/>
  <c r="K22" i="14"/>
  <c r="G22" i="14"/>
  <c r="T21" i="14"/>
  <c r="K21" i="14"/>
  <c r="O20" i="14"/>
  <c r="K20" i="14"/>
  <c r="G20" i="14"/>
  <c r="O19" i="14"/>
  <c r="S19" i="14" s="1"/>
  <c r="K19" i="14"/>
  <c r="G19" i="14"/>
  <c r="O18" i="14"/>
  <c r="K18" i="14"/>
  <c r="G18" i="14"/>
  <c r="O17" i="14"/>
  <c r="S17" i="14" s="1"/>
  <c r="K17" i="14"/>
  <c r="G17" i="14"/>
  <c r="O16" i="14"/>
  <c r="K16" i="14"/>
  <c r="G16" i="14"/>
  <c r="T15" i="14"/>
  <c r="P15" i="14"/>
  <c r="K15" i="14"/>
  <c r="Q15" i="14" s="1"/>
  <c r="O14" i="14"/>
  <c r="S14" i="14" s="1"/>
  <c r="K14" i="14"/>
  <c r="G14" i="14"/>
  <c r="O13" i="14"/>
  <c r="S13" i="14" s="1"/>
  <c r="K13" i="14"/>
  <c r="G13" i="14"/>
  <c r="O12" i="14"/>
  <c r="S12" i="14" s="1"/>
  <c r="K12" i="14"/>
  <c r="G12" i="14"/>
  <c r="O11" i="14"/>
  <c r="K11" i="14"/>
  <c r="G11" i="14"/>
  <c r="O10" i="14"/>
  <c r="K10" i="14"/>
  <c r="G10" i="14"/>
  <c r="T9" i="14"/>
  <c r="K9" i="14"/>
  <c r="Q9" i="14" s="1"/>
  <c r="O8" i="14"/>
  <c r="K8" i="14"/>
  <c r="G8" i="14"/>
  <c r="K7" i="14"/>
  <c r="L7" i="14" s="1"/>
  <c r="C71" i="13"/>
  <c r="C69" i="13"/>
  <c r="C68" i="13"/>
  <c r="C67" i="13"/>
  <c r="C66" i="13"/>
  <c r="C64" i="13"/>
  <c r="C63" i="13"/>
  <c r="C62" i="13"/>
  <c r="C61" i="13"/>
  <c r="C58" i="13"/>
  <c r="C57" i="13"/>
  <c r="C56" i="13"/>
  <c r="C55" i="13"/>
  <c r="C54" i="13"/>
  <c r="C53" i="13"/>
  <c r="C50" i="13"/>
  <c r="C49" i="13"/>
  <c r="C47" i="13"/>
  <c r="C46" i="13"/>
  <c r="C45" i="13"/>
  <c r="C44" i="13"/>
  <c r="C43" i="13"/>
  <c r="C42" i="13"/>
  <c r="C41" i="13"/>
  <c r="C40" i="13"/>
  <c r="C39" i="13"/>
  <c r="C38" i="13"/>
  <c r="C37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7" i="13"/>
  <c r="B5" i="50"/>
  <c r="Q40" i="51" l="1"/>
  <c r="S22" i="14"/>
  <c r="S10" i="14"/>
  <c r="P26" i="14"/>
  <c r="P32" i="14"/>
  <c r="B48" i="13"/>
  <c r="B36" i="13"/>
  <c r="B70" i="13"/>
  <c r="B52" i="13"/>
  <c r="B23" i="13"/>
  <c r="B59" i="13"/>
  <c r="B51" i="13"/>
  <c r="B65" i="13"/>
  <c r="B15" i="13"/>
  <c r="B28" i="13"/>
  <c r="B41" i="13"/>
  <c r="B56" i="13"/>
  <c r="B71" i="13"/>
  <c r="B39" i="13"/>
  <c r="B16" i="13"/>
  <c r="B29" i="13"/>
  <c r="B42" i="13"/>
  <c r="B57" i="13"/>
  <c r="B10" i="13"/>
  <c r="B53" i="13"/>
  <c r="B55" i="13"/>
  <c r="B17" i="13"/>
  <c r="B30" i="13"/>
  <c r="B43" i="13"/>
  <c r="B58" i="13"/>
  <c r="B11" i="13"/>
  <c r="B67" i="13"/>
  <c r="B27" i="13"/>
  <c r="B18" i="13"/>
  <c r="B31" i="13"/>
  <c r="B44" i="13"/>
  <c r="B60" i="13"/>
  <c r="B12" i="13"/>
  <c r="B8" i="13"/>
  <c r="B54" i="13"/>
  <c r="B19" i="13"/>
  <c r="B32" i="13"/>
  <c r="B45" i="13"/>
  <c r="B61" i="13"/>
  <c r="B13" i="13"/>
  <c r="B68" i="13"/>
  <c r="B20" i="13"/>
  <c r="B33" i="13"/>
  <c r="B46" i="13"/>
  <c r="B62" i="13"/>
  <c r="B14" i="13"/>
  <c r="B69" i="13"/>
  <c r="B21" i="13"/>
  <c r="B34" i="13"/>
  <c r="B47" i="13"/>
  <c r="B63" i="13"/>
  <c r="B7" i="13"/>
  <c r="B64" i="13"/>
  <c r="B26" i="13"/>
  <c r="B22" i="13"/>
  <c r="B35" i="13"/>
  <c r="B49" i="13"/>
  <c r="B24" i="13"/>
  <c r="B37" i="13"/>
  <c r="B50" i="13"/>
  <c r="B66" i="13"/>
  <c r="B38" i="13"/>
  <c r="B40" i="13"/>
  <c r="B25" i="13"/>
  <c r="Q13" i="51"/>
  <c r="R13" i="51" s="1"/>
  <c r="Q30" i="51"/>
  <c r="R30" i="51" s="1"/>
  <c r="Q57" i="51"/>
  <c r="R57" i="51" s="1"/>
  <c r="L71" i="14"/>
  <c r="M71" i="14" s="1"/>
  <c r="L10" i="14"/>
  <c r="M10" i="14" s="1"/>
  <c r="T10" i="14" s="1"/>
  <c r="L19" i="14"/>
  <c r="M19" i="14" s="1"/>
  <c r="T19" i="14" s="1"/>
  <c r="L38" i="14"/>
  <c r="M38" i="14" s="1"/>
  <c r="T38" i="14" s="1"/>
  <c r="U67" i="14"/>
  <c r="Q64" i="51"/>
  <c r="Q65" i="51"/>
  <c r="R65" i="51" s="1"/>
  <c r="L68" i="14"/>
  <c r="M68" i="14" s="1"/>
  <c r="T68" i="14" s="1"/>
  <c r="L26" i="14"/>
  <c r="M26" i="14" s="1"/>
  <c r="T26" i="14" s="1"/>
  <c r="S69" i="14"/>
  <c r="Q48" i="51"/>
  <c r="R48" i="51" s="1"/>
  <c r="U9" i="14"/>
  <c r="L16" i="14"/>
  <c r="M16" i="14" s="1"/>
  <c r="T16" i="14" s="1"/>
  <c r="S24" i="14"/>
  <c r="U50" i="14"/>
  <c r="L54" i="14"/>
  <c r="M54" i="14" s="1"/>
  <c r="T54" i="14" s="1"/>
  <c r="U54" i="14" s="1"/>
  <c r="Q22" i="51"/>
  <c r="R22" i="51" s="1"/>
  <c r="L34" i="14"/>
  <c r="M34" i="14" s="1"/>
  <c r="P34" i="14" s="1"/>
  <c r="L39" i="14"/>
  <c r="M39" i="14" s="1"/>
  <c r="T39" i="14" s="1"/>
  <c r="U41" i="14"/>
  <c r="L8" i="14"/>
  <c r="M8" i="14" s="1"/>
  <c r="T8" i="14" s="1"/>
  <c r="Q45" i="51"/>
  <c r="R45" i="51" s="1"/>
  <c r="U57" i="14"/>
  <c r="U62" i="14"/>
  <c r="Q16" i="51"/>
  <c r="R16" i="51" s="1"/>
  <c r="U21" i="14"/>
  <c r="Q42" i="51"/>
  <c r="R42" i="51" s="1"/>
  <c r="L13" i="14"/>
  <c r="M13" i="14" s="1"/>
  <c r="T13" i="14" s="1"/>
  <c r="U43" i="14"/>
  <c r="P68" i="14"/>
  <c r="U15" i="14"/>
  <c r="L20" i="14"/>
  <c r="M20" i="14" s="1"/>
  <c r="T20" i="14" s="1"/>
  <c r="L31" i="14"/>
  <c r="M31" i="14" s="1"/>
  <c r="T31" i="14" s="1"/>
  <c r="S37" i="14"/>
  <c r="L45" i="14"/>
  <c r="M45" i="14" s="1"/>
  <c r="T45" i="14" s="1"/>
  <c r="S68" i="14"/>
  <c r="L24" i="14"/>
  <c r="M24" i="14" s="1"/>
  <c r="L42" i="14"/>
  <c r="M42" i="14" s="1"/>
  <c r="T42" i="14" s="1"/>
  <c r="L69" i="14"/>
  <c r="M69" i="14" s="1"/>
  <c r="T69" i="14" s="1"/>
  <c r="L11" i="14"/>
  <c r="M11" i="14" s="1"/>
  <c r="T11" i="14" s="1"/>
  <c r="L29" i="14"/>
  <c r="M29" i="14" s="1"/>
  <c r="P29" i="14" s="1"/>
  <c r="U64" i="14"/>
  <c r="M7" i="14"/>
  <c r="T7" i="14" s="1"/>
  <c r="L12" i="14"/>
  <c r="M12" i="14" s="1"/>
  <c r="L14" i="14"/>
  <c r="M14" i="14" s="1"/>
  <c r="P14" i="14" s="1"/>
  <c r="L18" i="14"/>
  <c r="M18" i="14" s="1"/>
  <c r="T18" i="14" s="1"/>
  <c r="L32" i="14"/>
  <c r="M32" i="14" s="1"/>
  <c r="T32" i="14" s="1"/>
  <c r="U40" i="14"/>
  <c r="L56" i="14"/>
  <c r="M56" i="14" s="1"/>
  <c r="T56" i="14" s="1"/>
  <c r="L58" i="14"/>
  <c r="M58" i="14" s="1"/>
  <c r="T58" i="14" s="1"/>
  <c r="L61" i="14"/>
  <c r="M61" i="14" s="1"/>
  <c r="T61" i="14" s="1"/>
  <c r="S71" i="14"/>
  <c r="L25" i="14"/>
  <c r="M25" i="14" s="1"/>
  <c r="L44" i="14"/>
  <c r="M44" i="14" s="1"/>
  <c r="T44" i="14" s="1"/>
  <c r="U66" i="14"/>
  <c r="L37" i="14"/>
  <c r="M37" i="14" s="1"/>
  <c r="P37" i="14" s="1"/>
  <c r="U46" i="14"/>
  <c r="L49" i="14"/>
  <c r="M49" i="14" s="1"/>
  <c r="T49" i="14" s="1"/>
  <c r="L53" i="14"/>
  <c r="M53" i="14" s="1"/>
  <c r="T53" i="14" s="1"/>
  <c r="L17" i="14"/>
  <c r="M17" i="14" s="1"/>
  <c r="T17" i="14" s="1"/>
  <c r="L22" i="14"/>
  <c r="M22" i="14" s="1"/>
  <c r="T22" i="14" s="1"/>
  <c r="U55" i="14"/>
  <c r="Q33" i="51"/>
  <c r="R33" i="51" s="1"/>
  <c r="Q51" i="51"/>
  <c r="Q55" i="51"/>
  <c r="R55" i="51" s="1"/>
  <c r="Q62" i="51"/>
  <c r="R62" i="51" s="1"/>
  <c r="Q54" i="51"/>
  <c r="R54" i="51" s="1"/>
  <c r="Q69" i="51"/>
  <c r="R69" i="51" s="1"/>
  <c r="Q27" i="51"/>
  <c r="R27" i="51" s="1"/>
  <c r="Q9" i="51"/>
  <c r="R9" i="51" s="1"/>
  <c r="Q35" i="51"/>
  <c r="R35" i="51" s="1"/>
  <c r="Q61" i="51"/>
  <c r="R61" i="51" s="1"/>
  <c r="Q72" i="51"/>
  <c r="R72" i="51" s="1"/>
  <c r="Q10" i="51"/>
  <c r="R10" i="51" s="1"/>
  <c r="Q25" i="51"/>
  <c r="R25" i="51" s="1"/>
  <c r="Q18" i="51"/>
  <c r="R18" i="51" s="1"/>
  <c r="Q29" i="51"/>
  <c r="R29" i="51" s="1"/>
  <c r="Q44" i="51"/>
  <c r="R44" i="51" s="1"/>
  <c r="Q38" i="51"/>
  <c r="R38" i="51" s="1"/>
  <c r="Q63" i="51"/>
  <c r="R63" i="51" s="1"/>
  <c r="Q20" i="51"/>
  <c r="R20" i="51" s="1"/>
  <c r="Q34" i="51"/>
  <c r="R34" i="51" s="1"/>
  <c r="Q46" i="51"/>
  <c r="R46" i="51" s="1"/>
  <c r="Q59" i="51"/>
  <c r="Q67" i="51"/>
  <c r="R67" i="51" s="1"/>
  <c r="Q8" i="51"/>
  <c r="R8" i="51" s="1"/>
  <c r="Q17" i="51"/>
  <c r="R17" i="51" s="1"/>
  <c r="Q26" i="51"/>
  <c r="R26" i="51" s="1"/>
  <c r="Q28" i="51"/>
  <c r="R28" i="51" s="1"/>
  <c r="Q43" i="51"/>
  <c r="R43" i="51" s="1"/>
  <c r="Q50" i="51"/>
  <c r="R50" i="51" s="1"/>
  <c r="Q70" i="51"/>
  <c r="Q15" i="51"/>
  <c r="Q31" i="51"/>
  <c r="Q36" i="51"/>
  <c r="Q19" i="51"/>
  <c r="R40" i="51"/>
  <c r="R58" i="51"/>
  <c r="R12" i="51"/>
  <c r="Q14" i="51"/>
  <c r="Q32" i="51"/>
  <c r="Q39" i="51"/>
  <c r="R51" i="51"/>
  <c r="R64" i="51"/>
  <c r="Q11" i="51"/>
  <c r="Q21" i="51"/>
  <c r="Q23" i="51"/>
  <c r="Q41" i="51"/>
  <c r="Q47" i="51"/>
  <c r="Q56" i="51"/>
  <c r="Q68" i="51"/>
  <c r="T71" i="14"/>
  <c r="P71" i="14"/>
  <c r="U47" i="14"/>
  <c r="T14" i="14"/>
  <c r="U63" i="14"/>
  <c r="P45" i="14"/>
  <c r="P34" i="34"/>
  <c r="D34" i="34"/>
  <c r="P27" i="34"/>
  <c r="D27" i="34"/>
  <c r="P56" i="34"/>
  <c r="D56" i="34"/>
  <c r="P49" i="34"/>
  <c r="D49" i="34"/>
  <c r="P45" i="34"/>
  <c r="D45" i="34"/>
  <c r="P65" i="34"/>
  <c r="D65" i="34"/>
  <c r="P46" i="34"/>
  <c r="D46" i="34"/>
  <c r="P7" i="34"/>
  <c r="D7" i="34"/>
  <c r="P66" i="34"/>
  <c r="D66" i="34"/>
  <c r="P32" i="34"/>
  <c r="D32" i="34"/>
  <c r="P61" i="34"/>
  <c r="D61" i="34"/>
  <c r="P21" i="34"/>
  <c r="D21" i="34"/>
  <c r="P29" i="34"/>
  <c r="D29" i="34"/>
  <c r="P11" i="34"/>
  <c r="D11" i="34"/>
  <c r="P52" i="34"/>
  <c r="D52" i="34"/>
  <c r="P30" i="34"/>
  <c r="D30" i="34"/>
  <c r="P26" i="34"/>
  <c r="D26" i="34"/>
  <c r="P54" i="34"/>
  <c r="D54" i="34"/>
  <c r="P33" i="34"/>
  <c r="D33" i="34"/>
  <c r="P55" i="34"/>
  <c r="D55" i="34"/>
  <c r="P59" i="34"/>
  <c r="D59" i="34"/>
  <c r="P14" i="34"/>
  <c r="D14" i="34"/>
  <c r="P19" i="34"/>
  <c r="D19" i="34"/>
  <c r="P39" i="34"/>
  <c r="D39" i="34"/>
  <c r="D8" i="34"/>
  <c r="P20" i="34"/>
  <c r="D20" i="34"/>
  <c r="P23" i="34"/>
  <c r="D23" i="34"/>
  <c r="P63" i="34"/>
  <c r="D63" i="34"/>
  <c r="P62" i="34"/>
  <c r="D62" i="34"/>
  <c r="P12" i="34"/>
  <c r="D12" i="34"/>
  <c r="P17" i="34"/>
  <c r="D17" i="34"/>
  <c r="P41" i="34"/>
  <c r="D41" i="34"/>
  <c r="P31" i="34"/>
  <c r="D31" i="34"/>
  <c r="P68" i="34"/>
  <c r="D68" i="34"/>
  <c r="P48" i="34"/>
  <c r="D48" i="34"/>
  <c r="P42" i="34"/>
  <c r="D42" i="34"/>
  <c r="P28" i="34"/>
  <c r="D28" i="34"/>
  <c r="P15" i="34"/>
  <c r="D15" i="34"/>
  <c r="P60" i="34"/>
  <c r="D60" i="34"/>
  <c r="P25" i="34"/>
  <c r="D25" i="34"/>
  <c r="P38" i="34"/>
  <c r="D38" i="34"/>
  <c r="P9" i="34"/>
  <c r="D9" i="34"/>
  <c r="P40" i="34"/>
  <c r="D40" i="34"/>
  <c r="P16" i="34"/>
  <c r="D16" i="34"/>
  <c r="P67" i="34"/>
  <c r="D67" i="34"/>
  <c r="P44" i="34"/>
  <c r="D44" i="34"/>
  <c r="P13" i="34"/>
  <c r="D13" i="34"/>
  <c r="P10" i="34"/>
  <c r="D10" i="34"/>
  <c r="P18" i="34"/>
  <c r="D18" i="34"/>
  <c r="P24" i="34"/>
  <c r="P37" i="34"/>
  <c r="D37" i="34"/>
  <c r="P70" i="34"/>
  <c r="D70" i="34"/>
  <c r="P57" i="34"/>
  <c r="D57" i="34"/>
  <c r="P36" i="34"/>
  <c r="D36" i="34"/>
  <c r="P6" i="34"/>
  <c r="P53" i="34"/>
  <c r="D53" i="34"/>
  <c r="P43" i="34"/>
  <c r="D43" i="34"/>
  <c r="P16" i="14" l="1"/>
  <c r="P12" i="14"/>
  <c r="T12" i="14"/>
  <c r="U12" i="14" s="1"/>
  <c r="P10" i="14"/>
  <c r="U10" i="14" s="1"/>
  <c r="P24" i="14"/>
  <c r="T24" i="14"/>
  <c r="U16" i="14"/>
  <c r="P38" i="14"/>
  <c r="U38" i="14" s="1"/>
  <c r="P25" i="14"/>
  <c r="T25" i="14"/>
  <c r="T29" i="14"/>
  <c r="U68" i="14"/>
  <c r="P22" i="14"/>
  <c r="U22" i="14" s="1"/>
  <c r="P58" i="14"/>
  <c r="U58" i="14" s="1"/>
  <c r="P42" i="14"/>
  <c r="U42" i="14" s="1"/>
  <c r="P49" i="14"/>
  <c r="U49" i="14" s="1"/>
  <c r="C50" i="34"/>
  <c r="O52" i="4" s="1"/>
  <c r="Z52" i="4" s="1"/>
  <c r="C69" i="34"/>
  <c r="O71" i="4" s="1"/>
  <c r="Z71" i="4" s="1"/>
  <c r="C51" i="34"/>
  <c r="O53" i="4" s="1"/>
  <c r="Z53" i="4" s="1"/>
  <c r="C47" i="34"/>
  <c r="O49" i="4" s="1"/>
  <c r="Z49" i="4" s="1"/>
  <c r="C58" i="34"/>
  <c r="O60" i="4" s="1"/>
  <c r="Z60" i="4" s="1"/>
  <c r="C64" i="34"/>
  <c r="O66" i="4" s="1"/>
  <c r="Z66" i="4" s="1"/>
  <c r="C22" i="34"/>
  <c r="O24" i="4" s="1"/>
  <c r="Z24" i="4" s="1"/>
  <c r="C35" i="34"/>
  <c r="O37" i="4" s="1"/>
  <c r="Z37" i="4" s="1"/>
  <c r="P39" i="14"/>
  <c r="U39" i="14" s="1"/>
  <c r="P31" i="14"/>
  <c r="P7" i="14"/>
  <c r="T34" i="14"/>
  <c r="P19" i="14"/>
  <c r="P17" i="14"/>
  <c r="U17" i="14" s="1"/>
  <c r="P56" i="14"/>
  <c r="U56" i="14" s="1"/>
  <c r="U45" i="14"/>
  <c r="U19" i="14"/>
  <c r="P18" i="14"/>
  <c r="U18" i="14" s="1"/>
  <c r="P53" i="14"/>
  <c r="U53" i="14" s="1"/>
  <c r="P8" i="14"/>
  <c r="U8" i="14" s="1"/>
  <c r="T37" i="14"/>
  <c r="U37" i="14" s="1"/>
  <c r="U14" i="14"/>
  <c r="S70" i="51"/>
  <c r="T70" i="51" s="1"/>
  <c r="S59" i="51"/>
  <c r="T59" i="51" s="1"/>
  <c r="P20" i="14"/>
  <c r="U20" i="14" s="1"/>
  <c r="P44" i="14"/>
  <c r="U44" i="14" s="1"/>
  <c r="P69" i="14"/>
  <c r="U69" i="14" s="1"/>
  <c r="P11" i="14"/>
  <c r="U11" i="14" s="1"/>
  <c r="P13" i="14"/>
  <c r="U13" i="14" s="1"/>
  <c r="P61" i="14"/>
  <c r="U61" i="14" s="1"/>
  <c r="S30" i="51"/>
  <c r="T30" i="51" s="1"/>
  <c r="S63" i="51"/>
  <c r="T63" i="51" s="1"/>
  <c r="S46" i="51"/>
  <c r="T46" i="51" s="1"/>
  <c r="R70" i="51"/>
  <c r="R59" i="51"/>
  <c r="S10" i="51"/>
  <c r="T10" i="51" s="1"/>
  <c r="S17" i="51"/>
  <c r="T17" i="51" s="1"/>
  <c r="S11" i="51"/>
  <c r="T11" i="51" s="1"/>
  <c r="R11" i="51"/>
  <c r="S62" i="51"/>
  <c r="T62" i="51" s="1"/>
  <c r="S50" i="51"/>
  <c r="T50" i="51" s="1"/>
  <c r="S56" i="51"/>
  <c r="T56" i="51" s="1"/>
  <c r="R56" i="51"/>
  <c r="S43" i="51"/>
  <c r="T43" i="51" s="1"/>
  <c r="S34" i="51"/>
  <c r="T34" i="51" s="1"/>
  <c r="S47" i="51"/>
  <c r="T47" i="51" s="1"/>
  <c r="R47" i="51"/>
  <c r="S64" i="51"/>
  <c r="T64" i="51" s="1"/>
  <c r="S55" i="51"/>
  <c r="T55" i="51" s="1"/>
  <c r="S8" i="51"/>
  <c r="T8" i="51" s="1"/>
  <c r="S41" i="51"/>
  <c r="T41" i="51" s="1"/>
  <c r="R41" i="51"/>
  <c r="S18" i="51"/>
  <c r="T18" i="51" s="1"/>
  <c r="S61" i="51"/>
  <c r="T61" i="51" s="1"/>
  <c r="S69" i="51"/>
  <c r="T69" i="51" s="1"/>
  <c r="S27" i="51"/>
  <c r="T27" i="51" s="1"/>
  <c r="S65" i="51"/>
  <c r="T65" i="51" s="1"/>
  <c r="S40" i="51"/>
  <c r="T40" i="51" s="1"/>
  <c r="S36" i="51"/>
  <c r="T36" i="51" s="1"/>
  <c r="R36" i="51"/>
  <c r="S39" i="51"/>
  <c r="T39" i="51" s="1"/>
  <c r="R39" i="51"/>
  <c r="S48" i="51"/>
  <c r="T48" i="51" s="1"/>
  <c r="S9" i="51"/>
  <c r="T9" i="51" s="1"/>
  <c r="S29" i="51"/>
  <c r="T29" i="51" s="1"/>
  <c r="S13" i="51"/>
  <c r="T13" i="51" s="1"/>
  <c r="S51" i="51"/>
  <c r="T51" i="51" s="1"/>
  <c r="S28" i="51"/>
  <c r="T28" i="51" s="1"/>
  <c r="S67" i="51"/>
  <c r="T67" i="51" s="1"/>
  <c r="S38" i="51"/>
  <c r="T38" i="51" s="1"/>
  <c r="S35" i="51"/>
  <c r="T35" i="51" s="1"/>
  <c r="S22" i="51"/>
  <c r="T22" i="51" s="1"/>
  <c r="S58" i="51"/>
  <c r="T58" i="51" s="1"/>
  <c r="S33" i="51"/>
  <c r="T33" i="51" s="1"/>
  <c r="S15" i="51"/>
  <c r="T15" i="51" s="1"/>
  <c r="R15" i="51"/>
  <c r="S21" i="51"/>
  <c r="T21" i="51" s="1"/>
  <c r="R21" i="51"/>
  <c r="S14" i="51"/>
  <c r="T14" i="51" s="1"/>
  <c r="R14" i="51"/>
  <c r="S25" i="51"/>
  <c r="T25" i="51" s="1"/>
  <c r="S32" i="51"/>
  <c r="T32" i="51" s="1"/>
  <c r="R32" i="51"/>
  <c r="S12" i="51"/>
  <c r="T12" i="51" s="1"/>
  <c r="S72" i="51"/>
  <c r="T72" i="51" s="1"/>
  <c r="S42" i="51"/>
  <c r="T42" i="51" s="1"/>
  <c r="S45" i="51"/>
  <c r="T45" i="51" s="1"/>
  <c r="S20" i="51"/>
  <c r="T20" i="51" s="1"/>
  <c r="S57" i="51"/>
  <c r="T57" i="51" s="1"/>
  <c r="S31" i="51"/>
  <c r="T31" i="51" s="1"/>
  <c r="R31" i="51"/>
  <c r="S26" i="51"/>
  <c r="T26" i="51" s="1"/>
  <c r="S68" i="51"/>
  <c r="T68" i="51" s="1"/>
  <c r="R68" i="51"/>
  <c r="S23" i="51"/>
  <c r="T23" i="51" s="1"/>
  <c r="R23" i="51"/>
  <c r="S44" i="51"/>
  <c r="T44" i="51" s="1"/>
  <c r="S16" i="51"/>
  <c r="T16" i="51" s="1"/>
  <c r="S54" i="51"/>
  <c r="T54" i="51" s="1"/>
  <c r="S19" i="51"/>
  <c r="T19" i="51" s="1"/>
  <c r="R19" i="51"/>
  <c r="U71" i="14"/>
  <c r="C28" i="34"/>
  <c r="O30" i="4" s="1"/>
  <c r="C10" i="34"/>
  <c r="O12" i="4" s="1"/>
  <c r="C70" i="34"/>
  <c r="O72" i="4" s="1"/>
  <c r="C19" i="34"/>
  <c r="O21" i="4" s="1"/>
  <c r="C33" i="34"/>
  <c r="O35" i="4" s="1"/>
  <c r="C52" i="34"/>
  <c r="O54" i="4" s="1"/>
  <c r="C61" i="34"/>
  <c r="O63" i="4" s="1"/>
  <c r="C49" i="34"/>
  <c r="O51" i="4" s="1"/>
  <c r="C17" i="34"/>
  <c r="O19" i="4" s="1"/>
  <c r="C23" i="34"/>
  <c r="O25" i="4" s="1"/>
  <c r="C36" i="34"/>
  <c r="O38" i="4" s="1"/>
  <c r="C24" i="34"/>
  <c r="O26" i="4" s="1"/>
  <c r="C44" i="34"/>
  <c r="O46" i="4" s="1"/>
  <c r="C9" i="34"/>
  <c r="O11" i="4" s="1"/>
  <c r="C15" i="34"/>
  <c r="O17" i="4" s="1"/>
  <c r="C68" i="34"/>
  <c r="O70" i="4" s="1"/>
  <c r="C12" i="34"/>
  <c r="O14" i="4" s="1"/>
  <c r="C20" i="34"/>
  <c r="O22" i="4" s="1"/>
  <c r="C13" i="34"/>
  <c r="O15" i="4" s="1"/>
  <c r="C39" i="34"/>
  <c r="O41" i="4" s="1"/>
  <c r="C55" i="34"/>
  <c r="O57" i="4" s="1"/>
  <c r="C30" i="34"/>
  <c r="O32" i="4" s="1"/>
  <c r="C21" i="34"/>
  <c r="O23" i="4" s="1"/>
  <c r="C7" i="34"/>
  <c r="O9" i="4" s="1"/>
  <c r="C45" i="34"/>
  <c r="O47" i="4" s="1"/>
  <c r="C34" i="34"/>
  <c r="O36" i="4" s="1"/>
  <c r="C16" i="34"/>
  <c r="O18" i="4" s="1"/>
  <c r="C25" i="34"/>
  <c r="O27" i="4" s="1"/>
  <c r="C42" i="34"/>
  <c r="O44" i="4" s="1"/>
  <c r="C41" i="34"/>
  <c r="O43" i="4" s="1"/>
  <c r="C63" i="34"/>
  <c r="O65" i="4" s="1"/>
  <c r="C59" i="34"/>
  <c r="O61" i="4" s="1"/>
  <c r="C26" i="34"/>
  <c r="O28" i="4" s="1"/>
  <c r="C27" i="34"/>
  <c r="O29" i="4" s="1"/>
  <c r="C67" i="34"/>
  <c r="O69" i="4" s="1"/>
  <c r="C38" i="34"/>
  <c r="O40" i="4" s="1"/>
  <c r="C14" i="34"/>
  <c r="O16" i="4" s="1"/>
  <c r="C54" i="34"/>
  <c r="O56" i="4" s="1"/>
  <c r="C11" i="34"/>
  <c r="O13" i="4" s="1"/>
  <c r="C32" i="34"/>
  <c r="O34" i="4" s="1"/>
  <c r="C46" i="34"/>
  <c r="O48" i="4" s="1"/>
  <c r="C56" i="34"/>
  <c r="O58" i="4" s="1"/>
  <c r="C43" i="34"/>
  <c r="O45" i="4" s="1"/>
  <c r="C57" i="34"/>
  <c r="O59" i="4" s="1"/>
  <c r="C62" i="34"/>
  <c r="O64" i="4" s="1"/>
  <c r="C29" i="34"/>
  <c r="O31" i="4" s="1"/>
  <c r="C66" i="34"/>
  <c r="O68" i="4" s="1"/>
  <c r="C18" i="34"/>
  <c r="O20" i="4" s="1"/>
  <c r="C31" i="34"/>
  <c r="O33" i="4" s="1"/>
  <c r="C8" i="34"/>
  <c r="O10" i="4" s="1"/>
  <c r="C6" i="34"/>
  <c r="O8" i="4" s="1"/>
  <c r="C37" i="34"/>
  <c r="O39" i="4" s="1"/>
  <c r="C40" i="34"/>
  <c r="O42" i="4" s="1"/>
  <c r="C60" i="34"/>
  <c r="O62" i="4" s="1"/>
  <c r="C48" i="34"/>
  <c r="O50" i="4" s="1"/>
  <c r="C53" i="34"/>
  <c r="O55" i="4" s="1"/>
  <c r="C65" i="34"/>
  <c r="O67" i="4" s="1"/>
  <c r="B70" i="14" l="1"/>
  <c r="B52" i="14"/>
  <c r="B65" i="14"/>
  <c r="B51" i="14"/>
  <c r="B59" i="14"/>
  <c r="B48" i="14"/>
  <c r="B36" i="14"/>
  <c r="B23" i="14"/>
  <c r="B69" i="34"/>
  <c r="E69" i="34"/>
  <c r="F69" i="34" s="1"/>
  <c r="B64" i="34"/>
  <c r="E64" i="34"/>
  <c r="F64" i="34" s="1"/>
  <c r="E58" i="34"/>
  <c r="F58" i="34" s="1"/>
  <c r="B58" i="34"/>
  <c r="B51" i="34"/>
  <c r="B50" i="34"/>
  <c r="E51" i="34"/>
  <c r="F51" i="34" s="1"/>
  <c r="E50" i="34"/>
  <c r="F50" i="34" s="1"/>
  <c r="B47" i="34"/>
  <c r="E47" i="34"/>
  <c r="F47" i="34" s="1"/>
  <c r="B35" i="34"/>
  <c r="E35" i="34"/>
  <c r="F35" i="34" s="1"/>
  <c r="B22" i="34"/>
  <c r="E22" i="34"/>
  <c r="F22" i="34" s="1"/>
  <c r="B21" i="14"/>
  <c r="B60" i="14"/>
  <c r="B39" i="14"/>
  <c r="B34" i="14"/>
  <c r="B22" i="14"/>
  <c r="B25" i="14"/>
  <c r="B49" i="14"/>
  <c r="B16" i="14"/>
  <c r="B46" i="14"/>
  <c r="B15" i="14"/>
  <c r="B68" i="14"/>
  <c r="B17" i="14"/>
  <c r="B26" i="14"/>
  <c r="B19" i="14"/>
  <c r="B28" i="14"/>
  <c r="B8" i="14"/>
  <c r="B67" i="14"/>
  <c r="B69" i="14"/>
  <c r="B14" i="14"/>
  <c r="B71" i="14"/>
  <c r="B47" i="14"/>
  <c r="B12" i="14"/>
  <c r="B64" i="14"/>
  <c r="B45" i="14"/>
  <c r="B66" i="14"/>
  <c r="B24" i="14"/>
  <c r="B62" i="14"/>
  <c r="B58" i="14"/>
  <c r="B57" i="14"/>
  <c r="B56" i="14"/>
  <c r="B27" i="14"/>
  <c r="B50" i="14"/>
  <c r="B29" i="14"/>
  <c r="B33" i="14"/>
  <c r="B10" i="14"/>
  <c r="B30" i="14"/>
  <c r="B63" i="14"/>
  <c r="B38" i="14"/>
  <c r="B18" i="14"/>
  <c r="B37" i="14"/>
  <c r="B13" i="14"/>
  <c r="B41" i="14"/>
  <c r="B54" i="14"/>
  <c r="B43" i="14"/>
  <c r="B40" i="14"/>
  <c r="B20" i="14"/>
  <c r="B42" i="14"/>
  <c r="B32" i="14"/>
  <c r="B35" i="14"/>
  <c r="B11" i="14"/>
  <c r="B53" i="14"/>
  <c r="B31" i="14"/>
  <c r="B61" i="14"/>
  <c r="B9" i="14"/>
  <c r="B55" i="14"/>
  <c r="B44" i="14"/>
  <c r="B7" i="14"/>
  <c r="E52" i="34"/>
  <c r="F52" i="34" s="1"/>
  <c r="E44" i="34"/>
  <c r="F44" i="34" s="1"/>
  <c r="E48" i="34"/>
  <c r="F48" i="34" s="1"/>
  <c r="B48" i="34"/>
  <c r="E30" i="34"/>
  <c r="F30" i="34" s="1"/>
  <c r="B17" i="34"/>
  <c r="B16" i="34"/>
  <c r="E17" i="34"/>
  <c r="F17" i="34" s="1"/>
  <c r="E40" i="34"/>
  <c r="F40" i="34" s="1"/>
  <c r="B40" i="34"/>
  <c r="B62" i="34"/>
  <c r="E62" i="34"/>
  <c r="F62" i="34" s="1"/>
  <c r="E14" i="34"/>
  <c r="F14" i="34" s="1"/>
  <c r="B14" i="34"/>
  <c r="E41" i="34"/>
  <c r="F41" i="34" s="1"/>
  <c r="E45" i="34"/>
  <c r="F45" i="34" s="1"/>
  <c r="B36" i="34"/>
  <c r="B20" i="34"/>
  <c r="E28" i="34"/>
  <c r="F28" i="34" s="1"/>
  <c r="B49" i="34"/>
  <c r="B23" i="34"/>
  <c r="B52" i="34"/>
  <c r="E63" i="34"/>
  <c r="F63" i="34" s="1"/>
  <c r="B29" i="34"/>
  <c r="E29" i="34"/>
  <c r="F29" i="34" s="1"/>
  <c r="B39" i="34"/>
  <c r="E37" i="34"/>
  <c r="F37" i="34" s="1"/>
  <c r="B37" i="34"/>
  <c r="B57" i="34"/>
  <c r="E57" i="34"/>
  <c r="F57" i="34" s="1"/>
  <c r="B38" i="34"/>
  <c r="E38" i="34"/>
  <c r="F38" i="34" s="1"/>
  <c r="B41" i="34"/>
  <c r="B45" i="34"/>
  <c r="E36" i="34"/>
  <c r="F36" i="34" s="1"/>
  <c r="E20" i="34"/>
  <c r="F20" i="34" s="1"/>
  <c r="B28" i="34"/>
  <c r="E49" i="34"/>
  <c r="F49" i="34" s="1"/>
  <c r="E23" i="34"/>
  <c r="F23" i="34" s="1"/>
  <c r="B66" i="34"/>
  <c r="E66" i="34"/>
  <c r="F66" i="34" s="1"/>
  <c r="B44" i="34"/>
  <c r="B63" i="34"/>
  <c r="B6" i="34"/>
  <c r="E6" i="34"/>
  <c r="F6" i="34" s="1"/>
  <c r="E43" i="34"/>
  <c r="F43" i="34" s="1"/>
  <c r="B43" i="34"/>
  <c r="B67" i="34"/>
  <c r="E67" i="34"/>
  <c r="F67" i="34" s="1"/>
  <c r="E42" i="34"/>
  <c r="F42" i="34" s="1"/>
  <c r="B13" i="34"/>
  <c r="B61" i="34"/>
  <c r="B15" i="34"/>
  <c r="E55" i="34"/>
  <c r="F55" i="34" s="1"/>
  <c r="B19" i="34"/>
  <c r="B33" i="34"/>
  <c r="E70" i="34"/>
  <c r="F70" i="34" s="1"/>
  <c r="B11" i="34"/>
  <c r="E11" i="34"/>
  <c r="F11" i="34" s="1"/>
  <c r="E54" i="34"/>
  <c r="F54" i="34" s="1"/>
  <c r="B54" i="34"/>
  <c r="E8" i="34"/>
  <c r="F8" i="34" s="1"/>
  <c r="B8" i="34"/>
  <c r="E56" i="34"/>
  <c r="F56" i="34" s="1"/>
  <c r="B56" i="34"/>
  <c r="B27" i="34"/>
  <c r="E27" i="34"/>
  <c r="F27" i="34" s="1"/>
  <c r="B42" i="34"/>
  <c r="E13" i="34"/>
  <c r="F13" i="34" s="1"/>
  <c r="E61" i="34"/>
  <c r="F61" i="34" s="1"/>
  <c r="E15" i="34"/>
  <c r="F15" i="34" s="1"/>
  <c r="B55" i="34"/>
  <c r="E19" i="34"/>
  <c r="F19" i="34" s="1"/>
  <c r="E33" i="34"/>
  <c r="F33" i="34" s="1"/>
  <c r="B70" i="34"/>
  <c r="B9" i="34"/>
  <c r="E60" i="34"/>
  <c r="F60" i="34" s="1"/>
  <c r="B60" i="34"/>
  <c r="B30" i="34"/>
  <c r="B65" i="34"/>
  <c r="E65" i="34"/>
  <c r="F65" i="34" s="1"/>
  <c r="B31" i="34"/>
  <c r="E31" i="34"/>
  <c r="F31" i="34" s="1"/>
  <c r="E46" i="34"/>
  <c r="F46" i="34" s="1"/>
  <c r="B46" i="34"/>
  <c r="B26" i="34"/>
  <c r="E26" i="34"/>
  <c r="F26" i="34" s="1"/>
  <c r="E25" i="34"/>
  <c r="F25" i="34" s="1"/>
  <c r="B68" i="34"/>
  <c r="E10" i="34"/>
  <c r="F10" i="34" s="1"/>
  <c r="B24" i="34"/>
  <c r="B12" i="34"/>
  <c r="B34" i="34"/>
  <c r="B21" i="34"/>
  <c r="E7" i="34"/>
  <c r="F7" i="34" s="1"/>
  <c r="E16" i="34"/>
  <c r="F16" i="34" s="1"/>
  <c r="E39" i="34"/>
  <c r="F39" i="34" s="1"/>
  <c r="E9" i="34"/>
  <c r="F9" i="34" s="1"/>
  <c r="B53" i="34"/>
  <c r="E53" i="34"/>
  <c r="F53" i="34" s="1"/>
  <c r="E18" i="34"/>
  <c r="F18" i="34" s="1"/>
  <c r="B18" i="34"/>
  <c r="B32" i="34"/>
  <c r="E32" i="34"/>
  <c r="F32" i="34" s="1"/>
  <c r="B59" i="34"/>
  <c r="E59" i="34"/>
  <c r="F59" i="34" s="1"/>
  <c r="B25" i="34"/>
  <c r="E68" i="34"/>
  <c r="F68" i="34" s="1"/>
  <c r="B10" i="34"/>
  <c r="E24" i="34"/>
  <c r="F24" i="34" s="1"/>
  <c r="E12" i="34"/>
  <c r="F12" i="34" s="1"/>
  <c r="E34" i="34"/>
  <c r="F34" i="34" s="1"/>
  <c r="E21" i="34"/>
  <c r="F21" i="34" s="1"/>
  <c r="B7" i="34"/>
  <c r="D6" i="6" l="1"/>
  <c r="C17" i="6" l="1"/>
  <c r="C25" i="6"/>
  <c r="C35" i="6"/>
  <c r="I36" i="4" s="1"/>
  <c r="C43" i="6"/>
  <c r="C63" i="6"/>
  <c r="I64" i="4" s="1"/>
  <c r="C52" i="6"/>
  <c r="C8" i="6"/>
  <c r="I9" i="4" s="1"/>
  <c r="C26" i="6"/>
  <c r="I27" i="4" s="1"/>
  <c r="C44" i="6"/>
  <c r="C54" i="6"/>
  <c r="I55" i="4" s="1"/>
  <c r="C64" i="6"/>
  <c r="C24" i="6"/>
  <c r="B24" i="6" s="1"/>
  <c r="C9" i="6"/>
  <c r="C18" i="6"/>
  <c r="C27" i="6"/>
  <c r="C36" i="6"/>
  <c r="C45" i="6"/>
  <c r="I46" i="4" s="1"/>
  <c r="C65" i="6"/>
  <c r="C33" i="6"/>
  <c r="I34" i="4" s="1"/>
  <c r="C10" i="6"/>
  <c r="C28" i="6"/>
  <c r="C46" i="6"/>
  <c r="C55" i="6"/>
  <c r="C66" i="6"/>
  <c r="B66" i="6" s="1"/>
  <c r="C61" i="6"/>
  <c r="C11" i="6"/>
  <c r="C19" i="6"/>
  <c r="C29" i="6"/>
  <c r="I30" i="4" s="1"/>
  <c r="C37" i="6"/>
  <c r="C47" i="6"/>
  <c r="C56" i="6"/>
  <c r="I57" i="4" s="1"/>
  <c r="C20" i="6"/>
  <c r="I21" i="4" s="1"/>
  <c r="C38" i="6"/>
  <c r="I39" i="4" s="1"/>
  <c r="C48" i="6"/>
  <c r="C57" i="6"/>
  <c r="C67" i="6"/>
  <c r="B67" i="6" s="1"/>
  <c r="C58" i="6"/>
  <c r="C42" i="6"/>
  <c r="C12" i="6"/>
  <c r="C21" i="6"/>
  <c r="I22" i="4" s="1"/>
  <c r="C30" i="6"/>
  <c r="I31" i="4" s="1"/>
  <c r="C39" i="6"/>
  <c r="I40" i="4" s="1"/>
  <c r="C68" i="6"/>
  <c r="C22" i="6"/>
  <c r="I23" i="4" s="1"/>
  <c r="C40" i="6"/>
  <c r="I41" i="4" s="1"/>
  <c r="C49" i="6"/>
  <c r="I50" i="4" s="1"/>
  <c r="C59" i="6"/>
  <c r="C69" i="6"/>
  <c r="B69" i="6" s="1"/>
  <c r="C15" i="6"/>
  <c r="C13" i="6"/>
  <c r="C23" i="6"/>
  <c r="C31" i="6"/>
  <c r="I32" i="4" s="1"/>
  <c r="C41" i="6"/>
  <c r="I42" i="4" s="1"/>
  <c r="C50" i="6"/>
  <c r="I51" i="4" s="1"/>
  <c r="C60" i="6"/>
  <c r="C70" i="6"/>
  <c r="C14" i="6"/>
  <c r="I15" i="4" s="1"/>
  <c r="C32" i="6"/>
  <c r="I33" i="4" s="1"/>
  <c r="C51" i="6"/>
  <c r="C71" i="6"/>
  <c r="B71" i="6" s="1"/>
  <c r="C16" i="6"/>
  <c r="C34" i="6"/>
  <c r="C53" i="6"/>
  <c r="C62" i="6"/>
  <c r="C7" i="6"/>
  <c r="I8" i="4" s="1"/>
  <c r="I54" i="4"/>
  <c r="I48" i="4"/>
  <c r="I10" i="4"/>
  <c r="I62" i="4"/>
  <c r="I35" i="4"/>
  <c r="I29" i="4"/>
  <c r="I18" i="4"/>
  <c r="I28" i="4"/>
  <c r="I13" i="4"/>
  <c r="I19" i="4"/>
  <c r="I59" i="4"/>
  <c r="I38" i="4"/>
  <c r="I63" i="4"/>
  <c r="I44" i="4"/>
  <c r="I26" i="4"/>
  <c r="I14" i="4"/>
  <c r="I16" i="4"/>
  <c r="I12" i="4"/>
  <c r="I43" i="4"/>
  <c r="I20" i="4"/>
  <c r="I17" i="4"/>
  <c r="B59" i="6" l="1"/>
  <c r="B55" i="6"/>
  <c r="B64" i="6"/>
  <c r="I49" i="4"/>
  <c r="T49" i="4" s="1"/>
  <c r="B48" i="6"/>
  <c r="B46" i="6"/>
  <c r="B54" i="6"/>
  <c r="B57" i="6"/>
  <c r="I58" i="4"/>
  <c r="B38" i="6"/>
  <c r="B28" i="6"/>
  <c r="B44" i="6"/>
  <c r="I56" i="4"/>
  <c r="B22" i="6"/>
  <c r="B20" i="6"/>
  <c r="B10" i="6"/>
  <c r="B26" i="6"/>
  <c r="B68" i="6"/>
  <c r="B8" i="6"/>
  <c r="B14" i="6"/>
  <c r="I47" i="4"/>
  <c r="B56" i="6"/>
  <c r="B33" i="6"/>
  <c r="I65" i="4"/>
  <c r="I70" i="4"/>
  <c r="B50" i="6"/>
  <c r="B39" i="6"/>
  <c r="B47" i="6"/>
  <c r="I66" i="4"/>
  <c r="T66" i="4" s="1"/>
  <c r="B65" i="6"/>
  <c r="B52" i="6"/>
  <c r="I53" i="4"/>
  <c r="T53" i="4" s="1"/>
  <c r="B32" i="6"/>
  <c r="B41" i="6"/>
  <c r="B30" i="6"/>
  <c r="B37" i="6"/>
  <c r="B45" i="6"/>
  <c r="B63" i="6"/>
  <c r="B49" i="6"/>
  <c r="B62" i="6"/>
  <c r="B31" i="6"/>
  <c r="B21" i="6"/>
  <c r="B29" i="6"/>
  <c r="B36" i="6"/>
  <c r="I37" i="4"/>
  <c r="T37" i="4" s="1"/>
  <c r="B43" i="6"/>
  <c r="B51" i="6"/>
  <c r="I52" i="4"/>
  <c r="T52" i="4" s="1"/>
  <c r="B60" i="6"/>
  <c r="I45" i="4"/>
  <c r="B53" i="6"/>
  <c r="B23" i="6"/>
  <c r="I24" i="4"/>
  <c r="T24" i="4" s="1"/>
  <c r="B12" i="6"/>
  <c r="B19" i="6"/>
  <c r="B27" i="6"/>
  <c r="B35" i="6"/>
  <c r="B40" i="6"/>
  <c r="I60" i="4"/>
  <c r="T60" i="4" s="1"/>
  <c r="I61" i="4"/>
  <c r="B34" i="6"/>
  <c r="B13" i="6"/>
  <c r="B42" i="6"/>
  <c r="B11" i="6"/>
  <c r="B18" i="6"/>
  <c r="B25" i="6"/>
  <c r="B70" i="6"/>
  <c r="I71" i="4"/>
  <c r="T71" i="4" s="1"/>
  <c r="I68" i="4"/>
  <c r="I72" i="4"/>
  <c r="I67" i="4"/>
  <c r="I11" i="4"/>
  <c r="I25" i="4"/>
  <c r="I69" i="4"/>
  <c r="B16" i="6"/>
  <c r="B15" i="6"/>
  <c r="B58" i="6"/>
  <c r="B61" i="6"/>
  <c r="B9" i="6"/>
  <c r="B17" i="6"/>
  <c r="B7" i="6"/>
  <c r="G71" i="7" l="1"/>
  <c r="G69" i="7"/>
  <c r="G68" i="7"/>
  <c r="G67" i="7"/>
  <c r="G66" i="7"/>
  <c r="G64" i="7"/>
  <c r="G63" i="7"/>
  <c r="G62" i="7"/>
  <c r="G61" i="7"/>
  <c r="G60" i="7"/>
  <c r="G58" i="7"/>
  <c r="G57" i="7"/>
  <c r="G56" i="7"/>
  <c r="G55" i="7"/>
  <c r="G54" i="7"/>
  <c r="G53" i="7"/>
  <c r="G50" i="7"/>
  <c r="G49" i="7"/>
  <c r="G47" i="7"/>
  <c r="G46" i="7"/>
  <c r="G45" i="7"/>
  <c r="G44" i="7"/>
  <c r="G43" i="7"/>
  <c r="G42" i="7"/>
  <c r="G41" i="7"/>
  <c r="G40" i="7"/>
  <c r="G39" i="7"/>
  <c r="G38" i="7"/>
  <c r="G37" i="7"/>
  <c r="G35" i="7"/>
  <c r="G34" i="7"/>
  <c r="G33" i="7"/>
  <c r="G32" i="7"/>
  <c r="G31" i="7"/>
  <c r="G30" i="7"/>
  <c r="G29" i="7"/>
  <c r="G28" i="7"/>
  <c r="G27" i="7"/>
  <c r="G26" i="7"/>
  <c r="G25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6" i="7" l="1"/>
  <c r="D7" i="5"/>
  <c r="F70" i="7" l="1"/>
  <c r="C70" i="7" s="1"/>
  <c r="F59" i="7"/>
  <c r="C59" i="7" s="1"/>
  <c r="F65" i="7"/>
  <c r="C65" i="7" s="1"/>
  <c r="F51" i="7"/>
  <c r="C51" i="7" s="1"/>
  <c r="F52" i="7"/>
  <c r="C52" i="7" s="1"/>
  <c r="F36" i="7"/>
  <c r="F48" i="7"/>
  <c r="C48" i="7" s="1"/>
  <c r="F24" i="7"/>
  <c r="F23" i="7"/>
  <c r="C23" i="7" s="1"/>
  <c r="F42" i="7"/>
  <c r="F7" i="7"/>
  <c r="D6" i="5"/>
  <c r="F43" i="7"/>
  <c r="F69" i="7"/>
  <c r="F58" i="7"/>
  <c r="F47" i="7"/>
  <c r="F19" i="7"/>
  <c r="F62" i="7"/>
  <c r="F31" i="7"/>
  <c r="F53" i="7"/>
  <c r="F45" i="7"/>
  <c r="F67" i="7"/>
  <c r="F64" i="7"/>
  <c r="F56" i="7"/>
  <c r="F38" i="7"/>
  <c r="F30" i="7"/>
  <c r="F28" i="7"/>
  <c r="F26" i="7"/>
  <c r="F16" i="7"/>
  <c r="F14" i="7"/>
  <c r="F12" i="7"/>
  <c r="F10" i="7"/>
  <c r="F18" i="7"/>
  <c r="F9" i="7"/>
  <c r="F60" i="7"/>
  <c r="F54" i="7"/>
  <c r="F41" i="7"/>
  <c r="F40" i="7"/>
  <c r="C40" i="7" s="1"/>
  <c r="F22" i="7"/>
  <c r="F35" i="7"/>
  <c r="F33" i="7"/>
  <c r="F20" i="7"/>
  <c r="F66" i="7"/>
  <c r="F63" i="7"/>
  <c r="F44" i="7"/>
  <c r="F29" i="7"/>
  <c r="F17" i="7"/>
  <c r="F15" i="7"/>
  <c r="F13" i="7"/>
  <c r="F50" i="7"/>
  <c r="F27" i="7"/>
  <c r="F8" i="7"/>
  <c r="C8" i="7" s="1"/>
  <c r="F34" i="7"/>
  <c r="F37" i="7"/>
  <c r="F25" i="7"/>
  <c r="F68" i="7"/>
  <c r="F57" i="7"/>
  <c r="F71" i="7"/>
  <c r="F39" i="7"/>
  <c r="F61" i="7"/>
  <c r="F11" i="7"/>
  <c r="F55" i="7"/>
  <c r="F21" i="7"/>
  <c r="F32" i="7"/>
  <c r="F49" i="7"/>
  <c r="C39" i="7" l="1"/>
  <c r="J40" i="4" s="1"/>
  <c r="C61" i="7"/>
  <c r="C63" i="7"/>
  <c r="C25" i="7"/>
  <c r="C12" i="7"/>
  <c r="J13" i="4" s="1"/>
  <c r="C37" i="7"/>
  <c r="J38" i="4" s="1"/>
  <c r="C36" i="7"/>
  <c r="J37" i="4" s="1"/>
  <c r="U37" i="4" s="1"/>
  <c r="C60" i="7"/>
  <c r="C44" i="7"/>
  <c r="J45" i="4" s="1"/>
  <c r="C54" i="7"/>
  <c r="C71" i="7"/>
  <c r="C67" i="7"/>
  <c r="C53" i="7"/>
  <c r="J54" i="4" s="1"/>
  <c r="C42" i="7"/>
  <c r="J43" i="4" s="1"/>
  <c r="C14" i="7"/>
  <c r="J15" i="4" s="1"/>
  <c r="C16" i="7"/>
  <c r="J17" i="4" s="1"/>
  <c r="C27" i="7"/>
  <c r="J28" i="4" s="1"/>
  <c r="C56" i="7"/>
  <c r="J57" i="4" s="1"/>
  <c r="C17" i="7"/>
  <c r="J18" i="4" s="1"/>
  <c r="C9" i="7"/>
  <c r="J10" i="4" s="1"/>
  <c r="C57" i="7"/>
  <c r="C45" i="7"/>
  <c r="C68" i="7"/>
  <c r="C10" i="7"/>
  <c r="J11" i="4" s="1"/>
  <c r="C24" i="7"/>
  <c r="J25" i="4" s="1"/>
  <c r="C66" i="7"/>
  <c r="C31" i="7"/>
  <c r="J32" i="4" s="1"/>
  <c r="C20" i="7"/>
  <c r="C34" i="7"/>
  <c r="J35" i="4" s="1"/>
  <c r="C55" i="7"/>
  <c r="J56" i="4" s="1"/>
  <c r="C15" i="7"/>
  <c r="J16" i="4" s="1"/>
  <c r="C64" i="7"/>
  <c r="C29" i="7"/>
  <c r="J30" i="4" s="1"/>
  <c r="C18" i="7"/>
  <c r="J47" i="4"/>
  <c r="C46" i="7"/>
  <c r="C62" i="7"/>
  <c r="C49" i="7"/>
  <c r="J50" i="4" s="1"/>
  <c r="C33" i="7"/>
  <c r="J34" i="4" s="1"/>
  <c r="C19" i="7"/>
  <c r="J20" i="4" s="1"/>
  <c r="C32" i="7"/>
  <c r="J33" i="4" s="1"/>
  <c r="C35" i="7"/>
  <c r="J36" i="4" s="1"/>
  <c r="C26" i="7"/>
  <c r="J27" i="4" s="1"/>
  <c r="C47" i="7"/>
  <c r="J48" i="4" s="1"/>
  <c r="C21" i="7"/>
  <c r="J22" i="4" s="1"/>
  <c r="C22" i="7"/>
  <c r="J23" i="4" s="1"/>
  <c r="C28" i="7"/>
  <c r="J29" i="4" s="1"/>
  <c r="C58" i="7"/>
  <c r="C50" i="7"/>
  <c r="J51" i="4" s="1"/>
  <c r="C30" i="7"/>
  <c r="J31" i="4" s="1"/>
  <c r="C69" i="7"/>
  <c r="C11" i="7"/>
  <c r="C13" i="7"/>
  <c r="C41" i="7"/>
  <c r="J42" i="4" s="1"/>
  <c r="C38" i="7"/>
  <c r="J39" i="4" s="1"/>
  <c r="C43" i="7"/>
  <c r="J44" i="4" s="1"/>
  <c r="J41" i="4"/>
  <c r="J53" i="4"/>
  <c r="U53" i="4" s="1"/>
  <c r="J52" i="4"/>
  <c r="U52" i="4" s="1"/>
  <c r="J49" i="4"/>
  <c r="U49" i="4" s="1"/>
  <c r="J24" i="4"/>
  <c r="U24" i="4" s="1"/>
  <c r="J9" i="4"/>
  <c r="U9" i="4" s="1"/>
  <c r="C15" i="5"/>
  <c r="C38" i="5"/>
  <c r="C62" i="5"/>
  <c r="C16" i="5"/>
  <c r="H17" i="4" s="1"/>
  <c r="C50" i="5"/>
  <c r="C17" i="5"/>
  <c r="C34" i="5"/>
  <c r="H35" i="4" s="1"/>
  <c r="C12" i="5"/>
  <c r="H13" i="4" s="1"/>
  <c r="C18" i="5"/>
  <c r="H19" i="4" s="1"/>
  <c r="C20" i="5"/>
  <c r="H21" i="4" s="1"/>
  <c r="C42" i="5"/>
  <c r="C70" i="5"/>
  <c r="C19" i="5"/>
  <c r="C46" i="5"/>
  <c r="C8" i="5"/>
  <c r="H9" i="4" s="1"/>
  <c r="C26" i="5"/>
  <c r="C9" i="5"/>
  <c r="C21" i="5"/>
  <c r="H22" i="4" s="1"/>
  <c r="C58" i="5"/>
  <c r="C10" i="5"/>
  <c r="H11" i="4" s="1"/>
  <c r="C22" i="5"/>
  <c r="H23" i="4" s="1"/>
  <c r="C11" i="5"/>
  <c r="H12" i="4" s="1"/>
  <c r="C30" i="5"/>
  <c r="C66" i="5"/>
  <c r="C14" i="5"/>
  <c r="C54" i="5"/>
  <c r="H55" i="4" s="1"/>
  <c r="C13" i="5"/>
  <c r="C60" i="5"/>
  <c r="C65" i="5"/>
  <c r="C53" i="5"/>
  <c r="H54" i="4" s="1"/>
  <c r="C25" i="5"/>
  <c r="H26" i="4" s="1"/>
  <c r="C29" i="5"/>
  <c r="H16" i="4" s="1"/>
  <c r="C56" i="5"/>
  <c r="H57" i="4" s="1"/>
  <c r="C59" i="5"/>
  <c r="H60" i="4" s="1"/>
  <c r="S60" i="4" s="1"/>
  <c r="C63" i="5"/>
  <c r="C35" i="5"/>
  <c r="C67" i="5"/>
  <c r="C45" i="5"/>
  <c r="C40" i="5"/>
  <c r="H56" i="4" s="1"/>
  <c r="C28" i="5"/>
  <c r="H29" i="4" s="1"/>
  <c r="C24" i="5"/>
  <c r="H25" i="4" s="1"/>
  <c r="C48" i="5"/>
  <c r="H49" i="4" s="1"/>
  <c r="S49" i="4" s="1"/>
  <c r="C41" i="5"/>
  <c r="H42" i="4" s="1"/>
  <c r="C68" i="5"/>
  <c r="C69" i="5"/>
  <c r="H70" i="4" s="1"/>
  <c r="C47" i="5"/>
  <c r="H48" i="4" s="1"/>
  <c r="C57" i="5"/>
  <c r="C51" i="5"/>
  <c r="C64" i="5"/>
  <c r="C55" i="5"/>
  <c r="C49" i="5"/>
  <c r="C33" i="5"/>
  <c r="C27" i="5"/>
  <c r="C31" i="5"/>
  <c r="H32" i="4" s="1"/>
  <c r="C71" i="5"/>
  <c r="H72" i="4" s="1"/>
  <c r="C32" i="5"/>
  <c r="H33" i="4" s="1"/>
  <c r="C23" i="5"/>
  <c r="H24" i="4" s="1"/>
  <c r="S24" i="4" s="1"/>
  <c r="C61" i="5"/>
  <c r="H62" i="4" s="1"/>
  <c r="C52" i="5"/>
  <c r="H53" i="4" s="1"/>
  <c r="S53" i="4" s="1"/>
  <c r="C39" i="5"/>
  <c r="C43" i="5"/>
  <c r="C37" i="5"/>
  <c r="C44" i="5"/>
  <c r="H50" i="4" s="1"/>
  <c r="C36" i="5"/>
  <c r="H37" i="4" s="1"/>
  <c r="S37" i="4" s="1"/>
  <c r="C7" i="5"/>
  <c r="H18" i="4"/>
  <c r="H47" i="4"/>
  <c r="H39" i="4"/>
  <c r="H34" i="4"/>
  <c r="H63" i="4"/>
  <c r="H20" i="4"/>
  <c r="H65" i="4"/>
  <c r="H45" i="4"/>
  <c r="H28" i="4" l="1"/>
  <c r="H40" i="4"/>
  <c r="S40" i="4" s="1"/>
  <c r="H52" i="4"/>
  <c r="S52" i="4" s="1"/>
  <c r="H59" i="4"/>
  <c r="H66" i="4"/>
  <c r="S66" i="4" s="1"/>
  <c r="AD66" i="4" s="1"/>
  <c r="H10" i="4"/>
  <c r="H14" i="4"/>
  <c r="H46" i="4"/>
  <c r="H44" i="4"/>
  <c r="H61" i="4"/>
  <c r="S61" i="4" s="1"/>
  <c r="H41" i="4"/>
  <c r="H27" i="4"/>
  <c r="S27" i="4" s="1"/>
  <c r="H30" i="4"/>
  <c r="H15" i="4"/>
  <c r="H36" i="4"/>
  <c r="S36" i="4" s="1"/>
  <c r="H67" i="4"/>
  <c r="H71" i="4"/>
  <c r="S71" i="4" s="1"/>
  <c r="H69" i="4"/>
  <c r="S69" i="4" s="1"/>
  <c r="H38" i="4"/>
  <c r="H51" i="4"/>
  <c r="S51" i="4" s="1"/>
  <c r="H58" i="4"/>
  <c r="S58" i="4" s="1"/>
  <c r="H64" i="4"/>
  <c r="S64" i="4" s="1"/>
  <c r="H31" i="4"/>
  <c r="S31" i="4" s="1"/>
  <c r="H43" i="4"/>
  <c r="S43" i="4" s="1"/>
  <c r="C60" i="4"/>
  <c r="AD60" i="4"/>
  <c r="C49" i="4"/>
  <c r="AD49" i="4"/>
  <c r="C24" i="4"/>
  <c r="AD24" i="4"/>
  <c r="C52" i="4"/>
  <c r="AD52" i="4"/>
  <c r="AD71" i="4"/>
  <c r="C71" i="4"/>
  <c r="C53" i="4"/>
  <c r="AD53" i="4"/>
  <c r="C37" i="4"/>
  <c r="AD37" i="4"/>
  <c r="B59" i="7"/>
  <c r="B26" i="7"/>
  <c r="B28" i="7"/>
  <c r="B9" i="7"/>
  <c r="B54" i="7"/>
  <c r="B61" i="7"/>
  <c r="B12" i="7"/>
  <c r="B63" i="7"/>
  <c r="B20" i="7"/>
  <c r="B22" i="7"/>
  <c r="B24" i="7"/>
  <c r="B46" i="7"/>
  <c r="B25" i="7"/>
  <c r="B16" i="7"/>
  <c r="B51" i="7"/>
  <c r="B70" i="7"/>
  <c r="B34" i="7"/>
  <c r="B32" i="7"/>
  <c r="B41" i="7"/>
  <c r="B48" i="7"/>
  <c r="B58" i="7"/>
  <c r="B21" i="7"/>
  <c r="B68" i="7"/>
  <c r="B13" i="7"/>
  <c r="B45" i="7"/>
  <c r="B71" i="7"/>
  <c r="B64" i="7"/>
  <c r="B42" i="7"/>
  <c r="B53" i="7"/>
  <c r="B31" i="7"/>
  <c r="B60" i="7"/>
  <c r="B35" i="7"/>
  <c r="B57" i="7"/>
  <c r="U72" i="4"/>
  <c r="B52" i="7"/>
  <c r="J14" i="4"/>
  <c r="U14" i="4" s="1"/>
  <c r="J19" i="4"/>
  <c r="U19" i="4" s="1"/>
  <c r="J21" i="4"/>
  <c r="J46" i="4"/>
  <c r="U46" i="4" s="1"/>
  <c r="J55" i="4"/>
  <c r="U55" i="4" s="1"/>
  <c r="J26" i="4"/>
  <c r="B69" i="7"/>
  <c r="B38" i="7"/>
  <c r="B14" i="7"/>
  <c r="B18" i="7"/>
  <c r="B50" i="7"/>
  <c r="J12" i="4"/>
  <c r="U12" i="4" s="1"/>
  <c r="U59" i="4"/>
  <c r="B66" i="7"/>
  <c r="B33" i="7"/>
  <c r="B67" i="7"/>
  <c r="B65" i="7"/>
  <c r="J8" i="4"/>
  <c r="U8" i="4" s="1"/>
  <c r="B29" i="7"/>
  <c r="B39" i="7"/>
  <c r="B44" i="7"/>
  <c r="B10" i="7"/>
  <c r="B7" i="7"/>
  <c r="B23" i="7"/>
  <c r="B19" i="7"/>
  <c r="B55" i="7"/>
  <c r="B56" i="7"/>
  <c r="B8" i="7"/>
  <c r="B11" i="7"/>
  <c r="B62" i="7"/>
  <c r="B36" i="7"/>
  <c r="B37" i="7"/>
  <c r="B27" i="7"/>
  <c r="B47" i="7"/>
  <c r="B15" i="7"/>
  <c r="B43" i="7"/>
  <c r="B17" i="7"/>
  <c r="B30" i="7"/>
  <c r="B40" i="7"/>
  <c r="B49" i="7"/>
  <c r="H68" i="4"/>
  <c r="S68" i="4" s="1"/>
  <c r="H8" i="4"/>
  <c r="S8" i="4" s="1"/>
  <c r="S72" i="4"/>
  <c r="T72" i="4"/>
  <c r="V72" i="4"/>
  <c r="W72" i="4"/>
  <c r="X72" i="4"/>
  <c r="Y72" i="4"/>
  <c r="Z72" i="4"/>
  <c r="AA72" i="4"/>
  <c r="AB72" i="4"/>
  <c r="S70" i="4"/>
  <c r="T70" i="4"/>
  <c r="U70" i="4"/>
  <c r="V70" i="4"/>
  <c r="W70" i="4"/>
  <c r="X70" i="4"/>
  <c r="Y70" i="4"/>
  <c r="Z70" i="4"/>
  <c r="AA70" i="4"/>
  <c r="AB70" i="4"/>
  <c r="T69" i="4"/>
  <c r="U69" i="4"/>
  <c r="V69" i="4"/>
  <c r="W69" i="4"/>
  <c r="X69" i="4"/>
  <c r="Y69" i="4"/>
  <c r="Z69" i="4"/>
  <c r="AA69" i="4"/>
  <c r="AB69" i="4"/>
  <c r="T68" i="4"/>
  <c r="U68" i="4"/>
  <c r="V68" i="4"/>
  <c r="W68" i="4"/>
  <c r="X68" i="4"/>
  <c r="Y68" i="4"/>
  <c r="Z68" i="4"/>
  <c r="AA68" i="4"/>
  <c r="AB68" i="4"/>
  <c r="S67" i="4"/>
  <c r="T67" i="4"/>
  <c r="U67" i="4"/>
  <c r="V67" i="4"/>
  <c r="W67" i="4"/>
  <c r="X67" i="4"/>
  <c r="Y67" i="4"/>
  <c r="Z67" i="4"/>
  <c r="AA67" i="4"/>
  <c r="AB67" i="4"/>
  <c r="S65" i="4"/>
  <c r="T65" i="4"/>
  <c r="U65" i="4"/>
  <c r="V65" i="4"/>
  <c r="W65" i="4"/>
  <c r="X65" i="4"/>
  <c r="Y65" i="4"/>
  <c r="Z65" i="4"/>
  <c r="AA65" i="4"/>
  <c r="AB65" i="4"/>
  <c r="T64" i="4"/>
  <c r="U64" i="4"/>
  <c r="V64" i="4"/>
  <c r="W64" i="4"/>
  <c r="X64" i="4"/>
  <c r="Y64" i="4"/>
  <c r="Z64" i="4"/>
  <c r="AA64" i="4"/>
  <c r="AB64" i="4"/>
  <c r="S63" i="4"/>
  <c r="T63" i="4"/>
  <c r="U63" i="4"/>
  <c r="V63" i="4"/>
  <c r="W63" i="4"/>
  <c r="X63" i="4"/>
  <c r="Y63" i="4"/>
  <c r="Z63" i="4"/>
  <c r="AA63" i="4"/>
  <c r="AB63" i="4"/>
  <c r="S62" i="4"/>
  <c r="T62" i="4"/>
  <c r="U62" i="4"/>
  <c r="V62" i="4"/>
  <c r="W62" i="4"/>
  <c r="X62" i="4"/>
  <c r="Y62" i="4"/>
  <c r="Z62" i="4"/>
  <c r="AA62" i="4"/>
  <c r="AB62" i="4"/>
  <c r="T61" i="4"/>
  <c r="U61" i="4"/>
  <c r="V61" i="4"/>
  <c r="W61" i="4"/>
  <c r="X61" i="4"/>
  <c r="Y61" i="4"/>
  <c r="Z61" i="4"/>
  <c r="AA61" i="4"/>
  <c r="AB61" i="4"/>
  <c r="S59" i="4"/>
  <c r="T59" i="4"/>
  <c r="V59" i="4"/>
  <c r="W59" i="4"/>
  <c r="X59" i="4"/>
  <c r="Y59" i="4"/>
  <c r="Z59" i="4"/>
  <c r="AA59" i="4"/>
  <c r="AB59" i="4"/>
  <c r="T58" i="4"/>
  <c r="V58" i="4"/>
  <c r="W58" i="4"/>
  <c r="X58" i="4"/>
  <c r="Y58" i="4"/>
  <c r="Z58" i="4"/>
  <c r="AA58" i="4"/>
  <c r="AB58" i="4"/>
  <c r="S57" i="4"/>
  <c r="T57" i="4"/>
  <c r="U57" i="4"/>
  <c r="V57" i="4"/>
  <c r="W57" i="4"/>
  <c r="X57" i="4"/>
  <c r="Y57" i="4"/>
  <c r="Z57" i="4"/>
  <c r="AA57" i="4"/>
  <c r="AB57" i="4"/>
  <c r="S56" i="4"/>
  <c r="T56" i="4"/>
  <c r="U56" i="4"/>
  <c r="V56" i="4"/>
  <c r="W56" i="4"/>
  <c r="X56" i="4"/>
  <c r="Y56" i="4"/>
  <c r="Z56" i="4"/>
  <c r="AA56" i="4"/>
  <c r="AB56" i="4"/>
  <c r="S55" i="4"/>
  <c r="T55" i="4"/>
  <c r="V55" i="4"/>
  <c r="W55" i="4"/>
  <c r="X55" i="4"/>
  <c r="Y55" i="4"/>
  <c r="Z55" i="4"/>
  <c r="AA55" i="4"/>
  <c r="AB55" i="4"/>
  <c r="S54" i="4"/>
  <c r="T54" i="4"/>
  <c r="U54" i="4"/>
  <c r="V54" i="4"/>
  <c r="W54" i="4"/>
  <c r="X54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5" i="4"/>
  <c r="X26" i="4"/>
  <c r="X27" i="4"/>
  <c r="X28" i="4"/>
  <c r="X29" i="4"/>
  <c r="X30" i="4"/>
  <c r="X31" i="4"/>
  <c r="X32" i="4"/>
  <c r="X33" i="4"/>
  <c r="X34" i="4"/>
  <c r="X35" i="4"/>
  <c r="X36" i="4"/>
  <c r="X38" i="4"/>
  <c r="X39" i="4"/>
  <c r="X40" i="4"/>
  <c r="X41" i="4"/>
  <c r="X42" i="4"/>
  <c r="X43" i="4"/>
  <c r="X44" i="4"/>
  <c r="X45" i="4"/>
  <c r="X46" i="4"/>
  <c r="X47" i="4"/>
  <c r="X48" i="4"/>
  <c r="X50" i="4"/>
  <c r="X51" i="4"/>
  <c r="Y54" i="4"/>
  <c r="Z54" i="4"/>
  <c r="AA54" i="4"/>
  <c r="AA39" i="4"/>
  <c r="AA30" i="4"/>
  <c r="AA17" i="4"/>
  <c r="AA23" i="4"/>
  <c r="AA12" i="4"/>
  <c r="AA42" i="4"/>
  <c r="AA16" i="4"/>
  <c r="AA22" i="4"/>
  <c r="AA45" i="4"/>
  <c r="AA26" i="4"/>
  <c r="AA11" i="4"/>
  <c r="AA10" i="4"/>
  <c r="AA46" i="4"/>
  <c r="AA31" i="4"/>
  <c r="AA44" i="4"/>
  <c r="AA38" i="4"/>
  <c r="AA47" i="4"/>
  <c r="AA19" i="4"/>
  <c r="AA41" i="4"/>
  <c r="AA36" i="4"/>
  <c r="AA48" i="4"/>
  <c r="AA29" i="4"/>
  <c r="AA33" i="4"/>
  <c r="AA27" i="4"/>
  <c r="AA51" i="4"/>
  <c r="AA28" i="4"/>
  <c r="AA21" i="4"/>
  <c r="AA20" i="4"/>
  <c r="AA34" i="4"/>
  <c r="AA15" i="4"/>
  <c r="AA50" i="4"/>
  <c r="AA18" i="4"/>
  <c r="AA40" i="4"/>
  <c r="AA14" i="4"/>
  <c r="AA8" i="4"/>
  <c r="AA35" i="4"/>
  <c r="AA32" i="4"/>
  <c r="AA25" i="4"/>
  <c r="AA13" i="4"/>
  <c r="AA9" i="4"/>
  <c r="AA43" i="4"/>
  <c r="AB54" i="4"/>
  <c r="T51" i="4"/>
  <c r="U51" i="4"/>
  <c r="V51" i="4"/>
  <c r="W51" i="4"/>
  <c r="Y51" i="4"/>
  <c r="Z51" i="4"/>
  <c r="AB51" i="4"/>
  <c r="S50" i="4"/>
  <c r="T50" i="4"/>
  <c r="U50" i="4"/>
  <c r="V50" i="4"/>
  <c r="W50" i="4"/>
  <c r="Y50" i="4"/>
  <c r="Z50" i="4"/>
  <c r="AB50" i="4"/>
  <c r="S48" i="4"/>
  <c r="T48" i="4"/>
  <c r="U48" i="4"/>
  <c r="V48" i="4"/>
  <c r="W48" i="4"/>
  <c r="Y48" i="4"/>
  <c r="Z48" i="4"/>
  <c r="AB48" i="4"/>
  <c r="S47" i="4"/>
  <c r="T47" i="4"/>
  <c r="U47" i="4"/>
  <c r="V47" i="4"/>
  <c r="W47" i="4"/>
  <c r="Y47" i="4"/>
  <c r="Z47" i="4"/>
  <c r="AB47" i="4"/>
  <c r="S46" i="4"/>
  <c r="T46" i="4"/>
  <c r="V46" i="4"/>
  <c r="W46" i="4"/>
  <c r="Y46" i="4"/>
  <c r="Z46" i="4"/>
  <c r="AB46" i="4"/>
  <c r="S45" i="4"/>
  <c r="T45" i="4"/>
  <c r="U45" i="4"/>
  <c r="V45" i="4"/>
  <c r="W45" i="4"/>
  <c r="Y45" i="4"/>
  <c r="Z45" i="4"/>
  <c r="AB45" i="4"/>
  <c r="S44" i="4"/>
  <c r="T44" i="4"/>
  <c r="U44" i="4"/>
  <c r="V44" i="4"/>
  <c r="W44" i="4"/>
  <c r="Y44" i="4"/>
  <c r="Z44" i="4"/>
  <c r="AB44" i="4"/>
  <c r="T43" i="4"/>
  <c r="U43" i="4"/>
  <c r="V43" i="4"/>
  <c r="W43" i="4"/>
  <c r="Y43" i="4"/>
  <c r="Z43" i="4"/>
  <c r="AB43" i="4"/>
  <c r="S42" i="4"/>
  <c r="T42" i="4"/>
  <c r="U42" i="4"/>
  <c r="V42" i="4"/>
  <c r="W42" i="4"/>
  <c r="Y42" i="4"/>
  <c r="Z42" i="4"/>
  <c r="AB42" i="4"/>
  <c r="S41" i="4"/>
  <c r="T41" i="4"/>
  <c r="U41" i="4"/>
  <c r="V41" i="4"/>
  <c r="W41" i="4"/>
  <c r="Y41" i="4"/>
  <c r="Z41" i="4"/>
  <c r="AB41" i="4"/>
  <c r="T40" i="4"/>
  <c r="U40" i="4"/>
  <c r="V40" i="4"/>
  <c r="W40" i="4"/>
  <c r="Y40" i="4"/>
  <c r="Z40" i="4"/>
  <c r="AB40" i="4"/>
  <c r="S39" i="4"/>
  <c r="T39" i="4"/>
  <c r="U39" i="4"/>
  <c r="V39" i="4"/>
  <c r="W39" i="4"/>
  <c r="Y39" i="4"/>
  <c r="Z39" i="4"/>
  <c r="AB39" i="4"/>
  <c r="S38" i="4"/>
  <c r="T38" i="4"/>
  <c r="U38" i="4"/>
  <c r="V38" i="4"/>
  <c r="W38" i="4"/>
  <c r="Y38" i="4"/>
  <c r="Z38" i="4"/>
  <c r="AB38" i="4"/>
  <c r="T36" i="4"/>
  <c r="U36" i="4"/>
  <c r="V36" i="4"/>
  <c r="W36" i="4"/>
  <c r="Y36" i="4"/>
  <c r="Z36" i="4"/>
  <c r="AB36" i="4"/>
  <c r="S35" i="4"/>
  <c r="T35" i="4"/>
  <c r="U35" i="4"/>
  <c r="V35" i="4"/>
  <c r="W35" i="4"/>
  <c r="Y35" i="4"/>
  <c r="Z35" i="4"/>
  <c r="AB35" i="4"/>
  <c r="S34" i="4"/>
  <c r="T34" i="4"/>
  <c r="U34" i="4"/>
  <c r="V34" i="4"/>
  <c r="W34" i="4"/>
  <c r="Y34" i="4"/>
  <c r="Z34" i="4"/>
  <c r="AB34" i="4"/>
  <c r="S33" i="4"/>
  <c r="T33" i="4"/>
  <c r="U33" i="4"/>
  <c r="V33" i="4"/>
  <c r="W33" i="4"/>
  <c r="Y33" i="4"/>
  <c r="Z33" i="4"/>
  <c r="AB33" i="4"/>
  <c r="S32" i="4"/>
  <c r="T32" i="4"/>
  <c r="U32" i="4"/>
  <c r="V32" i="4"/>
  <c r="W32" i="4"/>
  <c r="Y32" i="4"/>
  <c r="Z32" i="4"/>
  <c r="AB32" i="4"/>
  <c r="T31" i="4"/>
  <c r="U31" i="4"/>
  <c r="V31" i="4"/>
  <c r="W31" i="4"/>
  <c r="Y31" i="4"/>
  <c r="Z31" i="4"/>
  <c r="AB31" i="4"/>
  <c r="S30" i="4"/>
  <c r="T30" i="4"/>
  <c r="U30" i="4"/>
  <c r="U10" i="4"/>
  <c r="U11" i="4"/>
  <c r="S12" i="4"/>
  <c r="T12" i="4"/>
  <c r="V12" i="4"/>
  <c r="W12" i="4"/>
  <c r="Y12" i="4"/>
  <c r="Z12" i="4"/>
  <c r="AB12" i="4"/>
  <c r="U13" i="4"/>
  <c r="U15" i="4"/>
  <c r="U16" i="4"/>
  <c r="U17" i="4"/>
  <c r="U18" i="4"/>
  <c r="S18" i="4"/>
  <c r="T18" i="4"/>
  <c r="V18" i="4"/>
  <c r="W18" i="4"/>
  <c r="Y18" i="4"/>
  <c r="Z18" i="4"/>
  <c r="AB18" i="4"/>
  <c r="U20" i="4"/>
  <c r="U21" i="4"/>
  <c r="U22" i="4"/>
  <c r="U23" i="4"/>
  <c r="U25" i="4"/>
  <c r="U26" i="4"/>
  <c r="U27" i="4"/>
  <c r="U28" i="4"/>
  <c r="U29" i="4"/>
  <c r="V30" i="4"/>
  <c r="W30" i="4"/>
  <c r="Y30" i="4"/>
  <c r="Y17" i="4"/>
  <c r="Y23" i="4"/>
  <c r="Y16" i="4"/>
  <c r="Y22" i="4"/>
  <c r="Y26" i="4"/>
  <c r="Y11" i="4"/>
  <c r="Y10" i="4"/>
  <c r="Y19" i="4"/>
  <c r="Y29" i="4"/>
  <c r="Y27" i="4"/>
  <c r="Y28" i="4"/>
  <c r="Y21" i="4"/>
  <c r="Y20" i="4"/>
  <c r="Y15" i="4"/>
  <c r="Y14" i="4"/>
  <c r="Y8" i="4"/>
  <c r="Y25" i="4"/>
  <c r="Y13" i="4"/>
  <c r="Y9" i="4"/>
  <c r="Z30" i="4"/>
  <c r="AB30" i="4"/>
  <c r="S29" i="4"/>
  <c r="T29" i="4"/>
  <c r="V29" i="4"/>
  <c r="W29" i="4"/>
  <c r="Z29" i="4"/>
  <c r="AB29" i="4"/>
  <c r="S28" i="4"/>
  <c r="T28" i="4"/>
  <c r="V28" i="4"/>
  <c r="W28" i="4"/>
  <c r="Z28" i="4"/>
  <c r="AB28" i="4"/>
  <c r="T27" i="4"/>
  <c r="V27" i="4"/>
  <c r="W27" i="4"/>
  <c r="Z27" i="4"/>
  <c r="AB27" i="4"/>
  <c r="S26" i="4"/>
  <c r="T26" i="4"/>
  <c r="V26" i="4"/>
  <c r="W26" i="4"/>
  <c r="Z26" i="4"/>
  <c r="AB26" i="4"/>
  <c r="S25" i="4"/>
  <c r="T25" i="4"/>
  <c r="V25" i="4"/>
  <c r="W25" i="4"/>
  <c r="Z25" i="4"/>
  <c r="AB25" i="4"/>
  <c r="S23" i="4"/>
  <c r="T23" i="4"/>
  <c r="V23" i="4"/>
  <c r="W23" i="4"/>
  <c r="Z23" i="4"/>
  <c r="AB23" i="4"/>
  <c r="S22" i="4"/>
  <c r="T22" i="4"/>
  <c r="V22" i="4"/>
  <c r="W22" i="4"/>
  <c r="Z22" i="4"/>
  <c r="AB22" i="4"/>
  <c r="S21" i="4"/>
  <c r="T21" i="4"/>
  <c r="V21" i="4"/>
  <c r="W21" i="4"/>
  <c r="Z21" i="4"/>
  <c r="AB21" i="4"/>
  <c r="S20" i="4"/>
  <c r="T20" i="4"/>
  <c r="V20" i="4"/>
  <c r="W20" i="4"/>
  <c r="Z20" i="4"/>
  <c r="AB20" i="4"/>
  <c r="S19" i="4"/>
  <c r="T19" i="4"/>
  <c r="V19" i="4"/>
  <c r="W19" i="4"/>
  <c r="Z19" i="4"/>
  <c r="AB19" i="4"/>
  <c r="S17" i="4"/>
  <c r="T17" i="4"/>
  <c r="V17" i="4"/>
  <c r="W17" i="4"/>
  <c r="Z17" i="4"/>
  <c r="AB17" i="4"/>
  <c r="S16" i="4"/>
  <c r="T16" i="4"/>
  <c r="V16" i="4"/>
  <c r="W16" i="4"/>
  <c r="Z16" i="4"/>
  <c r="AB16" i="4"/>
  <c r="S15" i="4"/>
  <c r="T15" i="4"/>
  <c r="V15" i="4"/>
  <c r="W15" i="4"/>
  <c r="Z15" i="4"/>
  <c r="AB15" i="4"/>
  <c r="S14" i="4"/>
  <c r="T14" i="4"/>
  <c r="V14" i="4"/>
  <c r="W14" i="4"/>
  <c r="Z14" i="4"/>
  <c r="AB14" i="4"/>
  <c r="S13" i="4"/>
  <c r="T13" i="4"/>
  <c r="V13" i="4"/>
  <c r="W13" i="4"/>
  <c r="Z13" i="4"/>
  <c r="AB13" i="4"/>
  <c r="S11" i="4"/>
  <c r="T11" i="4"/>
  <c r="V11" i="4"/>
  <c r="W11" i="4"/>
  <c r="Z11" i="4"/>
  <c r="AB11" i="4"/>
  <c r="S10" i="4"/>
  <c r="T10" i="4"/>
  <c r="V10" i="4"/>
  <c r="W10" i="4"/>
  <c r="Z10" i="4"/>
  <c r="AB10" i="4"/>
  <c r="S9" i="4"/>
  <c r="T9" i="4"/>
  <c r="V9" i="4"/>
  <c r="W9" i="4"/>
  <c r="Z9" i="4"/>
  <c r="AB9" i="4"/>
  <c r="T8" i="4"/>
  <c r="V8" i="4"/>
  <c r="W8" i="4"/>
  <c r="Z8" i="4"/>
  <c r="AB8" i="4"/>
  <c r="R7" i="4"/>
  <c r="C66" i="4" l="1"/>
  <c r="C8" i="4"/>
  <c r="AD58" i="4"/>
  <c r="AD59" i="4"/>
  <c r="B51" i="8"/>
  <c r="B47" i="8"/>
  <c r="B35" i="8"/>
  <c r="B50" i="8"/>
  <c r="B22" i="8"/>
  <c r="B69" i="8"/>
  <c r="B64" i="8"/>
  <c r="B58" i="8"/>
  <c r="AD8" i="4"/>
  <c r="AD9" i="4"/>
  <c r="AD18" i="4"/>
  <c r="C28" i="4"/>
  <c r="C45" i="4"/>
  <c r="C46" i="4"/>
  <c r="C38" i="4"/>
  <c r="C47" i="4"/>
  <c r="AD70" i="4"/>
  <c r="AD68" i="4"/>
  <c r="C33" i="4"/>
  <c r="B9" i="13"/>
  <c r="AD14" i="4"/>
  <c r="C62" i="4"/>
  <c r="AD72" i="4"/>
  <c r="AD19" i="4"/>
  <c r="C14" i="4"/>
  <c r="C69" i="4"/>
  <c r="C22" i="4"/>
  <c r="AD30" i="4"/>
  <c r="AD29" i="4"/>
  <c r="C23" i="4"/>
  <c r="AD11" i="4"/>
  <c r="AD47" i="4"/>
  <c r="AD48" i="4"/>
  <c r="AD23" i="4"/>
  <c r="C29" i="4"/>
  <c r="B9" i="8"/>
  <c r="B53" i="8"/>
  <c r="B33" i="8"/>
  <c r="B63" i="8"/>
  <c r="B62" i="8"/>
  <c r="AD33" i="4"/>
  <c r="AD36" i="4"/>
  <c r="AD38" i="4"/>
  <c r="C39" i="4"/>
  <c r="C40" i="4"/>
  <c r="C41" i="4"/>
  <c r="AD42" i="4"/>
  <c r="C43" i="4"/>
  <c r="C44" i="4"/>
  <c r="C61" i="4"/>
  <c r="AD62" i="4"/>
  <c r="C63" i="4"/>
  <c r="C64" i="4"/>
  <c r="AD65" i="4"/>
  <c r="AD67" i="4"/>
  <c r="AD32" i="4"/>
  <c r="AD50" i="4"/>
  <c r="C58" i="4"/>
  <c r="AD31" i="4"/>
  <c r="C35" i="4"/>
  <c r="AD56" i="4"/>
  <c r="AD10" i="4"/>
  <c r="C10" i="4"/>
  <c r="C12" i="4"/>
  <c r="AD54" i="4"/>
  <c r="C55" i="4"/>
  <c r="AD28" i="4"/>
  <c r="C19" i="4"/>
  <c r="C21" i="4"/>
  <c r="AD20" i="4"/>
  <c r="C18" i="4"/>
  <c r="C50" i="4"/>
  <c r="C51" i="4"/>
  <c r="C34" i="4"/>
  <c r="AD57" i="4"/>
  <c r="AD13" i="4"/>
  <c r="C15" i="4"/>
  <c r="C16" i="4"/>
  <c r="C17" i="4"/>
  <c r="AD22" i="4"/>
  <c r="AD26" i="4"/>
  <c r="C27" i="4"/>
  <c r="C48" i="4"/>
  <c r="C30" i="4"/>
  <c r="AD25" i="4"/>
  <c r="AD41" i="4"/>
  <c r="AD34" i="4"/>
  <c r="AD40" i="4"/>
  <c r="AD63" i="4"/>
  <c r="C11" i="4"/>
  <c r="C65" i="4"/>
  <c r="AD21" i="4"/>
  <c r="AD27" i="4"/>
  <c r="AD12" i="4"/>
  <c r="C13" i="4"/>
  <c r="AD16" i="4"/>
  <c r="C31" i="4"/>
  <c r="C25" i="4"/>
  <c r="AD39" i="4"/>
  <c r="C36" i="4"/>
  <c r="C57" i="4"/>
  <c r="C32" i="4"/>
  <c r="AD15" i="4"/>
  <c r="C20" i="4"/>
  <c r="C9" i="4"/>
  <c r="C67" i="4"/>
  <c r="C54" i="4"/>
  <c r="AD64" i="4"/>
  <c r="C56" i="4"/>
  <c r="AD17" i="4"/>
  <c r="AD45" i="4"/>
  <c r="C70" i="4"/>
  <c r="AD43" i="4"/>
  <c r="AD61" i="4"/>
  <c r="AD51" i="4"/>
  <c r="C59" i="4"/>
  <c r="C68" i="4"/>
  <c r="AD46" i="4"/>
  <c r="AD69" i="4"/>
  <c r="C72" i="4"/>
  <c r="C26" i="4"/>
  <c r="AD44" i="4"/>
  <c r="C42" i="4"/>
  <c r="AD35" i="4"/>
  <c r="AD55" i="4"/>
  <c r="B28" i="8"/>
  <c r="B25" i="8"/>
  <c r="B16" i="8"/>
  <c r="B57" i="8"/>
  <c r="B68" i="8"/>
  <c r="B52" i="8"/>
  <c r="B14" i="8"/>
  <c r="B42" i="8"/>
  <c r="B49" i="8"/>
  <c r="B17" i="8"/>
  <c r="B26" i="8"/>
  <c r="B34" i="8"/>
  <c r="B43" i="8"/>
  <c r="B54" i="8"/>
  <c r="B65" i="8"/>
  <c r="B10" i="8"/>
  <c r="B18" i="8"/>
  <c r="B27" i="8"/>
  <c r="B36" i="8"/>
  <c r="B44" i="8"/>
  <c r="B55" i="8"/>
  <c r="B66" i="8"/>
  <c r="B11" i="8"/>
  <c r="B19" i="8"/>
  <c r="B37" i="8"/>
  <c r="B45" i="8"/>
  <c r="B56" i="8"/>
  <c r="B67" i="8"/>
  <c r="B12" i="8"/>
  <c r="B20" i="8"/>
  <c r="B29" i="8"/>
  <c r="B38" i="8"/>
  <c r="B46" i="8"/>
  <c r="B59" i="8"/>
  <c r="B6" i="8"/>
  <c r="B13" i="8"/>
  <c r="B21" i="8"/>
  <c r="B30" i="8"/>
  <c r="B39" i="8"/>
  <c r="B48" i="8"/>
  <c r="B60" i="8"/>
  <c r="B70" i="8"/>
  <c r="B7" i="8"/>
  <c r="B23" i="8"/>
  <c r="B31" i="8"/>
  <c r="B40" i="8"/>
  <c r="B61" i="8"/>
  <c r="B8" i="8"/>
  <c r="B15" i="8"/>
  <c r="B24" i="8"/>
  <c r="B32" i="8"/>
  <c r="B41" i="8"/>
  <c r="AC55" i="4" l="1"/>
  <c r="AC45" i="4"/>
  <c r="AC63" i="4"/>
  <c r="B57" i="4"/>
  <c r="AC43" i="4"/>
  <c r="B52" i="4"/>
  <c r="AC52" i="4"/>
  <c r="B15" i="4"/>
  <c r="B70" i="4"/>
  <c r="B36" i="4"/>
  <c r="AC40" i="4"/>
  <c r="AC13" i="4"/>
  <c r="B12" i="4"/>
  <c r="B63" i="4"/>
  <c r="AC30" i="4"/>
  <c r="B47" i="4"/>
  <c r="B49" i="4"/>
  <c r="AC29" i="4"/>
  <c r="AC57" i="4"/>
  <c r="AC41" i="4"/>
  <c r="B34" i="4"/>
  <c r="AC10" i="4"/>
  <c r="B61" i="4"/>
  <c r="B69" i="4"/>
  <c r="B46" i="4"/>
  <c r="AC66" i="4"/>
  <c r="B44" i="4"/>
  <c r="B14" i="4"/>
  <c r="B45" i="4"/>
  <c r="B24" i="4"/>
  <c r="AC37" i="4"/>
  <c r="B22" i="4"/>
  <c r="B50" i="4"/>
  <c r="AC19" i="4"/>
  <c r="B28" i="4"/>
  <c r="AC59" i="4"/>
  <c r="AC24" i="4"/>
  <c r="AC33" i="4"/>
  <c r="B42" i="4"/>
  <c r="AC49" i="4"/>
  <c r="AC25" i="4"/>
  <c r="B43" i="4"/>
  <c r="B13" i="4"/>
  <c r="B48" i="4"/>
  <c r="B18" i="4"/>
  <c r="AC31" i="4"/>
  <c r="AC42" i="4"/>
  <c r="B29" i="4"/>
  <c r="AC72" i="4"/>
  <c r="AC18" i="4"/>
  <c r="AC58" i="4"/>
  <c r="AC35" i="4"/>
  <c r="B10" i="4"/>
  <c r="B25" i="4"/>
  <c r="B56" i="4"/>
  <c r="B35" i="4"/>
  <c r="AC46" i="4"/>
  <c r="B67" i="4"/>
  <c r="AC12" i="4"/>
  <c r="B27" i="4"/>
  <c r="AC20" i="4"/>
  <c r="B58" i="4"/>
  <c r="B41" i="4"/>
  <c r="AC23" i="4"/>
  <c r="B62" i="4"/>
  <c r="AC9" i="4"/>
  <c r="B8" i="4"/>
  <c r="AC54" i="4"/>
  <c r="AC34" i="4"/>
  <c r="AC17" i="4"/>
  <c r="B26" i="4"/>
  <c r="B30" i="4"/>
  <c r="AC27" i="4"/>
  <c r="B21" i="4"/>
  <c r="B40" i="4"/>
  <c r="AC48" i="4"/>
  <c r="AC14" i="4"/>
  <c r="AC8" i="4"/>
  <c r="B66" i="4"/>
  <c r="AC71" i="4"/>
  <c r="AC70" i="4"/>
  <c r="B38" i="4"/>
  <c r="B31" i="4"/>
  <c r="AC16" i="4"/>
  <c r="B68" i="4"/>
  <c r="AC50" i="4"/>
  <c r="B59" i="4"/>
  <c r="B20" i="4"/>
  <c r="AC21" i="4"/>
  <c r="AC22" i="4"/>
  <c r="B19" i="4"/>
  <c r="AC32" i="4"/>
  <c r="B39" i="4"/>
  <c r="AC47" i="4"/>
  <c r="B60" i="4"/>
  <c r="B71" i="4"/>
  <c r="AC62" i="4"/>
  <c r="AC56" i="4"/>
  <c r="AC64" i="4"/>
  <c r="B54" i="4"/>
  <c r="B9" i="4"/>
  <c r="AC51" i="4"/>
  <c r="AC15" i="4"/>
  <c r="B65" i="4"/>
  <c r="B17" i="4"/>
  <c r="AC28" i="4"/>
  <c r="AC67" i="4"/>
  <c r="AC38" i="4"/>
  <c r="AC11" i="4"/>
  <c r="B33" i="4"/>
  <c r="B37" i="4"/>
  <c r="B53" i="4"/>
  <c r="B64" i="4"/>
  <c r="AC39" i="4"/>
  <c r="AC44" i="4"/>
  <c r="B51" i="4"/>
  <c r="B72" i="4"/>
  <c r="AC69" i="4"/>
  <c r="AC26" i="4"/>
  <c r="AC61" i="4"/>
  <c r="B32" i="4"/>
  <c r="B11" i="4"/>
  <c r="B16" i="4"/>
  <c r="B55" i="4"/>
  <c r="AC65" i="4"/>
  <c r="AC36" i="4"/>
  <c r="B23" i="4"/>
  <c r="AC68" i="4"/>
  <c r="AC60" i="4"/>
  <c r="AC53" i="4"/>
</calcChain>
</file>

<file path=xl/sharedStrings.xml><?xml version="1.0" encoding="utf-8"?>
<sst xmlns="http://schemas.openxmlformats.org/spreadsheetml/2006/main" count="1583" uniqueCount="458">
  <si>
    <t>Comm</t>
  </si>
  <si>
    <t xml:space="preserve">Factor </t>
  </si>
  <si>
    <t>Score</t>
  </si>
  <si>
    <t>Rank</t>
  </si>
  <si>
    <t>Species</t>
  </si>
  <si>
    <t>Black rockfish</t>
  </si>
  <si>
    <t>Dover sole</t>
  </si>
  <si>
    <t>Petrale sole</t>
  </si>
  <si>
    <t>Longnose Skate</t>
  </si>
  <si>
    <t>Cabezon</t>
  </si>
  <si>
    <t>Arrowtooth flounder</t>
  </si>
  <si>
    <t>Rex Sole</t>
  </si>
  <si>
    <t>Widow Rockfish</t>
  </si>
  <si>
    <t>Darkblotched rockfish</t>
  </si>
  <si>
    <t>Canary rockfish</t>
  </si>
  <si>
    <t>Sand Sole</t>
  </si>
  <si>
    <t>English sole</t>
  </si>
  <si>
    <t>Pacific ocean perch</t>
  </si>
  <si>
    <t>Starry flounder</t>
  </si>
  <si>
    <t>Splitnose Rockfish</t>
  </si>
  <si>
    <t>Rock Sole</t>
  </si>
  <si>
    <t>Big Skate</t>
  </si>
  <si>
    <t>Curlfin sole</t>
  </si>
  <si>
    <t>Flathead Sole</t>
  </si>
  <si>
    <t>Total</t>
  </si>
  <si>
    <t>CA</t>
  </si>
  <si>
    <t>OR</t>
  </si>
  <si>
    <t>WA</t>
  </si>
  <si>
    <t>Category</t>
  </si>
  <si>
    <t>FISHERY Importance</t>
  </si>
  <si>
    <t>0-10</t>
  </si>
  <si>
    <t xml:space="preserve"> </t>
  </si>
  <si>
    <t>Importance to Subsistence</t>
  </si>
  <si>
    <t>Rebuilding Status</t>
  </si>
  <si>
    <t>STOCK Status</t>
  </si>
  <si>
    <t>Relative Stock Abundance</t>
  </si>
  <si>
    <t>1-10</t>
  </si>
  <si>
    <t>Relative Fishing Mortality</t>
  </si>
  <si>
    <t>Relevant New Type of Information Available</t>
  </si>
  <si>
    <t>TARGET Freq</t>
  </si>
  <si>
    <t>Extraction from assessment data</t>
  </si>
  <si>
    <t>Value</t>
  </si>
  <si>
    <t>Stock Variability</t>
  </si>
  <si>
    <t>-1 to +1</t>
  </si>
  <si>
    <t>Fishery Importance</t>
  </si>
  <si>
    <t>Ecosystem Importance</t>
  </si>
  <si>
    <t>Weighted Factor Scores</t>
  </si>
  <si>
    <t>Tribal</t>
  </si>
  <si>
    <t>Rebuild</t>
  </si>
  <si>
    <t>Depl</t>
  </si>
  <si>
    <t xml:space="preserve">Harvest </t>
  </si>
  <si>
    <t>New</t>
  </si>
  <si>
    <t>Weighted</t>
  </si>
  <si>
    <t>Last</t>
  </si>
  <si>
    <t>Factor</t>
  </si>
  <si>
    <t>Status</t>
  </si>
  <si>
    <t>Info</t>
  </si>
  <si>
    <t>Assessment</t>
  </si>
  <si>
    <t>score</t>
  </si>
  <si>
    <t>Pink shading indicates no prior benchmark</t>
  </si>
  <si>
    <t>Max value</t>
  </si>
  <si>
    <t>* not including revenue from tribal landings</t>
  </si>
  <si>
    <t>Relative weights</t>
  </si>
  <si>
    <t>Pseudo values</t>
  </si>
  <si>
    <t>(landed mts * rel. weights)</t>
  </si>
  <si>
    <t>to anglers)</t>
  </si>
  <si>
    <t>Coastwide</t>
  </si>
  <si>
    <t>Subsistence</t>
  </si>
  <si>
    <t>Tribal "Commercial"</t>
  </si>
  <si>
    <t>Initial</t>
  </si>
  <si>
    <t>Dollars</t>
  </si>
  <si>
    <t>Rebuilding</t>
  </si>
  <si>
    <t>Stock</t>
  </si>
  <si>
    <t>PSA</t>
  </si>
  <si>
    <t>no OFLc</t>
  </si>
  <si>
    <t>Yellowtail Rockfish</t>
  </si>
  <si>
    <t xml:space="preserve">New </t>
  </si>
  <si>
    <t>Prior</t>
  </si>
  <si>
    <t>addressed</t>
  </si>
  <si>
    <t xml:space="preserve">Additive adjustments for </t>
  </si>
  <si>
    <t>Recruit Var.</t>
  </si>
  <si>
    <t xml:space="preserve">Mean age in Catch </t>
  </si>
  <si>
    <t>Rounded to 2 years</t>
  </si>
  <si>
    <t>Year of last asmt</t>
  </si>
  <si>
    <t>Years since last asmt</t>
  </si>
  <si>
    <t>Sablefish</t>
  </si>
  <si>
    <t>Longspine thornyhead</t>
  </si>
  <si>
    <t xml:space="preserve">Shortspine thornyhead </t>
  </si>
  <si>
    <t>Lingcod</t>
  </si>
  <si>
    <t xml:space="preserve">Lingcod </t>
  </si>
  <si>
    <t>California scorpionfish</t>
  </si>
  <si>
    <t xml:space="preserve">Sablefish </t>
  </si>
  <si>
    <t xml:space="preserve">Cowcod </t>
  </si>
  <si>
    <t>Pacific cod</t>
  </si>
  <si>
    <t>Bocaccio</t>
  </si>
  <si>
    <t xml:space="preserve">Notes on Scoring </t>
  </si>
  <si>
    <t xml:space="preserve">Chilipepper rockfish </t>
  </si>
  <si>
    <t>Longnose skate</t>
  </si>
  <si>
    <t>Widow rockfish</t>
  </si>
  <si>
    <t>China rockfish</t>
  </si>
  <si>
    <t>Greenspotted rockfish</t>
  </si>
  <si>
    <t>Greenstriped rockfish</t>
  </si>
  <si>
    <t>Bank rockfish</t>
  </si>
  <si>
    <t>Big skate</t>
  </si>
  <si>
    <t>Brown rockfish</t>
  </si>
  <si>
    <t>Copper rockfish</t>
  </si>
  <si>
    <t>Flag rockfish</t>
  </si>
  <si>
    <t>Grass rockfish</t>
  </si>
  <si>
    <t>Honeycomb rockfish</t>
  </si>
  <si>
    <t>Olive rockfish</t>
  </si>
  <si>
    <t>Pacific sanddab</t>
  </si>
  <si>
    <t>Quillback rockfish</t>
  </si>
  <si>
    <t>Redbanded rockfish</t>
  </si>
  <si>
    <t>Shortraker rockfish</t>
  </si>
  <si>
    <t>Speckled rockfish</t>
  </si>
  <si>
    <t>Squarespot rockfish</t>
  </si>
  <si>
    <t>Starry rockfish</t>
  </si>
  <si>
    <t>Steepness</t>
  </si>
  <si>
    <t>trans-formed Mean catch age</t>
  </si>
  <si>
    <t>Rec</t>
  </si>
  <si>
    <t>Source/Basis</t>
  </si>
  <si>
    <t>Range</t>
  </si>
  <si>
    <t>Recreational Fishery Importance</t>
  </si>
  <si>
    <t>Key Role in Ecosystem</t>
  </si>
  <si>
    <t>Importance related to rebuilding status of a stock</t>
  </si>
  <si>
    <t>Importance of relative stock abundance</t>
  </si>
  <si>
    <t>assessment</t>
  </si>
  <si>
    <t>Issues can be</t>
  </si>
  <si>
    <t xml:space="preserve">sources </t>
  </si>
  <si>
    <t>of trend</t>
  </si>
  <si>
    <t>information</t>
  </si>
  <si>
    <t>on stock</t>
  </si>
  <si>
    <t>structure/</t>
  </si>
  <si>
    <t>dynamics</t>
  </si>
  <si>
    <t>Importance of new and relevant sources or types of information or methods</t>
  </si>
  <si>
    <t>Fishery Factors</t>
  </si>
  <si>
    <t>Assessment Information</t>
  </si>
  <si>
    <t xml:space="preserve">Commercial Fishery Importance </t>
  </si>
  <si>
    <t>Constituent Demand/ 
Choke Stock</t>
  </si>
  <si>
    <t>Unexpected Stock Trends</t>
  </si>
  <si>
    <t>Assessed Status + Rebuilding Proj.</t>
  </si>
  <si>
    <t>Groundfish Mortality Reports</t>
  </si>
  <si>
    <t>Updated Steepness Prior; New availability of trend or comp data; Ability to fix prior assmt. issues</t>
  </si>
  <si>
    <t>Latest assessed depletion or PSA</t>
  </si>
  <si>
    <t>Mean Age in Catch 
(with regional modification)</t>
  </si>
  <si>
    <t>Recruitment variability (Sigma-r) from last assessment</t>
  </si>
  <si>
    <t>Sum of weighted scores for Fishery Factors (listed above)</t>
  </si>
  <si>
    <t>ASSMT Info</t>
  </si>
  <si>
    <t>Landed Ex-vessel Revenue, from PacFIN (transformed)</t>
  </si>
  <si>
    <t>Tribal Comm Revenue + Subsistence input from Habitat Assmt. &amp; Tribes</t>
  </si>
  <si>
    <t>(http://www.st.nmfs.noaa.gov/Assets/stock/documents/PrioritizingFishStockAssessments_FinalWeb.pdf)</t>
  </si>
  <si>
    <t xml:space="preserve"> Fishing mortality (mt)</t>
  </si>
  <si>
    <t>Factor summarization, weighting, and ranking of total scores</t>
  </si>
  <si>
    <t>Choke Sp</t>
  </si>
  <si>
    <t>Const. Dem/</t>
  </si>
  <si>
    <t>Overview of Factors included in this analysis of stock assessment priorities</t>
  </si>
  <si>
    <t>Aurora rockfish</t>
  </si>
  <si>
    <t>Blackgill rockfish</t>
  </si>
  <si>
    <t>Sharpchin rockfish</t>
  </si>
  <si>
    <t>Shortspine thornyhead</t>
  </si>
  <si>
    <t>Splitnose rockfish</t>
  </si>
  <si>
    <t>Yelloweye rockfish</t>
  </si>
  <si>
    <t>Yellowtail rockfish</t>
  </si>
  <si>
    <t>Canary Rockfish</t>
  </si>
  <si>
    <t>Retained catch mts</t>
  </si>
  <si>
    <t>Factor Score</t>
  </si>
  <si>
    <t>TWL</t>
  </si>
  <si>
    <t>NTWL</t>
  </si>
  <si>
    <t>Eco-</t>
  </si>
  <si>
    <t>system</t>
  </si>
  <si>
    <t>Top-down Score</t>
  </si>
  <si>
    <t>slope rockfish</t>
  </si>
  <si>
    <t>NA</t>
  </si>
  <si>
    <t>skates</t>
  </si>
  <si>
    <t>nearshore rockfish</t>
  </si>
  <si>
    <t>shelf rockfish</t>
  </si>
  <si>
    <t>flatfish</t>
  </si>
  <si>
    <t>Pacific Ocean Perch</t>
  </si>
  <si>
    <t>dogfish</t>
  </si>
  <si>
    <t>Scaled</t>
  </si>
  <si>
    <t>Raw</t>
  </si>
  <si>
    <t>Emphasis on rebuilding species (and degree of constraint), with lesser additions for state/fleet rankings that are much higher than overall</t>
  </si>
  <si>
    <t>Top-down and bottom-up diet impacts on managed/protected sp.</t>
  </si>
  <si>
    <t>Factor score from above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</si>
  <si>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10/(Largest [initial value])</t>
    </r>
  </si>
  <si>
    <r>
      <t>Score = [(Pseudo-Revenue)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10/((Largest [initial value])</t>
    </r>
  </si>
  <si>
    <t xml:space="preserve">Based on the process described in: Prioritizing Fish Stock Assessments. U.S. Dep. Commer., NOAA Tech. Memo. NMFS-F/SPO-
152, 31 p  </t>
  </si>
  <si>
    <r>
      <t>Score = [(Revenue)</t>
    </r>
    <r>
      <rPr>
        <vertAlign val="superscript"/>
        <sz val="13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(0.18)</t>
    </r>
    <r>
      <rPr>
        <sz val="13"/>
        <color theme="1"/>
        <rFont val="Calibri"/>
        <family val="2"/>
        <scheme val="minor"/>
      </rPr>
      <t>] * 7/(Largest [initial value]) + subsistence values scored [0-3] with Tribal input</t>
    </r>
  </si>
  <si>
    <t>Exponent</t>
  </si>
  <si>
    <t xml:space="preserve"> (value of species</t>
  </si>
  <si>
    <t>Bottom-up Score</t>
  </si>
  <si>
    <t>Ecosystem Importance Score</t>
  </si>
  <si>
    <t>Ecopath functional group</t>
  </si>
  <si>
    <t>quantile</t>
  </si>
  <si>
    <t>Change to assessment frequency</t>
  </si>
  <si>
    <t>lingcod</t>
  </si>
  <si>
    <t>Factor weights times Factor Scores</t>
  </si>
  <si>
    <t>wts</t>
  </si>
  <si>
    <t xml:space="preserve">Sum </t>
  </si>
  <si>
    <t xml:space="preserve"> Weights -&gt;</t>
  </si>
  <si>
    <t>Ecosystem  Factor Score</t>
  </si>
  <si>
    <t>Top-down + bottom-up scores</t>
  </si>
  <si>
    <t>Proportion of 
Total Consumption 
in Ecosystem</t>
  </si>
  <si>
    <t>Target Frequency:</t>
  </si>
  <si>
    <t>Assess.</t>
  </si>
  <si>
    <t>Freq.</t>
  </si>
  <si>
    <t xml:space="preserve">of </t>
  </si>
  <si>
    <t>Importance of fishing mortality relative to catch limit or related benchmark</t>
  </si>
  <si>
    <t>Factor Ranks</t>
  </si>
  <si>
    <t>Min = 4</t>
  </si>
  <si>
    <t>Year</t>
  </si>
  <si>
    <t>Assmnt.</t>
  </si>
  <si>
    <t xml:space="preserve">Transformed </t>
  </si>
  <si>
    <t>Assessment Target Frequency, relationship to last assessment, and auxilliary elements</t>
  </si>
  <si>
    <t xml:space="preserve">=(E5*F3)^F$4
</t>
  </si>
  <si>
    <t>Referred to in the text as Proportion of consumer biomass</t>
  </si>
  <si>
    <t>Proportion of 
species available 
for consumption</t>
  </si>
  <si>
    <t>Update</t>
  </si>
  <si>
    <t>F</t>
  </si>
  <si>
    <t>U</t>
  </si>
  <si>
    <t>Commercial importance of species, based on coastwide ex-vessel revenue</t>
  </si>
  <si>
    <r>
      <t>From</t>
    </r>
    <r>
      <rPr>
        <b/>
        <sz val="14"/>
        <color theme="1"/>
        <rFont val="Calibri"/>
        <family val="2"/>
        <scheme val="minor"/>
      </rPr>
      <t xml:space="preserve"> Fishing Mortality</t>
    </r>
    <r>
      <rPr>
        <sz val="14"/>
        <color theme="1"/>
        <rFont val="Calibri"/>
        <family val="2"/>
        <scheme val="minor"/>
      </rPr>
      <t xml:space="preserve"> Tab</t>
    </r>
  </si>
  <si>
    <t>SSC recommendation of 'Update' for next assessment</t>
  </si>
  <si>
    <t>(-3)-10</t>
  </si>
  <si>
    <t>Type</t>
  </si>
  <si>
    <t>D-M</t>
  </si>
  <si>
    <t>d-p</t>
  </si>
  <si>
    <t>N'shore; 1-area</t>
  </si>
  <si>
    <t>N'shore; 3-area</t>
  </si>
  <si>
    <t>1-area</t>
  </si>
  <si>
    <t>1-area; Trawl survey</t>
  </si>
  <si>
    <t>2-3 areas; Trawl survey</t>
  </si>
  <si>
    <t>2-3 areas; w/ Sunset</t>
  </si>
  <si>
    <t>Unsorted fishery catch</t>
  </si>
  <si>
    <t>Notes</t>
  </si>
  <si>
    <t xml:space="preserve"> Score</t>
  </si>
  <si>
    <t>Rec. Factor</t>
  </si>
  <si>
    <t>Weighted Landed catch, from RecFIN (transformed)</t>
  </si>
  <si>
    <t xml:space="preserve">No scoring system yet. Only sabl. &amp; petrale updated since 2016.  </t>
  </si>
  <si>
    <r>
      <rPr>
        <b/>
        <sz val="16"/>
        <color theme="1"/>
        <rFont val="Calibri"/>
        <family val="2"/>
        <scheme val="minor"/>
      </rPr>
      <t>Factor Score for Choke Species and Constituent Demand</t>
    </r>
  </si>
  <si>
    <t>Higher Value to fleet or area 
&amp; Constraining Species</t>
  </si>
  <si>
    <r>
      <t xml:space="preserve">Years Since Assessment relative to </t>
    </r>
    <r>
      <rPr>
        <b/>
        <sz val="16"/>
        <color theme="1"/>
        <rFont val="Calibri"/>
        <family val="2"/>
        <scheme val="minor"/>
      </rPr>
      <t>Target Frequency</t>
    </r>
    <r>
      <rPr>
        <sz val="16"/>
        <color theme="1"/>
        <rFont val="Calibri"/>
        <family val="2"/>
        <scheme val="minor"/>
      </rPr>
      <t>, adjusted</t>
    </r>
  </si>
  <si>
    <t>ECOSYSTEM Importance</t>
  </si>
  <si>
    <t>= initial value for species which  have not been assessed as benchmark, or are lacking the data used in the formula</t>
  </si>
  <si>
    <t>N'shore; 3-area + d-p</t>
  </si>
  <si>
    <t>Kelp rockfish</t>
  </si>
  <si>
    <t>Treefish rockfish</t>
  </si>
  <si>
    <t>Blue/Deacon rockfish</t>
  </si>
  <si>
    <t>Tribal fishery importance, based on commercial ex-vessel revenue and subsistence importance</t>
  </si>
  <si>
    <t>Pacific spiny dogfish</t>
  </si>
  <si>
    <t>25-50%</t>
  </si>
  <si>
    <t>50-75%</t>
  </si>
  <si>
    <t>75-100%</t>
  </si>
  <si>
    <t>&gt;100%</t>
  </si>
  <si>
    <t>10-25%</t>
  </si>
  <si>
    <t>&lt;10%</t>
  </si>
  <si>
    <t>Percent of OFL attained</t>
  </si>
  <si>
    <t>Percent of ABC attained</t>
  </si>
  <si>
    <t>Kelp greenling</t>
  </si>
  <si>
    <t>Pacific Ocean perch</t>
  </si>
  <si>
    <t>adjusted,</t>
  </si>
  <si>
    <t>If asmt age 
&gt;= 10,
 +1</t>
  </si>
  <si>
    <t>If sp.</t>
  </si>
  <si>
    <t>at or beyond traget freq.</t>
  </si>
  <si>
    <r>
      <t>-</t>
    </r>
    <r>
      <rPr>
        <b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if less than 6 years since last assessment and 'Update' recommended for next assessment</t>
    </r>
  </si>
  <si>
    <t>Assessment output, Fishery and Ecosystem Factor scores, recent mortality vs draft 2022 ABCs</t>
  </si>
  <si>
    <t>= Initial value if 'assessed last cycle'</t>
  </si>
  <si>
    <t>Is sp. Beyond target freq?</t>
  </si>
  <si>
    <t>$1,000s</t>
  </si>
  <si>
    <t xml:space="preserve"> Revenue</t>
  </si>
  <si>
    <t>Commercial*</t>
  </si>
  <si>
    <t>ABCs not used in scoring</t>
  </si>
  <si>
    <t>Vermilion/Sunset rockfish</t>
  </si>
  <si>
    <t>(Benchmark)</t>
  </si>
  <si>
    <t>Last Full</t>
  </si>
  <si>
    <t>Updated</t>
  </si>
  <si>
    <t>Rockfish</t>
  </si>
  <si>
    <t>New ecosystem driver of recruitment available</t>
  </si>
  <si>
    <r>
      <t xml:space="preserve">Individual Factor Scores for each species, with </t>
    </r>
    <r>
      <rPr>
        <b/>
        <sz val="12"/>
        <color rgb="FF0000CC"/>
        <rFont val="Calibri"/>
        <family val="2"/>
        <scheme val="minor"/>
      </rPr>
      <t>factor weights shown in row 7</t>
    </r>
  </si>
  <si>
    <t>adjusts</t>
  </si>
  <si>
    <t xml:space="preserve">for </t>
  </si>
  <si>
    <t>ecosys/</t>
  </si>
  <si>
    <r>
      <t xml:space="preserve">fishery impor-tance 
</t>
    </r>
    <r>
      <rPr>
        <sz val="13"/>
        <color theme="1"/>
        <rFont val="Calibri"/>
        <family val="2"/>
        <scheme val="minor"/>
      </rPr>
      <t>(-</t>
    </r>
    <r>
      <rPr>
        <b/>
        <sz val="13"/>
        <color theme="1"/>
        <rFont val="Calibri"/>
        <family val="2"/>
        <scheme val="minor"/>
      </rPr>
      <t>J</t>
    </r>
    <r>
      <rPr>
        <sz val="13"/>
        <color theme="1"/>
        <rFont val="Calibri"/>
        <family val="2"/>
        <scheme val="minor"/>
      </rPr>
      <t xml:space="preserve"> value)</t>
    </r>
  </si>
  <si>
    <t xml:space="preserve">Based on the most recently assessed % of Unfished Spawning Biomass/Output, calculated at a coastwide level, except where benchmark-derived OFLs do not </t>
  </si>
  <si>
    <t>Est.</t>
  </si>
  <si>
    <t>Target</t>
  </si>
  <si>
    <t xml:space="preserve">Mean Catch-Age </t>
  </si>
  <si>
    <t>Wt.'d</t>
  </si>
  <si>
    <t>Asmnt</t>
  </si>
  <si>
    <t>Options</t>
  </si>
  <si>
    <t>Full/Upd</t>
  </si>
  <si>
    <t>F/D-M</t>
  </si>
  <si>
    <t xml:space="preserve">This modifier is included in the final score for </t>
  </si>
  <si>
    <t>√</t>
  </si>
  <si>
    <t>When a suite of species is selected for assessments in 2019, by placing Xs in their rows in column F, a new score is calculated in column Q, through adjusting scores of the "Target Frequency" and "New Information" Factors</t>
  </si>
  <si>
    <t>2021 Base</t>
  </si>
  <si>
    <t>Scoring of "Target Frequency" Factor</t>
  </si>
  <si>
    <t>Scoring of "New Info" Factor</t>
  </si>
  <si>
    <t>Weight</t>
  </si>
  <si>
    <t>2023 Factor Score</t>
  </si>
  <si>
    <t>Overall Score</t>
  </si>
  <si>
    <t>Weighted Diff-erence</t>
  </si>
  <si>
    <t>New Base Score</t>
  </si>
  <si>
    <t>New Base Rank</t>
  </si>
  <si>
    <t>2-3 areas</t>
  </si>
  <si>
    <t>2-area; CalCOFI genetic ID</t>
  </si>
  <si>
    <t>Vermilion rockfish</t>
  </si>
  <si>
    <t>Pink cells denote species w/o prior benchmark assessments</t>
  </si>
  <si>
    <t>Currently</t>
  </si>
  <si>
    <t>checked as</t>
  </si>
  <si>
    <t>examples</t>
  </si>
  <si>
    <t>Attachment 2 (Electronic Only)</t>
  </si>
  <si>
    <t>Agenda Item F.2</t>
  </si>
  <si>
    <t>March 2022</t>
  </si>
  <si>
    <t>Full</t>
  </si>
  <si>
    <t>2016-20 Coastwide</t>
  </si>
  <si>
    <t>Sum from 2016-20</t>
  </si>
  <si>
    <t>Revenue (sum 2016-20)</t>
  </si>
  <si>
    <t>Avg mts, (2018-20)</t>
  </si>
  <si>
    <t>Average over 2018-20</t>
  </si>
  <si>
    <r>
      <t>2018-20 avg. OFL (</t>
    </r>
    <r>
      <rPr>
        <i/>
        <sz val="14"/>
        <color theme="1"/>
        <rFont val="Times New Roman"/>
        <family val="1"/>
      </rPr>
      <t>or OFL contribution</t>
    </r>
    <r>
      <rPr>
        <sz val="14"/>
        <color theme="1"/>
        <rFont val="Calibri"/>
        <family val="2"/>
        <scheme val="minor"/>
      </rPr>
      <t>)</t>
    </r>
  </si>
  <si>
    <t>Average 2018-20</t>
  </si>
  <si>
    <t>Avg mts, 2018-20</t>
  </si>
  <si>
    <t>to Initial</t>
  </si>
  <si>
    <t>Score Sdded</t>
  </si>
  <si>
    <t>Max Value</t>
  </si>
  <si>
    <t>Rougheye/Blackspotted rockfish</t>
  </si>
  <si>
    <t xml:space="preserve">Unfished </t>
  </si>
  <si>
    <t>% Fraction</t>
  </si>
  <si>
    <t>Manage.</t>
  </si>
  <si>
    <t>Gopher/Black and yellow rockfish</t>
  </si>
  <si>
    <t>Rougheye/Blackspottedd rockfish</t>
  </si>
  <si>
    <t>Recreatiol importance of species, based on coastwide landed tonge and weighting reflecting relative species desirability</t>
  </si>
  <si>
    <t>Cary rockfish</t>
  </si>
  <si>
    <t>Fishing</t>
  </si>
  <si>
    <t>Mortality</t>
  </si>
  <si>
    <t>Removed from detailed analysis due to very low average fishing mortality during 2018-2020</t>
  </si>
  <si>
    <t>Bronzespotted rockfish</t>
  </si>
  <si>
    <t>Butter sole</t>
  </si>
  <si>
    <t>Calico rockfish</t>
  </si>
  <si>
    <t>Chameleon rockfish</t>
  </si>
  <si>
    <t>Dusky rockfish</t>
  </si>
  <si>
    <t>Freckled rockfish</t>
  </si>
  <si>
    <t>Greenblotched rockfish</t>
  </si>
  <si>
    <t>Halfbanded rockfish</t>
  </si>
  <si>
    <t>Dwarf-red rockfish</t>
  </si>
  <si>
    <t>Harlequin rockfish</t>
  </si>
  <si>
    <t>Leopard shark</t>
  </si>
  <si>
    <t>Mexican rockfish</t>
  </si>
  <si>
    <t>Pink rockfish</t>
  </si>
  <si>
    <t>Pinkrose rockfish</t>
  </si>
  <si>
    <t>Pygmy rockfish</t>
  </si>
  <si>
    <t>Redstripe rockfish</t>
  </si>
  <si>
    <t>Rosethorn rockfish</t>
  </si>
  <si>
    <t>Rosy rockfish</t>
  </si>
  <si>
    <t>Silvergray rockfish</t>
  </si>
  <si>
    <t>Stripetail rockfish</t>
  </si>
  <si>
    <t>Swordspine rockfish</t>
  </si>
  <si>
    <t>Tiger rockfish</t>
  </si>
  <si>
    <t>Yellowmouth rockfish</t>
  </si>
  <si>
    <t>Redstriped rockfish</t>
  </si>
  <si>
    <t>Rosethoryn rockfish</t>
  </si>
  <si>
    <t>Silvergrey rockfish</t>
  </si>
  <si>
    <t>Stripedtail rockfish</t>
  </si>
  <si>
    <t>Yellowmouth rockfsih</t>
  </si>
  <si>
    <t>Rex sole</t>
  </si>
  <si>
    <t>Rock sole</t>
  </si>
  <si>
    <t>Sand sole</t>
  </si>
  <si>
    <t>Flathead sole</t>
  </si>
  <si>
    <t>Rosey rockfish</t>
  </si>
  <si>
    <t>cover the entire coast (e.g. bocaccio, yellowtail); or, on the stock's PSA (Vulnerability) score, where the fraction unfished has not been estimated</t>
  </si>
  <si>
    <t>Based on the percent of OFL attainment, calculated at a coastwide level</t>
  </si>
  <si>
    <t xml:space="preserve">Min. Stock </t>
  </si>
  <si>
    <t>Size Thres.</t>
  </si>
  <si>
    <t>Trend</t>
  </si>
  <si>
    <t>Commercial fleet rankings used to evaluate Consituent Demand</t>
  </si>
  <si>
    <t>Recreational state rankings used to evaluate Consituent Demand</t>
  </si>
  <si>
    <t>State-level ranks</t>
  </si>
  <si>
    <t>Gear ranks</t>
  </si>
  <si>
    <t>CW</t>
  </si>
  <si>
    <t>Commercial Importance Modifier</t>
  </si>
  <si>
    <t>Rec. Importance Modifier</t>
  </si>
  <si>
    <t>Sum of Modifiers</t>
  </si>
  <si>
    <t>5-Year Landings Reduced by Rebuilding Modifier</t>
  </si>
  <si>
    <t>Industry Expressed Concern Modifier</t>
  </si>
  <si>
    <t>Choke Stock</t>
  </si>
  <si>
    <t>Component Scores</t>
  </si>
  <si>
    <t xml:space="preserve"> / OFL (2024) </t>
  </si>
  <si>
    <r>
      <rPr>
        <b/>
        <sz val="14"/>
        <color theme="1"/>
        <rFont val="Calibri"/>
        <family val="2"/>
        <scheme val="minor"/>
      </rPr>
      <t>OFL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</si>
  <si>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>New forward look at degree to which recent catches would be constrained by 2024 draft SPEX.</t>
  </si>
  <si>
    <t>Final Modifier</t>
  </si>
  <si>
    <t>Year of Last Assessment</t>
  </si>
  <si>
    <t>~50K lengths and ~28K otoliths collected</t>
  </si>
  <si>
    <t>~84K lengths and ~1K otoliths have been collected</t>
  </si>
  <si>
    <t>~10K lengths, ~5k otoliths collected since 2013 by the NWFSC WCGBT survey</t>
  </si>
  <si>
    <t>~150K lengths, ~14k, ages and ~21K otoliths collected since 2015</t>
  </si>
  <si>
    <t>~208K lengths, ~80K ages not used in 2013 D-M assessment (~22K otoliths available from 2010-2021)</t>
  </si>
  <si>
    <t>~27K lengths and ~11K otoliths collected since last assessment</t>
  </si>
  <si>
    <t>~17K lengths and ~2K otoliths collected since last assessment</t>
  </si>
  <si>
    <t>~35K lengths and ~15K otoltish have been collected</t>
  </si>
  <si>
    <t>~184K lengths and ~29K otoliths available(none used in 2013 D-M assessment)</t>
  </si>
  <si>
    <t>~64K lengths collected since last assessment</t>
  </si>
  <si>
    <t>~73K lengths collected since last assessment</t>
  </si>
  <si>
    <t>~19K lengths and 9K otoliths collected since last assessment</t>
  </si>
  <si>
    <t>~28K lengths and ~9K otoliths collected (none used in 2013 D-M assessment)</t>
  </si>
  <si>
    <t>~38K lengths and 16K otoliths collected since last assessment</t>
  </si>
  <si>
    <t>~7K lengths and 3K otoliths collected since last assessmnet</t>
  </si>
  <si>
    <t>~1K lengths, 500 aged, and 679 otoliths collected since the last assessment</t>
  </si>
  <si>
    <t>~17K lengths and ~5K otoliths collected since the last assessment</t>
  </si>
  <si>
    <t>~59K lengths, ~7k aged, and ~17K otoliths collected since the last assessment</t>
  </si>
  <si>
    <t>~25K lengths and ~6K otoliths collected since the last assessment</t>
  </si>
  <si>
    <t>~1K lengths and 289 otoliths collected</t>
  </si>
  <si>
    <t>~13k lengths and 583 otoliths collected</t>
  </si>
  <si>
    <t>~11K lengths and ~3k otoliths collected</t>
  </si>
  <si>
    <t>~13k lengths collected</t>
  </si>
  <si>
    <t>~14k lengths and 352 otoliths collected</t>
  </si>
  <si>
    <t>~92K lengths, ~4K ages, and ~5K otoliths collected</t>
  </si>
  <si>
    <t>~2K lengths collected</t>
  </si>
  <si>
    <t>~39K lengths and 785 otoliths collected</t>
  </si>
  <si>
    <t>~70K lengths, ~1K aged, and ~5K otoliths collected</t>
  </si>
  <si>
    <t>~167K lengths, ~8K aged, and ~21K otoliths collected</t>
  </si>
  <si>
    <t>~3K lengths and 827 otoliths collected</t>
  </si>
  <si>
    <t>~5K lengths and ~2K otoliths collected</t>
  </si>
  <si>
    <t>~22K lengths and ~912 otoliths collected</t>
  </si>
  <si>
    <t>~10K lengths and ~4k otoliths collected</t>
  </si>
  <si>
    <t>~6k lengths and ~3k otoliths collected</t>
  </si>
  <si>
    <t>~7K lengths and ~2K otoliths collected</t>
  </si>
  <si>
    <t>~16K length and ~3k otoliths collected</t>
  </si>
  <si>
    <t>~37K lengths and ~2K otoliths collected</t>
  </si>
  <si>
    <t>~11K lengths collected</t>
  </si>
  <si>
    <t>~4K lengths and ~2K otoliths collected</t>
  </si>
  <si>
    <t>the Constituent Demand Factor (Column E)</t>
  </si>
  <si>
    <r>
      <rPr>
        <b/>
        <sz val="14"/>
        <color theme="1"/>
        <rFont val="Calibri"/>
        <family val="2"/>
        <scheme val="minor"/>
      </rPr>
      <t>ACL (2024)</t>
    </r>
    <r>
      <rPr>
        <sz val="14"/>
        <color theme="1"/>
        <rFont val="Calibri"/>
        <family val="2"/>
        <scheme val="minor"/>
      </rPr>
      <t xml:space="preserve">, or </t>
    </r>
    <r>
      <rPr>
        <i/>
        <sz val="14"/>
        <color theme="1"/>
        <rFont val="Cambria"/>
        <family val="1"/>
        <scheme val="major"/>
      </rPr>
      <t>contrib.</t>
    </r>
  </si>
  <si>
    <t xml:space="preserve"> / ACL (2024) </t>
  </si>
  <si>
    <t xml:space="preserve">/ ACL (2024) </t>
  </si>
  <si>
    <t>Sum of Initial Score and additive adjustments</t>
  </si>
  <si>
    <r>
      <rPr>
        <b/>
        <sz val="14"/>
        <rFont val="Calibri"/>
        <family val="2"/>
        <scheme val="minor"/>
      </rPr>
      <t>OFL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OFL contribution</t>
    </r>
    <r>
      <rPr>
        <sz val="14"/>
        <rFont val="Calibri"/>
        <family val="2"/>
        <scheme val="minor"/>
      </rPr>
      <t>) (mt)</t>
    </r>
  </si>
  <si>
    <r>
      <rPr>
        <b/>
        <sz val="14"/>
        <rFont val="Calibri"/>
        <family val="2"/>
        <scheme val="minor"/>
      </rPr>
      <t>ABC</t>
    </r>
    <r>
      <rPr>
        <sz val="14"/>
        <rFont val="Calibri"/>
        <family val="2"/>
        <scheme val="minor"/>
      </rPr>
      <t xml:space="preserve"> (or </t>
    </r>
    <r>
      <rPr>
        <i/>
        <sz val="14"/>
        <rFont val="Calibri"/>
        <family val="2"/>
        <scheme val="minor"/>
      </rPr>
      <t>ABC contribution</t>
    </r>
    <r>
      <rPr>
        <sz val="14"/>
        <rFont val="Calibri"/>
        <family val="2"/>
        <scheme val="minor"/>
      </rPr>
      <t>) (mt)</t>
    </r>
  </si>
  <si>
    <r>
      <t xml:space="preserve">OFL </t>
    </r>
    <r>
      <rPr>
        <b/>
        <sz val="16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Fishing mortality (mt)</t>
    </r>
  </si>
  <si>
    <r>
      <rPr>
        <b/>
        <sz val="14"/>
        <color theme="1"/>
        <rFont val="Calibri"/>
        <family val="2"/>
        <scheme val="minor"/>
      </rPr>
      <t>Factor Score for Ecosystem Importance</t>
    </r>
  </si>
  <si>
    <t>Worksheet for projecting scores and ratings for species in 2025, given selection of species for assessment in 2023.</t>
  </si>
  <si>
    <t>IF assessed in 2023</t>
  </si>
  <si>
    <t>Indicator for 'stock selected for 2023'</t>
  </si>
  <si>
    <r>
      <t xml:space="preserve">IF </t>
    </r>
    <r>
      <rPr>
        <b/>
        <u/>
        <sz val="12"/>
        <color rgb="FFD20000"/>
        <rFont val="Calibri"/>
        <family val="2"/>
        <scheme val="minor"/>
      </rPr>
      <t>NOT</t>
    </r>
    <r>
      <rPr>
        <b/>
        <sz val="12"/>
        <color theme="1"/>
        <rFont val="Calibri"/>
        <family val="2"/>
        <scheme val="minor"/>
      </rPr>
      <t xml:space="preserve"> assessed in 2023</t>
    </r>
  </si>
  <si>
    <t>New  score minus 2023 base</t>
  </si>
  <si>
    <t>2025 Factor Score</t>
  </si>
  <si>
    <t>2025 score, if not assessed in 2023</t>
  </si>
  <si>
    <t>New  score minus 2025 base</t>
  </si>
  <si>
    <t>Resulting 2025 Scores and Ranks</t>
  </si>
  <si>
    <t>2023 Assess. Freq Score</t>
  </si>
  <si>
    <t>2025 score, if assessed in 2023</t>
  </si>
  <si>
    <t>New Base minus 2023 Base</t>
  </si>
  <si>
    <t>2023 minus 2025 Rank</t>
  </si>
  <si>
    <t>Chosen for 2023</t>
  </si>
  <si>
    <t>N'shore; 4-area</t>
  </si>
  <si>
    <t>Fishery Import.</t>
  </si>
  <si>
    <t>Eco-system Import.</t>
  </si>
  <si>
    <t>Total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</si>
</sst>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_(* #,##0.000_);_(* \(#,##0.000\);_(* &quot;-&quot;??_);_(@_)"/>
    <numFmt numFmtId="169" formatCode="#,##0.000"/>
    <numFmt numFmtId="170" formatCode="\+0"/>
    <numFmt numFmtId="171" formatCode="#,##0\ "/>
    <numFmt numFmtId="173" formatCode="\+\ 0;\-\ 0"/>
    <numFmt numFmtId="174" formatCode="0.0%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6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i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4"/>
      <color rgb="FF303C18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rgb="FF005800"/>
      <name val="Calibri"/>
      <family val="2"/>
      <scheme val="minor"/>
    </font>
    <font>
      <sz val="11"/>
      <color rgb="FF6C1608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"/>
      <name val="Arial Narrow"/>
      <family val="2"/>
    </font>
    <font>
      <b/>
      <sz val="15"/>
      <color rgb="FFC00000"/>
      <name val="Calibri"/>
      <family val="2"/>
      <scheme val="minor"/>
    </font>
    <font>
      <sz val="14"/>
      <name val="Times New Roman"/>
      <family val="1"/>
    </font>
    <font>
      <b/>
      <sz val="14"/>
      <color rgb="FFC00000"/>
      <name val="Times New Roman"/>
      <family val="1"/>
    </font>
    <font>
      <b/>
      <sz val="13"/>
      <name val="Calibri"/>
      <family val="2"/>
      <scheme val="minor"/>
    </font>
    <font>
      <i/>
      <sz val="14"/>
      <color rgb="FFCC0000"/>
      <name val="Times New Roman"/>
      <family val="1"/>
    </font>
    <font>
      <i/>
      <sz val="14"/>
      <color theme="1"/>
      <name val="Cambria"/>
      <family val="1"/>
      <scheme val="major"/>
    </font>
    <font>
      <b/>
      <sz val="14"/>
      <color rgb="FFB2292E"/>
      <name val="Times New Roman"/>
      <family val="1"/>
    </font>
    <font>
      <sz val="14"/>
      <color rgb="FF00467F"/>
      <name val="Calibri"/>
      <family val="2"/>
      <scheme val="minor"/>
    </font>
    <font>
      <b/>
      <sz val="14"/>
      <color rgb="FF0055A4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ourier New"/>
      <family val="3"/>
    </font>
    <font>
      <b/>
      <sz val="12"/>
      <color theme="1"/>
      <name val="Calibri"/>
      <family val="2"/>
    </font>
    <font>
      <b/>
      <sz val="12"/>
      <color rgb="FF006600"/>
      <name val="Calibri"/>
      <family val="2"/>
      <scheme val="minor"/>
    </font>
    <font>
      <b/>
      <u/>
      <sz val="12"/>
      <color rgb="FFD20000"/>
      <name val="Calibri"/>
      <family val="2"/>
      <scheme val="minor"/>
    </font>
    <font>
      <b/>
      <sz val="12"/>
      <color rgb="FF820000"/>
      <name val="Calibri"/>
      <family val="2"/>
    </font>
    <font>
      <b/>
      <sz val="13"/>
      <color theme="1"/>
      <name val="Calibri"/>
      <family val="2"/>
    </font>
    <font>
      <sz val="12"/>
      <color theme="1" tint="0.34998626667073579"/>
      <name val="Calibri"/>
      <family val="2"/>
    </font>
    <font>
      <b/>
      <sz val="12"/>
      <color rgb="FFD20000"/>
      <name val="Calibri"/>
      <family val="2"/>
      <scheme val="minor"/>
    </font>
    <font>
      <b/>
      <sz val="12"/>
      <color theme="0" tint="-0.499984740745262"/>
      <name val="Calibri"/>
      <family val="2"/>
    </font>
    <font>
      <sz val="12"/>
      <color theme="1"/>
      <name val="Times New Roman"/>
      <family val="1"/>
    </font>
    <font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3"/>
      <name val="Calibri"/>
      <family val="2"/>
      <scheme val="minor"/>
    </font>
    <font>
      <b/>
      <i/>
      <sz val="14"/>
      <color rgb="FFB2292E"/>
      <name val="Cambria"/>
      <family val="1"/>
      <scheme val="major"/>
    </font>
    <font>
      <i/>
      <sz val="14"/>
      <name val="Calibri"/>
      <family val="2"/>
      <scheme val="minor"/>
    </font>
    <font>
      <i/>
      <sz val="14"/>
      <color rgb="FFB2292E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1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99E7F6"/>
        <bgColor indexed="64"/>
      </patternFill>
    </fill>
    <fill>
      <patternFill patternType="solid">
        <fgColor rgb="FFA5D4E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rgb="FF99CC00"/>
      </patternFill>
    </fill>
    <fill>
      <patternFill patternType="solid">
        <fgColor rgb="FFFF7979"/>
        <bgColor indexed="64"/>
      </patternFill>
    </fill>
    <fill>
      <patternFill patternType="solid">
        <fgColor rgb="FFF7AC47"/>
        <bgColor rgb="FFF7AC47"/>
      </patternFill>
    </fill>
    <fill>
      <patternFill patternType="darkUp">
        <fgColor rgb="FF99CC00"/>
        <bgColor rgb="FF99CC00"/>
      </patternFill>
    </fill>
    <fill>
      <patternFill patternType="darkTrellis">
        <fgColor rgb="FF99CC00"/>
        <bgColor rgb="FF99CC00"/>
      </patternFill>
    </fill>
    <fill>
      <patternFill patternType="darkUp">
        <fgColor rgb="FFF7AC47"/>
        <bgColor rgb="FFF7AC47"/>
      </patternFill>
    </fill>
    <fill>
      <patternFill patternType="darkTrellis">
        <fgColor rgb="FFF7AC47"/>
        <bgColor rgb="FFF7AC47"/>
      </patternFill>
    </fill>
    <fill>
      <patternFill patternType="solid">
        <fgColor rgb="FF47FFC2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A6BFDE"/>
        <bgColor indexed="64"/>
      </patternFill>
    </fill>
    <fill>
      <patternFill patternType="solid">
        <fgColor rgb="FFCCDAEC"/>
        <bgColor indexed="64"/>
      </patternFill>
    </fill>
    <fill>
      <patternFill patternType="solid">
        <fgColor rgb="FFB8EE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7FF8B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rgb="FFD5E3B7"/>
        <bgColor indexed="64"/>
      </patternFill>
    </fill>
    <fill>
      <patternFill patternType="solid">
        <fgColor rgb="FFEAC38A"/>
        <bgColor indexed="64"/>
      </patternFill>
    </fill>
    <fill>
      <patternFill patternType="solid">
        <fgColor rgb="FFFADB8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2FDB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BD9EB"/>
        <bgColor indexed="64"/>
      </patternFill>
    </fill>
    <fill>
      <patternFill patternType="solid">
        <fgColor rgb="FFF0D5AE"/>
        <bgColor indexed="64"/>
      </patternFill>
    </fill>
    <fill>
      <patternFill patternType="solid">
        <fgColor rgb="FFE9F0D8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8CFE3"/>
        <bgColor indexed="64"/>
      </patternFill>
    </fill>
    <fill>
      <patternFill patternType="solid">
        <fgColor rgb="FFD6FFC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1FFE6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E8FFDD"/>
        <bgColor indexed="64"/>
      </patternFill>
    </fill>
    <fill>
      <patternFill patternType="solid">
        <fgColor rgb="FF9C0218"/>
        <bgColor indexed="64"/>
      </patternFill>
    </fill>
    <fill>
      <patternFill patternType="solid">
        <fgColor rgb="FFFFC5E2"/>
        <bgColor indexed="64"/>
      </patternFill>
    </fill>
  </fills>
  <borders count="1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auto="1"/>
      </top>
      <bottom/>
      <diagonal/>
    </border>
  </borders>
  <cellStyleXfs count="230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24" fillId="0" borderId="0"/>
    <xf numFmtId="0" fontId="25" fillId="0" borderId="0"/>
    <xf numFmtId="0" fontId="9" fillId="0" borderId="0"/>
    <xf numFmtId="0" fontId="2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5" fillId="0" borderId="0"/>
    <xf numFmtId="9" fontId="15" fillId="0" borderId="0" applyFont="0" applyFill="0" applyBorder="0" applyAlignment="0" applyProtection="0"/>
    <xf numFmtId="0" fontId="2" fillId="0" borderId="0"/>
    <xf numFmtId="0" fontId="1" fillId="0" borderId="0"/>
    <xf numFmtId="49" fontId="51" fillId="63" borderId="0" applyBorder="0" applyProtection="0">
      <alignment horizontal="left" vertical="top" wrapText="1"/>
    </xf>
    <xf numFmtId="0" fontId="1" fillId="0" borderId="0"/>
  </cellStyleXfs>
  <cellXfs count="1246">
    <xf numFmtId="0" fontId="0" fillId="0" borderId="0" xfId="0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5" fontId="7" fillId="0" borderId="0" xfId="1" applyNumberFormat="1" applyFont="1"/>
    <xf numFmtId="0" fontId="7" fillId="0" borderId="0" xfId="0" applyFont="1" applyBorder="1"/>
    <xf numFmtId="165" fontId="7" fillId="0" borderId="14" xfId="1" applyNumberFormat="1" applyFont="1" applyBorder="1"/>
    <xf numFmtId="165" fontId="7" fillId="0" borderId="19" xfId="1" applyNumberFormat="1" applyFont="1" applyBorder="1"/>
    <xf numFmtId="165" fontId="7" fillId="0" borderId="21" xfId="1" applyNumberFormat="1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7" fillId="22" borderId="0" xfId="0" applyFont="1" applyFill="1" applyAlignment="1">
      <alignment vertical="center" wrapText="1"/>
    </xf>
    <xf numFmtId="0" fontId="7" fillId="22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left" vertical="center"/>
    </xf>
    <xf numFmtId="0" fontId="7" fillId="23" borderId="0" xfId="0" applyFont="1" applyFill="1" applyAlignment="1">
      <alignment vertical="center" wrapText="1"/>
    </xf>
    <xf numFmtId="0" fontId="7" fillId="2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quotePrefix="1" applyFont="1"/>
    <xf numFmtId="0" fontId="7" fillId="0" borderId="0" xfId="0" applyFont="1" applyAlignment="1">
      <alignment horizontal="left" vertical="center"/>
    </xf>
    <xf numFmtId="0" fontId="6" fillId="0" borderId="0" xfId="0" applyFont="1"/>
    <xf numFmtId="0" fontId="13" fillId="0" borderId="0" xfId="0" applyFont="1" applyBorder="1" applyAlignment="1">
      <alignment horizontal="center"/>
    </xf>
    <xf numFmtId="3" fontId="14" fillId="0" borderId="0" xfId="0" applyNumberFormat="1" applyFont="1"/>
    <xf numFmtId="3" fontId="6" fillId="0" borderId="0" xfId="0" applyNumberFormat="1" applyFont="1"/>
    <xf numFmtId="4" fontId="6" fillId="0" borderId="0" xfId="0" applyNumberFormat="1" applyFont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17" borderId="0" xfId="0" applyFont="1" applyFill="1"/>
    <xf numFmtId="0" fontId="8" fillId="17" borderId="30" xfId="0" applyFont="1" applyFill="1" applyBorder="1"/>
    <xf numFmtId="0" fontId="8" fillId="17" borderId="32" xfId="0" applyFont="1" applyFill="1" applyBorder="1" applyAlignment="1">
      <alignment horizontal="center"/>
    </xf>
    <xf numFmtId="0" fontId="8" fillId="17" borderId="0" xfId="0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8" fillId="17" borderId="15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4" fontId="7" fillId="17" borderId="37" xfId="2" applyNumberFormat="1" applyFont="1" applyFill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4" fontId="8" fillId="0" borderId="39" xfId="0" applyNumberFormat="1" applyFont="1" applyFill="1" applyBorder="1" applyAlignment="1">
      <alignment horizontal="center"/>
    </xf>
    <xf numFmtId="0" fontId="7" fillId="27" borderId="41" xfId="0" applyFont="1" applyFill="1" applyBorder="1"/>
    <xf numFmtId="4" fontId="7" fillId="0" borderId="40" xfId="0" applyNumberFormat="1" applyFont="1" applyBorder="1" applyAlignment="1">
      <alignment horizontal="center"/>
    </xf>
    <xf numFmtId="4" fontId="7" fillId="0" borderId="49" xfId="0" applyNumberFormat="1" applyFont="1" applyBorder="1" applyAlignment="1">
      <alignment horizontal="center"/>
    </xf>
    <xf numFmtId="0" fontId="7" fillId="27" borderId="8" xfId="0" applyFont="1" applyFill="1" applyBorder="1"/>
    <xf numFmtId="4" fontId="7" fillId="0" borderId="9" xfId="0" applyNumberFormat="1" applyFont="1" applyFill="1" applyBorder="1"/>
    <xf numFmtId="4" fontId="7" fillId="0" borderId="50" xfId="0" applyNumberFormat="1" applyFont="1" applyFill="1" applyBorder="1" applyAlignment="1">
      <alignment horizontal="center"/>
    </xf>
    <xf numFmtId="4" fontId="7" fillId="0" borderId="9" xfId="0" applyNumberFormat="1" applyFont="1" applyBorder="1" applyAlignment="1">
      <alignment horizontal="center"/>
    </xf>
    <xf numFmtId="4" fontId="7" fillId="0" borderId="50" xfId="0" applyNumberFormat="1" applyFont="1" applyBorder="1" applyAlignment="1">
      <alignment horizontal="center"/>
    </xf>
    <xf numFmtId="4" fontId="7" fillId="0" borderId="9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17" borderId="33" xfId="0" applyFont="1" applyFill="1" applyBorder="1"/>
    <xf numFmtId="2" fontId="7" fillId="0" borderId="14" xfId="0" applyNumberFormat="1" applyFont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167" fontId="8" fillId="0" borderId="52" xfId="0" applyNumberFormat="1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0" fontId="7" fillId="17" borderId="0" xfId="0" quotePrefix="1" applyFont="1" applyFill="1" applyBorder="1"/>
    <xf numFmtId="0" fontId="8" fillId="17" borderId="0" xfId="0" quotePrefix="1" applyFont="1" applyFill="1" applyBorder="1" applyAlignment="1">
      <alignment horizontal="center"/>
    </xf>
    <xf numFmtId="0" fontId="8" fillId="17" borderId="0" xfId="0" quotePrefix="1" applyFont="1" applyFill="1" applyAlignment="1">
      <alignment horizontal="center"/>
    </xf>
    <xf numFmtId="0" fontId="7" fillId="17" borderId="0" xfId="0" applyFont="1" applyFill="1" applyBorder="1"/>
    <xf numFmtId="0" fontId="8" fillId="17" borderId="0" xfId="0" applyFont="1" applyFill="1" applyBorder="1" applyAlignment="1">
      <alignment horizontal="center"/>
    </xf>
    <xf numFmtId="0" fontId="8" fillId="17" borderId="47" xfId="0" applyFont="1" applyFill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17" borderId="27" xfId="0" applyFont="1" applyFill="1" applyBorder="1" applyAlignment="1">
      <alignment horizontal="center"/>
    </xf>
    <xf numFmtId="0" fontId="8" fillId="17" borderId="28" xfId="0" applyFont="1" applyFill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10" fillId="0" borderId="0" xfId="3" applyFont="1"/>
    <xf numFmtId="9" fontId="15" fillId="0" borderId="0" xfId="2" applyFont="1" applyAlignment="1">
      <alignment horizontal="center"/>
    </xf>
    <xf numFmtId="0" fontId="15" fillId="0" borderId="0" xfId="0" applyFont="1"/>
    <xf numFmtId="0" fontId="7" fillId="0" borderId="0" xfId="0" applyFont="1" applyAlignment="1">
      <alignment vertical="center"/>
    </xf>
    <xf numFmtId="0" fontId="11" fillId="0" borderId="0" xfId="3" applyFont="1"/>
    <xf numFmtId="9" fontId="7" fillId="0" borderId="19" xfId="2" applyFont="1" applyBorder="1" applyAlignment="1">
      <alignment horizontal="center" vertical="center"/>
    </xf>
    <xf numFmtId="0" fontId="17" fillId="0" borderId="0" xfId="3" applyFont="1"/>
    <xf numFmtId="0" fontId="11" fillId="0" borderId="0" xfId="3" applyFont="1" applyAlignment="1">
      <alignment horizontal="center"/>
    </xf>
    <xf numFmtId="3" fontId="11" fillId="0" borderId="0" xfId="3" applyNumberFormat="1" applyFont="1" applyAlignment="1">
      <alignment horizontal="center"/>
    </xf>
    <xf numFmtId="0" fontId="21" fillId="0" borderId="0" xfId="3" applyFont="1"/>
    <xf numFmtId="167" fontId="7" fillId="0" borderId="0" xfId="0" applyNumberFormat="1" applyFont="1" applyAlignment="1">
      <alignment horizontal="center" vertical="center"/>
    </xf>
    <xf numFmtId="0" fontId="10" fillId="17" borderId="26" xfId="4" applyFont="1" applyFill="1" applyBorder="1"/>
    <xf numFmtId="0" fontId="10" fillId="17" borderId="26" xfId="4" applyFont="1" applyFill="1" applyBorder="1" applyAlignment="1"/>
    <xf numFmtId="0" fontId="8" fillId="17" borderId="0" xfId="0" applyFont="1" applyFill="1" applyBorder="1"/>
    <xf numFmtId="0" fontId="10" fillId="0" borderId="26" xfId="3" applyFont="1" applyBorder="1"/>
    <xf numFmtId="0" fontId="8" fillId="17" borderId="0" xfId="0" applyFont="1" applyFill="1" applyAlignment="1">
      <alignment horizontal="centerContinuous"/>
    </xf>
    <xf numFmtId="0" fontId="8" fillId="17" borderId="30" xfId="0" applyFont="1" applyFill="1" applyBorder="1" applyAlignment="1">
      <alignment horizontal="centerContinuous"/>
    </xf>
    <xf numFmtId="9" fontId="7" fillId="0" borderId="21" xfId="2" applyFont="1" applyBorder="1" applyAlignment="1">
      <alignment horizontal="center" vertical="center"/>
    </xf>
    <xf numFmtId="0" fontId="10" fillId="17" borderId="33" xfId="3" applyFont="1" applyFill="1" applyBorder="1"/>
    <xf numFmtId="0" fontId="7" fillId="17" borderId="0" xfId="0" applyFont="1" applyFill="1" applyAlignment="1">
      <alignment horizontal="left"/>
    </xf>
    <xf numFmtId="0" fontId="7" fillId="0" borderId="0" xfId="0" applyFont="1" applyFill="1" applyBorder="1" applyAlignment="1">
      <alignment vertical="center"/>
    </xf>
    <xf numFmtId="4" fontId="14" fillId="16" borderId="32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4" fontId="6" fillId="16" borderId="46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centerContinuous"/>
    </xf>
    <xf numFmtId="0" fontId="26" fillId="17" borderId="0" xfId="0" applyFont="1" applyFill="1" applyAlignment="1">
      <alignment vertical="center"/>
    </xf>
    <xf numFmtId="0" fontId="26" fillId="17" borderId="0" xfId="0" applyFont="1" applyFill="1"/>
    <xf numFmtId="165" fontId="7" fillId="17" borderId="0" xfId="1" applyNumberFormat="1" applyFont="1" applyFill="1"/>
    <xf numFmtId="0" fontId="7" fillId="17" borderId="0" xfId="0" applyFont="1" applyFill="1" applyBorder="1" applyAlignment="1">
      <alignment horizontal="center"/>
    </xf>
    <xf numFmtId="0" fontId="7" fillId="17" borderId="30" xfId="0" applyFont="1" applyFill="1" applyBorder="1"/>
    <xf numFmtId="0" fontId="7" fillId="17" borderId="0" xfId="0" applyFont="1" applyFill="1" applyAlignment="1">
      <alignment horizontal="centerContinuous"/>
    </xf>
    <xf numFmtId="0" fontId="7" fillId="17" borderId="7" xfId="0" applyFont="1" applyFill="1" applyBorder="1" applyAlignment="1">
      <alignment horizontal="centerContinuous"/>
    </xf>
    <xf numFmtId="165" fontId="7" fillId="17" borderId="3" xfId="1" applyNumberFormat="1" applyFont="1" applyFill="1" applyBorder="1" applyAlignment="1">
      <alignment horizontal="centerContinuous"/>
    </xf>
    <xf numFmtId="165" fontId="7" fillId="17" borderId="45" xfId="1" applyNumberFormat="1" applyFont="1" applyFill="1" applyBorder="1" applyAlignment="1">
      <alignment horizontal="centerContinuous"/>
    </xf>
    <xf numFmtId="0" fontId="7" fillId="17" borderId="3" xfId="0" applyFont="1" applyFill="1" applyBorder="1" applyAlignment="1">
      <alignment horizontal="centerContinuous"/>
    </xf>
    <xf numFmtId="0" fontId="7" fillId="17" borderId="18" xfId="0" applyFont="1" applyFill="1" applyBorder="1" applyAlignment="1">
      <alignment horizontal="centerContinuous"/>
    </xf>
    <xf numFmtId="0" fontId="7" fillId="17" borderId="47" xfId="0" applyFont="1" applyFill="1" applyBorder="1" applyAlignment="1">
      <alignment horizontal="center"/>
    </xf>
    <xf numFmtId="0" fontId="7" fillId="17" borderId="5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Continuous"/>
    </xf>
    <xf numFmtId="0" fontId="7" fillId="27" borderId="7" xfId="0" applyFont="1" applyFill="1" applyBorder="1"/>
    <xf numFmtId="165" fontId="7" fillId="17" borderId="0" xfId="1" applyNumberFormat="1" applyFont="1" applyFill="1" applyBorder="1"/>
    <xf numFmtId="0" fontId="7" fillId="27" borderId="0" xfId="0" applyFont="1" applyFill="1" applyBorder="1"/>
    <xf numFmtId="0" fontId="8" fillId="17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vertical="center"/>
    </xf>
    <xf numFmtId="0" fontId="7" fillId="17" borderId="0" xfId="0" applyFont="1" applyFill="1" applyAlignment="1">
      <alignment vertical="center"/>
    </xf>
    <xf numFmtId="165" fontId="7" fillId="17" borderId="0" xfId="1" applyNumberFormat="1" applyFont="1" applyFill="1" applyAlignment="1">
      <alignment vertical="center"/>
    </xf>
    <xf numFmtId="0" fontId="7" fillId="17" borderId="0" xfId="0" applyFont="1" applyFill="1" applyBorder="1" applyAlignment="1">
      <alignment horizontal="center" vertical="center"/>
    </xf>
    <xf numFmtId="4" fontId="8" fillId="17" borderId="12" xfId="0" applyNumberFormat="1" applyFont="1" applyFill="1" applyBorder="1" applyAlignment="1">
      <alignment horizontal="center"/>
    </xf>
    <xf numFmtId="4" fontId="7" fillId="17" borderId="0" xfId="0" applyNumberFormat="1" applyFont="1" applyFill="1" applyAlignment="1">
      <alignment vertical="center"/>
    </xf>
    <xf numFmtId="4" fontId="7" fillId="0" borderId="0" xfId="0" applyNumberFormat="1" applyFont="1"/>
    <xf numFmtId="0" fontId="7" fillId="0" borderId="26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22" borderId="0" xfId="0" applyFont="1" applyFill="1" applyAlignment="1">
      <alignment horizontal="left" vertical="center" wrapText="1"/>
    </xf>
    <xf numFmtId="0" fontId="0" fillId="0" borderId="0" xfId="0" applyFill="1"/>
    <xf numFmtId="0" fontId="7" fillId="0" borderId="13" xfId="0" applyFont="1" applyFill="1" applyBorder="1"/>
    <xf numFmtId="0" fontId="7" fillId="44" borderId="0" xfId="0" applyFont="1" applyFill="1"/>
    <xf numFmtId="0" fontId="26" fillId="44" borderId="0" xfId="0" applyFont="1" applyFill="1" applyAlignment="1">
      <alignment horizontal="centerContinuous"/>
    </xf>
    <xf numFmtId="0" fontId="7" fillId="44" borderId="0" xfId="0" applyFont="1" applyFill="1" applyAlignment="1">
      <alignment horizontal="centerContinuous"/>
    </xf>
    <xf numFmtId="0" fontId="8" fillId="17" borderId="0" xfId="0" quotePrefix="1" applyFont="1" applyFill="1" applyBorder="1" applyAlignment="1">
      <alignment horizontal="centerContinuous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30" xfId="0" applyFill="1" applyBorder="1"/>
    <xf numFmtId="0" fontId="0" fillId="17" borderId="33" xfId="0" applyFill="1" applyBorder="1"/>
    <xf numFmtId="0" fontId="0" fillId="0" borderId="4" xfId="0" applyBorder="1" applyAlignment="1">
      <alignment horizontal="centerContinuous"/>
    </xf>
    <xf numFmtId="0" fontId="0" fillId="0" borderId="33" xfId="0" applyBorder="1" applyAlignment="1">
      <alignment horizontal="centerContinuous"/>
    </xf>
    <xf numFmtId="0" fontId="0" fillId="17" borderId="0" xfId="0" applyFill="1" applyBorder="1"/>
    <xf numFmtId="0" fontId="0" fillId="17" borderId="0" xfId="0" applyFill="1" applyBorder="1" applyAlignment="1">
      <alignment horizontal="center"/>
    </xf>
    <xf numFmtId="167" fontId="0" fillId="0" borderId="7" xfId="0" applyNumberFormat="1" applyBorder="1"/>
    <xf numFmtId="0" fontId="10" fillId="17" borderId="36" xfId="4" applyFont="1" applyFill="1" applyBorder="1"/>
    <xf numFmtId="0" fontId="10" fillId="17" borderId="43" xfId="4" applyFont="1" applyFill="1" applyBorder="1"/>
    <xf numFmtId="4" fontId="7" fillId="17" borderId="32" xfId="0" applyNumberFormat="1" applyFont="1" applyFill="1" applyBorder="1" applyAlignment="1">
      <alignment horizontal="centerContinuous"/>
    </xf>
    <xf numFmtId="4" fontId="7" fillId="17" borderId="43" xfId="0" applyNumberFormat="1" applyFont="1" applyFill="1" applyBorder="1"/>
    <xf numFmtId="4" fontId="7" fillId="17" borderId="0" xfId="0" applyNumberFormat="1" applyFont="1" applyFill="1" applyBorder="1" applyAlignment="1">
      <alignment horizontal="centerContinuous" wrapText="1"/>
    </xf>
    <xf numFmtId="0" fontId="7" fillId="17" borderId="0" xfId="0" applyFont="1" applyFill="1" applyAlignment="1">
      <alignment horizontal="centerContinuous" wrapText="1"/>
    </xf>
    <xf numFmtId="3" fontId="7" fillId="0" borderId="3" xfId="0" applyNumberFormat="1" applyFont="1" applyBorder="1" applyAlignment="1">
      <alignment horizontal="center"/>
    </xf>
    <xf numFmtId="167" fontId="7" fillId="0" borderId="1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7" fillId="0" borderId="67" xfId="0" applyNumberFormat="1" applyFont="1" applyBorder="1" applyAlignment="1">
      <alignment horizontal="center"/>
    </xf>
    <xf numFmtId="0" fontId="7" fillId="0" borderId="0" xfId="1819" applyFont="1"/>
    <xf numFmtId="0" fontId="7" fillId="45" borderId="0" xfId="1819" applyFont="1" applyFill="1"/>
    <xf numFmtId="0" fontId="7" fillId="15" borderId="0" xfId="1819" applyFont="1" applyFill="1"/>
    <xf numFmtId="0" fontId="26" fillId="17" borderId="0" xfId="0" applyFont="1" applyFill="1" applyAlignment="1">
      <alignment horizontal="left" vertical="center"/>
    </xf>
    <xf numFmtId="0" fontId="0" fillId="17" borderId="0" xfId="0" applyFill="1"/>
    <xf numFmtId="0" fontId="7" fillId="17" borderId="0" xfId="0" applyFont="1" applyFill="1" applyAlignment="1">
      <alignment horizontal="left" vertical="center"/>
    </xf>
    <xf numFmtId="0" fontId="31" fillId="17" borderId="0" xfId="2297" applyFont="1" applyFill="1"/>
    <xf numFmtId="0" fontId="7" fillId="17" borderId="13" xfId="0" applyFont="1" applyFill="1" applyBorder="1"/>
    <xf numFmtId="0" fontId="7" fillId="17" borderId="45" xfId="0" applyFont="1" applyFill="1" applyBorder="1"/>
    <xf numFmtId="0" fontId="7" fillId="17" borderId="7" xfId="0" applyFont="1" applyFill="1" applyBorder="1"/>
    <xf numFmtId="0" fontId="12" fillId="17" borderId="7" xfId="0" quotePrefix="1" applyFont="1" applyFill="1" applyBorder="1" applyAlignment="1">
      <alignment horizontal="centerContinuous" vertical="center"/>
    </xf>
    <xf numFmtId="0" fontId="12" fillId="17" borderId="7" xfId="0" quotePrefix="1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vertical="center" wrapText="1"/>
    </xf>
    <xf numFmtId="0" fontId="7" fillId="17" borderId="7" xfId="0" applyFont="1" applyFill="1" applyBorder="1" applyAlignment="1">
      <alignment horizontal="centerContinuous" wrapText="1"/>
    </xf>
    <xf numFmtId="0" fontId="7" fillId="17" borderId="7" xfId="0" applyFont="1" applyFill="1" applyBorder="1" applyAlignment="1">
      <alignment horizontal="left"/>
    </xf>
    <xf numFmtId="0" fontId="7" fillId="39" borderId="0" xfId="0" applyFont="1" applyFill="1" applyAlignment="1">
      <alignment vertical="center"/>
    </xf>
    <xf numFmtId="0" fontId="7" fillId="39" borderId="0" xfId="0" applyFont="1" applyFill="1" applyAlignment="1">
      <alignment wrapText="1"/>
    </xf>
    <xf numFmtId="0" fontId="7" fillId="39" borderId="0" xfId="0" applyFont="1" applyFill="1" applyAlignment="1">
      <alignment horizontal="center" vertical="center"/>
    </xf>
    <xf numFmtId="0" fontId="7" fillId="51" borderId="0" xfId="0" applyFont="1" applyFill="1" applyAlignment="1">
      <alignment vertical="center"/>
    </xf>
    <xf numFmtId="0" fontId="7" fillId="51" borderId="0" xfId="0" applyFont="1" applyFill="1" applyAlignment="1">
      <alignment vertical="center" wrapText="1"/>
    </xf>
    <xf numFmtId="0" fontId="7" fillId="51" borderId="0" xfId="0" applyFont="1" applyFill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2" fillId="17" borderId="7" xfId="0" applyFont="1" applyFill="1" applyBorder="1" applyAlignment="1">
      <alignment horizontal="centerContinuous" vertical="center" wrapText="1"/>
    </xf>
    <xf numFmtId="0" fontId="10" fillId="17" borderId="26" xfId="3" applyFont="1" applyFill="1" applyBorder="1"/>
    <xf numFmtId="0" fontId="29" fillId="17" borderId="30" xfId="0" quotePrefix="1" applyFont="1" applyFill="1" applyBorder="1" applyAlignment="1">
      <alignment horizontal="center" wrapText="1"/>
    </xf>
    <xf numFmtId="0" fontId="8" fillId="17" borderId="30" xfId="0" applyFont="1" applyFill="1" applyBorder="1" applyAlignment="1">
      <alignment horizontal="center"/>
    </xf>
    <xf numFmtId="0" fontId="8" fillId="17" borderId="33" xfId="0" applyFont="1" applyFill="1" applyBorder="1" applyAlignment="1">
      <alignment horizontal="center"/>
    </xf>
    <xf numFmtId="167" fontId="8" fillId="0" borderId="20" xfId="0" applyNumberFormat="1" applyFont="1" applyBorder="1" applyAlignment="1">
      <alignment horizontal="center"/>
    </xf>
    <xf numFmtId="0" fontId="37" fillId="17" borderId="0" xfId="0" quotePrefix="1" applyFont="1" applyFill="1" applyBorder="1" applyAlignment="1">
      <alignment horizontal="centerContinuous"/>
    </xf>
    <xf numFmtId="0" fontId="8" fillId="17" borderId="2" xfId="0" applyFont="1" applyFill="1" applyBorder="1" applyAlignment="1">
      <alignment horizontal="center"/>
    </xf>
    <xf numFmtId="0" fontId="7" fillId="0" borderId="0" xfId="1819" applyFont="1" applyFill="1"/>
    <xf numFmtId="0" fontId="7" fillId="44" borderId="0" xfId="1819" applyFont="1" applyFill="1"/>
    <xf numFmtId="0" fontId="19" fillId="17" borderId="0" xfId="0" applyFont="1" applyFill="1" applyAlignment="1">
      <alignment horizontal="center"/>
    </xf>
    <xf numFmtId="0" fontId="6" fillId="52" borderId="7" xfId="0" applyFont="1" applyFill="1" applyBorder="1" applyAlignment="1">
      <alignment horizontal="centerContinuous"/>
    </xf>
    <xf numFmtId="0" fontId="6" fillId="0" borderId="4" xfId="0" applyFont="1" applyFill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0" fillId="0" borderId="4" xfId="0" quotePrefix="1" applyFont="1" applyBorder="1" applyAlignment="1">
      <alignment horizontal="centerContinuous"/>
    </xf>
    <xf numFmtId="3" fontId="8" fillId="0" borderId="18" xfId="0" applyNumberFormat="1" applyFont="1" applyBorder="1" applyAlignment="1">
      <alignment horizontal="center"/>
    </xf>
    <xf numFmtId="0" fontId="7" fillId="44" borderId="0" xfId="1819" applyFont="1" applyFill="1" applyAlignment="1">
      <alignment horizontal="center"/>
    </xf>
    <xf numFmtId="0" fontId="7" fillId="0" borderId="0" xfId="1819" applyFont="1" applyFill="1" applyAlignment="1">
      <alignment horizontal="center"/>
    </xf>
    <xf numFmtId="0" fontId="7" fillId="17" borderId="0" xfId="1819" applyFont="1" applyFill="1"/>
    <xf numFmtId="0" fontId="7" fillId="17" borderId="0" xfId="1819" applyFont="1" applyFill="1" applyBorder="1"/>
    <xf numFmtId="0" fontId="8" fillId="44" borderId="32" xfId="1819" applyFont="1" applyFill="1" applyBorder="1" applyAlignment="1">
      <alignment horizontal="centerContinuous" vertical="center"/>
    </xf>
    <xf numFmtId="0" fontId="8" fillId="44" borderId="46" xfId="1819" applyFont="1" applyFill="1" applyBorder="1" applyAlignment="1">
      <alignment horizontal="centerContinuous" vertical="center"/>
    </xf>
    <xf numFmtId="0" fontId="8" fillId="44" borderId="3" xfId="1819" applyFont="1" applyFill="1" applyBorder="1" applyAlignment="1">
      <alignment horizontal="centerContinuous" vertical="center"/>
    </xf>
    <xf numFmtId="2" fontId="7" fillId="44" borderId="9" xfId="1819" applyNumberFormat="1" applyFont="1" applyFill="1" applyBorder="1" applyAlignment="1">
      <alignment horizontal="center"/>
    </xf>
    <xf numFmtId="11" fontId="7" fillId="45" borderId="9" xfId="1819" applyNumberFormat="1" applyFont="1" applyFill="1" applyBorder="1"/>
    <xf numFmtId="168" fontId="8" fillId="45" borderId="9" xfId="1" applyNumberFormat="1" applyFont="1" applyFill="1" applyBorder="1"/>
    <xf numFmtId="3" fontId="7" fillId="45" borderId="9" xfId="1819" applyNumberFormat="1" applyFont="1" applyFill="1" applyBorder="1" applyAlignment="1">
      <alignment horizontal="center"/>
    </xf>
    <xf numFmtId="3" fontId="8" fillId="45" borderId="9" xfId="1819" applyNumberFormat="1" applyFont="1" applyFill="1" applyBorder="1" applyAlignment="1">
      <alignment horizontal="center"/>
    </xf>
    <xf numFmtId="168" fontId="8" fillId="44" borderId="27" xfId="1" applyNumberFormat="1" applyFont="1" applyFill="1" applyBorder="1"/>
    <xf numFmtId="3" fontId="8" fillId="0" borderId="26" xfId="0" applyNumberFormat="1" applyFont="1" applyBorder="1" applyAlignment="1">
      <alignment horizontal="center"/>
    </xf>
    <xf numFmtId="0" fontId="8" fillId="44" borderId="21" xfId="0" applyFont="1" applyFill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0" fontId="7" fillId="17" borderId="32" xfId="1819" applyFont="1" applyFill="1" applyBorder="1"/>
    <xf numFmtId="0" fontId="7" fillId="17" borderId="30" xfId="1819" applyFont="1" applyFill="1" applyBorder="1"/>
    <xf numFmtId="0" fontId="8" fillId="44" borderId="45" xfId="1819" applyFont="1" applyFill="1" applyBorder="1" applyAlignment="1">
      <alignment horizontal="centerContinuous" vertical="center"/>
    </xf>
    <xf numFmtId="2" fontId="7" fillId="44" borderId="50" xfId="1819" applyNumberFormat="1" applyFont="1" applyFill="1" applyBorder="1" applyAlignment="1">
      <alignment horizontal="center"/>
    </xf>
    <xf numFmtId="0" fontId="7" fillId="0" borderId="27" xfId="1819" applyFont="1" applyBorder="1"/>
    <xf numFmtId="0" fontId="22" fillId="0" borderId="27" xfId="1819" applyFont="1" applyBorder="1"/>
    <xf numFmtId="0" fontId="8" fillId="44" borderId="18" xfId="1819" applyFont="1" applyFill="1" applyBorder="1" applyAlignment="1">
      <alignment horizontal="centerContinuous" vertical="center"/>
    </xf>
    <xf numFmtId="0" fontId="7" fillId="44" borderId="20" xfId="1819" applyFont="1" applyFill="1" applyBorder="1" applyAlignment="1">
      <alignment horizontal="center"/>
    </xf>
    <xf numFmtId="168" fontId="8" fillId="44" borderId="46" xfId="1" applyNumberFormat="1" applyFont="1" applyFill="1" applyBorder="1"/>
    <xf numFmtId="2" fontId="7" fillId="44" borderId="3" xfId="1819" applyNumberFormat="1" applyFont="1" applyFill="1" applyBorder="1" applyAlignment="1">
      <alignment horizontal="center"/>
    </xf>
    <xf numFmtId="2" fontId="7" fillId="44" borderId="45" xfId="1819" applyNumberFormat="1" applyFont="1" applyFill="1" applyBorder="1" applyAlignment="1">
      <alignment horizontal="center"/>
    </xf>
    <xf numFmtId="0" fontId="7" fillId="44" borderId="18" xfId="1819" applyFont="1" applyFill="1" applyBorder="1" applyAlignment="1">
      <alignment horizontal="center"/>
    </xf>
    <xf numFmtId="0" fontId="7" fillId="0" borderId="46" xfId="1819" applyFont="1" applyBorder="1"/>
    <xf numFmtId="11" fontId="7" fillId="45" borderId="3" xfId="1819" applyNumberFormat="1" applyFont="1" applyFill="1" applyBorder="1"/>
    <xf numFmtId="168" fontId="8" fillId="45" borderId="3" xfId="1" applyNumberFormat="1" applyFont="1" applyFill="1" applyBorder="1"/>
    <xf numFmtId="0" fontId="8" fillId="44" borderId="6" xfId="1819" applyFont="1" applyFill="1" applyBorder="1" applyAlignment="1">
      <alignment horizontal="center" wrapText="1"/>
    </xf>
    <xf numFmtId="0" fontId="7" fillId="44" borderId="6" xfId="1819" applyFont="1" applyFill="1" applyBorder="1" applyAlignment="1">
      <alignment horizontal="center" wrapText="1"/>
    </xf>
    <xf numFmtId="0" fontId="7" fillId="44" borderId="51" xfId="1819" applyFont="1" applyFill="1" applyBorder="1" applyAlignment="1">
      <alignment horizontal="center"/>
    </xf>
    <xf numFmtId="0" fontId="8" fillId="44" borderId="22" xfId="1819" applyFont="1" applyFill="1" applyBorder="1" applyAlignment="1">
      <alignment horizontal="center" wrapText="1"/>
    </xf>
    <xf numFmtId="0" fontId="8" fillId="17" borderId="47" xfId="1819" applyFont="1" applyFill="1" applyBorder="1" applyAlignment="1">
      <alignment horizontal="center" wrapText="1"/>
    </xf>
    <xf numFmtId="0" fontId="7" fillId="17" borderId="6" xfId="1819" applyFont="1" applyFill="1" applyBorder="1" applyAlignment="1">
      <alignment horizontal="center" wrapText="1"/>
    </xf>
    <xf numFmtId="0" fontId="7" fillId="45" borderId="6" xfId="1819" applyFont="1" applyFill="1" applyBorder="1" applyAlignment="1">
      <alignment horizontal="center" wrapText="1"/>
    </xf>
    <xf numFmtId="0" fontId="8" fillId="45" borderId="6" xfId="1819" applyFont="1" applyFill="1" applyBorder="1" applyAlignment="1">
      <alignment horizontal="center" wrapText="1"/>
    </xf>
    <xf numFmtId="0" fontId="8" fillId="45" borderId="22" xfId="1819" applyFont="1" applyFill="1" applyBorder="1" applyAlignment="1">
      <alignment horizontal="center" wrapText="1"/>
    </xf>
    <xf numFmtId="0" fontId="7" fillId="15" borderId="27" xfId="1819" applyFont="1" applyFill="1" applyBorder="1" applyAlignment="1">
      <alignment horizontal="center" wrapText="1"/>
    </xf>
    <xf numFmtId="168" fontId="8" fillId="15" borderId="9" xfId="1" applyNumberFormat="1" applyFont="1" applyFill="1" applyBorder="1" applyAlignment="1">
      <alignment horizontal="center" wrapText="1"/>
    </xf>
    <xf numFmtId="11" fontId="7" fillId="15" borderId="27" xfId="1819" applyNumberFormat="1" applyFont="1" applyFill="1" applyBorder="1"/>
    <xf numFmtId="168" fontId="8" fillId="15" borderId="9" xfId="1" applyNumberFormat="1" applyFont="1" applyFill="1" applyBorder="1"/>
    <xf numFmtId="0" fontId="8" fillId="15" borderId="0" xfId="1819" applyFont="1" applyFill="1" applyBorder="1" applyAlignment="1">
      <alignment horizontal="centerContinuous"/>
    </xf>
    <xf numFmtId="0" fontId="8" fillId="15" borderId="20" xfId="1819" applyFont="1" applyFill="1" applyBorder="1" applyAlignment="1">
      <alignment horizontal="center" wrapText="1"/>
    </xf>
    <xf numFmtId="0" fontId="8" fillId="15" borderId="30" xfId="1819" applyFont="1" applyFill="1" applyBorder="1" applyAlignment="1">
      <alignment horizontal="centerContinuous"/>
    </xf>
    <xf numFmtId="3" fontId="7" fillId="17" borderId="30" xfId="0" applyNumberFormat="1" applyFont="1" applyFill="1" applyBorder="1" applyAlignment="1">
      <alignment horizontal="center"/>
    </xf>
    <xf numFmtId="3" fontId="8" fillId="0" borderId="43" xfId="0" applyNumberFormat="1" applyFont="1" applyBorder="1" applyAlignment="1">
      <alignment horizontal="center"/>
    </xf>
    <xf numFmtId="168" fontId="8" fillId="44" borderId="28" xfId="1" applyNumberFormat="1" applyFont="1" applyFill="1" applyBorder="1"/>
    <xf numFmtId="2" fontId="7" fillId="44" borderId="6" xfId="1819" applyNumberFormat="1" applyFont="1" applyFill="1" applyBorder="1" applyAlignment="1">
      <alignment horizontal="center"/>
    </xf>
    <xf numFmtId="2" fontId="7" fillId="44" borderId="51" xfId="1819" applyNumberFormat="1" applyFont="1" applyFill="1" applyBorder="1" applyAlignment="1">
      <alignment horizontal="center"/>
    </xf>
    <xf numFmtId="0" fontId="7" fillId="44" borderId="22" xfId="1819" applyFont="1" applyFill="1" applyBorder="1" applyAlignment="1">
      <alignment horizontal="center"/>
    </xf>
    <xf numFmtId="0" fontId="7" fillId="0" borderId="28" xfId="1819" applyFont="1" applyBorder="1"/>
    <xf numFmtId="11" fontId="7" fillId="45" borderId="6" xfId="1819" applyNumberFormat="1" applyFont="1" applyFill="1" applyBorder="1"/>
    <xf numFmtId="168" fontId="8" fillId="45" borderId="6" xfId="1" applyNumberFormat="1" applyFont="1" applyFill="1" applyBorder="1"/>
    <xf numFmtId="3" fontId="7" fillId="17" borderId="33" xfId="0" applyNumberFormat="1" applyFont="1" applyFill="1" applyBorder="1" applyAlignment="1">
      <alignment horizontal="center"/>
    </xf>
    <xf numFmtId="11" fontId="7" fillId="15" borderId="28" xfId="1819" applyNumberFormat="1" applyFont="1" applyFill="1" applyBorder="1"/>
    <xf numFmtId="168" fontId="8" fillId="15" borderId="6" xfId="1" applyNumberFormat="1" applyFont="1" applyFill="1" applyBorder="1"/>
    <xf numFmtId="0" fontId="14" fillId="0" borderId="62" xfId="0" applyFont="1" applyBorder="1" applyAlignment="1">
      <alignment horizontal="center"/>
    </xf>
    <xf numFmtId="4" fontId="14" fillId="16" borderId="47" xfId="0" applyNumberFormat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17" borderId="28" xfId="0" applyFont="1" applyFill="1" applyBorder="1" applyAlignment="1">
      <alignment horizontal="center"/>
    </xf>
    <xf numFmtId="165" fontId="7" fillId="17" borderId="51" xfId="1" applyNumberFormat="1" applyFont="1" applyFill="1" applyBorder="1" applyAlignment="1">
      <alignment horizontal="center"/>
    </xf>
    <xf numFmtId="165" fontId="7" fillId="17" borderId="6" xfId="1" applyNumberFormat="1" applyFont="1" applyFill="1" applyBorder="1" applyAlignment="1">
      <alignment horizontal="center"/>
    </xf>
    <xf numFmtId="165" fontId="7" fillId="17" borderId="28" xfId="1" applyNumberFormat="1" applyFont="1" applyFill="1" applyBorder="1" applyAlignment="1">
      <alignment horizontal="center"/>
    </xf>
    <xf numFmtId="165" fontId="8" fillId="17" borderId="32" xfId="1" applyNumberFormat="1" applyFont="1" applyFill="1" applyBorder="1" applyAlignment="1">
      <alignment horizontal="centerContinuous"/>
    </xf>
    <xf numFmtId="0" fontId="7" fillId="17" borderId="32" xfId="0" applyFont="1" applyFill="1" applyBorder="1" applyAlignment="1">
      <alignment horizontal="centerContinuous"/>
    </xf>
    <xf numFmtId="4" fontId="8" fillId="53" borderId="56" xfId="0" applyNumberFormat="1" applyFont="1" applyFill="1" applyBorder="1" applyAlignment="1">
      <alignment horizontal="center"/>
    </xf>
    <xf numFmtId="4" fontId="8" fillId="28" borderId="56" xfId="0" applyNumberFormat="1" applyFont="1" applyFill="1" applyBorder="1" applyAlignment="1">
      <alignment horizontal="center"/>
    </xf>
    <xf numFmtId="4" fontId="8" fillId="28" borderId="64" xfId="0" applyNumberFormat="1" applyFont="1" applyFill="1" applyBorder="1" applyAlignment="1">
      <alignment horizontal="center"/>
    </xf>
    <xf numFmtId="4" fontId="10" fillId="53" borderId="56" xfId="0" quotePrefix="1" applyNumberFormat="1" applyFont="1" applyFill="1" applyBorder="1" applyAlignment="1">
      <alignment horizontal="center" wrapText="1"/>
    </xf>
    <xf numFmtId="0" fontId="7" fillId="27" borderId="4" xfId="0" applyFont="1" applyFill="1" applyBorder="1"/>
    <xf numFmtId="3" fontId="14" fillId="50" borderId="32" xfId="0" applyNumberFormat="1" applyFont="1" applyFill="1" applyBorder="1"/>
    <xf numFmtId="0" fontId="6" fillId="56" borderId="2" xfId="0" applyFont="1" applyFill="1" applyBorder="1" applyAlignment="1">
      <alignment horizontal="center"/>
    </xf>
    <xf numFmtId="3" fontId="6" fillId="56" borderId="3" xfId="0" applyNumberFormat="1" applyFont="1" applyFill="1" applyBorder="1" applyAlignment="1">
      <alignment horizontal="center"/>
    </xf>
    <xf numFmtId="3" fontId="6" fillId="57" borderId="2" xfId="0" applyNumberFormat="1" applyFont="1" applyFill="1" applyBorder="1" applyAlignment="1">
      <alignment horizontal="center"/>
    </xf>
    <xf numFmtId="3" fontId="6" fillId="57" borderId="3" xfId="0" applyNumberFormat="1" applyFont="1" applyFill="1" applyBorder="1" applyAlignment="1">
      <alignment horizontal="center"/>
    </xf>
    <xf numFmtId="0" fontId="6" fillId="58" borderId="2" xfId="0" applyFont="1" applyFill="1" applyBorder="1" applyAlignment="1">
      <alignment horizontal="center"/>
    </xf>
    <xf numFmtId="3" fontId="6" fillId="58" borderId="2" xfId="0" applyNumberFormat="1" applyFont="1" applyFill="1" applyBorder="1" applyAlignment="1">
      <alignment horizontal="center"/>
    </xf>
    <xf numFmtId="0" fontId="6" fillId="58" borderId="3" xfId="0" applyFont="1" applyFill="1" applyBorder="1" applyAlignment="1">
      <alignment horizontal="center"/>
    </xf>
    <xf numFmtId="3" fontId="6" fillId="58" borderId="3" xfId="0" applyNumberFormat="1" applyFont="1" applyFill="1" applyBorder="1" applyAlignment="1">
      <alignment horizontal="center"/>
    </xf>
    <xf numFmtId="0" fontId="6" fillId="58" borderId="3" xfId="0" applyFont="1" applyFill="1" applyBorder="1" applyAlignment="1">
      <alignment horizontal="center" wrapText="1"/>
    </xf>
    <xf numFmtId="0" fontId="6" fillId="59" borderId="32" xfId="0" applyFont="1" applyFill="1" applyBorder="1" applyAlignment="1">
      <alignment horizontal="center"/>
    </xf>
    <xf numFmtId="0" fontId="6" fillId="59" borderId="2" xfId="0" applyFont="1" applyFill="1" applyBorder="1" applyAlignment="1">
      <alignment horizontal="center"/>
    </xf>
    <xf numFmtId="0" fontId="6" fillId="59" borderId="2" xfId="0" quotePrefix="1" applyFont="1" applyFill="1" applyBorder="1" applyAlignment="1">
      <alignment horizontal="center"/>
    </xf>
    <xf numFmtId="0" fontId="6" fillId="59" borderId="46" xfId="0" applyFont="1" applyFill="1" applyBorder="1" applyAlignment="1">
      <alignment horizontal="center"/>
    </xf>
    <xf numFmtId="0" fontId="6" fillId="59" borderId="3" xfId="0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56" borderId="13" xfId="0" applyFont="1" applyFill="1" applyBorder="1" applyAlignment="1">
      <alignment horizontal="center"/>
    </xf>
    <xf numFmtId="3" fontId="6" fillId="56" borderId="45" xfId="0" applyNumberFormat="1" applyFont="1" applyFill="1" applyBorder="1" applyAlignment="1">
      <alignment horizontal="center"/>
    </xf>
    <xf numFmtId="0" fontId="6" fillId="52" borderId="30" xfId="0" applyFont="1" applyFill="1" applyBorder="1" applyAlignment="1">
      <alignment horizontal="centerContinuous"/>
    </xf>
    <xf numFmtId="0" fontId="6" fillId="56" borderId="67" xfId="0" applyFont="1" applyFill="1" applyBorder="1" applyAlignment="1">
      <alignment horizontal="center"/>
    </xf>
    <xf numFmtId="0" fontId="6" fillId="56" borderId="11" xfId="0" applyFont="1" applyFill="1" applyBorder="1" applyAlignment="1">
      <alignment horizontal="center"/>
    </xf>
    <xf numFmtId="3" fontId="6" fillId="56" borderId="18" xfId="0" applyNumberFormat="1" applyFont="1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11" fillId="0" borderId="27" xfId="3" applyFont="1" applyBorder="1"/>
    <xf numFmtId="0" fontId="11" fillId="0" borderId="46" xfId="3" applyFont="1" applyBorder="1"/>
    <xf numFmtId="0" fontId="11" fillId="0" borderId="27" xfId="3" applyFont="1" applyFill="1" applyBorder="1"/>
    <xf numFmtId="3" fontId="7" fillId="0" borderId="21" xfId="0" applyNumberFormat="1" applyFont="1" applyBorder="1" applyAlignment="1">
      <alignment horizontal="center"/>
    </xf>
    <xf numFmtId="0" fontId="8" fillId="17" borderId="7" xfId="0" applyFont="1" applyFill="1" applyBorder="1" applyAlignment="1">
      <alignment horizontal="centerContinuous"/>
    </xf>
    <xf numFmtId="0" fontId="8" fillId="28" borderId="0" xfId="0" applyFont="1" applyFill="1" applyAlignment="1">
      <alignment horizontal="centerContinuous"/>
    </xf>
    <xf numFmtId="0" fontId="8" fillId="28" borderId="0" xfId="0" applyFont="1" applyFill="1" applyBorder="1" applyAlignment="1">
      <alignment horizontal="centerContinuous"/>
    </xf>
    <xf numFmtId="9" fontId="7" fillId="0" borderId="27" xfId="2" applyFont="1" applyBorder="1" applyAlignment="1">
      <alignment horizontal="center" vertical="center"/>
    </xf>
    <xf numFmtId="9" fontId="11" fillId="0" borderId="27" xfId="2" applyFont="1" applyFill="1" applyBorder="1" applyAlignment="1" applyProtection="1">
      <alignment horizontal="center" vertical="center"/>
    </xf>
    <xf numFmtId="9" fontId="7" fillId="0" borderId="27" xfId="2" applyFont="1" applyFill="1" applyBorder="1" applyAlignment="1">
      <alignment horizontal="center" vertical="center"/>
    </xf>
    <xf numFmtId="9" fontId="8" fillId="0" borderId="9" xfId="2" applyFont="1" applyFill="1" applyBorder="1" applyAlignment="1">
      <alignment horizontal="right" indent="1"/>
    </xf>
    <xf numFmtId="9" fontId="37" fillId="0" borderId="9" xfId="2" applyFont="1" applyFill="1" applyBorder="1" applyAlignment="1">
      <alignment horizontal="right" indent="1"/>
    </xf>
    <xf numFmtId="9" fontId="8" fillId="0" borderId="9" xfId="2" applyFont="1" applyBorder="1" applyAlignment="1">
      <alignment horizontal="right" indent="1"/>
    </xf>
    <xf numFmtId="9" fontId="22" fillId="0" borderId="9" xfId="2" applyFont="1" applyFill="1" applyBorder="1" applyAlignment="1">
      <alignment horizontal="right" indent="1"/>
    </xf>
    <xf numFmtId="3" fontId="8" fillId="0" borderId="9" xfId="0" applyNumberFormat="1" applyFont="1" applyFill="1" applyBorder="1" applyAlignment="1">
      <alignment horizontal="right" indent="1"/>
    </xf>
    <xf numFmtId="3" fontId="37" fillId="0" borderId="9" xfId="0" applyNumberFormat="1" applyFont="1" applyFill="1" applyBorder="1" applyAlignment="1">
      <alignment horizontal="right" indent="1"/>
    </xf>
    <xf numFmtId="3" fontId="8" fillId="0" borderId="9" xfId="0" applyNumberFormat="1" applyFont="1" applyBorder="1" applyAlignment="1">
      <alignment horizontal="right" indent="1"/>
    </xf>
    <xf numFmtId="3" fontId="22" fillId="0" borderId="9" xfId="0" applyNumberFormat="1" applyFont="1" applyFill="1" applyBorder="1" applyAlignment="1">
      <alignment horizontal="right" indent="1"/>
    </xf>
    <xf numFmtId="3" fontId="11" fillId="0" borderId="9" xfId="3" applyNumberFormat="1" applyFont="1" applyFill="1" applyBorder="1" applyAlignment="1">
      <alignment horizontal="right" indent="1"/>
    </xf>
    <xf numFmtId="3" fontId="11" fillId="0" borderId="9" xfId="3" applyNumberFormat="1" applyFont="1" applyBorder="1" applyAlignment="1">
      <alignment horizontal="right" indent="1"/>
    </xf>
    <xf numFmtId="167" fontId="11" fillId="0" borderId="9" xfId="3" applyNumberFormat="1" applyFont="1" applyBorder="1" applyAlignment="1">
      <alignment horizontal="right" indent="1"/>
    </xf>
    <xf numFmtId="3" fontId="11" fillId="0" borderId="6" xfId="3" applyNumberFormat="1" applyFont="1" applyBorder="1" applyAlignment="1">
      <alignment horizontal="right" indent="1"/>
    </xf>
    <xf numFmtId="0" fontId="8" fillId="17" borderId="26" xfId="0" applyFont="1" applyFill="1" applyBorder="1"/>
    <xf numFmtId="0" fontId="8" fillId="17" borderId="43" xfId="0" applyFont="1" applyFill="1" applyBorder="1"/>
    <xf numFmtId="167" fontId="8" fillId="37" borderId="30" xfId="0" applyNumberFormat="1" applyFont="1" applyFill="1" applyBorder="1" applyAlignment="1">
      <alignment horizontal="center"/>
    </xf>
    <xf numFmtId="4" fontId="8" fillId="37" borderId="33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167" fontId="7" fillId="0" borderId="2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7" fontId="7" fillId="0" borderId="26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7" fillId="17" borderId="46" xfId="0" applyFont="1" applyFill="1" applyBorder="1" applyAlignment="1">
      <alignment horizontal="centerContinuous"/>
    </xf>
    <xf numFmtId="0" fontId="7" fillId="17" borderId="75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167" fontId="8" fillId="37" borderId="47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7" fillId="17" borderId="0" xfId="0" quotePrefix="1" applyFont="1" applyFill="1"/>
    <xf numFmtId="167" fontId="7" fillId="17" borderId="0" xfId="0" applyNumberFormat="1" applyFont="1" applyFill="1" applyAlignment="1">
      <alignment horizontal="center"/>
    </xf>
    <xf numFmtId="0" fontId="7" fillId="17" borderId="72" xfId="0" applyFont="1" applyFill="1" applyBorder="1" applyAlignment="1">
      <alignment horizontal="center" wrapText="1"/>
    </xf>
    <xf numFmtId="0" fontId="7" fillId="17" borderId="5" xfId="0" applyFont="1" applyFill="1" applyBorder="1" applyAlignment="1">
      <alignment horizontal="center" vertical="center" wrapText="1"/>
    </xf>
    <xf numFmtId="0" fontId="8" fillId="17" borderId="0" xfId="0" applyFont="1" applyFill="1"/>
    <xf numFmtId="0" fontId="8" fillId="17" borderId="56" xfId="0" applyFont="1" applyFill="1" applyBorder="1" applyAlignment="1">
      <alignment horizontal="centerContinuous"/>
    </xf>
    <xf numFmtId="167" fontId="7" fillId="17" borderId="0" xfId="0" applyNumberFormat="1" applyFont="1" applyFill="1" applyAlignment="1">
      <alignment horizontal="center" vertical="center"/>
    </xf>
    <xf numFmtId="0" fontId="8" fillId="37" borderId="0" xfId="0" applyFont="1" applyFill="1" applyAlignment="1">
      <alignment horizontal="centerContinuous"/>
    </xf>
    <xf numFmtId="0" fontId="8" fillId="17" borderId="0" xfId="0" applyFont="1" applyFill="1" applyAlignment="1">
      <alignment horizontal="left"/>
    </xf>
    <xf numFmtId="0" fontId="8" fillId="17" borderId="0" xfId="0" applyFont="1" applyFill="1" applyAlignment="1">
      <alignment vertical="top"/>
    </xf>
    <xf numFmtId="167" fontId="7" fillId="37" borderId="0" xfId="0" quotePrefix="1" applyNumberFormat="1" applyFont="1" applyFill="1" applyAlignment="1">
      <alignment horizontal="centerContinuous"/>
    </xf>
    <xf numFmtId="0" fontId="7" fillId="17" borderId="45" xfId="0" applyFont="1" applyFill="1" applyBorder="1" applyAlignment="1">
      <alignment horizontal="centerContinuous"/>
    </xf>
    <xf numFmtId="0" fontId="0" fillId="17" borderId="25" xfId="0" applyFill="1" applyBorder="1" applyAlignment="1">
      <alignment horizontal="centerContinuous"/>
    </xf>
    <xf numFmtId="169" fontId="0" fillId="17" borderId="0" xfId="0" applyNumberFormat="1" applyFill="1"/>
    <xf numFmtId="169" fontId="6" fillId="52" borderId="7" xfId="0" applyNumberFormat="1" applyFont="1" applyFill="1" applyBorder="1" applyAlignment="1">
      <alignment horizontal="centerContinuous"/>
    </xf>
    <xf numFmtId="169" fontId="6" fillId="57" borderId="2" xfId="0" applyNumberFormat="1" applyFont="1" applyFill="1" applyBorder="1" applyAlignment="1">
      <alignment horizontal="center"/>
    </xf>
    <xf numFmtId="169" fontId="6" fillId="57" borderId="3" xfId="0" applyNumberFormat="1" applyFont="1" applyFill="1" applyBorder="1" applyAlignment="1">
      <alignment horizontal="center"/>
    </xf>
    <xf numFmtId="169" fontId="0" fillId="17" borderId="4" xfId="0" applyNumberFormat="1" applyFill="1" applyBorder="1" applyAlignment="1">
      <alignment horizontal="centerContinuous"/>
    </xf>
    <xf numFmtId="169" fontId="6" fillId="0" borderId="9" xfId="0" applyNumberFormat="1" applyFont="1" applyFill="1" applyBorder="1" applyAlignment="1">
      <alignment horizontal="center"/>
    </xf>
    <xf numFmtId="0" fontId="7" fillId="17" borderId="0" xfId="1819" applyFont="1" applyFill="1" applyAlignment="1">
      <alignment horizontal="center"/>
    </xf>
    <xf numFmtId="0" fontId="7" fillId="45" borderId="3" xfId="1819" applyFont="1" applyFill="1" applyBorder="1" applyAlignment="1">
      <alignment horizontal="centerContinuous" vertical="center" wrapText="1"/>
    </xf>
    <xf numFmtId="0" fontId="8" fillId="45" borderId="3" xfId="1819" applyFont="1" applyFill="1" applyBorder="1" applyAlignment="1">
      <alignment horizontal="centerContinuous" vertical="center" wrapText="1"/>
    </xf>
    <xf numFmtId="0" fontId="8" fillId="45" borderId="18" xfId="1819" applyFont="1" applyFill="1" applyBorder="1" applyAlignment="1">
      <alignment horizontal="centerContinuous" vertical="center" wrapText="1"/>
    </xf>
    <xf numFmtId="167" fontId="7" fillId="0" borderId="43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8" fillId="17" borderId="13" xfId="0" applyFont="1" applyFill="1" applyBorder="1" applyAlignment="1">
      <alignment horizontal="center"/>
    </xf>
    <xf numFmtId="0" fontId="8" fillId="38" borderId="0" xfId="0" applyFont="1" applyFill="1" applyBorder="1" applyAlignment="1">
      <alignment horizontal="center"/>
    </xf>
    <xf numFmtId="0" fontId="7" fillId="17" borderId="56" xfId="0" applyFont="1" applyFill="1" applyBorder="1"/>
    <xf numFmtId="0" fontId="7" fillId="17" borderId="78" xfId="0" applyFont="1" applyFill="1" applyBorder="1" applyAlignment="1">
      <alignment horizontal="center"/>
    </xf>
    <xf numFmtId="0" fontId="7" fillId="26" borderId="77" xfId="0" applyFont="1" applyFill="1" applyBorder="1" applyAlignment="1">
      <alignment horizontal="center"/>
    </xf>
    <xf numFmtId="0" fontId="7" fillId="17" borderId="62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center"/>
    </xf>
    <xf numFmtId="0" fontId="7" fillId="0" borderId="59" xfId="0" applyFont="1" applyFill="1" applyBorder="1"/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/>
    </xf>
    <xf numFmtId="0" fontId="0" fillId="17" borderId="0" xfId="0" applyFill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61" borderId="7" xfId="0" applyFont="1" applyFill="1" applyBorder="1" applyAlignment="1">
      <alignment horizontal="centerContinuous"/>
    </xf>
    <xf numFmtId="0" fontId="7" fillId="61" borderId="25" xfId="0" applyFont="1" applyFill="1" applyBorder="1" applyAlignment="1">
      <alignment horizontal="centerContinuous"/>
    </xf>
    <xf numFmtId="0" fontId="7" fillId="61" borderId="56" xfId="0" applyFont="1" applyFill="1" applyBorder="1" applyAlignment="1">
      <alignment horizontal="left"/>
    </xf>
    <xf numFmtId="0" fontId="7" fillId="61" borderId="5" xfId="0" applyFont="1" applyFill="1" applyBorder="1" applyAlignment="1">
      <alignment horizontal="center" vertical="center" wrapText="1"/>
    </xf>
    <xf numFmtId="0" fontId="7" fillId="61" borderId="16" xfId="0" applyFont="1" applyFill="1" applyBorder="1" applyAlignment="1">
      <alignment horizontal="center" vertical="center" wrapText="1"/>
    </xf>
    <xf numFmtId="0" fontId="7" fillId="61" borderId="64" xfId="0" applyFont="1" applyFill="1" applyBorder="1" applyAlignment="1">
      <alignment horizontal="center" vertical="center" wrapText="1"/>
    </xf>
    <xf numFmtId="0" fontId="8" fillId="61" borderId="38" xfId="0" applyFont="1" applyFill="1" applyBorder="1" applyAlignment="1">
      <alignment horizontal="centerContinuous"/>
    </xf>
    <xf numFmtId="167" fontId="7" fillId="37" borderId="30" xfId="0" applyNumberFormat="1" applyFont="1" applyFill="1" applyBorder="1" applyAlignment="1">
      <alignment horizontal="centerContinuous"/>
    </xf>
    <xf numFmtId="0" fontId="7" fillId="17" borderId="29" xfId="0" applyFont="1" applyFill="1" applyBorder="1" applyAlignment="1">
      <alignment horizontal="center"/>
    </xf>
    <xf numFmtId="0" fontId="7" fillId="17" borderId="29" xfId="0" applyFont="1" applyFill="1" applyBorder="1"/>
    <xf numFmtId="0" fontId="7" fillId="17" borderId="35" xfId="0" applyFont="1" applyFill="1" applyBorder="1" applyAlignment="1">
      <alignment horizontal="center" vertical="center" wrapText="1"/>
    </xf>
    <xf numFmtId="0" fontId="7" fillId="0" borderId="81" xfId="0" applyFont="1" applyBorder="1"/>
    <xf numFmtId="0" fontId="0" fillId="17" borderId="7" xfId="0" applyFill="1" applyBorder="1"/>
    <xf numFmtId="0" fontId="8" fillId="0" borderId="19" xfId="0" applyFont="1" applyBorder="1" applyAlignment="1">
      <alignment horizontal="center"/>
    </xf>
    <xf numFmtId="3" fontId="8" fillId="0" borderId="53" xfId="0" applyNumberFormat="1" applyFont="1" applyBorder="1" applyAlignment="1">
      <alignment horizontal="center"/>
    </xf>
    <xf numFmtId="3" fontId="8" fillId="0" borderId="50" xfId="0" applyNumberFormat="1" applyFont="1" applyBorder="1" applyAlignment="1">
      <alignment horizontal="center"/>
    </xf>
    <xf numFmtId="3" fontId="8" fillId="0" borderId="67" xfId="0" applyNumberFormat="1" applyFont="1" applyBorder="1" applyAlignment="1">
      <alignment horizontal="center"/>
    </xf>
    <xf numFmtId="0" fontId="45" fillId="0" borderId="53" xfId="0" applyFont="1" applyBorder="1" applyAlignment="1">
      <alignment horizontal="center" vertical="center" wrapText="1"/>
    </xf>
    <xf numFmtId="0" fontId="7" fillId="0" borderId="82" xfId="0" applyFont="1" applyBorder="1"/>
    <xf numFmtId="4" fontId="6" fillId="17" borderId="0" xfId="0" applyNumberFormat="1" applyFont="1" applyFill="1" applyAlignment="1">
      <alignment horizontal="center"/>
    </xf>
    <xf numFmtId="0" fontId="6" fillId="17" borderId="0" xfId="0" applyFont="1" applyFill="1"/>
    <xf numFmtId="0" fontId="15" fillId="17" borderId="54" xfId="0" applyFont="1" applyFill="1" applyBorder="1" applyAlignment="1">
      <alignment horizontal="center"/>
    </xf>
    <xf numFmtId="0" fontId="13" fillId="17" borderId="0" xfId="0" applyFont="1" applyFill="1" applyBorder="1" applyAlignment="1">
      <alignment horizontal="center"/>
    </xf>
    <xf numFmtId="3" fontId="6" fillId="17" borderId="0" xfId="0" applyNumberFormat="1" applyFont="1" applyFill="1"/>
    <xf numFmtId="3" fontId="14" fillId="17" borderId="0" xfId="0" applyNumberFormat="1" applyFont="1" applyFill="1"/>
    <xf numFmtId="0" fontId="0" fillId="17" borderId="32" xfId="0" applyFill="1" applyBorder="1"/>
    <xf numFmtId="164" fontId="0" fillId="17" borderId="0" xfId="0" applyNumberFormat="1" applyFill="1" applyAlignment="1">
      <alignment horizontal="center"/>
    </xf>
    <xf numFmtId="167" fontId="7" fillId="17" borderId="0" xfId="0" applyNumberFormat="1" applyFont="1" applyFill="1" applyAlignment="1">
      <alignment horizontal="centerContinuous"/>
    </xf>
    <xf numFmtId="0" fontId="8" fillId="17" borderId="12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centerContinuous"/>
    </xf>
    <xf numFmtId="0" fontId="7" fillId="17" borderId="32" xfId="0" applyFont="1" applyFill="1" applyBorder="1"/>
    <xf numFmtId="0" fontId="7" fillId="17" borderId="8" xfId="0" applyFont="1" applyFill="1" applyBorder="1" applyAlignment="1">
      <alignment horizontal="center"/>
    </xf>
    <xf numFmtId="167" fontId="7" fillId="17" borderId="0" xfId="0" applyNumberFormat="1" applyFont="1" applyFill="1" applyBorder="1" applyAlignment="1">
      <alignment horizontal="center"/>
    </xf>
    <xf numFmtId="0" fontId="8" fillId="17" borderId="16" xfId="0" applyFont="1" applyFill="1" applyBorder="1" applyAlignment="1">
      <alignment horizontal="center"/>
    </xf>
    <xf numFmtId="0" fontId="41" fillId="17" borderId="0" xfId="0" applyFont="1" applyFill="1"/>
    <xf numFmtId="0" fontId="10" fillId="17" borderId="4" xfId="3" applyFont="1" applyFill="1" applyBorder="1"/>
    <xf numFmtId="167" fontId="7" fillId="17" borderId="0" xfId="0" applyNumberFormat="1" applyFont="1" applyFill="1" applyBorder="1" applyAlignment="1">
      <alignment horizontal="center" vertical="center"/>
    </xf>
    <xf numFmtId="0" fontId="14" fillId="17" borderId="46" xfId="0" applyFont="1" applyFill="1" applyBorder="1" applyAlignment="1">
      <alignment horizontal="centerContinuous"/>
    </xf>
    <xf numFmtId="0" fontId="6" fillId="17" borderId="47" xfId="0" applyFont="1" applyFill="1" applyBorder="1" applyAlignment="1">
      <alignment horizontal="center"/>
    </xf>
    <xf numFmtId="0" fontId="14" fillId="17" borderId="0" xfId="0" applyFont="1" applyFill="1" applyBorder="1" applyAlignment="1">
      <alignment horizontal="centerContinuous"/>
    </xf>
    <xf numFmtId="0" fontId="0" fillId="0" borderId="2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17" borderId="30" xfId="0" applyFill="1" applyBorder="1" applyAlignment="1">
      <alignment horizontal="center"/>
    </xf>
    <xf numFmtId="0" fontId="34" fillId="17" borderId="30" xfId="0" applyFont="1" applyFill="1" applyBorder="1" applyAlignment="1">
      <alignment horizontal="left" indent="1"/>
    </xf>
    <xf numFmtId="0" fontId="34" fillId="17" borderId="33" xfId="0" applyFont="1" applyFill="1" applyBorder="1" applyAlignment="1">
      <alignment horizontal="center"/>
    </xf>
    <xf numFmtId="0" fontId="0" fillId="17" borderId="25" xfId="0" applyFill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4" fillId="17" borderId="30" xfId="0" applyFont="1" applyFill="1" applyBorder="1" applyAlignment="1">
      <alignment horizontal="centerContinuous"/>
    </xf>
    <xf numFmtId="0" fontId="14" fillId="17" borderId="25" xfId="0" applyFont="1" applyFill="1" applyBorder="1" applyAlignment="1">
      <alignment horizontal="centerContinuous"/>
    </xf>
    <xf numFmtId="0" fontId="6" fillId="17" borderId="33" xfId="0" applyFont="1" applyFill="1" applyBorder="1" applyAlignment="1">
      <alignment horizontal="center"/>
    </xf>
    <xf numFmtId="0" fontId="6" fillId="17" borderId="26" xfId="0" applyFont="1" applyFill="1" applyBorder="1" applyAlignment="1">
      <alignment horizontal="center"/>
    </xf>
    <xf numFmtId="0" fontId="48" fillId="17" borderId="26" xfId="0" applyFont="1" applyFill="1" applyBorder="1" applyAlignment="1">
      <alignment horizontal="center"/>
    </xf>
    <xf numFmtId="0" fontId="18" fillId="17" borderId="26" xfId="0" applyFont="1" applyFill="1" applyBorder="1" applyAlignment="1">
      <alignment horizontal="center"/>
    </xf>
    <xf numFmtId="0" fontId="47" fillId="17" borderId="26" xfId="0" applyFont="1" applyFill="1" applyBorder="1" applyAlignment="1">
      <alignment horizontal="center"/>
    </xf>
    <xf numFmtId="171" fontId="7" fillId="0" borderId="26" xfId="1" applyNumberFormat="1" applyFont="1" applyFill="1" applyBorder="1"/>
    <xf numFmtId="171" fontId="7" fillId="0" borderId="27" xfId="1" applyNumberFormat="1" applyFont="1" applyFill="1" applyBorder="1"/>
    <xf numFmtId="171" fontId="7" fillId="0" borderId="26" xfId="1" applyNumberFormat="1" applyFont="1" applyBorder="1"/>
    <xf numFmtId="171" fontId="7" fillId="0" borderId="27" xfId="1" applyNumberFormat="1" applyFont="1" applyBorder="1"/>
    <xf numFmtId="171" fontId="7" fillId="0" borderId="9" xfId="1" applyNumberFormat="1" applyFont="1" applyBorder="1"/>
    <xf numFmtId="171" fontId="7" fillId="0" borderId="30" xfId="1" applyNumberFormat="1" applyFont="1" applyBorder="1"/>
    <xf numFmtId="171" fontId="7" fillId="0" borderId="32" xfId="1" applyNumberFormat="1" applyFont="1" applyBorder="1"/>
    <xf numFmtId="171" fontId="7" fillId="0" borderId="2" xfId="1" applyNumberFormat="1" applyFont="1" applyBorder="1"/>
    <xf numFmtId="171" fontId="7" fillId="0" borderId="30" xfId="1" applyNumberFormat="1" applyFont="1" applyFill="1" applyBorder="1"/>
    <xf numFmtId="171" fontId="7" fillId="0" borderId="32" xfId="1" applyNumberFormat="1" applyFont="1" applyFill="1" applyBorder="1"/>
    <xf numFmtId="171" fontId="7" fillId="0" borderId="47" xfId="1" applyNumberFormat="1" applyFont="1" applyBorder="1"/>
    <xf numFmtId="171" fontId="7" fillId="0" borderId="5" xfId="1" applyNumberFormat="1" applyFont="1" applyBorder="1"/>
    <xf numFmtId="171" fontId="7" fillId="0" borderId="48" xfId="1" applyNumberFormat="1" applyFont="1" applyBorder="1"/>
    <xf numFmtId="171" fontId="7" fillId="0" borderId="40" xfId="1" applyNumberFormat="1" applyFont="1" applyBorder="1"/>
    <xf numFmtId="171" fontId="7" fillId="0" borderId="49" xfId="1" applyNumberFormat="1" applyFont="1" applyBorder="1"/>
    <xf numFmtId="171" fontId="7" fillId="0" borderId="50" xfId="1" applyNumberFormat="1" applyFont="1" applyBorder="1"/>
    <xf numFmtId="171" fontId="7" fillId="0" borderId="13" xfId="1" applyNumberFormat="1" applyFont="1" applyBorder="1"/>
    <xf numFmtId="171" fontId="7" fillId="0" borderId="17" xfId="1" applyNumberFormat="1" applyFont="1" applyBorder="1"/>
    <xf numFmtId="4" fontId="7" fillId="0" borderId="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2" xfId="0" applyNumberFormat="1" applyFont="1" applyFill="1" applyBorder="1"/>
    <xf numFmtId="4" fontId="7" fillId="0" borderId="13" xfId="0" applyNumberFormat="1" applyFont="1" applyFill="1" applyBorder="1" applyAlignment="1">
      <alignment horizontal="center"/>
    </xf>
    <xf numFmtId="3" fontId="8" fillId="17" borderId="0" xfId="0" applyNumberFormat="1" applyFont="1" applyFill="1" applyBorder="1" applyAlignment="1">
      <alignment horizontal="center"/>
    </xf>
    <xf numFmtId="0" fontId="8" fillId="17" borderId="4" xfId="0" applyFont="1" applyFill="1" applyBorder="1"/>
    <xf numFmtId="0" fontId="8" fillId="17" borderId="26" xfId="0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"/>
    </xf>
    <xf numFmtId="0" fontId="30" fillId="17" borderId="0" xfId="3" applyFont="1" applyFill="1"/>
    <xf numFmtId="9" fontId="15" fillId="17" borderId="0" xfId="2" applyFont="1" applyFill="1" applyAlignment="1">
      <alignment horizontal="center"/>
    </xf>
    <xf numFmtId="0" fontId="15" fillId="17" borderId="0" xfId="0" applyFont="1" applyFill="1"/>
    <xf numFmtId="0" fontId="27" fillId="17" borderId="0" xfId="0" applyFont="1" applyFill="1"/>
    <xf numFmtId="0" fontId="11" fillId="17" borderId="0" xfId="3" applyFont="1" applyFill="1"/>
    <xf numFmtId="9" fontId="7" fillId="17" borderId="0" xfId="2" applyFont="1" applyFill="1" applyAlignment="1">
      <alignment horizontal="center"/>
    </xf>
    <xf numFmtId="3" fontId="8" fillId="17" borderId="0" xfId="0" applyNumberFormat="1" applyFont="1" applyFill="1"/>
    <xf numFmtId="0" fontId="11" fillId="17" borderId="0" xfId="3" applyFont="1" applyFill="1" applyAlignment="1">
      <alignment horizontal="left" indent="1"/>
    </xf>
    <xf numFmtId="0" fontId="17" fillId="17" borderId="0" xfId="3" applyFont="1" applyFill="1"/>
    <xf numFmtId="0" fontId="7" fillId="17" borderId="0" xfId="0" applyFont="1" applyFill="1" applyAlignment="1">
      <alignment horizontal="left" indent="1"/>
    </xf>
    <xf numFmtId="0" fontId="11" fillId="17" borderId="0" xfId="3" applyFont="1" applyFill="1" applyAlignment="1">
      <alignment horizontal="center"/>
    </xf>
    <xf numFmtId="3" fontId="11" fillId="17" borderId="0" xfId="3" applyNumberFormat="1" applyFont="1" applyFill="1" applyAlignment="1">
      <alignment horizontal="center"/>
    </xf>
    <xf numFmtId="0" fontId="21" fillId="17" borderId="0" xfId="3" applyFont="1" applyFill="1"/>
    <xf numFmtId="3" fontId="21" fillId="17" borderId="0" xfId="3" applyNumberFormat="1" applyFont="1" applyFill="1" applyAlignment="1">
      <alignment horizontal="center"/>
    </xf>
    <xf numFmtId="0" fontId="10" fillId="17" borderId="0" xfId="3" applyFont="1" applyFill="1"/>
    <xf numFmtId="3" fontId="21" fillId="17" borderId="0" xfId="5" applyNumberFormat="1" applyFont="1" applyFill="1" applyAlignment="1">
      <alignment horizontal="center"/>
    </xf>
    <xf numFmtId="3" fontId="32" fillId="17" borderId="7" xfId="5" applyNumberFormat="1" applyFont="1" applyFill="1" applyBorder="1" applyAlignment="1">
      <alignment horizontal="centerContinuous" vertical="center"/>
    </xf>
    <xf numFmtId="3" fontId="21" fillId="17" borderId="0" xfId="3" applyNumberFormat="1" applyFont="1" applyFill="1"/>
    <xf numFmtId="0" fontId="11" fillId="17" borderId="0" xfId="3" applyFont="1" applyFill="1" applyAlignment="1">
      <alignment horizontal="right" indent="1"/>
    </xf>
    <xf numFmtId="4" fontId="10" fillId="17" borderId="0" xfId="3" applyNumberFormat="1" applyFont="1" applyFill="1" applyAlignment="1">
      <alignment horizontal="center"/>
    </xf>
    <xf numFmtId="0" fontId="11" fillId="17" borderId="7" xfId="3" applyFont="1" applyFill="1" applyBorder="1" applyAlignment="1">
      <alignment horizontal="right" indent="1"/>
    </xf>
    <xf numFmtId="0" fontId="11" fillId="17" borderId="7" xfId="3" applyFont="1" applyFill="1" applyBorder="1" applyAlignment="1">
      <alignment horizontal="center"/>
    </xf>
    <xf numFmtId="3" fontId="11" fillId="17" borderId="7" xfId="3" applyNumberFormat="1" applyFont="1" applyFill="1" applyBorder="1" applyAlignment="1">
      <alignment horizontal="center"/>
    </xf>
    <xf numFmtId="4" fontId="14" fillId="16" borderId="56" xfId="0" applyNumberFormat="1" applyFont="1" applyFill="1" applyBorder="1" applyAlignment="1">
      <alignment horizontal="center"/>
    </xf>
    <xf numFmtId="4" fontId="14" fillId="16" borderId="64" xfId="0" applyNumberFormat="1" applyFont="1" applyFill="1" applyBorder="1" applyAlignment="1">
      <alignment horizontal="center"/>
    </xf>
    <xf numFmtId="4" fontId="6" fillId="16" borderId="57" xfId="0" applyNumberFormat="1" applyFont="1" applyFill="1" applyBorder="1" applyAlignment="1">
      <alignment horizontal="center"/>
    </xf>
    <xf numFmtId="4" fontId="6" fillId="16" borderId="58" xfId="0" applyNumberFormat="1" applyFont="1" applyFill="1" applyBorder="1" applyAlignment="1">
      <alignment horizontal="center"/>
    </xf>
    <xf numFmtId="0" fontId="15" fillId="17" borderId="32" xfId="0" applyFont="1" applyFill="1" applyBorder="1" applyAlignment="1">
      <alignment horizontal="center"/>
    </xf>
    <xf numFmtId="0" fontId="6" fillId="60" borderId="38" xfId="0" applyFont="1" applyFill="1" applyBorder="1" applyAlignment="1">
      <alignment horizontal="centerContinuous"/>
    </xf>
    <xf numFmtId="0" fontId="13" fillId="60" borderId="7" xfId="0" applyFont="1" applyFill="1" applyBorder="1" applyAlignment="1">
      <alignment horizontal="centerContinuous"/>
    </xf>
    <xf numFmtId="0" fontId="6" fillId="60" borderId="7" xfId="0" applyFont="1" applyFill="1" applyBorder="1" applyAlignment="1">
      <alignment horizontal="centerContinuous"/>
    </xf>
    <xf numFmtId="0" fontId="6" fillId="60" borderId="46" xfId="0" applyFont="1" applyFill="1" applyBorder="1" applyAlignment="1">
      <alignment horizontal="centerContinuous"/>
    </xf>
    <xf numFmtId="3" fontId="6" fillId="54" borderId="7" xfId="0" applyNumberFormat="1" applyFont="1" applyFill="1" applyBorder="1" applyAlignment="1">
      <alignment horizontal="centerContinuous"/>
    </xf>
    <xf numFmtId="3" fontId="6" fillId="19" borderId="7" xfId="0" applyNumberFormat="1" applyFont="1" applyFill="1" applyBorder="1" applyAlignment="1">
      <alignment horizontal="centerContinuous"/>
    </xf>
    <xf numFmtId="0" fontId="0" fillId="19" borderId="46" xfId="0" applyFill="1" applyBorder="1" applyAlignment="1">
      <alignment horizontal="centerContinuous"/>
    </xf>
    <xf numFmtId="0" fontId="6" fillId="55" borderId="45" xfId="0" applyFont="1" applyFill="1" applyBorder="1" applyAlignment="1">
      <alignment horizontal="centerContinuous"/>
    </xf>
    <xf numFmtId="9" fontId="0" fillId="17" borderId="0" xfId="0" applyNumberFormat="1" applyFill="1"/>
    <xf numFmtId="9" fontId="13" fillId="17" borderId="0" xfId="0" applyNumberFormat="1" applyFont="1" applyFill="1" applyBorder="1" applyAlignment="1">
      <alignment horizontal="center"/>
    </xf>
    <xf numFmtId="0" fontId="7" fillId="17" borderId="33" xfId="0" applyFont="1" applyFill="1" applyBorder="1"/>
    <xf numFmtId="0" fontId="15" fillId="17" borderId="16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left" indent="2"/>
    </xf>
    <xf numFmtId="0" fontId="7" fillId="17" borderId="4" xfId="0" applyFont="1" applyFill="1" applyBorder="1"/>
    <xf numFmtId="4" fontId="7" fillId="17" borderId="4" xfId="0" applyNumberFormat="1" applyFont="1" applyFill="1" applyBorder="1" applyAlignment="1">
      <alignment horizontal="center"/>
    </xf>
    <xf numFmtId="0" fontId="0" fillId="0" borderId="76" xfId="0" applyFill="1" applyBorder="1" applyAlignment="1">
      <alignment horizontal="center" vertical="center"/>
    </xf>
    <xf numFmtId="0" fontId="7" fillId="17" borderId="31" xfId="0" applyFont="1" applyFill="1" applyBorder="1"/>
    <xf numFmtId="0" fontId="7" fillId="17" borderId="34" xfId="0" applyFont="1" applyFill="1" applyBorder="1"/>
    <xf numFmtId="3" fontId="7" fillId="17" borderId="31" xfId="0" applyNumberFormat="1" applyFont="1" applyFill="1" applyBorder="1"/>
    <xf numFmtId="0" fontId="7" fillId="17" borderId="2" xfId="0" applyFont="1" applyFill="1" applyBorder="1"/>
    <xf numFmtId="0" fontId="28" fillId="17" borderId="0" xfId="0" quotePrefix="1" applyFont="1" applyFill="1" applyBorder="1"/>
    <xf numFmtId="0" fontId="26" fillId="44" borderId="4" xfId="0" applyFont="1" applyFill="1" applyBorder="1" applyAlignment="1">
      <alignment horizontal="center" vertical="center"/>
    </xf>
    <xf numFmtId="0" fontId="26" fillId="44" borderId="4" xfId="0" applyFont="1" applyFill="1" applyBorder="1"/>
    <xf numFmtId="0" fontId="26" fillId="44" borderId="5" xfId="0" applyFont="1" applyFill="1" applyBorder="1" applyAlignment="1">
      <alignment horizontal="center"/>
    </xf>
    <xf numFmtId="0" fontId="28" fillId="39" borderId="7" xfId="0" applyFont="1" applyFill="1" applyBorder="1" applyAlignment="1">
      <alignment vertical="center" wrapText="1"/>
    </xf>
    <xf numFmtId="0" fontId="28" fillId="39" borderId="3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 wrapText="1"/>
    </xf>
    <xf numFmtId="0" fontId="28" fillId="39" borderId="9" xfId="0" applyFont="1" applyFill="1" applyBorder="1" applyAlignment="1">
      <alignment horizontal="center" vertical="center"/>
    </xf>
    <xf numFmtId="0" fontId="28" fillId="39" borderId="8" xfId="0" applyFont="1" applyFill="1" applyBorder="1" applyAlignment="1">
      <alignment vertical="center"/>
    </xf>
    <xf numFmtId="0" fontId="28" fillId="49" borderId="8" xfId="0" applyFont="1" applyFill="1" applyBorder="1" applyAlignment="1">
      <alignment vertical="center"/>
    </xf>
    <xf numFmtId="0" fontId="28" fillId="49" borderId="9" xfId="0" applyFont="1" applyFill="1" applyBorder="1" applyAlignment="1">
      <alignment horizontal="center" vertical="center"/>
    </xf>
    <xf numFmtId="0" fontId="28" fillId="49" borderId="7" xfId="0" applyFont="1" applyFill="1" applyBorder="1" applyAlignment="1">
      <alignment vertical="center"/>
    </xf>
    <xf numFmtId="0" fontId="28" fillId="49" borderId="7" xfId="0" applyFont="1" applyFill="1" applyBorder="1" applyAlignment="1">
      <alignment vertical="center" wrapText="1"/>
    </xf>
    <xf numFmtId="16" fontId="28" fillId="49" borderId="3" xfId="0" quotePrefix="1" applyNumberFormat="1" applyFont="1" applyFill="1" applyBorder="1" applyAlignment="1">
      <alignment horizontal="center" vertical="center"/>
    </xf>
    <xf numFmtId="0" fontId="28" fillId="49" borderId="23" xfId="0" applyFont="1" applyFill="1" applyBorder="1" applyAlignment="1">
      <alignment vertical="center"/>
    </xf>
    <xf numFmtId="0" fontId="26" fillId="50" borderId="0" xfId="0" applyFont="1" applyFill="1" applyAlignment="1">
      <alignment horizontal="center" vertical="center" wrapText="1"/>
    </xf>
    <xf numFmtId="0" fontId="28" fillId="51" borderId="0" xfId="0" applyFont="1" applyFill="1" applyAlignment="1">
      <alignment vertical="center"/>
    </xf>
    <xf numFmtId="0" fontId="28" fillId="51" borderId="0" xfId="0" applyFont="1" applyFill="1" applyAlignment="1">
      <alignment vertical="center" wrapText="1"/>
    </xf>
    <xf numFmtId="16" fontId="28" fillId="51" borderId="2" xfId="0" quotePrefix="1" applyNumberFormat="1" applyFont="1" applyFill="1" applyBorder="1" applyAlignment="1">
      <alignment horizontal="center" vertical="center"/>
    </xf>
    <xf numFmtId="0" fontId="28" fillId="25" borderId="7" xfId="0" applyFont="1" applyFill="1" applyBorder="1" applyAlignment="1">
      <alignment vertical="center"/>
    </xf>
    <xf numFmtId="0" fontId="28" fillId="25" borderId="7" xfId="0" applyFont="1" applyFill="1" applyBorder="1" applyAlignment="1">
      <alignment vertical="center" wrapText="1"/>
    </xf>
    <xf numFmtId="0" fontId="49" fillId="25" borderId="3" xfId="0" applyFont="1" applyFill="1" applyBorder="1" applyAlignment="1">
      <alignment horizontal="center" vertical="center"/>
    </xf>
    <xf numFmtId="0" fontId="28" fillId="42" borderId="8" xfId="0" applyFont="1" applyFill="1" applyBorder="1" applyAlignment="1">
      <alignment vertical="center" wrapText="1"/>
    </xf>
    <xf numFmtId="0" fontId="28" fillId="42" borderId="9" xfId="0" applyFont="1" applyFill="1" applyBorder="1" applyAlignment="1">
      <alignment horizontal="center" vertical="center"/>
    </xf>
    <xf numFmtId="0" fontId="28" fillId="43" borderId="23" xfId="0" applyFont="1" applyFill="1" applyBorder="1" applyAlignment="1">
      <alignment vertical="center" wrapText="1"/>
    </xf>
    <xf numFmtId="0" fontId="28" fillId="43" borderId="24" xfId="0" applyFont="1" applyFill="1" applyBorder="1" applyAlignment="1">
      <alignment horizontal="center" vertical="center"/>
    </xf>
    <xf numFmtId="0" fontId="7" fillId="17" borderId="66" xfId="0" applyFont="1" applyFill="1" applyBorder="1"/>
    <xf numFmtId="0" fontId="11" fillId="0" borderId="0" xfId="0" applyFont="1"/>
    <xf numFmtId="9" fontId="7" fillId="0" borderId="48" xfId="2" applyFont="1" applyBorder="1" applyAlignment="1">
      <alignment horizontal="center" vertical="center"/>
    </xf>
    <xf numFmtId="9" fontId="15" fillId="17" borderId="0" xfId="2" applyFont="1" applyFill="1" applyAlignment="1">
      <alignment horizontal="left"/>
    </xf>
    <xf numFmtId="0" fontId="22" fillId="17" borderId="32" xfId="0" applyFont="1" applyFill="1" applyBorder="1" applyAlignment="1">
      <alignment horizontal="center" vertical="center"/>
    </xf>
    <xf numFmtId="3" fontId="10" fillId="0" borderId="46" xfId="5" applyNumberFormat="1" applyFont="1" applyFill="1" applyBorder="1" applyAlignment="1">
      <alignment horizontal="center"/>
    </xf>
    <xf numFmtId="3" fontId="10" fillId="0" borderId="27" xfId="5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right" indent="1"/>
    </xf>
    <xf numFmtId="3" fontId="8" fillId="0" borderId="27" xfId="0" applyNumberFormat="1" applyFont="1" applyFill="1" applyBorder="1" applyAlignment="1">
      <alignment horizontal="right" indent="1"/>
    </xf>
    <xf numFmtId="9" fontId="8" fillId="0" borderId="20" xfId="2" applyFont="1" applyFill="1" applyBorder="1" applyAlignment="1">
      <alignment horizontal="right" indent="1"/>
    </xf>
    <xf numFmtId="3" fontId="37" fillId="0" borderId="20" xfId="0" applyNumberFormat="1" applyFont="1" applyFill="1" applyBorder="1" applyAlignment="1">
      <alignment horizontal="right" indent="1"/>
    </xf>
    <xf numFmtId="3" fontId="37" fillId="0" borderId="27" xfId="0" applyNumberFormat="1" applyFont="1" applyFill="1" applyBorder="1" applyAlignment="1">
      <alignment horizontal="right" indent="1"/>
    </xf>
    <xf numFmtId="9" fontId="37" fillId="0" borderId="20" xfId="2" applyFont="1" applyFill="1" applyBorder="1" applyAlignment="1">
      <alignment horizontal="right" indent="1"/>
    </xf>
    <xf numFmtId="3" fontId="22" fillId="0" borderId="20" xfId="0" applyNumberFormat="1" applyFont="1" applyFill="1" applyBorder="1" applyAlignment="1">
      <alignment horizontal="right" indent="1"/>
    </xf>
    <xf numFmtId="3" fontId="22" fillId="0" borderId="27" xfId="0" applyNumberFormat="1" applyFont="1" applyFill="1" applyBorder="1" applyAlignment="1">
      <alignment horizontal="right" indent="1"/>
    </xf>
    <xf numFmtId="9" fontId="22" fillId="0" borderId="20" xfId="2" applyFont="1" applyFill="1" applyBorder="1" applyAlignment="1">
      <alignment horizontal="right" indent="1"/>
    </xf>
    <xf numFmtId="3" fontId="8" fillId="0" borderId="20" xfId="0" applyNumberFormat="1" applyFont="1" applyBorder="1" applyAlignment="1">
      <alignment horizontal="right" indent="1"/>
    </xf>
    <xf numFmtId="3" fontId="8" fillId="0" borderId="27" xfId="0" applyNumberFormat="1" applyFont="1" applyBorder="1" applyAlignment="1">
      <alignment horizontal="right" indent="1"/>
    </xf>
    <xf numFmtId="9" fontId="8" fillId="0" borderId="20" xfId="2" applyFont="1" applyBorder="1" applyAlignment="1">
      <alignment horizontal="right" indent="1"/>
    </xf>
    <xf numFmtId="3" fontId="10" fillId="0" borderId="28" xfId="5" applyNumberFormat="1" applyFont="1" applyFill="1" applyBorder="1" applyAlignment="1">
      <alignment horizontal="center"/>
    </xf>
    <xf numFmtId="0" fontId="52" fillId="17" borderId="7" xfId="3" applyFont="1" applyFill="1" applyBorder="1"/>
    <xf numFmtId="3" fontId="11" fillId="17" borderId="0" xfId="5" applyNumberFormat="1" applyFont="1" applyFill="1" applyBorder="1" applyAlignment="1">
      <alignment horizontal="center"/>
    </xf>
    <xf numFmtId="3" fontId="11" fillId="17" borderId="0" xfId="3" applyNumberFormat="1" applyFont="1" applyFill="1" applyBorder="1" applyAlignment="1">
      <alignment horizontal="center"/>
    </xf>
    <xf numFmtId="0" fontId="11" fillId="17" borderId="0" xfId="3" applyFont="1" applyFill="1" applyBorder="1"/>
    <xf numFmtId="167" fontId="11" fillId="17" borderId="13" xfId="5" applyNumberFormat="1" applyFont="1" applyFill="1" applyBorder="1" applyAlignment="1"/>
    <xf numFmtId="167" fontId="53" fillId="17" borderId="0" xfId="5" applyNumberFormat="1" applyFont="1" applyFill="1" applyBorder="1" applyAlignment="1"/>
    <xf numFmtId="167" fontId="53" fillId="0" borderId="9" xfId="3" applyNumberFormat="1" applyFont="1" applyBorder="1" applyAlignment="1">
      <alignment horizontal="right" indent="1"/>
    </xf>
    <xf numFmtId="167" fontId="53" fillId="0" borderId="9" xfId="5" applyNumberFormat="1" applyFont="1" applyBorder="1" applyAlignment="1"/>
    <xf numFmtId="167" fontId="54" fillId="0" borderId="9" xfId="3" applyNumberFormat="1" applyFont="1" applyBorder="1" applyAlignment="1"/>
    <xf numFmtId="167" fontId="38" fillId="17" borderId="13" xfId="3" applyNumberFormat="1" applyFont="1" applyFill="1" applyBorder="1" applyAlignment="1"/>
    <xf numFmtId="167" fontId="54" fillId="17" borderId="0" xfId="3" applyNumberFormat="1" applyFont="1" applyFill="1" applyBorder="1" applyAlignment="1"/>
    <xf numFmtId="167" fontId="53" fillId="0" borderId="9" xfId="3" applyNumberFormat="1" applyFont="1" applyFill="1" applyBorder="1" applyAlignment="1">
      <alignment horizontal="right" indent="1"/>
    </xf>
    <xf numFmtId="167" fontId="53" fillId="0" borderId="9" xfId="5" applyNumberFormat="1" applyFont="1" applyFill="1" applyBorder="1" applyAlignment="1"/>
    <xf numFmtId="167" fontId="53" fillId="0" borderId="9" xfId="3" applyNumberFormat="1" applyFont="1" applyBorder="1" applyAlignment="1"/>
    <xf numFmtId="167" fontId="11" fillId="17" borderId="13" xfId="3" applyNumberFormat="1" applyFont="1" applyFill="1" applyBorder="1" applyAlignment="1"/>
    <xf numFmtId="167" fontId="53" fillId="17" borderId="0" xfId="3" applyNumberFormat="1" applyFont="1" applyFill="1" applyBorder="1" applyAlignment="1"/>
    <xf numFmtId="167" fontId="54" fillId="0" borderId="9" xfId="5" applyNumberFormat="1" applyFont="1" applyFill="1" applyBorder="1" applyAlignment="1"/>
    <xf numFmtId="167" fontId="38" fillId="17" borderId="13" xfId="5" applyNumberFormat="1" applyFont="1" applyFill="1" applyBorder="1" applyAlignment="1"/>
    <xf numFmtId="167" fontId="54" fillId="17" borderId="0" xfId="5" applyNumberFormat="1" applyFont="1" applyFill="1" applyBorder="1" applyAlignment="1"/>
    <xf numFmtId="0" fontId="55" fillId="17" borderId="26" xfId="3" applyFont="1" applyFill="1" applyBorder="1"/>
    <xf numFmtId="0" fontId="55" fillId="17" borderId="26" xfId="4" applyFont="1" applyFill="1" applyBorder="1"/>
    <xf numFmtId="0" fontId="55" fillId="17" borderId="26" xfId="4" applyFont="1" applyFill="1" applyBorder="1" applyAlignment="1"/>
    <xf numFmtId="0" fontId="55" fillId="17" borderId="43" xfId="4" applyFont="1" applyFill="1" applyBorder="1"/>
    <xf numFmtId="0" fontId="11" fillId="17" borderId="15" xfId="3" applyFont="1" applyFill="1" applyBorder="1" applyAlignment="1">
      <alignment horizontal="center" wrapText="1"/>
    </xf>
    <xf numFmtId="9" fontId="8" fillId="0" borderId="19" xfId="2" applyFont="1" applyBorder="1" applyAlignment="1">
      <alignment horizontal="center"/>
    </xf>
    <xf numFmtId="9" fontId="8" fillId="0" borderId="21" xfId="2" applyFont="1" applyBorder="1" applyAlignment="1">
      <alignment horizontal="center"/>
    </xf>
    <xf numFmtId="3" fontId="7" fillId="47" borderId="20" xfId="0" applyNumberFormat="1" applyFont="1" applyFill="1" applyBorder="1" applyAlignment="1">
      <alignment horizontal="center"/>
    </xf>
    <xf numFmtId="3" fontId="7" fillId="46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/>
    </xf>
    <xf numFmtId="3" fontId="7" fillId="29" borderId="20" xfId="0" applyNumberFormat="1" applyFont="1" applyFill="1" applyBorder="1" applyAlignment="1">
      <alignment horizontal="center" vertical="center"/>
    </xf>
    <xf numFmtId="3" fontId="7" fillId="46" borderId="20" xfId="0" applyNumberFormat="1" applyFont="1" applyFill="1" applyBorder="1" applyAlignment="1">
      <alignment horizontal="center" vertical="center"/>
    </xf>
    <xf numFmtId="3" fontId="7" fillId="46" borderId="22" xfId="0" applyNumberFormat="1" applyFont="1" applyFill="1" applyBorder="1" applyAlignment="1">
      <alignment horizontal="center"/>
    </xf>
    <xf numFmtId="0" fontId="8" fillId="17" borderId="76" xfId="0" applyFont="1" applyFill="1" applyBorder="1" applyAlignment="1">
      <alignment horizontal="center"/>
    </xf>
    <xf numFmtId="171" fontId="8" fillId="0" borderId="94" xfId="0" applyNumberFormat="1" applyFont="1" applyBorder="1"/>
    <xf numFmtId="3" fontId="7" fillId="47" borderId="9" xfId="0" applyNumberFormat="1" applyFont="1" applyFill="1" applyBorder="1" applyAlignment="1">
      <alignment horizontal="center"/>
    </xf>
    <xf numFmtId="3" fontId="7" fillId="29" borderId="9" xfId="0" applyNumberFormat="1" applyFont="1" applyFill="1" applyBorder="1" applyAlignment="1">
      <alignment horizontal="center"/>
    </xf>
    <xf numFmtId="3" fontId="7" fillId="46" borderId="9" xfId="0" applyNumberFormat="1" applyFont="1" applyFill="1" applyBorder="1" applyAlignment="1">
      <alignment horizontal="center"/>
    </xf>
    <xf numFmtId="3" fontId="7" fillId="47" borderId="9" xfId="0" applyNumberFormat="1" applyFont="1" applyFill="1" applyBorder="1" applyAlignment="1">
      <alignment horizontal="center" vertical="center"/>
    </xf>
    <xf numFmtId="3" fontId="7" fillId="46" borderId="9" xfId="0" applyNumberFormat="1" applyFont="1" applyFill="1" applyBorder="1" applyAlignment="1">
      <alignment horizontal="center" vertical="center"/>
    </xf>
    <xf numFmtId="3" fontId="7" fillId="46" borderId="6" xfId="0" applyNumberFormat="1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 wrapText="1"/>
    </xf>
    <xf numFmtId="170" fontId="8" fillId="17" borderId="82" xfId="0" applyNumberFormat="1" applyFont="1" applyFill="1" applyBorder="1" applyAlignment="1">
      <alignment horizontal="center"/>
    </xf>
    <xf numFmtId="0" fontId="7" fillId="17" borderId="12" xfId="0" applyFont="1" applyFill="1" applyBorder="1" applyAlignment="1">
      <alignment horizontal="center"/>
    </xf>
    <xf numFmtId="0" fontId="7" fillId="17" borderId="15" xfId="0" applyFont="1" applyFill="1" applyBorder="1" applyAlignment="1">
      <alignment horizontal="center" vertical="center" wrapText="1"/>
    </xf>
    <xf numFmtId="0" fontId="7" fillId="17" borderId="26" xfId="0" applyFont="1" applyFill="1" applyBorder="1" applyAlignment="1">
      <alignment horizontal="center" vertical="center"/>
    </xf>
    <xf numFmtId="0" fontId="7" fillId="64" borderId="23" xfId="0" quotePrefix="1" applyFont="1" applyFill="1" applyBorder="1" applyAlignment="1">
      <alignment horizontal="left" indent="1"/>
    </xf>
    <xf numFmtId="0" fontId="7" fillId="64" borderId="8" xfId="0" quotePrefix="1" applyFont="1" applyFill="1" applyBorder="1" applyAlignment="1">
      <alignment horizontal="left" indent="1"/>
    </xf>
    <xf numFmtId="0" fontId="0" fillId="64" borderId="7" xfId="0" applyFill="1" applyBorder="1"/>
    <xf numFmtId="0" fontId="7" fillId="64" borderId="7" xfId="0" quotePrefix="1" applyFont="1" applyFill="1" applyBorder="1"/>
    <xf numFmtId="0" fontId="7" fillId="64" borderId="7" xfId="0" applyFont="1" applyFill="1" applyBorder="1"/>
    <xf numFmtId="0" fontId="7" fillId="64" borderId="11" xfId="0" applyFont="1" applyFill="1" applyBorder="1" applyAlignment="1">
      <alignment horizontal="center"/>
    </xf>
    <xf numFmtId="0" fontId="7" fillId="64" borderId="11" xfId="0" applyFont="1" applyFill="1" applyBorder="1"/>
    <xf numFmtId="0" fontId="7" fillId="64" borderId="16" xfId="0" applyFont="1" applyFill="1" applyBorder="1" applyAlignment="1">
      <alignment horizontal="center" vertical="center" wrapText="1"/>
    </xf>
    <xf numFmtId="0" fontId="7" fillId="64" borderId="20" xfId="0" applyFont="1" applyFill="1" applyBorder="1" applyAlignment="1">
      <alignment horizontal="center"/>
    </xf>
    <xf numFmtId="0" fontId="7" fillId="64" borderId="20" xfId="0" applyFont="1" applyFill="1" applyBorder="1"/>
    <xf numFmtId="0" fontId="7" fillId="64" borderId="20" xfId="0" applyFont="1" applyFill="1" applyBorder="1" applyAlignment="1">
      <alignment horizontal="center" vertical="center"/>
    </xf>
    <xf numFmtId="0" fontId="7" fillId="64" borderId="22" xfId="0" applyFont="1" applyFill="1" applyBorder="1" applyAlignment="1">
      <alignment horizontal="center"/>
    </xf>
    <xf numFmtId="0" fontId="8" fillId="18" borderId="19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2" fontId="43" fillId="15" borderId="47" xfId="0" applyNumberFormat="1" applyFont="1" applyFill="1" applyBorder="1" applyAlignment="1">
      <alignment horizontal="center"/>
    </xf>
    <xf numFmtId="2" fontId="43" fillId="15" borderId="6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/>
    </xf>
    <xf numFmtId="2" fontId="43" fillId="15" borderId="5" xfId="0" applyNumberFormat="1" applyFont="1" applyFill="1" applyBorder="1" applyAlignment="1">
      <alignment horizontal="center" wrapText="1"/>
    </xf>
    <xf numFmtId="2" fontId="43" fillId="24" borderId="5" xfId="0" applyNumberFormat="1" applyFont="1" applyFill="1" applyBorder="1" applyAlignment="1">
      <alignment horizontal="center"/>
    </xf>
    <xf numFmtId="2" fontId="42" fillId="24" borderId="47" xfId="0" applyNumberFormat="1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165" fontId="7" fillId="17" borderId="39" xfId="1" applyNumberFormat="1" applyFont="1" applyFill="1" applyBorder="1"/>
    <xf numFmtId="9" fontId="7" fillId="17" borderId="39" xfId="2" applyFont="1" applyFill="1" applyBorder="1"/>
    <xf numFmtId="0" fontId="7" fillId="17" borderId="40" xfId="0" applyFont="1" applyFill="1" applyBorder="1" applyAlignment="1">
      <alignment horizontal="center" vertical="center"/>
    </xf>
    <xf numFmtId="165" fontId="7" fillId="17" borderId="19" xfId="1" applyNumberFormat="1" applyFont="1" applyFill="1" applyBorder="1"/>
    <xf numFmtId="165" fontId="7" fillId="17" borderId="21" xfId="1" applyNumberFormat="1" applyFont="1" applyFill="1" applyBorder="1"/>
    <xf numFmtId="0" fontId="7" fillId="38" borderId="7" xfId="0" quotePrefix="1" applyFont="1" applyFill="1" applyBorder="1"/>
    <xf numFmtId="0" fontId="0" fillId="38" borderId="7" xfId="0" applyFill="1" applyBorder="1"/>
    <xf numFmtId="0" fontId="7" fillId="38" borderId="7" xfId="0" applyFont="1" applyFill="1" applyBorder="1"/>
    <xf numFmtId="0" fontId="7" fillId="38" borderId="26" xfId="0" applyFont="1" applyFill="1" applyBorder="1" applyAlignment="1">
      <alignment horizontal="center"/>
    </xf>
    <xf numFmtId="0" fontId="7" fillId="17" borderId="4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17" borderId="57" xfId="0" applyFont="1" applyFill="1" applyBorder="1" applyAlignment="1">
      <alignment horizontal="centerContinuous"/>
    </xf>
    <xf numFmtId="0" fontId="7" fillId="17" borderId="59" xfId="0" applyFont="1" applyFill="1" applyBorder="1" applyAlignment="1">
      <alignment horizontal="center"/>
    </xf>
    <xf numFmtId="0" fontId="7" fillId="0" borderId="59" xfId="0" applyFont="1" applyFill="1" applyBorder="1" applyAlignment="1">
      <alignment horizontal="center"/>
    </xf>
    <xf numFmtId="2" fontId="8" fillId="17" borderId="30" xfId="0" applyNumberFormat="1" applyFont="1" applyFill="1" applyBorder="1" applyAlignment="1">
      <alignment horizontal="center"/>
    </xf>
    <xf numFmtId="0" fontId="7" fillId="17" borderId="33" xfId="0" applyFont="1" applyFill="1" applyBorder="1" applyAlignment="1">
      <alignment horizontal="center" vertical="center" wrapText="1"/>
    </xf>
    <xf numFmtId="0" fontId="8" fillId="17" borderId="96" xfId="0" applyFont="1" applyFill="1" applyBorder="1" applyAlignment="1">
      <alignment horizontal="center"/>
    </xf>
    <xf numFmtId="0" fontId="0" fillId="17" borderId="7" xfId="0" applyFill="1" applyBorder="1" applyAlignment="1">
      <alignment horizontal="left" indent="1"/>
    </xf>
    <xf numFmtId="167" fontId="7" fillId="17" borderId="66" xfId="0" applyNumberFormat="1" applyFont="1" applyFill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171" fontId="7" fillId="0" borderId="19" xfId="1" applyNumberFormat="1" applyFont="1" applyBorder="1"/>
    <xf numFmtId="171" fontId="7" fillId="0" borderId="12" xfId="1" applyNumberFormat="1" applyFont="1" applyBorder="1"/>
    <xf numFmtId="171" fontId="7" fillId="0" borderId="19" xfId="1" applyNumberFormat="1" applyFont="1" applyFill="1" applyBorder="1"/>
    <xf numFmtId="171" fontId="7" fillId="0" borderId="12" xfId="1" applyNumberFormat="1" applyFont="1" applyFill="1" applyBorder="1"/>
    <xf numFmtId="0" fontId="7" fillId="17" borderId="43" xfId="0" applyFont="1" applyFill="1" applyBorder="1" applyAlignment="1">
      <alignment horizontal="center"/>
    </xf>
    <xf numFmtId="9" fontId="8" fillId="0" borderId="53" xfId="2" applyFont="1" applyBorder="1" applyAlignment="1">
      <alignment horizontal="center"/>
    </xf>
    <xf numFmtId="9" fontId="8" fillId="0" borderId="44" xfId="2" applyFont="1" applyBorder="1" applyAlignment="1">
      <alignment horizontal="center"/>
    </xf>
    <xf numFmtId="0" fontId="12" fillId="17" borderId="12" xfId="0" applyFont="1" applyFill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7" fillId="17" borderId="4" xfId="0" applyFont="1" applyFill="1" applyBorder="1" applyAlignment="1">
      <alignment horizontal="center" vertical="center" wrapText="1"/>
    </xf>
    <xf numFmtId="0" fontId="7" fillId="38" borderId="8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17" borderId="0" xfId="0" applyNumberFormat="1" applyFont="1" applyFill="1" applyBorder="1" applyAlignment="1">
      <alignment horizontal="center"/>
    </xf>
    <xf numFmtId="0" fontId="0" fillId="38" borderId="0" xfId="0" applyFill="1" applyAlignment="1">
      <alignment horizontal="left"/>
    </xf>
    <xf numFmtId="0" fontId="0" fillId="38" borderId="0" xfId="0" applyFill="1"/>
    <xf numFmtId="0" fontId="8" fillId="0" borderId="21" xfId="0" applyFont="1" applyBorder="1" applyAlignment="1">
      <alignment horizontal="center"/>
    </xf>
    <xf numFmtId="3" fontId="8" fillId="0" borderId="51" xfId="0" applyNumberFormat="1" applyFont="1" applyBorder="1" applyAlignment="1">
      <alignment horizontal="center"/>
    </xf>
    <xf numFmtId="0" fontId="45" fillId="0" borderId="44" xfId="0" applyFont="1" applyBorder="1" applyAlignment="1">
      <alignment horizontal="center" vertical="center" wrapText="1"/>
    </xf>
    <xf numFmtId="0" fontId="8" fillId="17" borderId="34" xfId="0" applyFont="1" applyFill="1" applyBorder="1" applyAlignment="1">
      <alignment horizontal="center" wrapText="1"/>
    </xf>
    <xf numFmtId="4" fontId="6" fillId="16" borderId="104" xfId="0" applyNumberFormat="1" applyFont="1" applyFill="1" applyBorder="1" applyAlignment="1">
      <alignment horizontal="center"/>
    </xf>
    <xf numFmtId="9" fontId="7" fillId="0" borderId="32" xfId="2" applyFont="1" applyBorder="1" applyAlignment="1">
      <alignment horizontal="center" vertical="center"/>
    </xf>
    <xf numFmtId="3" fontId="8" fillId="0" borderId="39" xfId="2" applyNumberFormat="1" applyFont="1" applyBorder="1" applyAlignment="1">
      <alignment horizontal="center" vertical="center"/>
    </xf>
    <xf numFmtId="3" fontId="8" fillId="0" borderId="19" xfId="2" applyNumberFormat="1" applyFont="1" applyBorder="1" applyAlignment="1">
      <alignment horizontal="center" vertical="center"/>
    </xf>
    <xf numFmtId="3" fontId="10" fillId="0" borderId="19" xfId="0" applyNumberFormat="1" applyFont="1" applyFill="1" applyBorder="1" applyAlignment="1" applyProtection="1">
      <alignment horizontal="center" vertical="center"/>
    </xf>
    <xf numFmtId="3" fontId="8" fillId="0" borderId="12" xfId="2" applyNumberFormat="1" applyFont="1" applyBorder="1" applyAlignment="1">
      <alignment horizontal="center" vertical="center"/>
    </xf>
    <xf numFmtId="3" fontId="8" fillId="0" borderId="21" xfId="2" applyNumberFormat="1" applyFont="1" applyBorder="1" applyAlignment="1">
      <alignment horizontal="center" vertical="center"/>
    </xf>
    <xf numFmtId="0" fontId="8" fillId="17" borderId="4" xfId="1819" applyFont="1" applyFill="1" applyBorder="1"/>
    <xf numFmtId="0" fontId="7" fillId="17" borderId="3" xfId="1819" applyFont="1" applyFill="1" applyBorder="1" applyAlignment="1">
      <alignment horizontal="center" vertical="center" wrapText="1"/>
    </xf>
    <xf numFmtId="167" fontId="8" fillId="37" borderId="30" xfId="0" applyNumberFormat="1" applyFont="1" applyFill="1" applyBorder="1" applyAlignment="1">
      <alignment horizontal="right"/>
    </xf>
    <xf numFmtId="167" fontId="7" fillId="37" borderId="105" xfId="0" applyNumberFormat="1" applyFont="1" applyFill="1" applyBorder="1" applyAlignment="1">
      <alignment horizontal="center" vertical="center" wrapText="1"/>
    </xf>
    <xf numFmtId="0" fontId="55" fillId="17" borderId="25" xfId="3" applyFont="1" applyFill="1" applyBorder="1"/>
    <xf numFmtId="4" fontId="14" fillId="17" borderId="81" xfId="0" applyNumberFormat="1" applyFont="1" applyFill="1" applyBorder="1" applyAlignment="1">
      <alignment horizontal="center"/>
    </xf>
    <xf numFmtId="4" fontId="14" fillId="17" borderId="102" xfId="0" applyNumberFormat="1" applyFont="1" applyFill="1" applyBorder="1" applyAlignment="1">
      <alignment horizontal="center"/>
    </xf>
    <xf numFmtId="4" fontId="0" fillId="17" borderId="96" xfId="0" applyNumberFormat="1" applyFont="1" applyFill="1" applyBorder="1" applyAlignment="1">
      <alignment horizontal="center"/>
    </xf>
    <xf numFmtId="4" fontId="0" fillId="17" borderId="103" xfId="0" applyNumberFormat="1" applyFont="1" applyFill="1" applyBorder="1" applyAlignment="1">
      <alignment horizontal="center"/>
    </xf>
    <xf numFmtId="0" fontId="14" fillId="17" borderId="81" xfId="0" applyNumberFormat="1" applyFont="1" applyFill="1" applyBorder="1" applyAlignment="1">
      <alignment horizontal="center"/>
    </xf>
    <xf numFmtId="9" fontId="7" fillId="0" borderId="40" xfId="2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9" fontId="7" fillId="0" borderId="3" xfId="2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9" fontId="7" fillId="0" borderId="6" xfId="2" applyFont="1" applyBorder="1" applyAlignment="1">
      <alignment horizontal="center" vertical="center"/>
    </xf>
    <xf numFmtId="9" fontId="8" fillId="17" borderId="5" xfId="2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3" fontId="57" fillId="0" borderId="9" xfId="0" applyNumberFormat="1" applyFont="1" applyFill="1" applyBorder="1" applyAlignment="1">
      <alignment horizontal="right" indent="1"/>
    </xf>
    <xf numFmtId="9" fontId="8" fillId="0" borderId="9" xfId="2" applyNumberFormat="1" applyFont="1" applyFill="1" applyBorder="1" applyAlignment="1">
      <alignment horizontal="right" indent="1"/>
    </xf>
    <xf numFmtId="167" fontId="35" fillId="0" borderId="9" xfId="3" applyNumberFormat="1" applyFont="1" applyBorder="1" applyAlignment="1">
      <alignment horizontal="right"/>
    </xf>
    <xf numFmtId="9" fontId="35" fillId="0" borderId="9" xfId="2" applyFont="1" applyBorder="1" applyAlignment="1">
      <alignment horizontal="right" indent="1"/>
    </xf>
    <xf numFmtId="167" fontId="56" fillId="0" borderId="9" xfId="5" applyNumberFormat="1" applyFont="1" applyFill="1" applyBorder="1" applyAlignment="1">
      <alignment horizontal="right"/>
    </xf>
    <xf numFmtId="167" fontId="36" fillId="0" borderId="9" xfId="0" applyNumberFormat="1" applyFont="1" applyFill="1" applyBorder="1" applyAlignment="1">
      <alignment horizontal="right"/>
    </xf>
    <xf numFmtId="9" fontId="35" fillId="0" borderId="9" xfId="5" applyFont="1" applyFill="1" applyBorder="1" applyAlignment="1">
      <alignment horizontal="right" indent="1"/>
    </xf>
    <xf numFmtId="49" fontId="56" fillId="0" borderId="9" xfId="5" applyNumberFormat="1" applyFont="1" applyFill="1" applyBorder="1" applyAlignment="1">
      <alignment horizontal="right" indent="1"/>
    </xf>
    <xf numFmtId="0" fontId="59" fillId="17" borderId="0" xfId="0" applyFont="1" applyFill="1" applyAlignment="1">
      <alignment horizontal="center"/>
    </xf>
    <xf numFmtId="0" fontId="7" fillId="17" borderId="15" xfId="0" applyFont="1" applyFill="1" applyBorder="1" applyAlignment="1">
      <alignment horizontal="center" wrapText="1"/>
    </xf>
    <xf numFmtId="0" fontId="60" fillId="17" borderId="0" xfId="0" applyFont="1" applyFill="1" applyAlignment="1">
      <alignment horizontal="center"/>
    </xf>
    <xf numFmtId="3" fontId="57" fillId="17" borderId="9" xfId="0" applyNumberFormat="1" applyFont="1" applyFill="1" applyBorder="1" applyAlignment="1">
      <alignment horizontal="right" indent="1"/>
    </xf>
    <xf numFmtId="3" fontId="8" fillId="17" borderId="9" xfId="0" applyNumberFormat="1" applyFont="1" applyFill="1" applyBorder="1" applyAlignment="1">
      <alignment horizontal="right" indent="1"/>
    </xf>
    <xf numFmtId="3" fontId="22" fillId="17" borderId="9" xfId="0" applyNumberFormat="1" applyFont="1" applyFill="1" applyBorder="1" applyAlignment="1">
      <alignment horizontal="right" indent="1"/>
    </xf>
    <xf numFmtId="0" fontId="8" fillId="17" borderId="0" xfId="2306" applyFont="1" applyFill="1" applyAlignment="1">
      <alignment vertical="top"/>
    </xf>
    <xf numFmtId="4" fontId="8" fillId="17" borderId="0" xfId="1819" applyNumberFormat="1" applyFont="1" applyFill="1" applyAlignment="1">
      <alignment horizontal="center"/>
    </xf>
    <xf numFmtId="0" fontId="61" fillId="17" borderId="0" xfId="2306" applyFont="1" applyFill="1"/>
    <xf numFmtId="4" fontId="62" fillId="17" borderId="0" xfId="2306" applyNumberFormat="1" applyFont="1" applyFill="1"/>
    <xf numFmtId="4" fontId="61" fillId="17" borderId="0" xfId="2306" applyNumberFormat="1" applyFont="1" applyFill="1"/>
    <xf numFmtId="0" fontId="63" fillId="17" borderId="0" xfId="2306" applyFont="1" applyFill="1"/>
    <xf numFmtId="0" fontId="61" fillId="0" borderId="0" xfId="2306" applyFont="1"/>
    <xf numFmtId="0" fontId="64" fillId="0" borderId="0" xfId="2306" applyFont="1"/>
    <xf numFmtId="0" fontId="15" fillId="17" borderId="0" xfId="2306" applyFont="1" applyFill="1" applyAlignment="1">
      <alignment horizontal="left" vertical="center"/>
    </xf>
    <xf numFmtId="0" fontId="0" fillId="17" borderId="0" xfId="0" applyFill="1" applyBorder="1" applyAlignment="1">
      <alignment horizontal="center" vertical="center"/>
    </xf>
    <xf numFmtId="0" fontId="6" fillId="17" borderId="0" xfId="0" applyFont="1" applyFill="1" applyAlignment="1">
      <alignment vertical="center"/>
    </xf>
    <xf numFmtId="0" fontId="7" fillId="17" borderId="0" xfId="1819" applyFont="1" applyFill="1" applyAlignment="1">
      <alignment horizontal="center" vertical="center"/>
    </xf>
    <xf numFmtId="4" fontId="8" fillId="17" borderId="0" xfId="1819" applyNumberFormat="1" applyFont="1" applyFill="1" applyAlignment="1">
      <alignment horizontal="center" vertical="center"/>
    </xf>
    <xf numFmtId="0" fontId="61" fillId="17" borderId="0" xfId="2306" applyFont="1" applyFill="1" applyAlignment="1">
      <alignment vertical="center"/>
    </xf>
    <xf numFmtId="4" fontId="62" fillId="17" borderId="0" xfId="2306" applyNumberFormat="1" applyFont="1" applyFill="1" applyAlignment="1">
      <alignment vertical="center"/>
    </xf>
    <xf numFmtId="4" fontId="61" fillId="17" borderId="0" xfId="2306" applyNumberFormat="1" applyFont="1" applyFill="1" applyAlignment="1">
      <alignment vertical="center"/>
    </xf>
    <xf numFmtId="0" fontId="63" fillId="17" borderId="0" xfId="2306" applyFont="1" applyFill="1" applyAlignment="1">
      <alignment vertical="center"/>
    </xf>
    <xf numFmtId="0" fontId="61" fillId="0" borderId="0" xfId="2306" applyFont="1" applyAlignment="1">
      <alignment vertical="center"/>
    </xf>
    <xf numFmtId="0" fontId="8" fillId="17" borderId="30" xfId="2306" applyFont="1" applyFill="1" applyBorder="1"/>
    <xf numFmtId="0" fontId="8" fillId="17" borderId="4" xfId="1819" applyFont="1" applyFill="1" applyBorder="1" applyAlignment="1">
      <alignment horizontal="centerContinuous"/>
    </xf>
    <xf numFmtId="4" fontId="8" fillId="17" borderId="64" xfId="1819" applyNumberFormat="1" applyFont="1" applyFill="1" applyBorder="1" applyAlignment="1">
      <alignment horizontal="centerContinuous"/>
    </xf>
    <xf numFmtId="4" fontId="62" fillId="65" borderId="4" xfId="2306" applyNumberFormat="1" applyFont="1" applyFill="1" applyBorder="1" applyAlignment="1">
      <alignment horizontal="centerContinuous"/>
    </xf>
    <xf numFmtId="0" fontId="61" fillId="65" borderId="4" xfId="2306" applyFont="1" applyFill="1" applyBorder="1" applyAlignment="1">
      <alignment horizontal="centerContinuous"/>
    </xf>
    <xf numFmtId="4" fontId="61" fillId="65" borderId="4" xfId="2306" applyNumberFormat="1" applyFont="1" applyFill="1" applyBorder="1" applyAlignment="1">
      <alignment horizontal="centerContinuous"/>
    </xf>
    <xf numFmtId="4" fontId="62" fillId="65" borderId="64" xfId="2306" applyNumberFormat="1" applyFont="1" applyFill="1" applyBorder="1" applyAlignment="1">
      <alignment horizontal="centerContinuous"/>
    </xf>
    <xf numFmtId="4" fontId="62" fillId="66" borderId="4" xfId="2306" applyNumberFormat="1" applyFont="1" applyFill="1" applyBorder="1" applyAlignment="1">
      <alignment horizontal="centerContinuous"/>
    </xf>
    <xf numFmtId="0" fontId="61" fillId="66" borderId="4" xfId="2306" applyFont="1" applyFill="1" applyBorder="1" applyAlignment="1">
      <alignment horizontal="centerContinuous"/>
    </xf>
    <xf numFmtId="4" fontId="61" fillId="66" borderId="64" xfId="2306" applyNumberFormat="1" applyFont="1" applyFill="1" applyBorder="1" applyAlignment="1">
      <alignment horizontal="centerContinuous"/>
    </xf>
    <xf numFmtId="0" fontId="62" fillId="62" borderId="84" xfId="2306" applyFont="1" applyFill="1" applyBorder="1" applyAlignment="1">
      <alignment horizontal="centerContinuous"/>
    </xf>
    <xf numFmtId="0" fontId="62" fillId="62" borderId="4" xfId="2306" applyFont="1" applyFill="1" applyBorder="1" applyAlignment="1">
      <alignment horizontal="centerContinuous"/>
    </xf>
    <xf numFmtId="0" fontId="62" fillId="62" borderId="64" xfId="2306" applyFont="1" applyFill="1" applyBorder="1" applyAlignment="1">
      <alignment horizontal="centerContinuous"/>
    </xf>
    <xf numFmtId="0" fontId="15" fillId="17" borderId="30" xfId="2306" applyFont="1" applyFill="1" applyBorder="1"/>
    <xf numFmtId="0" fontId="6" fillId="17" borderId="86" xfId="0" applyFont="1" applyFill="1" applyBorder="1"/>
    <xf numFmtId="0" fontId="15" fillId="17" borderId="0" xfId="1819" applyFont="1" applyFill="1" applyBorder="1" applyAlignment="1">
      <alignment horizontal="center"/>
    </xf>
    <xf numFmtId="4" fontId="14" fillId="17" borderId="56" xfId="1819" applyNumberFormat="1" applyFont="1" applyFill="1" applyBorder="1" applyAlignment="1">
      <alignment horizontal="center"/>
    </xf>
    <xf numFmtId="0" fontId="63" fillId="67" borderId="0" xfId="2306" applyFont="1" applyFill="1"/>
    <xf numFmtId="0" fontId="65" fillId="67" borderId="107" xfId="2306" applyFont="1" applyFill="1" applyBorder="1" applyAlignment="1">
      <alignment horizontal="center"/>
    </xf>
    <xf numFmtId="0" fontId="63" fillId="68" borderId="0" xfId="2306" applyFont="1" applyFill="1"/>
    <xf numFmtId="0" fontId="65" fillId="68" borderId="107" xfId="2306" applyFont="1" applyFill="1" applyBorder="1" applyAlignment="1">
      <alignment horizontal="center"/>
    </xf>
    <xf numFmtId="0" fontId="63" fillId="69" borderId="0" xfId="2306" applyFont="1" applyFill="1"/>
    <xf numFmtId="0" fontId="63" fillId="69" borderId="56" xfId="2306" applyFont="1" applyFill="1" applyBorder="1"/>
    <xf numFmtId="0" fontId="63" fillId="0" borderId="0" xfId="2306" applyFont="1"/>
    <xf numFmtId="0" fontId="14" fillId="17" borderId="30" xfId="2306" applyFont="1" applyFill="1" applyBorder="1"/>
    <xf numFmtId="0" fontId="14" fillId="17" borderId="98" xfId="0" applyFont="1" applyFill="1" applyBorder="1" applyAlignment="1">
      <alignment horizontal="centerContinuous"/>
    </xf>
    <xf numFmtId="170" fontId="14" fillId="67" borderId="0" xfId="2306" applyNumberFormat="1" applyFont="1" applyFill="1" applyBorder="1" applyAlignment="1">
      <alignment horizontal="center"/>
    </xf>
    <xf numFmtId="4" fontId="65" fillId="67" borderId="54" xfId="2306" applyNumberFormat="1" applyFont="1" applyFill="1" applyBorder="1" applyAlignment="1">
      <alignment horizontal="center"/>
    </xf>
    <xf numFmtId="4" fontId="63" fillId="68" borderId="0" xfId="2306" applyNumberFormat="1" applyFont="1" applyFill="1"/>
    <xf numFmtId="4" fontId="65" fillId="68" borderId="54" xfId="2306" applyNumberFormat="1" applyFont="1" applyFill="1" applyBorder="1" applyAlignment="1">
      <alignment horizontal="center"/>
    </xf>
    <xf numFmtId="0" fontId="14" fillId="17" borderId="99" xfId="0" applyFont="1" applyFill="1" applyBorder="1" applyAlignment="1">
      <alignment horizontal="centerContinuous"/>
    </xf>
    <xf numFmtId="0" fontId="63" fillId="0" borderId="108" xfId="2306" applyFont="1" applyBorder="1"/>
    <xf numFmtId="0" fontId="63" fillId="0" borderId="56" xfId="2306" applyFont="1" applyBorder="1"/>
    <xf numFmtId="0" fontId="15" fillId="67" borderId="87" xfId="2306" applyFont="1" applyFill="1" applyBorder="1" applyAlignment="1">
      <alignment horizontal="left" indent="1"/>
    </xf>
    <xf numFmtId="0" fontId="14" fillId="67" borderId="35" xfId="2306" applyFont="1" applyFill="1" applyBorder="1" applyAlignment="1">
      <alignment horizontal="centerContinuous"/>
    </xf>
    <xf numFmtId="0" fontId="14" fillId="67" borderId="34" xfId="2306" applyFont="1" applyFill="1" applyBorder="1" applyAlignment="1">
      <alignment horizontal="centerContinuous"/>
    </xf>
    <xf numFmtId="0" fontId="63" fillId="67" borderId="34" xfId="2306" applyFont="1" applyFill="1" applyBorder="1" applyAlignment="1">
      <alignment horizontal="centerContinuous"/>
    </xf>
    <xf numFmtId="0" fontId="63" fillId="67" borderId="7" xfId="2306" applyFont="1" applyFill="1" applyBorder="1"/>
    <xf numFmtId="4" fontId="65" fillId="67" borderId="55" xfId="2306" applyNumberFormat="1" applyFont="1" applyFill="1" applyBorder="1" applyAlignment="1">
      <alignment horizontal="center"/>
    </xf>
    <xf numFmtId="4" fontId="63" fillId="68" borderId="87" xfId="2306" applyNumberFormat="1" applyFont="1" applyFill="1" applyBorder="1" applyAlignment="1">
      <alignment horizontal="center"/>
    </xf>
    <xf numFmtId="0" fontId="63" fillId="68" borderId="7" xfId="2306" applyFont="1" applyFill="1" applyBorder="1"/>
    <xf numFmtId="4" fontId="65" fillId="68" borderId="55" xfId="2306" applyNumberFormat="1" applyFont="1" applyFill="1" applyBorder="1" applyAlignment="1">
      <alignment horizontal="center"/>
    </xf>
    <xf numFmtId="0" fontId="63" fillId="69" borderId="87" xfId="2306" applyFont="1" applyFill="1" applyBorder="1"/>
    <xf numFmtId="0" fontId="63" fillId="69" borderId="7" xfId="2306" applyFont="1" applyFill="1" applyBorder="1"/>
    <xf numFmtId="0" fontId="63" fillId="69" borderId="57" xfId="2306" applyFont="1" applyFill="1" applyBorder="1"/>
    <xf numFmtId="0" fontId="14" fillId="17" borderId="33" xfId="2306" applyFont="1" applyFill="1" applyBorder="1"/>
    <xf numFmtId="0" fontId="6" fillId="17" borderId="47" xfId="0" applyFont="1" applyFill="1" applyBorder="1" applyAlignment="1">
      <alignment horizontal="center" vertical="center"/>
    </xf>
    <xf numFmtId="0" fontId="6" fillId="17" borderId="101" xfId="0" applyFont="1" applyFill="1" applyBorder="1" applyAlignment="1">
      <alignment horizontal="center" vertical="center"/>
    </xf>
    <xf numFmtId="0" fontId="14" fillId="17" borderId="109" xfId="1819" applyFont="1" applyFill="1" applyBorder="1" applyAlignment="1">
      <alignment horizontal="center" vertical="center"/>
    </xf>
    <xf numFmtId="4" fontId="14" fillId="17" borderId="64" xfId="1819" applyNumberFormat="1" applyFont="1" applyFill="1" applyBorder="1" applyAlignment="1">
      <alignment horizontal="center" vertical="center" wrapText="1"/>
    </xf>
    <xf numFmtId="0" fontId="14" fillId="67" borderId="72" xfId="2306" applyFont="1" applyFill="1" applyBorder="1" applyAlignment="1">
      <alignment horizontal="center" vertical="center" wrapText="1"/>
    </xf>
    <xf numFmtId="0" fontId="14" fillId="29" borderId="4" xfId="2306" applyFont="1" applyFill="1" applyBorder="1" applyAlignment="1">
      <alignment horizontal="center" wrapText="1"/>
    </xf>
    <xf numFmtId="0" fontId="66" fillId="67" borderId="110" xfId="2306" applyFont="1" applyFill="1" applyBorder="1" applyAlignment="1">
      <alignment horizontal="center" vertical="center" wrapText="1"/>
    </xf>
    <xf numFmtId="0" fontId="14" fillId="67" borderId="111" xfId="2306" applyFont="1" applyFill="1" applyBorder="1" applyAlignment="1">
      <alignment horizontal="center" vertical="center" wrapText="1"/>
    </xf>
    <xf numFmtId="0" fontId="14" fillId="67" borderId="33" xfId="2306" applyFont="1" applyFill="1" applyBorder="1" applyAlignment="1">
      <alignment horizontal="center" vertical="center" wrapText="1"/>
    </xf>
    <xf numFmtId="0" fontId="14" fillId="67" borderId="28" xfId="2306" applyFont="1" applyFill="1" applyBorder="1" applyAlignment="1">
      <alignment horizontal="center" vertical="center" wrapText="1"/>
    </xf>
    <xf numFmtId="4" fontId="68" fillId="67" borderId="60" xfId="2306" applyNumberFormat="1" applyFont="1" applyFill="1" applyBorder="1" applyAlignment="1">
      <alignment horizontal="center" vertical="center" wrapText="1"/>
    </xf>
    <xf numFmtId="0" fontId="14" fillId="68" borderId="72" xfId="2306" applyFont="1" applyFill="1" applyBorder="1" applyAlignment="1">
      <alignment horizontal="center" vertical="center" wrapText="1"/>
    </xf>
    <xf numFmtId="0" fontId="14" fillId="68" borderId="5" xfId="2306" applyFont="1" applyFill="1" applyBorder="1" applyAlignment="1">
      <alignment horizontal="center" vertical="center" wrapText="1"/>
    </xf>
    <xf numFmtId="4" fontId="68" fillId="68" borderId="4" xfId="2306" applyNumberFormat="1" applyFont="1" applyFill="1" applyBorder="1" applyAlignment="1">
      <alignment horizontal="center" vertical="center" wrapText="1"/>
    </xf>
    <xf numFmtId="0" fontId="69" fillId="62" borderId="72" xfId="2306" applyFont="1" applyFill="1" applyBorder="1" applyAlignment="1">
      <alignment horizontal="center" vertical="center" wrapText="1"/>
    </xf>
    <xf numFmtId="0" fontId="63" fillId="69" borderId="5" xfId="2306" applyFont="1" applyFill="1" applyBorder="1" applyAlignment="1">
      <alignment horizontal="center" vertical="center" wrapText="1"/>
    </xf>
    <xf numFmtId="0" fontId="69" fillId="69" borderId="5" xfId="2306" applyFont="1" applyFill="1" applyBorder="1" applyAlignment="1">
      <alignment horizontal="center" vertical="center" wrapText="1"/>
    </xf>
    <xf numFmtId="0" fontId="70" fillId="69" borderId="17" xfId="2306" applyFont="1" applyFill="1" applyBorder="1" applyAlignment="1">
      <alignment horizontal="center" vertical="center" wrapText="1"/>
    </xf>
    <xf numFmtId="0" fontId="63" fillId="17" borderId="31" xfId="2306" applyFont="1" applyFill="1" applyBorder="1"/>
    <xf numFmtId="0" fontId="15" fillId="17" borderId="34" xfId="0" applyFont="1" applyFill="1" applyBorder="1" applyAlignment="1">
      <alignment horizontal="center" vertical="center"/>
    </xf>
    <xf numFmtId="0" fontId="15" fillId="0" borderId="100" xfId="1819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3" fontId="14" fillId="29" borderId="0" xfId="2306" applyNumberFormat="1" applyFont="1" applyFill="1" applyBorder="1" applyAlignment="1">
      <alignment horizontal="center"/>
    </xf>
    <xf numFmtId="0" fontId="66" fillId="0" borderId="12" xfId="2306" applyFont="1" applyBorder="1" applyAlignment="1">
      <alignment horizontal="center"/>
    </xf>
    <xf numFmtId="0" fontId="65" fillId="0" borderId="30" xfId="2306" applyFont="1" applyBorder="1" applyAlignment="1">
      <alignment horizontal="center"/>
    </xf>
    <xf numFmtId="0" fontId="65" fillId="0" borderId="32" xfId="2306" applyFont="1" applyBorder="1" applyAlignment="1">
      <alignment horizontal="center"/>
    </xf>
    <xf numFmtId="4" fontId="68" fillId="0" borderId="54" xfId="2306" applyNumberFormat="1" applyFont="1" applyBorder="1" applyAlignment="1">
      <alignment horizontal="right" indent="2"/>
    </xf>
    <xf numFmtId="0" fontId="65" fillId="0" borderId="85" xfId="2306" applyFont="1" applyBorder="1" applyAlignment="1">
      <alignment horizontal="center"/>
    </xf>
    <xf numFmtId="0" fontId="65" fillId="0" borderId="2" xfId="2306" applyFont="1" applyBorder="1" applyAlignment="1">
      <alignment horizontal="center"/>
    </xf>
    <xf numFmtId="4" fontId="68" fillId="0" borderId="0" xfId="2306" applyNumberFormat="1" applyFont="1" applyBorder="1" applyAlignment="1">
      <alignment horizontal="right" indent="2"/>
    </xf>
    <xf numFmtId="4" fontId="65" fillId="62" borderId="85" xfId="2306" applyNumberFormat="1" applyFont="1" applyFill="1" applyBorder="1" applyAlignment="1">
      <alignment horizontal="center"/>
    </xf>
    <xf numFmtId="4" fontId="63" fillId="69" borderId="2" xfId="2306" applyNumberFormat="1" applyFont="1" applyFill="1" applyBorder="1" applyAlignment="1">
      <alignment horizontal="right" indent="2"/>
    </xf>
    <xf numFmtId="0" fontId="15" fillId="0" borderId="3" xfId="1819" applyFont="1" applyBorder="1" applyAlignment="1">
      <alignment horizontal="center"/>
    </xf>
    <xf numFmtId="173" fontId="63" fillId="0" borderId="3" xfId="2306" applyNumberFormat="1" applyFont="1" applyBorder="1" applyAlignment="1">
      <alignment horizontal="center"/>
    </xf>
    <xf numFmtId="3" fontId="72" fillId="69" borderId="13" xfId="2306" applyNumberFormat="1" applyFont="1" applyFill="1" applyBorder="1" applyAlignment="1">
      <alignment horizontal="center"/>
    </xf>
    <xf numFmtId="0" fontId="63" fillId="17" borderId="29" xfId="2306" applyFont="1" applyFill="1" applyBorder="1"/>
    <xf numFmtId="0" fontId="0" fillId="17" borderId="89" xfId="0" applyFill="1" applyBorder="1"/>
    <xf numFmtId="0" fontId="6" fillId="17" borderId="83" xfId="0" applyFont="1" applyFill="1" applyBorder="1" applyAlignment="1">
      <alignment horizontal="center"/>
    </xf>
    <xf numFmtId="3" fontId="14" fillId="29" borderId="7" xfId="2306" applyNumberFormat="1" applyFont="1" applyFill="1" applyBorder="1" applyAlignment="1">
      <alignment horizontal="center"/>
    </xf>
    <xf numFmtId="0" fontId="66" fillId="0" borderId="14" xfId="2306" applyFont="1" applyBorder="1" applyAlignment="1">
      <alignment horizontal="center"/>
    </xf>
    <xf numFmtId="0" fontId="71" fillId="0" borderId="95" xfId="2306" applyFont="1" applyBorder="1" applyAlignment="1">
      <alignment horizontal="center"/>
    </xf>
    <xf numFmtId="0" fontId="65" fillId="0" borderId="25" xfId="2306" applyFont="1" applyBorder="1" applyAlignment="1">
      <alignment horizontal="center"/>
    </xf>
    <xf numFmtId="0" fontId="65" fillId="0" borderId="46" xfId="2306" applyFont="1" applyBorder="1" applyAlignment="1">
      <alignment horizontal="center"/>
    </xf>
    <xf numFmtId="4" fontId="68" fillId="0" borderId="55" xfId="2306" applyNumberFormat="1" applyFont="1" applyBorder="1" applyAlignment="1">
      <alignment horizontal="right" indent="2"/>
    </xf>
    <xf numFmtId="0" fontId="65" fillId="0" borderId="73" xfId="2306" applyFont="1" applyBorder="1" applyAlignment="1">
      <alignment horizontal="center"/>
    </xf>
    <xf numFmtId="0" fontId="65" fillId="0" borderId="3" xfId="2306" applyFont="1" applyBorder="1" applyAlignment="1">
      <alignment horizontal="center"/>
    </xf>
    <xf numFmtId="4" fontId="68" fillId="0" borderId="7" xfId="2306" applyNumberFormat="1" applyFont="1" applyBorder="1" applyAlignment="1">
      <alignment horizontal="right" indent="2"/>
    </xf>
    <xf numFmtId="4" fontId="65" fillId="62" borderId="73" xfId="2306" applyNumberFormat="1" applyFont="1" applyFill="1" applyBorder="1" applyAlignment="1">
      <alignment horizontal="center"/>
    </xf>
    <xf numFmtId="4" fontId="63" fillId="69" borderId="3" xfId="2306" applyNumberFormat="1" applyFont="1" applyFill="1" applyBorder="1" applyAlignment="1">
      <alignment horizontal="right" indent="2"/>
    </xf>
    <xf numFmtId="3" fontId="72" fillId="69" borderId="45" xfId="2306" applyNumberFormat="1" applyFont="1" applyFill="1" applyBorder="1" applyAlignment="1">
      <alignment horizontal="center"/>
    </xf>
    <xf numFmtId="0" fontId="0" fillId="17" borderId="53" xfId="0" applyFill="1" applyBorder="1"/>
    <xf numFmtId="0" fontId="48" fillId="17" borderId="83" xfId="0" applyFont="1" applyFill="1" applyBorder="1" applyAlignment="1">
      <alignment horizontal="center"/>
    </xf>
    <xf numFmtId="0" fontId="71" fillId="0" borderId="80" xfId="2306" applyFont="1" applyFill="1" applyBorder="1" applyAlignment="1">
      <alignment horizontal="center"/>
    </xf>
    <xf numFmtId="0" fontId="65" fillId="0" borderId="27" xfId="2306" applyFont="1" applyBorder="1" applyAlignment="1">
      <alignment horizontal="center"/>
    </xf>
    <xf numFmtId="4" fontId="68" fillId="0" borderId="59" xfId="2306" applyNumberFormat="1" applyFont="1" applyBorder="1" applyAlignment="1">
      <alignment horizontal="right" indent="2"/>
    </xf>
    <xf numFmtId="0" fontId="65" fillId="0" borderId="74" xfId="2306" applyFont="1" applyBorder="1" applyAlignment="1">
      <alignment horizontal="center"/>
    </xf>
    <xf numFmtId="0" fontId="65" fillId="0" borderId="9" xfId="2306" applyFont="1" applyBorder="1" applyAlignment="1">
      <alignment horizontal="center"/>
    </xf>
    <xf numFmtId="4" fontId="68" fillId="0" borderId="8" xfId="2306" applyNumberFormat="1" applyFont="1" applyBorder="1" applyAlignment="1">
      <alignment horizontal="right" indent="2"/>
    </xf>
    <xf numFmtId="4" fontId="65" fillId="62" borderId="74" xfId="2306" applyNumberFormat="1" applyFont="1" applyFill="1" applyBorder="1" applyAlignment="1">
      <alignment horizontal="center"/>
    </xf>
    <xf numFmtId="4" fontId="63" fillId="69" borderId="9" xfId="2306" applyNumberFormat="1" applyFont="1" applyFill="1" applyBorder="1" applyAlignment="1">
      <alignment horizontal="right" indent="2"/>
    </xf>
    <xf numFmtId="173" fontId="63" fillId="0" borderId="9" xfId="2306" applyNumberFormat="1" applyFont="1" applyBorder="1" applyAlignment="1">
      <alignment horizontal="center"/>
    </xf>
    <xf numFmtId="3" fontId="72" fillId="69" borderId="50" xfId="2306" applyNumberFormat="1" applyFont="1" applyFill="1" applyBorder="1" applyAlignment="1">
      <alignment horizontal="center"/>
    </xf>
    <xf numFmtId="0" fontId="0" fillId="17" borderId="52" xfId="0" applyFill="1" applyBorder="1"/>
    <xf numFmtId="3" fontId="14" fillId="29" borderId="8" xfId="2306" applyNumberFormat="1" applyFont="1" applyFill="1" applyBorder="1" applyAlignment="1">
      <alignment horizontal="center"/>
    </xf>
    <xf numFmtId="0" fontId="71" fillId="0" borderId="80" xfId="2306" applyFont="1" applyBorder="1" applyAlignment="1">
      <alignment horizontal="center"/>
    </xf>
    <xf numFmtId="0" fontId="0" fillId="0" borderId="44" xfId="0" applyBorder="1"/>
    <xf numFmtId="0" fontId="18" fillId="17" borderId="83" xfId="0" applyFont="1" applyFill="1" applyBorder="1" applyAlignment="1">
      <alignment horizontal="center"/>
    </xf>
    <xf numFmtId="0" fontId="73" fillId="29" borderId="8" xfId="2306" applyFont="1" applyFill="1" applyBorder="1" applyAlignment="1">
      <alignment horizontal="center" vertical="center" wrapText="1"/>
    </xf>
    <xf numFmtId="0" fontId="47" fillId="17" borderId="83" xfId="0" applyFont="1" applyFill="1" applyBorder="1" applyAlignment="1">
      <alignment horizontal="center"/>
    </xf>
    <xf numFmtId="0" fontId="0" fillId="0" borderId="53" xfId="0" applyBorder="1"/>
    <xf numFmtId="0" fontId="0" fillId="17" borderId="44" xfId="0" applyFill="1" applyBorder="1"/>
    <xf numFmtId="3" fontId="72" fillId="69" borderId="59" xfId="2306" applyNumberFormat="1" applyFont="1" applyFill="1" applyBorder="1" applyAlignment="1">
      <alignment horizontal="center"/>
    </xf>
    <xf numFmtId="0" fontId="63" fillId="17" borderId="0" xfId="2306" applyFont="1" applyFill="1" applyBorder="1"/>
    <xf numFmtId="0" fontId="0" fillId="0" borderId="52" xfId="0" applyBorder="1"/>
    <xf numFmtId="0" fontId="6" fillId="17" borderId="97" xfId="0" applyFont="1" applyFill="1" applyBorder="1" applyAlignment="1">
      <alignment horizontal="center"/>
    </xf>
    <xf numFmtId="0" fontId="66" fillId="0" borderId="15" xfId="2306" applyFont="1" applyBorder="1" applyAlignment="1">
      <alignment horizontal="center"/>
    </xf>
    <xf numFmtId="0" fontId="65" fillId="0" borderId="33" xfId="2306" applyFont="1" applyBorder="1" applyAlignment="1">
      <alignment horizontal="center"/>
    </xf>
    <xf numFmtId="0" fontId="65" fillId="0" borderId="28" xfId="2306" applyFont="1" applyBorder="1" applyAlignment="1">
      <alignment horizontal="center"/>
    </xf>
    <xf numFmtId="4" fontId="68" fillId="0" borderId="60" xfId="2306" applyNumberFormat="1" applyFont="1" applyBorder="1" applyAlignment="1">
      <alignment horizontal="right" indent="2"/>
    </xf>
    <xf numFmtId="0" fontId="65" fillId="0" borderId="76" xfId="2306" applyFont="1" applyBorder="1" applyAlignment="1">
      <alignment horizontal="center"/>
    </xf>
    <xf numFmtId="0" fontId="65" fillId="0" borderId="6" xfId="2306" applyFont="1" applyBorder="1" applyAlignment="1">
      <alignment horizontal="center"/>
    </xf>
    <xf numFmtId="4" fontId="68" fillId="0" borderId="10" xfId="2306" applyNumberFormat="1" applyFont="1" applyBorder="1" applyAlignment="1">
      <alignment horizontal="right" indent="2"/>
    </xf>
    <xf numFmtId="4" fontId="65" fillId="62" borderId="76" xfId="2306" applyNumberFormat="1" applyFont="1" applyFill="1" applyBorder="1" applyAlignment="1">
      <alignment horizontal="center"/>
    </xf>
    <xf numFmtId="4" fontId="63" fillId="69" borderId="6" xfId="2306" applyNumberFormat="1" applyFont="1" applyFill="1" applyBorder="1" applyAlignment="1">
      <alignment horizontal="right" indent="2"/>
    </xf>
    <xf numFmtId="0" fontId="15" fillId="0" borderId="5" xfId="1819" applyFont="1" applyBorder="1" applyAlignment="1">
      <alignment horizontal="center"/>
    </xf>
    <xf numFmtId="173" fontId="63" fillId="0" borderId="6" xfId="2306" applyNumberFormat="1" applyFont="1" applyBorder="1" applyAlignment="1">
      <alignment horizontal="center"/>
    </xf>
    <xf numFmtId="3" fontId="72" fillId="69" borderId="60" xfId="2306" applyNumberFormat="1" applyFont="1" applyFill="1" applyBorder="1" applyAlignment="1">
      <alignment horizontal="center"/>
    </xf>
    <xf numFmtId="0" fontId="63" fillId="17" borderId="4" xfId="2306" applyFont="1" applyFill="1" applyBorder="1"/>
    <xf numFmtId="0" fontId="8" fillId="17" borderId="0" xfId="2306" applyFont="1" applyFill="1" applyBorder="1"/>
    <xf numFmtId="0" fontId="61" fillId="17" borderId="0" xfId="2306" applyFont="1" applyFill="1" applyBorder="1"/>
    <xf numFmtId="0" fontId="61" fillId="18" borderId="0" xfId="2306" applyFont="1" applyFill="1" applyBorder="1"/>
    <xf numFmtId="0" fontId="61" fillId="18" borderId="0" xfId="2306" applyFont="1" applyFill="1"/>
    <xf numFmtId="0" fontId="8" fillId="17" borderId="0" xfId="2306" applyFont="1" applyFill="1"/>
    <xf numFmtId="0" fontId="8" fillId="0" borderId="0" xfId="2306" applyFont="1"/>
    <xf numFmtId="4" fontId="62" fillId="0" borderId="0" xfId="2306" applyNumberFormat="1" applyFont="1"/>
    <xf numFmtId="4" fontId="61" fillId="0" borderId="0" xfId="2306" applyNumberFormat="1" applyFont="1"/>
    <xf numFmtId="0" fontId="7" fillId="0" borderId="0" xfId="1819" applyFont="1" applyAlignment="1">
      <alignment horizontal="center"/>
    </xf>
    <xf numFmtId="0" fontId="74" fillId="67" borderId="0" xfId="2306" applyFont="1" applyFill="1" applyAlignment="1">
      <alignment horizontal="center"/>
    </xf>
    <xf numFmtId="0" fontId="75" fillId="67" borderId="0" xfId="2306" quotePrefix="1" applyFont="1" applyFill="1" applyBorder="1" applyAlignment="1">
      <alignment horizontal="center"/>
    </xf>
    <xf numFmtId="0" fontId="74" fillId="67" borderId="25" xfId="2306" applyFont="1" applyFill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7" fillId="0" borderId="0" xfId="0" applyNumberFormat="1" applyFont="1" applyAlignment="1">
      <alignment horizontal="right" vertical="center"/>
    </xf>
    <xf numFmtId="0" fontId="0" fillId="17" borderId="4" xfId="0" applyFill="1" applyBorder="1" applyAlignment="1">
      <alignment horizontal="centerContinuous"/>
    </xf>
    <xf numFmtId="0" fontId="14" fillId="17" borderId="35" xfId="0" applyFont="1" applyFill="1" applyBorder="1" applyAlignment="1">
      <alignment horizontal="centerContinuous"/>
    </xf>
    <xf numFmtId="0" fontId="13" fillId="17" borderId="4" xfId="0" applyFont="1" applyFill="1" applyBorder="1" applyAlignment="1">
      <alignment horizontal="centerContinuous"/>
    </xf>
    <xf numFmtId="3" fontId="6" fillId="17" borderId="4" xfId="0" applyNumberFormat="1" applyFont="1" applyFill="1" applyBorder="1" applyAlignment="1">
      <alignment horizontal="centerContinuous"/>
    </xf>
    <xf numFmtId="3" fontId="14" fillId="17" borderId="4" xfId="0" applyNumberFormat="1" applyFont="1" applyFill="1" applyBorder="1" applyAlignment="1">
      <alignment horizontal="centerContinuous"/>
    </xf>
    <xf numFmtId="0" fontId="8" fillId="17" borderId="5" xfId="0" applyFont="1" applyFill="1" applyBorder="1" applyAlignment="1">
      <alignment horizontal="centerContinuous"/>
    </xf>
    <xf numFmtId="0" fontId="7" fillId="0" borderId="2" xfId="0" quotePrefix="1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indent="1"/>
    </xf>
    <xf numFmtId="0" fontId="7" fillId="17" borderId="37" xfId="0" applyFont="1" applyFill="1" applyBorder="1" applyAlignment="1">
      <alignment horizontal="left" indent="1"/>
    </xf>
    <xf numFmtId="165" fontId="8" fillId="17" borderId="39" xfId="1" applyNumberFormat="1" applyFont="1" applyFill="1" applyBorder="1"/>
    <xf numFmtId="165" fontId="8" fillId="17" borderId="19" xfId="1" applyNumberFormat="1" applyFont="1" applyFill="1" applyBorder="1"/>
    <xf numFmtId="165" fontId="8" fillId="17" borderId="21" xfId="1" applyNumberFormat="1" applyFont="1" applyFill="1" applyBorder="1"/>
    <xf numFmtId="0" fontId="8" fillId="17" borderId="2" xfId="0" applyFont="1" applyFill="1" applyBorder="1" applyAlignment="1">
      <alignment horizontal="centerContinuous"/>
    </xf>
    <xf numFmtId="0" fontId="8" fillId="17" borderId="3" xfId="0" applyFont="1" applyFill="1" applyBorder="1" applyAlignment="1">
      <alignment horizontal="centerContinuous"/>
    </xf>
    <xf numFmtId="4" fontId="7" fillId="0" borderId="48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7" xfId="0" applyNumberFormat="1" applyFont="1" applyFill="1" applyBorder="1"/>
    <xf numFmtId="4" fontId="7" fillId="0" borderId="32" xfId="0" applyNumberFormat="1" applyFont="1" applyBorder="1" applyAlignment="1">
      <alignment horizontal="center"/>
    </xf>
    <xf numFmtId="4" fontId="7" fillId="0" borderId="32" xfId="0" applyNumberFormat="1" applyFont="1" applyFill="1" applyBorder="1"/>
    <xf numFmtId="4" fontId="7" fillId="0" borderId="27" xfId="0" applyNumberFormat="1" applyFont="1" applyFill="1" applyBorder="1" applyAlignment="1">
      <alignment horizontal="center"/>
    </xf>
    <xf numFmtId="0" fontId="8" fillId="17" borderId="32" xfId="0" applyFont="1" applyFill="1" applyBorder="1" applyAlignment="1">
      <alignment horizontal="centerContinuous"/>
    </xf>
    <xf numFmtId="0" fontId="7" fillId="27" borderId="0" xfId="0" applyFont="1" applyFill="1"/>
    <xf numFmtId="0" fontId="8" fillId="27" borderId="32" xfId="0" applyFont="1" applyFill="1" applyBorder="1" applyAlignment="1">
      <alignment horizontal="center"/>
    </xf>
    <xf numFmtId="0" fontId="8" fillId="27" borderId="47" xfId="0" applyFont="1" applyFill="1" applyBorder="1" applyAlignment="1">
      <alignment horizontal="center"/>
    </xf>
    <xf numFmtId="167" fontId="8" fillId="27" borderId="7" xfId="0" applyNumberFormat="1" applyFont="1" applyFill="1" applyBorder="1" applyAlignment="1">
      <alignment horizontal="center"/>
    </xf>
    <xf numFmtId="167" fontId="8" fillId="27" borderId="8" xfId="0" applyNumberFormat="1" applyFont="1" applyFill="1" applyBorder="1" applyAlignment="1">
      <alignment horizontal="center"/>
    </xf>
    <xf numFmtId="167" fontId="8" fillId="27" borderId="10" xfId="0" applyNumberFormat="1" applyFont="1" applyFill="1" applyBorder="1" applyAlignment="1">
      <alignment horizontal="center"/>
    </xf>
    <xf numFmtId="0" fontId="8" fillId="27" borderId="0" xfId="0" applyFont="1" applyFill="1" applyBorder="1" applyAlignment="1">
      <alignment horizontal="centerContinuous"/>
    </xf>
    <xf numFmtId="4" fontId="7" fillId="0" borderId="17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7" fillId="0" borderId="47" xfId="0" applyNumberFormat="1" applyFont="1" applyBorder="1" applyAlignment="1">
      <alignment horizontal="center"/>
    </xf>
    <xf numFmtId="171" fontId="7" fillId="0" borderId="36" xfId="1" applyNumberFormat="1" applyFont="1" applyFill="1" applyBorder="1"/>
    <xf numFmtId="171" fontId="7" fillId="0" borderId="33" xfId="1" applyNumberFormat="1" applyFont="1" applyBorder="1"/>
    <xf numFmtId="171" fontId="7" fillId="0" borderId="39" xfId="1" applyNumberFormat="1" applyFont="1" applyFill="1" applyBorder="1"/>
    <xf numFmtId="171" fontId="7" fillId="0" borderId="15" xfId="1" applyNumberFormat="1" applyFont="1" applyBorder="1"/>
    <xf numFmtId="171" fontId="7" fillId="0" borderId="48" xfId="1" applyNumberFormat="1" applyFont="1" applyFill="1" applyBorder="1"/>
    <xf numFmtId="0" fontId="8" fillId="17" borderId="36" xfId="0" applyFont="1" applyFill="1" applyBorder="1"/>
    <xf numFmtId="0" fontId="8" fillId="26" borderId="26" xfId="0" applyFont="1" applyFill="1" applyBorder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indent="2"/>
    </xf>
    <xf numFmtId="3" fontId="11" fillId="0" borderId="3" xfId="3" applyNumberFormat="1" applyFont="1" applyFill="1" applyBorder="1" applyAlignment="1">
      <alignment horizontal="right" indent="1"/>
    </xf>
    <xf numFmtId="9" fontId="8" fillId="0" borderId="3" xfId="2" applyFont="1" applyFill="1" applyBorder="1" applyAlignment="1">
      <alignment horizontal="right" indent="1"/>
    </xf>
    <xf numFmtId="9" fontId="8" fillId="0" borderId="6" xfId="2" applyFont="1" applyBorder="1" applyAlignment="1">
      <alignment horizontal="right" indent="1"/>
    </xf>
    <xf numFmtId="3" fontId="8" fillId="0" borderId="18" xfId="0" applyNumberFormat="1" applyFont="1" applyFill="1" applyBorder="1" applyAlignment="1">
      <alignment horizontal="right" indent="1"/>
    </xf>
    <xf numFmtId="3" fontId="8" fillId="0" borderId="22" xfId="0" applyNumberFormat="1" applyFont="1" applyBorder="1" applyAlignment="1">
      <alignment horizontal="right" indent="1"/>
    </xf>
    <xf numFmtId="3" fontId="8" fillId="0" borderId="46" xfId="0" applyNumberFormat="1" applyFont="1" applyFill="1" applyBorder="1" applyAlignment="1">
      <alignment horizontal="right" indent="1"/>
    </xf>
    <xf numFmtId="3" fontId="8" fillId="0" borderId="28" xfId="0" applyNumberFormat="1" applyFont="1" applyBorder="1" applyAlignment="1">
      <alignment horizontal="right" indent="1"/>
    </xf>
    <xf numFmtId="9" fontId="8" fillId="0" borderId="18" xfId="2" applyFont="1" applyFill="1" applyBorder="1" applyAlignment="1">
      <alignment horizontal="right" indent="1"/>
    </xf>
    <xf numFmtId="9" fontId="8" fillId="0" borderId="22" xfId="2" applyFont="1" applyBorder="1" applyAlignment="1">
      <alignment horizontal="right" indent="1"/>
    </xf>
    <xf numFmtId="0" fontId="8" fillId="0" borderId="7" xfId="0" applyFont="1" applyBorder="1" applyAlignment="1">
      <alignment horizontal="center"/>
    </xf>
    <xf numFmtId="4" fontId="0" fillId="17" borderId="106" xfId="0" applyNumberFormat="1" applyFont="1" applyFill="1" applyBorder="1" applyAlignment="1">
      <alignment horizontal="center"/>
    </xf>
    <xf numFmtId="0" fontId="0" fillId="0" borderId="70" xfId="0" applyFill="1" applyBorder="1" applyAlignment="1">
      <alignment horizontal="center" vertical="center"/>
    </xf>
    <xf numFmtId="0" fontId="18" fillId="17" borderId="88" xfId="0" applyFont="1" applyFill="1" applyBorder="1" applyAlignment="1">
      <alignment horizontal="center"/>
    </xf>
    <xf numFmtId="0" fontId="0" fillId="17" borderId="79" xfId="0" applyFill="1" applyBorder="1" applyAlignment="1">
      <alignment horizontal="center" vertical="center"/>
    </xf>
    <xf numFmtId="164" fontId="6" fillId="0" borderId="90" xfId="0" applyNumberFormat="1" applyFont="1" applyFill="1" applyBorder="1" applyAlignment="1">
      <alignment horizontal="center"/>
    </xf>
    <xf numFmtId="1" fontId="0" fillId="0" borderId="91" xfId="0" applyNumberFormat="1" applyFont="1" applyFill="1" applyBorder="1" applyAlignment="1">
      <alignment horizontal="center"/>
    </xf>
    <xf numFmtId="164" fontId="6" fillId="0" borderId="91" xfId="0" applyNumberFormat="1" applyFont="1" applyFill="1" applyBorder="1" applyAlignment="1">
      <alignment horizontal="center"/>
    </xf>
    <xf numFmtId="167" fontId="0" fillId="0" borderId="70" xfId="0" applyNumberFormat="1" applyBorder="1"/>
    <xf numFmtId="164" fontId="6" fillId="0" borderId="68" xfId="0" applyNumberFormat="1" applyFont="1" applyFill="1" applyBorder="1" applyAlignment="1">
      <alignment horizontal="center"/>
    </xf>
    <xf numFmtId="164" fontId="6" fillId="0" borderId="69" xfId="0" applyNumberFormat="1" applyFont="1" applyFill="1" applyBorder="1" applyAlignment="1">
      <alignment horizontal="center"/>
    </xf>
    <xf numFmtId="0" fontId="8" fillId="17" borderId="13" xfId="0" applyFont="1" applyFill="1" applyBorder="1" applyAlignment="1">
      <alignment horizontal="centerContinuous"/>
    </xf>
    <xf numFmtId="0" fontId="8" fillId="17" borderId="17" xfId="0" applyFont="1" applyFill="1" applyBorder="1" applyAlignment="1">
      <alignment horizontal="center"/>
    </xf>
    <xf numFmtId="0" fontId="0" fillId="70" borderId="27" xfId="0" applyFill="1" applyBorder="1" applyAlignment="1">
      <alignment horizontal="center" vertical="center"/>
    </xf>
    <xf numFmtId="0" fontId="0" fillId="70" borderId="27" xfId="0" applyNumberForma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/>
    </xf>
    <xf numFmtId="0" fontId="6" fillId="20" borderId="48" xfId="0" applyFont="1" applyFill="1" applyBorder="1" applyAlignment="1">
      <alignment horizontal="centerContinuous"/>
    </xf>
    <xf numFmtId="4" fontId="6" fillId="16" borderId="94" xfId="0" applyNumberFormat="1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5" fillId="17" borderId="114" xfId="4" applyFont="1" applyFill="1" applyBorder="1"/>
    <xf numFmtId="0" fontId="14" fillId="17" borderId="47" xfId="0" applyFont="1" applyFill="1" applyBorder="1" applyAlignment="1">
      <alignment horizontal="center"/>
    </xf>
    <xf numFmtId="0" fontId="6" fillId="17" borderId="32" xfId="0" applyFont="1" applyFill="1" applyBorder="1"/>
    <xf numFmtId="0" fontId="50" fillId="17" borderId="47" xfId="3" applyFont="1" applyFill="1" applyBorder="1"/>
    <xf numFmtId="0" fontId="8" fillId="0" borderId="26" xfId="0" applyFont="1" applyFill="1" applyBorder="1"/>
    <xf numFmtId="9" fontId="11" fillId="0" borderId="32" xfId="2" applyFont="1" applyFill="1" applyBorder="1" applyAlignment="1" applyProtection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/>
    </xf>
    <xf numFmtId="0" fontId="15" fillId="0" borderId="0" xfId="0" applyFont="1" applyFill="1"/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horizontal="right" vertical="top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indent="1"/>
    </xf>
    <xf numFmtId="3" fontId="14" fillId="0" borderId="0" xfId="0" applyNumberFormat="1" applyFont="1" applyFill="1"/>
    <xf numFmtId="0" fontId="11" fillId="17" borderId="2" xfId="3" applyFont="1" applyFill="1" applyBorder="1"/>
    <xf numFmtId="0" fontId="10" fillId="17" borderId="5" xfId="3" applyFont="1" applyFill="1" applyBorder="1"/>
    <xf numFmtId="3" fontId="14" fillId="17" borderId="2" xfId="0" applyNumberFormat="1" applyFont="1" applyFill="1" applyBorder="1"/>
    <xf numFmtId="3" fontId="8" fillId="17" borderId="2" xfId="0" applyNumberFormat="1" applyFont="1" applyFill="1" applyBorder="1" applyAlignment="1">
      <alignment horizontal="center"/>
    </xf>
    <xf numFmtId="3" fontId="8" fillId="17" borderId="3" xfId="0" applyNumberFormat="1" applyFont="1" applyFill="1" applyBorder="1" applyAlignment="1">
      <alignment horizontal="center"/>
    </xf>
    <xf numFmtId="3" fontId="8" fillId="17" borderId="5" xfId="0" applyNumberFormat="1" applyFont="1" applyFill="1" applyBorder="1" applyAlignment="1">
      <alignment horizontal="center"/>
    </xf>
    <xf numFmtId="9" fontId="8" fillId="17" borderId="2" xfId="2" applyFont="1" applyFill="1" applyBorder="1" applyAlignment="1">
      <alignment horizontal="center"/>
    </xf>
    <xf numFmtId="9" fontId="7" fillId="17" borderId="2" xfId="2" applyFont="1" applyFill="1" applyBorder="1" applyAlignment="1">
      <alignment horizontal="center"/>
    </xf>
    <xf numFmtId="0" fontId="7" fillId="26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17" borderId="32" xfId="0" applyFont="1" applyFill="1" applyBorder="1"/>
    <xf numFmtId="2" fontId="7" fillId="0" borderId="28" xfId="0" applyNumberFormat="1" applyFont="1" applyBorder="1" applyAlignment="1">
      <alignment horizontal="center"/>
    </xf>
    <xf numFmtId="3" fontId="7" fillId="29" borderId="3" xfId="0" applyNumberFormat="1" applyFont="1" applyFill="1" applyBorder="1" applyAlignment="1">
      <alignment horizontal="center"/>
    </xf>
    <xf numFmtId="3" fontId="7" fillId="46" borderId="18" xfId="0" applyNumberFormat="1" applyFont="1" applyFill="1" applyBorder="1" applyAlignment="1">
      <alignment horizontal="center"/>
    </xf>
    <xf numFmtId="167" fontId="7" fillId="0" borderId="25" xfId="0" applyNumberFormat="1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17" borderId="18" xfId="0" applyFont="1" applyFill="1" applyBorder="1"/>
    <xf numFmtId="3" fontId="8" fillId="0" borderId="0" xfId="0" applyNumberFormat="1" applyFont="1" applyBorder="1" applyAlignment="1">
      <alignment horizontal="center"/>
    </xf>
    <xf numFmtId="0" fontId="55" fillId="17" borderId="36" xfId="4" applyFont="1" applyFill="1" applyBorder="1"/>
    <xf numFmtId="0" fontId="18" fillId="17" borderId="99" xfId="0" applyFont="1" applyFill="1" applyBorder="1" applyAlignment="1">
      <alignment horizontal="center"/>
    </xf>
    <xf numFmtId="0" fontId="73" fillId="29" borderId="10" xfId="2306" applyFont="1" applyFill="1" applyBorder="1" applyAlignment="1">
      <alignment horizontal="center" vertical="center" wrapText="1"/>
    </xf>
    <xf numFmtId="0" fontId="73" fillId="29" borderId="23" xfId="2306" applyFont="1" applyFill="1" applyBorder="1" applyAlignment="1">
      <alignment horizontal="center" vertical="center" wrapText="1"/>
    </xf>
    <xf numFmtId="0" fontId="71" fillId="0" borderId="112" xfId="2306" applyFont="1" applyBorder="1" applyAlignment="1">
      <alignment horizontal="center"/>
    </xf>
    <xf numFmtId="0" fontId="71" fillId="0" borderId="113" xfId="2306" applyFont="1" applyBorder="1" applyAlignment="1">
      <alignment horizontal="center"/>
    </xf>
    <xf numFmtId="3" fontId="21" fillId="17" borderId="0" xfId="3" applyNumberFormat="1" applyFont="1" applyFill="1" applyBorder="1" applyAlignment="1">
      <alignment horizontal="center"/>
    </xf>
    <xf numFmtId="3" fontId="10" fillId="17" borderId="44" xfId="3" applyNumberFormat="1" applyFont="1" applyFill="1" applyBorder="1" applyAlignment="1">
      <alignment horizontal="center" wrapText="1"/>
    </xf>
    <xf numFmtId="3" fontId="76" fillId="17" borderId="0" xfId="3" applyNumberFormat="1" applyFont="1" applyFill="1" applyAlignment="1">
      <alignment horizontal="centerContinuous"/>
    </xf>
    <xf numFmtId="0" fontId="11" fillId="17" borderId="21" xfId="3" applyFont="1" applyFill="1" applyBorder="1" applyAlignment="1">
      <alignment horizontal="center" wrapText="1"/>
    </xf>
    <xf numFmtId="0" fontId="11" fillId="17" borderId="22" xfId="3" applyFont="1" applyFill="1" applyBorder="1" applyAlignment="1">
      <alignment horizontal="center" wrapText="1"/>
    </xf>
    <xf numFmtId="0" fontId="30" fillId="17" borderId="0" xfId="3" applyFont="1" applyFill="1" applyBorder="1" applyAlignment="1">
      <alignment horizontal="centerContinuous"/>
    </xf>
    <xf numFmtId="0" fontId="11" fillId="17" borderId="0" xfId="3" applyFont="1" applyFill="1" applyBorder="1" applyAlignment="1">
      <alignment horizontal="centerContinuous"/>
    </xf>
    <xf numFmtId="0" fontId="11" fillId="17" borderId="32" xfId="3" applyFont="1" applyFill="1" applyBorder="1" applyAlignment="1">
      <alignment horizontal="centerContinuous"/>
    </xf>
    <xf numFmtId="3" fontId="10" fillId="17" borderId="21" xfId="3" applyNumberFormat="1" applyFont="1" applyFill="1" applyBorder="1" applyAlignment="1">
      <alignment horizontal="center" wrapText="1"/>
    </xf>
    <xf numFmtId="0" fontId="11" fillId="17" borderId="28" xfId="3" applyFont="1" applyFill="1" applyBorder="1" applyAlignment="1">
      <alignment horizontal="center" wrapText="1"/>
    </xf>
    <xf numFmtId="0" fontId="11" fillId="17" borderId="6" xfId="3" applyFont="1" applyFill="1" applyBorder="1" applyAlignment="1">
      <alignment horizontal="center" wrapText="1"/>
    </xf>
    <xf numFmtId="167" fontId="56" fillId="0" borderId="0" xfId="5" applyNumberFormat="1" applyFont="1" applyFill="1" applyBorder="1" applyAlignment="1">
      <alignment horizontal="right"/>
    </xf>
    <xf numFmtId="0" fontId="11" fillId="17" borderId="0" xfId="3" applyFont="1" applyFill="1" applyBorder="1" applyAlignment="1">
      <alignment horizontal="center"/>
    </xf>
    <xf numFmtId="167" fontId="53" fillId="71" borderId="9" xfId="3" applyNumberFormat="1" applyFont="1" applyFill="1" applyBorder="1" applyAlignment="1">
      <alignment horizontal="right" indent="1"/>
    </xf>
    <xf numFmtId="167" fontId="57" fillId="71" borderId="9" xfId="0" applyNumberFormat="1" applyFont="1" applyFill="1" applyBorder="1" applyAlignment="1">
      <alignment horizontal="right"/>
    </xf>
    <xf numFmtId="9" fontId="77" fillId="71" borderId="9" xfId="5" applyFont="1" applyFill="1" applyBorder="1" applyAlignment="1">
      <alignment horizontal="right" indent="1"/>
    </xf>
    <xf numFmtId="167" fontId="58" fillId="71" borderId="9" xfId="5" applyNumberFormat="1" applyFont="1" applyFill="1" applyBorder="1" applyAlignment="1"/>
    <xf numFmtId="0" fontId="10" fillId="17" borderId="115" xfId="4" applyFont="1" applyFill="1" applyBorder="1"/>
    <xf numFmtId="3" fontId="10" fillId="0" borderId="63" xfId="5" applyNumberFormat="1" applyFont="1" applyFill="1" applyBorder="1" applyAlignment="1">
      <alignment horizontal="center"/>
    </xf>
    <xf numFmtId="167" fontId="11" fillId="0" borderId="24" xfId="3" applyNumberFormat="1" applyFont="1" applyBorder="1" applyAlignment="1">
      <alignment horizontal="right" indent="1"/>
    </xf>
    <xf numFmtId="3" fontId="8" fillId="0" borderId="24" xfId="0" applyNumberFormat="1" applyFont="1" applyBorder="1" applyAlignment="1">
      <alignment horizontal="right" indent="1"/>
    </xf>
    <xf numFmtId="9" fontId="8" fillId="0" borderId="24" xfId="2" applyFont="1" applyBorder="1" applyAlignment="1">
      <alignment horizontal="right" indent="1"/>
    </xf>
    <xf numFmtId="3" fontId="8" fillId="0" borderId="67" xfId="0" applyNumberFormat="1" applyFont="1" applyBorder="1" applyAlignment="1">
      <alignment horizontal="right" indent="1"/>
    </xf>
    <xf numFmtId="3" fontId="8" fillId="0" borderId="63" xfId="0" applyNumberFormat="1" applyFont="1" applyBorder="1" applyAlignment="1">
      <alignment horizontal="right" indent="1"/>
    </xf>
    <xf numFmtId="9" fontId="8" fillId="0" borderId="67" xfId="2" applyFont="1" applyBorder="1" applyAlignment="1">
      <alignment horizontal="right" indent="1"/>
    </xf>
    <xf numFmtId="0" fontId="0" fillId="17" borderId="26" xfId="0" applyFont="1" applyFill="1" applyBorder="1" applyAlignment="1">
      <alignment horizontal="center"/>
    </xf>
    <xf numFmtId="165" fontId="8" fillId="17" borderId="82" xfId="1" applyNumberFormat="1" applyFont="1" applyFill="1" applyBorder="1"/>
    <xf numFmtId="3" fontId="8" fillId="0" borderId="115" xfId="0" applyNumberFormat="1" applyFont="1" applyBorder="1" applyAlignment="1">
      <alignment horizontal="center"/>
    </xf>
    <xf numFmtId="167" fontId="8" fillId="27" borderId="23" xfId="0" applyNumberFormat="1" applyFont="1" applyFill="1" applyBorder="1" applyAlignment="1">
      <alignment horizontal="center"/>
    </xf>
    <xf numFmtId="0" fontId="7" fillId="0" borderId="61" xfId="0" applyFont="1" applyBorder="1" applyAlignment="1">
      <alignment horizontal="center"/>
    </xf>
    <xf numFmtId="165" fontId="7" fillId="0" borderId="82" xfId="1" applyNumberFormat="1" applyFont="1" applyBorder="1"/>
    <xf numFmtId="0" fontId="8" fillId="17" borderId="63" xfId="0" applyFont="1" applyFill="1" applyBorder="1" applyAlignment="1">
      <alignment horizontal="center"/>
    </xf>
    <xf numFmtId="9" fontId="8" fillId="0" borderId="117" xfId="2" applyFont="1" applyBorder="1" applyAlignment="1">
      <alignment horizontal="center"/>
    </xf>
    <xf numFmtId="0" fontId="8" fillId="0" borderId="115" xfId="0" applyFont="1" applyFill="1" applyBorder="1"/>
    <xf numFmtId="9" fontId="7" fillId="0" borderId="24" xfId="2" applyFont="1" applyBorder="1" applyAlignment="1">
      <alignment horizontal="center" vertical="center"/>
    </xf>
    <xf numFmtId="0" fontId="7" fillId="0" borderId="63" xfId="1819" applyFont="1" applyBorder="1"/>
    <xf numFmtId="11" fontId="7" fillId="45" borderId="24" xfId="1819" applyNumberFormat="1" applyFont="1" applyFill="1" applyBorder="1"/>
    <xf numFmtId="168" fontId="8" fillId="45" borderId="24" xfId="1" applyNumberFormat="1" applyFont="1" applyFill="1" applyBorder="1"/>
    <xf numFmtId="11" fontId="7" fillId="15" borderId="63" xfId="1819" applyNumberFormat="1" applyFont="1" applyFill="1" applyBorder="1"/>
    <xf numFmtId="168" fontId="8" fillId="15" borderId="24" xfId="1" applyNumberFormat="1" applyFont="1" applyFill="1" applyBorder="1"/>
    <xf numFmtId="0" fontId="7" fillId="0" borderId="24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3" fontId="7" fillId="46" borderId="24" xfId="0" applyNumberFormat="1" applyFont="1" applyFill="1" applyBorder="1" applyAlignment="1">
      <alignment horizontal="center" vertical="center"/>
    </xf>
    <xf numFmtId="3" fontId="7" fillId="29" borderId="67" xfId="0" applyNumberFormat="1" applyFont="1" applyFill="1" applyBorder="1" applyAlignment="1">
      <alignment horizontal="center" vertical="center"/>
    </xf>
    <xf numFmtId="167" fontId="7" fillId="0" borderId="115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64" borderId="67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45" fillId="0" borderId="117" xfId="0" applyFont="1" applyBorder="1" applyAlignment="1">
      <alignment horizontal="center" vertical="center" wrapText="1"/>
    </xf>
    <xf numFmtId="165" fontId="7" fillId="17" borderId="82" xfId="1" applyNumberFormat="1" applyFont="1" applyFill="1" applyBorder="1"/>
    <xf numFmtId="9" fontId="8" fillId="0" borderId="82" xfId="2" applyFont="1" applyBorder="1" applyAlignment="1">
      <alignment horizontal="center"/>
    </xf>
    <xf numFmtId="0" fontId="7" fillId="17" borderId="24" xfId="0" applyFont="1" applyFill="1" applyBorder="1" applyAlignment="1">
      <alignment horizontal="center" vertical="center"/>
    </xf>
    <xf numFmtId="0" fontId="55" fillId="17" borderId="115" xfId="4" applyFont="1" applyFill="1" applyBorder="1"/>
    <xf numFmtId="0" fontId="0" fillId="0" borderId="63" xfId="0" applyFill="1" applyBorder="1" applyAlignment="1">
      <alignment horizontal="center" vertical="center"/>
    </xf>
    <xf numFmtId="0" fontId="6" fillId="17" borderId="118" xfId="0" applyFont="1" applyFill="1" applyBorder="1" applyAlignment="1">
      <alignment horizontal="center"/>
    </xf>
    <xf numFmtId="3" fontId="14" fillId="29" borderId="23" xfId="2306" applyNumberFormat="1" applyFont="1" applyFill="1" applyBorder="1" applyAlignment="1">
      <alignment horizontal="center"/>
    </xf>
    <xf numFmtId="0" fontId="71" fillId="0" borderId="119" xfId="2306" applyFont="1" applyBorder="1" applyAlignment="1">
      <alignment horizontal="center"/>
    </xf>
    <xf numFmtId="0" fontId="65" fillId="0" borderId="63" xfId="2306" applyFont="1" applyBorder="1" applyAlignment="1">
      <alignment horizontal="center"/>
    </xf>
    <xf numFmtId="4" fontId="68" fillId="0" borderId="93" xfId="2306" applyNumberFormat="1" applyFont="1" applyBorder="1" applyAlignment="1">
      <alignment horizontal="right" indent="2"/>
    </xf>
    <xf numFmtId="0" fontId="65" fillId="0" borderId="75" xfId="2306" applyFont="1" applyBorder="1" applyAlignment="1">
      <alignment horizontal="center"/>
    </xf>
    <xf numFmtId="0" fontId="65" fillId="0" borderId="24" xfId="2306" applyFont="1" applyBorder="1" applyAlignment="1">
      <alignment horizontal="center"/>
    </xf>
    <xf numFmtId="4" fontId="68" fillId="0" borderId="23" xfId="2306" applyNumberFormat="1" applyFont="1" applyBorder="1" applyAlignment="1">
      <alignment horizontal="right" indent="2"/>
    </xf>
    <xf numFmtId="4" fontId="65" fillId="62" borderId="75" xfId="2306" applyNumberFormat="1" applyFont="1" applyFill="1" applyBorder="1" applyAlignment="1">
      <alignment horizontal="center"/>
    </xf>
    <xf numFmtId="4" fontId="63" fillId="69" borderId="24" xfId="2306" applyNumberFormat="1" applyFont="1" applyFill="1" applyBorder="1" applyAlignment="1">
      <alignment horizontal="right" indent="2"/>
    </xf>
    <xf numFmtId="0" fontId="15" fillId="0" borderId="2" xfId="1819" applyFont="1" applyBorder="1" applyAlignment="1">
      <alignment horizontal="center"/>
    </xf>
    <xf numFmtId="173" fontId="63" fillId="0" borderId="24" xfId="2306" applyNumberFormat="1" applyFont="1" applyBorder="1" applyAlignment="1">
      <alignment horizontal="center"/>
    </xf>
    <xf numFmtId="3" fontId="72" fillId="69" borderId="93" xfId="2306" applyNumberFormat="1" applyFont="1" applyFill="1" applyBorder="1" applyAlignment="1">
      <alignment horizontal="center"/>
    </xf>
    <xf numFmtId="0" fontId="0" fillId="17" borderId="117" xfId="0" applyFill="1" applyBorder="1"/>
    <xf numFmtId="164" fontId="6" fillId="0" borderId="0" xfId="0" applyNumberFormat="1" applyFont="1" applyFill="1" applyBorder="1" applyAlignment="1">
      <alignment horizontal="center"/>
    </xf>
    <xf numFmtId="164" fontId="6" fillId="0" borderId="40" xfId="0" applyNumberFormat="1" applyFont="1" applyFill="1" applyBorder="1" applyAlignment="1">
      <alignment horizontal="center"/>
    </xf>
    <xf numFmtId="1" fontId="8" fillId="17" borderId="19" xfId="1" applyNumberFormat="1" applyFont="1" applyFill="1" applyBorder="1"/>
    <xf numFmtId="2" fontId="7" fillId="0" borderId="65" xfId="0" applyNumberFormat="1" applyFont="1" applyFill="1" applyBorder="1" applyAlignment="1">
      <alignment horizontal="center"/>
    </xf>
    <xf numFmtId="0" fontId="8" fillId="17" borderId="0" xfId="0" applyFont="1" applyFill="1" applyBorder="1" applyAlignment="1">
      <alignment horizontal="right"/>
    </xf>
    <xf numFmtId="0" fontId="8" fillId="17" borderId="0" xfId="0" applyFont="1" applyFill="1" applyBorder="1" applyAlignment="1">
      <alignment horizontal="right" indent="1"/>
    </xf>
    <xf numFmtId="2" fontId="11" fillId="30" borderId="89" xfId="0" applyNumberFormat="1" applyFont="1" applyFill="1" applyBorder="1" applyAlignment="1">
      <alignment horizontal="center" vertical="center"/>
    </xf>
    <xf numFmtId="2" fontId="11" fillId="31" borderId="53" xfId="0" applyNumberFormat="1" applyFont="1" applyFill="1" applyBorder="1" applyAlignment="1">
      <alignment horizontal="center" vertical="center"/>
    </xf>
    <xf numFmtId="2" fontId="11" fillId="31" borderId="89" xfId="0" applyNumberFormat="1" applyFont="1" applyFill="1" applyBorder="1" applyAlignment="1">
      <alignment horizontal="center" vertical="center"/>
    </xf>
    <xf numFmtId="2" fontId="11" fillId="32" borderId="53" xfId="0" applyNumberFormat="1" applyFont="1" applyFill="1" applyBorder="1" applyAlignment="1">
      <alignment horizontal="center" vertical="center"/>
    </xf>
    <xf numFmtId="2" fontId="11" fillId="30" borderId="53" xfId="0" applyNumberFormat="1" applyFont="1" applyFill="1" applyBorder="1" applyAlignment="1">
      <alignment horizontal="center" vertical="center"/>
    </xf>
    <xf numFmtId="2" fontId="11" fillId="30" borderId="31" xfId="0" applyNumberFormat="1" applyFont="1" applyFill="1" applyBorder="1" applyAlignment="1">
      <alignment horizontal="center" vertical="center"/>
    </xf>
    <xf numFmtId="2" fontId="11" fillId="33" borderId="53" xfId="0" applyNumberFormat="1" applyFont="1" applyFill="1" applyBorder="1" applyAlignment="1">
      <alignment horizontal="center" vertical="center"/>
    </xf>
    <xf numFmtId="2" fontId="11" fillId="32" borderId="31" xfId="0" applyNumberFormat="1" applyFont="1" applyFill="1" applyBorder="1" applyAlignment="1">
      <alignment horizontal="center" vertical="center"/>
    </xf>
    <xf numFmtId="2" fontId="11" fillId="35" borderId="53" xfId="0" applyNumberFormat="1" applyFont="1" applyFill="1" applyBorder="1" applyAlignment="1">
      <alignment horizontal="center" vertical="center"/>
    </xf>
    <xf numFmtId="2" fontId="11" fillId="34" borderId="53" xfId="0" applyNumberFormat="1" applyFont="1" applyFill="1" applyBorder="1" applyAlignment="1">
      <alignment horizontal="center" vertical="center"/>
    </xf>
    <xf numFmtId="2" fontId="11" fillId="36" borderId="53" xfId="0" applyNumberFormat="1" applyFont="1" applyFill="1" applyBorder="1" applyAlignment="1">
      <alignment horizontal="center" vertical="center"/>
    </xf>
    <xf numFmtId="2" fontId="11" fillId="31" borderId="31" xfId="0" applyNumberFormat="1" applyFont="1" applyFill="1" applyBorder="1" applyAlignment="1">
      <alignment horizontal="center" vertical="center"/>
    </xf>
    <xf numFmtId="2" fontId="11" fillId="32" borderId="44" xfId="0" applyNumberFormat="1" applyFont="1" applyFill="1" applyBorder="1" applyAlignment="1">
      <alignment horizontal="center" vertical="center"/>
    </xf>
    <xf numFmtId="3" fontId="7" fillId="0" borderId="3" xfId="0" applyNumberFormat="1" applyFont="1" applyFill="1" applyBorder="1"/>
    <xf numFmtId="3" fontId="7" fillId="0" borderId="9" xfId="0" applyNumberFormat="1" applyFont="1" applyFill="1" applyBorder="1"/>
    <xf numFmtId="3" fontId="7" fillId="0" borderId="24" xfId="0" applyNumberFormat="1" applyFont="1" applyFill="1" applyBorder="1"/>
    <xf numFmtId="3" fontId="7" fillId="0" borderId="6" xfId="0" applyNumberFormat="1" applyFont="1" applyFill="1" applyBorder="1"/>
    <xf numFmtId="3" fontId="7" fillId="0" borderId="9" xfId="0" applyNumberFormat="1" applyFont="1" applyBorder="1"/>
    <xf numFmtId="3" fontId="7" fillId="0" borderId="9" xfId="1819" applyNumberFormat="1" applyFont="1" applyBorder="1"/>
    <xf numFmtId="3" fontId="7" fillId="0" borderId="9" xfId="1819" applyNumberFormat="1" applyFont="1" applyFill="1" applyBorder="1"/>
    <xf numFmtId="174" fontId="7" fillId="0" borderId="40" xfId="2" applyNumberFormat="1" applyFont="1" applyBorder="1" applyAlignment="1">
      <alignment horizontal="center" vertical="center"/>
    </xf>
    <xf numFmtId="174" fontId="7" fillId="0" borderId="9" xfId="2" applyNumberFormat="1" applyFont="1" applyBorder="1" applyAlignment="1">
      <alignment horizontal="center" vertical="center"/>
    </xf>
    <xf numFmtId="174" fontId="7" fillId="0" borderId="3" xfId="2" applyNumberFormat="1" applyFont="1" applyBorder="1" applyAlignment="1">
      <alignment horizontal="center" vertical="center"/>
    </xf>
    <xf numFmtId="174" fontId="7" fillId="0" borderId="2" xfId="2" applyNumberFormat="1" applyFont="1" applyBorder="1" applyAlignment="1">
      <alignment horizontal="center" vertical="center"/>
    </xf>
    <xf numFmtId="174" fontId="7" fillId="0" borderId="24" xfId="2" applyNumberFormat="1" applyFont="1" applyBorder="1" applyAlignment="1">
      <alignment horizontal="center" vertical="center"/>
    </xf>
    <xf numFmtId="174" fontId="7" fillId="0" borderId="6" xfId="2" applyNumberFormat="1" applyFont="1" applyBorder="1" applyAlignment="1">
      <alignment horizontal="center" vertical="center"/>
    </xf>
    <xf numFmtId="1" fontId="7" fillId="0" borderId="40" xfId="2" applyNumberFormat="1" applyFont="1" applyBorder="1" applyAlignment="1">
      <alignment horizontal="center" vertical="center"/>
    </xf>
    <xf numFmtId="1" fontId="7" fillId="0" borderId="9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 vertical="center"/>
    </xf>
    <xf numFmtId="1" fontId="7" fillId="0" borderId="24" xfId="2" applyNumberFormat="1" applyFont="1" applyBorder="1" applyAlignment="1">
      <alignment horizontal="center" vertical="center"/>
    </xf>
    <xf numFmtId="1" fontId="7" fillId="0" borderId="6" xfId="2" applyNumberFormat="1" applyFont="1" applyBorder="1" applyAlignment="1">
      <alignment horizontal="center" vertical="center"/>
    </xf>
    <xf numFmtId="0" fontId="8" fillId="28" borderId="0" xfId="0" applyFont="1" applyFill="1" applyBorder="1" applyAlignment="1">
      <alignment horizontal="centerContinuous" wrapText="1"/>
    </xf>
    <xf numFmtId="0" fontId="8" fillId="28" borderId="0" xfId="0" applyFont="1" applyFill="1" applyAlignment="1">
      <alignment horizontal="centerContinuous" wrapText="1"/>
    </xf>
    <xf numFmtId="0" fontId="7" fillId="0" borderId="0" xfId="0" applyFont="1" applyFill="1" applyAlignment="1">
      <alignment horizontal="centerContinuous"/>
    </xf>
    <xf numFmtId="167" fontId="8" fillId="17" borderId="25" xfId="0" applyNumberFormat="1" applyFont="1" applyFill="1" applyBorder="1" applyAlignment="1">
      <alignment horizontal="center"/>
    </xf>
    <xf numFmtId="0" fontId="8" fillId="17" borderId="18" xfId="0" applyFont="1" applyFill="1" applyBorder="1" applyAlignment="1">
      <alignment horizontal="centerContinuous"/>
    </xf>
    <xf numFmtId="167" fontId="8" fillId="17" borderId="26" xfId="0" applyNumberFormat="1" applyFont="1" applyFill="1" applyBorder="1" applyAlignment="1">
      <alignment horizontal="center"/>
    </xf>
    <xf numFmtId="0" fontId="7" fillId="17" borderId="26" xfId="0" applyFont="1" applyFill="1" applyBorder="1" applyAlignment="1">
      <alignment horizontal="centerContinuous"/>
    </xf>
    <xf numFmtId="0" fontId="8" fillId="17" borderId="42" xfId="0" applyFont="1" applyFill="1" applyBorder="1" applyAlignment="1">
      <alignment horizontal="centerContinuous"/>
    </xf>
    <xf numFmtId="0" fontId="7" fillId="17" borderId="8" xfId="0" applyFont="1" applyFill="1" applyBorder="1" applyAlignment="1">
      <alignment horizontal="centerContinuous"/>
    </xf>
    <xf numFmtId="0" fontId="8" fillId="17" borderId="26" xfId="0" applyFont="1" applyFill="1" applyBorder="1" applyAlignment="1">
      <alignment horizontal="centerContinuous"/>
    </xf>
    <xf numFmtId="0" fontId="8" fillId="0" borderId="27" xfId="0" applyFont="1" applyBorder="1" applyAlignment="1">
      <alignment horizontal="center"/>
    </xf>
    <xf numFmtId="0" fontId="8" fillId="17" borderId="115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3" fontId="8" fillId="0" borderId="61" xfId="0" applyNumberFormat="1" applyFont="1" applyBorder="1" applyAlignment="1">
      <alignment horizontal="center"/>
    </xf>
    <xf numFmtId="3" fontId="8" fillId="0" borderId="24" xfId="0" applyNumberFormat="1" applyFont="1" applyBorder="1" applyAlignment="1">
      <alignment horizontal="center"/>
    </xf>
    <xf numFmtId="9" fontId="8" fillId="0" borderId="7" xfId="2" applyFont="1" applyBorder="1" applyAlignment="1">
      <alignment horizontal="center"/>
    </xf>
    <xf numFmtId="9" fontId="8" fillId="0" borderId="8" xfId="2" applyFont="1" applyBorder="1" applyAlignment="1">
      <alignment horizontal="center"/>
    </xf>
    <xf numFmtId="9" fontId="8" fillId="0" borderId="23" xfId="2" applyFont="1" applyBorder="1" applyAlignment="1">
      <alignment horizontal="center"/>
    </xf>
    <xf numFmtId="9" fontId="8" fillId="0" borderId="10" xfId="2" applyFont="1" applyBorder="1" applyAlignment="1">
      <alignment horizontal="center"/>
    </xf>
    <xf numFmtId="9" fontId="8" fillId="0" borderId="14" xfId="2" applyFont="1" applyBorder="1" applyAlignment="1">
      <alignment horizontal="center"/>
    </xf>
    <xf numFmtId="9" fontId="8" fillId="0" borderId="3" xfId="2" applyFont="1" applyBorder="1" applyAlignment="1">
      <alignment horizontal="center"/>
    </xf>
    <xf numFmtId="9" fontId="8" fillId="0" borderId="9" xfId="2" applyFont="1" applyBorder="1" applyAlignment="1">
      <alignment horizontal="center"/>
    </xf>
    <xf numFmtId="9" fontId="8" fillId="0" borderId="24" xfId="2" applyFont="1" applyBorder="1" applyAlignment="1">
      <alignment horizontal="center"/>
    </xf>
    <xf numFmtId="9" fontId="8" fillId="0" borderId="6" xfId="2" applyFont="1" applyBorder="1" applyAlignment="1">
      <alignment horizontal="center"/>
    </xf>
    <xf numFmtId="167" fontId="7" fillId="17" borderId="0" xfId="0" applyNumberFormat="1" applyFont="1" applyFill="1" applyBorder="1" applyAlignment="1">
      <alignment horizontal="left"/>
    </xf>
    <xf numFmtId="0" fontId="8" fillId="17" borderId="33" xfId="0" quotePrefix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7" fillId="17" borderId="30" xfId="0" applyFont="1" applyFill="1" applyBorder="1" applyAlignment="1">
      <alignment horizontal="centerContinuous"/>
    </xf>
    <xf numFmtId="0" fontId="8" fillId="17" borderId="35" xfId="0" applyFont="1" applyFill="1" applyBorder="1" applyAlignment="1">
      <alignment horizontal="center"/>
    </xf>
    <xf numFmtId="0" fontId="8" fillId="17" borderId="46" xfId="0" applyFont="1" applyFill="1" applyBorder="1" applyAlignment="1">
      <alignment horizontal="center"/>
    </xf>
    <xf numFmtId="9" fontId="8" fillId="0" borderId="52" xfId="2" applyFont="1" applyBorder="1" applyAlignment="1">
      <alignment horizontal="center"/>
    </xf>
    <xf numFmtId="1" fontId="8" fillId="17" borderId="7" xfId="0" applyNumberFormat="1" applyFont="1" applyFill="1" applyBorder="1" applyAlignment="1">
      <alignment horizontal="center"/>
    </xf>
    <xf numFmtId="0" fontId="8" fillId="17" borderId="37" xfId="0" applyFont="1" applyFill="1" applyBorder="1" applyAlignment="1">
      <alignment horizontal="centerContinuous"/>
    </xf>
    <xf numFmtId="0" fontId="7" fillId="17" borderId="36" xfId="0" applyFont="1" applyFill="1" applyBorder="1" applyAlignment="1">
      <alignment horizontal="centerContinuous"/>
    </xf>
    <xf numFmtId="0" fontId="8" fillId="17" borderId="88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167" fontId="8" fillId="17" borderId="0" xfId="0" applyNumberFormat="1" applyFont="1" applyFill="1" applyAlignment="1">
      <alignment horizontal="center"/>
    </xf>
    <xf numFmtId="167" fontId="7" fillId="0" borderId="89" xfId="0" applyNumberFormat="1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44" xfId="0" applyFont="1" applyFill="1" applyBorder="1" applyAlignment="1">
      <alignment horizontal="center"/>
    </xf>
    <xf numFmtId="9" fontId="8" fillId="0" borderId="3" xfId="0" applyNumberFormat="1" applyFont="1" applyFill="1" applyBorder="1" applyAlignment="1">
      <alignment horizontal="right" indent="1"/>
    </xf>
    <xf numFmtId="165" fontId="8" fillId="0" borderId="39" xfId="1" applyNumberFormat="1" applyFont="1" applyBorder="1" applyAlignment="1">
      <alignment horizontal="center"/>
    </xf>
    <xf numFmtId="165" fontId="8" fillId="0" borderId="19" xfId="1" applyNumberFormat="1" applyFont="1" applyBorder="1" applyAlignment="1">
      <alignment horizontal="center"/>
    </xf>
    <xf numFmtId="165" fontId="8" fillId="0" borderId="82" xfId="1" applyNumberFormat="1" applyFont="1" applyBorder="1" applyAlignment="1">
      <alignment horizontal="center"/>
    </xf>
    <xf numFmtId="165" fontId="8" fillId="0" borderId="21" xfId="1" applyNumberFormat="1" applyFont="1" applyBorder="1" applyAlignment="1">
      <alignment horizontal="center"/>
    </xf>
    <xf numFmtId="0" fontId="10" fillId="17" borderId="41" xfId="4" applyFont="1" applyFill="1" applyBorder="1"/>
    <xf numFmtId="0" fontId="10" fillId="17" borderId="8" xfId="3" applyFont="1" applyFill="1" applyBorder="1"/>
    <xf numFmtId="0" fontId="10" fillId="17" borderId="8" xfId="4" applyFont="1" applyFill="1" applyBorder="1"/>
    <xf numFmtId="0" fontId="10" fillId="17" borderId="8" xfId="4" applyFont="1" applyFill="1" applyBorder="1" applyAlignment="1"/>
    <xf numFmtId="0" fontId="10" fillId="17" borderId="23" xfId="4" applyFont="1" applyFill="1" applyBorder="1"/>
    <xf numFmtId="0" fontId="10" fillId="17" borderId="10" xfId="4" applyFont="1" applyFill="1" applyBorder="1"/>
    <xf numFmtId="0" fontId="7" fillId="17" borderId="19" xfId="0" applyFont="1" applyFill="1" applyBorder="1" applyAlignment="1">
      <alignment horizontal="centerContinuous" wrapText="1"/>
    </xf>
    <xf numFmtId="0" fontId="7" fillId="17" borderId="42" xfId="0" applyFont="1" applyFill="1" applyBorder="1" applyAlignment="1">
      <alignment horizontal="center" wrapText="1"/>
    </xf>
    <xf numFmtId="0" fontId="7" fillId="17" borderId="82" xfId="0" applyFont="1" applyFill="1" applyBorder="1" applyAlignment="1">
      <alignment horizontal="center" wrapText="1"/>
    </xf>
    <xf numFmtId="0" fontId="7" fillId="17" borderId="38" xfId="0" applyFont="1" applyFill="1" applyBorder="1" applyAlignment="1">
      <alignment horizontal="centerContinuous"/>
    </xf>
    <xf numFmtId="0" fontId="8" fillId="17" borderId="7" xfId="0" applyFont="1" applyFill="1" applyBorder="1"/>
    <xf numFmtId="0" fontId="60" fillId="17" borderId="0" xfId="0" applyFont="1" applyFill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/>
    </xf>
    <xf numFmtId="0" fontId="8" fillId="17" borderId="29" xfId="0" applyFont="1" applyFill="1" applyBorder="1" applyAlignment="1">
      <alignment horizontal="center"/>
    </xf>
    <xf numFmtId="0" fontId="8" fillId="17" borderId="67" xfId="0" applyFont="1" applyFill="1" applyBorder="1" applyAlignment="1">
      <alignment horizontal="center"/>
    </xf>
    <xf numFmtId="0" fontId="10" fillId="17" borderId="9" xfId="4" applyFont="1" applyFill="1" applyBorder="1" applyAlignment="1">
      <alignment horizontal="center"/>
    </xf>
    <xf numFmtId="0" fontId="10" fillId="17" borderId="9" xfId="3" applyFont="1" applyFill="1" applyBorder="1" applyAlignment="1">
      <alignment horizontal="center"/>
    </xf>
    <xf numFmtId="0" fontId="8" fillId="17" borderId="117" xfId="0" applyFont="1" applyFill="1" applyBorder="1" applyAlignment="1">
      <alignment wrapText="1"/>
    </xf>
    <xf numFmtId="0" fontId="7" fillId="17" borderId="117" xfId="0" applyFont="1" applyFill="1" applyBorder="1" applyAlignment="1">
      <alignment horizontal="center" wrapText="1"/>
    </xf>
    <xf numFmtId="0" fontId="7" fillId="17" borderId="34" xfId="0" applyFont="1" applyFill="1" applyBorder="1" applyAlignment="1">
      <alignment horizontal="center" wrapText="1"/>
    </xf>
    <xf numFmtId="0" fontId="26" fillId="41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 wrapText="1"/>
    </xf>
    <xf numFmtId="0" fontId="26" fillId="48" borderId="0" xfId="0" applyFont="1" applyFill="1" applyAlignment="1">
      <alignment horizontal="center" vertical="center" wrapText="1"/>
    </xf>
    <xf numFmtId="0" fontId="26" fillId="40" borderId="66" xfId="0" applyFont="1" applyFill="1" applyBorder="1" applyAlignment="1">
      <alignment horizontal="center" vertical="center" wrapText="1"/>
    </xf>
    <xf numFmtId="0" fontId="26" fillId="40" borderId="0" xfId="0" applyFont="1" applyFill="1" applyBorder="1" applyAlignment="1">
      <alignment horizontal="center" vertical="center" wrapText="1"/>
    </xf>
    <xf numFmtId="0" fontId="8" fillId="17" borderId="37" xfId="0" applyFont="1" applyFill="1" applyBorder="1" applyAlignment="1">
      <alignment horizontal="center"/>
    </xf>
    <xf numFmtId="0" fontId="8" fillId="17" borderId="41" xfId="0" applyFont="1" applyFill="1" applyBorder="1" applyAlignment="1">
      <alignment horizontal="center"/>
    </xf>
    <xf numFmtId="0" fontId="8" fillId="17" borderId="36" xfId="0" applyFont="1" applyFill="1" applyBorder="1" applyAlignment="1">
      <alignment horizontal="center"/>
    </xf>
    <xf numFmtId="0" fontId="8" fillId="17" borderId="92" xfId="0" applyFont="1" applyFill="1" applyBorder="1" applyAlignment="1">
      <alignment horizontal="center" wrapText="1"/>
    </xf>
    <xf numFmtId="0" fontId="8" fillId="17" borderId="15" xfId="0" applyFont="1" applyFill="1" applyBorder="1" applyAlignment="1">
      <alignment horizontal="center" wrapText="1"/>
    </xf>
    <xf numFmtId="0" fontId="8" fillId="17" borderId="68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wrapText="1"/>
    </xf>
    <xf numFmtId="0" fontId="8" fillId="17" borderId="69" xfId="0" applyFont="1" applyFill="1" applyBorder="1" applyAlignment="1">
      <alignment horizontal="center" wrapText="1"/>
    </xf>
    <xf numFmtId="0" fontId="8" fillId="17" borderId="16" xfId="0" applyFont="1" applyFill="1" applyBorder="1" applyAlignment="1">
      <alignment horizontal="center" wrapText="1"/>
    </xf>
    <xf numFmtId="0" fontId="7" fillId="15" borderId="42" xfId="1819" applyFont="1" applyFill="1" applyBorder="1" applyAlignment="1">
      <alignment horizontal="center" vertical="center" wrapText="1"/>
    </xf>
    <xf numFmtId="0" fontId="7" fillId="15" borderId="8" xfId="1819" applyFont="1" applyFill="1" applyBorder="1" applyAlignment="1">
      <alignment horizontal="center" vertical="center" wrapText="1"/>
    </xf>
    <xf numFmtId="0" fontId="7" fillId="15" borderId="26" xfId="1819" applyFont="1" applyFill="1" applyBorder="1" applyAlignment="1">
      <alignment horizontal="center" vertical="center" wrapText="1"/>
    </xf>
    <xf numFmtId="0" fontId="26" fillId="17" borderId="0" xfId="0" applyFont="1" applyFill="1" applyBorder="1" applyAlignment="1"/>
    <xf numFmtId="0" fontId="7" fillId="0" borderId="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17" borderId="82" xfId="0" applyFont="1" applyFill="1" applyBorder="1" applyAlignment="1">
      <alignment horizontal="center" wrapText="1"/>
    </xf>
    <xf numFmtId="0" fontId="7" fillId="17" borderId="15" xfId="0" applyFont="1" applyFill="1" applyBorder="1" applyAlignment="1">
      <alignment horizontal="center" wrapText="1"/>
    </xf>
    <xf numFmtId="0" fontId="7" fillId="0" borderId="2" xfId="0" applyFont="1" applyBorder="1"/>
    <xf numFmtId="0" fontId="7" fillId="0" borderId="31" xfId="0" applyFont="1" applyBorder="1"/>
    <xf numFmtId="0" fontId="7" fillId="17" borderId="32" xfId="0" applyFont="1" applyFill="1" applyBorder="1" applyAlignment="1">
      <alignment horizontal="left"/>
    </xf>
    <xf numFmtId="0" fontId="8" fillId="17" borderId="81" xfId="0" applyFont="1" applyFill="1" applyBorder="1" applyAlignment="1">
      <alignment horizontal="centerContinuous"/>
    </xf>
    <xf numFmtId="0" fontId="8" fillId="17" borderId="96" xfId="0" applyFont="1" applyFill="1" applyBorder="1" applyAlignment="1">
      <alignment horizontal="centerContinuous"/>
    </xf>
    <xf numFmtId="0" fontId="8" fillId="17" borderId="102" xfId="0" applyFont="1" applyFill="1" applyBorder="1" applyAlignment="1">
      <alignment horizontal="center"/>
    </xf>
    <xf numFmtId="0" fontId="8" fillId="17" borderId="114" xfId="0" applyFont="1" applyFill="1" applyBorder="1" applyAlignment="1">
      <alignment horizontal="center"/>
    </xf>
    <xf numFmtId="0" fontId="8" fillId="0" borderId="114" xfId="0" applyFont="1" applyBorder="1" applyAlignment="1">
      <alignment horizontal="center"/>
    </xf>
    <xf numFmtId="165" fontId="7" fillId="0" borderId="3" xfId="1" applyNumberFormat="1" applyFont="1" applyBorder="1"/>
    <xf numFmtId="165" fontId="7" fillId="0" borderId="9" xfId="1" applyNumberFormat="1" applyFont="1" applyBorder="1"/>
    <xf numFmtId="0" fontId="7" fillId="17" borderId="45" xfId="1819" applyFont="1" applyFill="1" applyBorder="1" applyAlignment="1">
      <alignment horizontal="center" vertical="center" wrapText="1"/>
    </xf>
    <xf numFmtId="0" fontId="7" fillId="17" borderId="5" xfId="1819" applyFont="1" applyFill="1" applyBorder="1" applyAlignment="1">
      <alignment horizontal="center" wrapText="1"/>
    </xf>
    <xf numFmtId="0" fontId="7" fillId="45" borderId="4" xfId="1819" applyFont="1" applyFill="1" applyBorder="1"/>
    <xf numFmtId="0" fontId="8" fillId="0" borderId="25" xfId="1819" applyFont="1" applyFill="1" applyBorder="1" applyAlignment="1">
      <alignment horizontal="centerContinuous" vertical="center"/>
    </xf>
    <xf numFmtId="0" fontId="8" fillId="45" borderId="35" xfId="1819" applyFont="1" applyFill="1" applyBorder="1" applyAlignment="1">
      <alignment horizontal="left" vertical="center"/>
    </xf>
    <xf numFmtId="0" fontId="8" fillId="45" borderId="33" xfId="1819" applyFont="1" applyFill="1" applyBorder="1" applyAlignment="1">
      <alignment horizontal="centerContinuous" vertical="center"/>
    </xf>
    <xf numFmtId="2" fontId="7" fillId="0" borderId="27" xfId="0" applyNumberFormat="1" applyFont="1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166" fontId="7" fillId="0" borderId="27" xfId="0" applyNumberFormat="1" applyFont="1" applyFill="1" applyBorder="1" applyAlignment="1">
      <alignment horizontal="center" vertical="center"/>
    </xf>
    <xf numFmtId="166" fontId="7" fillId="0" borderId="19" xfId="0" applyNumberFormat="1" applyFont="1" applyFill="1" applyBorder="1" applyAlignment="1">
      <alignment horizontal="center" vertical="center"/>
    </xf>
    <xf numFmtId="166" fontId="7" fillId="0" borderId="46" xfId="1" applyNumberFormat="1" applyFont="1" applyBorder="1" applyAlignment="1">
      <alignment horizontal="center" vertical="center"/>
    </xf>
    <xf numFmtId="166" fontId="7" fillId="0" borderId="27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 vertical="center"/>
    </xf>
    <xf numFmtId="166" fontId="7" fillId="0" borderId="19" xfId="1" applyNumberFormat="1" applyFont="1" applyBorder="1" applyAlignment="1">
      <alignment horizontal="center"/>
    </xf>
    <xf numFmtId="166" fontId="7" fillId="0" borderId="19" xfId="1" applyNumberFormat="1" applyFont="1" applyFill="1" applyBorder="1" applyAlignment="1">
      <alignment horizontal="center"/>
    </xf>
    <xf numFmtId="166" fontId="7" fillId="0" borderId="82" xfId="1" applyNumberFormat="1" applyFont="1" applyBorder="1" applyAlignment="1">
      <alignment horizontal="center" vertical="center"/>
    </xf>
    <xf numFmtId="166" fontId="7" fillId="0" borderId="21" xfId="1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/>
    </xf>
    <xf numFmtId="0" fontId="7" fillId="0" borderId="10" xfId="0" quotePrefix="1" applyFont="1" applyFill="1" applyBorder="1"/>
    <xf numFmtId="0" fontId="7" fillId="0" borderId="10" xfId="0" applyFont="1" applyFill="1" applyBorder="1"/>
    <xf numFmtId="0" fontId="7" fillId="0" borderId="4" xfId="0" applyFont="1" applyFill="1" applyBorder="1"/>
    <xf numFmtId="0" fontId="8" fillId="0" borderId="19" xfId="0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6" fillId="0" borderId="20" xfId="0" applyNumberFormat="1" applyFont="1" applyBorder="1" applyAlignment="1">
      <alignment horizontal="center"/>
    </xf>
    <xf numFmtId="3" fontId="13" fillId="0" borderId="67" xfId="0" applyNumberFormat="1" applyFont="1" applyBorder="1" applyAlignment="1">
      <alignment horizontal="center"/>
    </xf>
    <xf numFmtId="3" fontId="13" fillId="0" borderId="53" xfId="0" applyNumberFormat="1" applyFont="1" applyBorder="1" applyAlignment="1">
      <alignment horizontal="center"/>
    </xf>
    <xf numFmtId="3" fontId="16" fillId="0" borderId="53" xfId="0" applyNumberFormat="1" applyFont="1" applyBorder="1" applyAlignment="1">
      <alignment horizontal="center"/>
    </xf>
    <xf numFmtId="3" fontId="6" fillId="0" borderId="91" xfId="0" applyNumberFormat="1" applyFont="1" applyBorder="1" applyAlignment="1">
      <alignment horizontal="center"/>
    </xf>
    <xf numFmtId="9" fontId="22" fillId="0" borderId="9" xfId="2" applyNumberFormat="1" applyFont="1" applyFill="1" applyBorder="1" applyAlignment="1">
      <alignment horizontal="right" indent="1"/>
    </xf>
    <xf numFmtId="3" fontId="22" fillId="0" borderId="9" xfId="0" applyNumberFormat="1" applyFont="1" applyBorder="1" applyAlignment="1">
      <alignment horizontal="right" indent="1"/>
    </xf>
    <xf numFmtId="9" fontId="22" fillId="0" borderId="9" xfId="2" applyFont="1" applyBorder="1" applyAlignment="1">
      <alignment horizontal="right" indent="1"/>
    </xf>
    <xf numFmtId="3" fontId="22" fillId="0" borderId="20" xfId="0" applyNumberFormat="1" applyFont="1" applyBorder="1" applyAlignment="1">
      <alignment horizontal="right" indent="1"/>
    </xf>
    <xf numFmtId="3" fontId="22" fillId="0" borderId="27" xfId="0" applyNumberFormat="1" applyFont="1" applyBorder="1" applyAlignment="1">
      <alignment horizontal="right" indent="1"/>
    </xf>
    <xf numFmtId="9" fontId="22" fillId="0" borderId="20" xfId="2" applyFont="1" applyBorder="1" applyAlignment="1">
      <alignment horizontal="right" indent="1"/>
    </xf>
    <xf numFmtId="9" fontId="79" fillId="0" borderId="9" xfId="2" applyFont="1" applyFill="1" applyBorder="1" applyAlignment="1">
      <alignment horizontal="right" indent="1"/>
    </xf>
    <xf numFmtId="3" fontId="79" fillId="0" borderId="20" xfId="0" applyNumberFormat="1" applyFont="1" applyFill="1" applyBorder="1" applyAlignment="1">
      <alignment horizontal="right" indent="1"/>
    </xf>
    <xf numFmtId="9" fontId="79" fillId="0" borderId="20" xfId="2" applyFont="1" applyFill="1" applyBorder="1" applyAlignment="1">
      <alignment horizontal="right" indent="1"/>
    </xf>
    <xf numFmtId="0" fontId="7" fillId="61" borderId="15" xfId="0" applyFont="1" applyFill="1" applyBorder="1" applyAlignment="1">
      <alignment horizontal="center" vertical="center" wrapText="1"/>
    </xf>
    <xf numFmtId="0" fontId="61" fillId="71" borderId="0" xfId="2306" applyFont="1" applyFill="1" applyBorder="1"/>
    <xf numFmtId="0" fontId="14" fillId="71" borderId="19" xfId="0" applyFont="1" applyFill="1" applyBorder="1" applyAlignment="1">
      <alignment horizontal="center"/>
    </xf>
    <xf numFmtId="167" fontId="7" fillId="0" borderId="73" xfId="0" applyNumberFormat="1" applyFont="1" applyBorder="1" applyAlignment="1">
      <alignment horizontal="center"/>
    </xf>
    <xf numFmtId="167" fontId="7" fillId="0" borderId="74" xfId="0" applyNumberFormat="1" applyFont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/>
    </xf>
    <xf numFmtId="167" fontId="7" fillId="0" borderId="74" xfId="0" applyNumberFormat="1" applyFont="1" applyBorder="1" applyAlignment="1">
      <alignment horizontal="center" vertical="center"/>
    </xf>
    <xf numFmtId="167" fontId="7" fillId="0" borderId="74" xfId="0" applyNumberFormat="1" applyFont="1" applyFill="1" applyBorder="1"/>
    <xf numFmtId="167" fontId="7" fillId="0" borderId="75" xfId="0" applyNumberFormat="1" applyFont="1" applyBorder="1" applyAlignment="1">
      <alignment horizontal="center" vertical="center"/>
    </xf>
    <xf numFmtId="167" fontId="7" fillId="0" borderId="76" xfId="0" applyNumberFormat="1" applyFont="1" applyBorder="1" applyAlignment="1">
      <alignment horizontal="center"/>
    </xf>
    <xf numFmtId="2" fontId="7" fillId="0" borderId="46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/>
    </xf>
    <xf numFmtId="2" fontId="7" fillId="0" borderId="63" xfId="0" applyNumberFormat="1" applyFont="1" applyBorder="1" applyAlignment="1">
      <alignment horizontal="center" vertical="center"/>
    </xf>
  </cellXfs>
  <cellStyles count="2307">
    <cellStyle name="20% - Accent1 10" xfId="6"/>
    <cellStyle name="20% - Accent1 10 2" xfId="7"/>
    <cellStyle name="20% - Accent1 10 2 2" xfId="8"/>
    <cellStyle name="20% - Accent1 10 3" xfId="9"/>
    <cellStyle name="20% - Accent1 11" xfId="10"/>
    <cellStyle name="20% - Accent1 11 2" xfId="11"/>
    <cellStyle name="20% - Accent1 12" xfId="12"/>
    <cellStyle name="20% - Accent1 2" xfId="13"/>
    <cellStyle name="20% - Accent1 2 2" xfId="14"/>
    <cellStyle name="20% - Accent1 2 2 2" xfId="15"/>
    <cellStyle name="20% - Accent1 2 2 2 2" xfId="16"/>
    <cellStyle name="20% - Accent1 2 2 2 2 2" xfId="17"/>
    <cellStyle name="20% - Accent1 2 2 2 2 2 2" xfId="18"/>
    <cellStyle name="20% - Accent1 2 2 2 2 3" xfId="19"/>
    <cellStyle name="20% - Accent1 2 2 2 3" xfId="20"/>
    <cellStyle name="20% - Accent1 2 2 2 3 2" xfId="21"/>
    <cellStyle name="20% - Accent1 2 2 2 4" xfId="22"/>
    <cellStyle name="20% - Accent1 2 2 3" xfId="23"/>
    <cellStyle name="20% - Accent1 2 2 3 2" xfId="24"/>
    <cellStyle name="20% - Accent1 2 2 3 2 2" xfId="25"/>
    <cellStyle name="20% - Accent1 2 2 3 3" xfId="26"/>
    <cellStyle name="20% - Accent1 2 2 4" xfId="27"/>
    <cellStyle name="20% - Accent1 2 2 4 2" xfId="28"/>
    <cellStyle name="20% - Accent1 2 2 5" xfId="29"/>
    <cellStyle name="20% - Accent1 2 3" xfId="30"/>
    <cellStyle name="20% - Accent1 2 3 2" xfId="31"/>
    <cellStyle name="20% - Accent1 2 3 2 2" xfId="32"/>
    <cellStyle name="20% - Accent1 2 3 2 2 2" xfId="33"/>
    <cellStyle name="20% - Accent1 2 3 2 3" xfId="34"/>
    <cellStyle name="20% - Accent1 2 3 3" xfId="35"/>
    <cellStyle name="20% - Accent1 2 3 3 2" xfId="36"/>
    <cellStyle name="20% - Accent1 2 3 4" xfId="37"/>
    <cellStyle name="20% - Accent1 2 4" xfId="38"/>
    <cellStyle name="20% - Accent1 2 4 2" xfId="39"/>
    <cellStyle name="20% - Accent1 2 4 2 2" xfId="40"/>
    <cellStyle name="20% - Accent1 2 4 3" xfId="41"/>
    <cellStyle name="20% - Accent1 2 5" xfId="42"/>
    <cellStyle name="20% - Accent1 2 5 2" xfId="43"/>
    <cellStyle name="20% - Accent1 2 6" xfId="44"/>
    <cellStyle name="20% - Accent1 3" xfId="45"/>
    <cellStyle name="20% - Accent1 3 2" xfId="46"/>
    <cellStyle name="20% - Accent1 3 2 2" xfId="47"/>
    <cellStyle name="20% - Accent1 3 2 2 2" xfId="48"/>
    <cellStyle name="20% - Accent1 3 2 2 2 2" xfId="49"/>
    <cellStyle name="20% - Accent1 3 2 2 3" xfId="50"/>
    <cellStyle name="20% - Accent1 3 2 3" xfId="51"/>
    <cellStyle name="20% - Accent1 3 2 3 2" xfId="52"/>
    <cellStyle name="20% - Accent1 3 2 4" xfId="53"/>
    <cellStyle name="20% - Accent1 3 3" xfId="54"/>
    <cellStyle name="20% - Accent1 3 3 2" xfId="55"/>
    <cellStyle name="20% - Accent1 3 3 2 2" xfId="56"/>
    <cellStyle name="20% - Accent1 3 3 3" xfId="57"/>
    <cellStyle name="20% - Accent1 3 4" xfId="58"/>
    <cellStyle name="20% - Accent1 3 4 2" xfId="59"/>
    <cellStyle name="20% - Accent1 3 5" xfId="60"/>
    <cellStyle name="20% - Accent1 4" xfId="61"/>
    <cellStyle name="20% - Accent1 4 2" xfId="62"/>
    <cellStyle name="20% - Accent1 4 2 2" xfId="63"/>
    <cellStyle name="20% - Accent1 4 2 2 2" xfId="64"/>
    <cellStyle name="20% - Accent1 4 2 2 2 2" xfId="65"/>
    <cellStyle name="20% - Accent1 4 2 2 3" xfId="66"/>
    <cellStyle name="20% - Accent1 4 2 3" xfId="67"/>
    <cellStyle name="20% - Accent1 4 2 3 2" xfId="68"/>
    <cellStyle name="20% - Accent1 4 2 4" xfId="69"/>
    <cellStyle name="20% - Accent1 4 3" xfId="70"/>
    <cellStyle name="20% - Accent1 4 3 2" xfId="71"/>
    <cellStyle name="20% - Accent1 4 3 2 2" xfId="72"/>
    <cellStyle name="20% - Accent1 4 3 3" xfId="73"/>
    <cellStyle name="20% - Accent1 4 4" xfId="74"/>
    <cellStyle name="20% - Accent1 4 4 2" xfId="75"/>
    <cellStyle name="20% - Accent1 4 5" xfId="76"/>
    <cellStyle name="20% - Accent1 5" xfId="77"/>
    <cellStyle name="20% - Accent1 5 2" xfId="78"/>
    <cellStyle name="20% - Accent1 5 2 2" xfId="79"/>
    <cellStyle name="20% - Accent1 5 2 2 2" xfId="80"/>
    <cellStyle name="20% - Accent1 5 2 2 2 2" xfId="81"/>
    <cellStyle name="20% - Accent1 5 2 2 3" xfId="82"/>
    <cellStyle name="20% - Accent1 5 2 3" xfId="83"/>
    <cellStyle name="20% - Accent1 5 2 3 2" xfId="84"/>
    <cellStyle name="20% - Accent1 5 2 4" xfId="85"/>
    <cellStyle name="20% - Accent1 5 3" xfId="86"/>
    <cellStyle name="20% - Accent1 5 3 2" xfId="87"/>
    <cellStyle name="20% - Accent1 5 3 2 2" xfId="88"/>
    <cellStyle name="20% - Accent1 5 3 3" xfId="89"/>
    <cellStyle name="20% - Accent1 5 4" xfId="90"/>
    <cellStyle name="20% - Accent1 5 4 2" xfId="91"/>
    <cellStyle name="20% - Accent1 5 5" xfId="92"/>
    <cellStyle name="20% - Accent1 6" xfId="93"/>
    <cellStyle name="20% - Accent1 6 2" xfId="94"/>
    <cellStyle name="20% - Accent1 6 2 2" xfId="95"/>
    <cellStyle name="20% - Accent1 6 2 2 2" xfId="96"/>
    <cellStyle name="20% - Accent1 6 2 2 2 2" xfId="97"/>
    <cellStyle name="20% - Accent1 6 2 2 3" xfId="98"/>
    <cellStyle name="20% - Accent1 6 2 3" xfId="99"/>
    <cellStyle name="20% - Accent1 6 2 3 2" xfId="100"/>
    <cellStyle name="20% - Accent1 6 2 4" xfId="101"/>
    <cellStyle name="20% - Accent1 6 3" xfId="102"/>
    <cellStyle name="20% - Accent1 6 3 2" xfId="103"/>
    <cellStyle name="20% - Accent1 6 3 2 2" xfId="104"/>
    <cellStyle name="20% - Accent1 6 3 3" xfId="105"/>
    <cellStyle name="20% - Accent1 6 4" xfId="106"/>
    <cellStyle name="20% - Accent1 6 4 2" xfId="107"/>
    <cellStyle name="20% - Accent1 6 5" xfId="108"/>
    <cellStyle name="20% - Accent1 7" xfId="109"/>
    <cellStyle name="20% - Accent1 7 2" xfId="110"/>
    <cellStyle name="20% - Accent1 7 2 2" xfId="111"/>
    <cellStyle name="20% - Accent1 7 2 2 2" xfId="112"/>
    <cellStyle name="20% - Accent1 7 2 2 2 2" xfId="113"/>
    <cellStyle name="20% - Accent1 7 2 2 3" xfId="114"/>
    <cellStyle name="20% - Accent1 7 2 3" xfId="115"/>
    <cellStyle name="20% - Accent1 7 2 3 2" xfId="116"/>
    <cellStyle name="20% - Accent1 7 2 4" xfId="117"/>
    <cellStyle name="20% - Accent1 7 3" xfId="118"/>
    <cellStyle name="20% - Accent1 7 3 2" xfId="119"/>
    <cellStyle name="20% - Accent1 7 3 2 2" xfId="120"/>
    <cellStyle name="20% - Accent1 7 3 3" xfId="121"/>
    <cellStyle name="20% - Accent1 7 4" xfId="122"/>
    <cellStyle name="20% - Accent1 7 4 2" xfId="123"/>
    <cellStyle name="20% - Accent1 7 5" xfId="124"/>
    <cellStyle name="20% - Accent1 8" xfId="125"/>
    <cellStyle name="20% - Accent1 8 2" xfId="126"/>
    <cellStyle name="20% - Accent1 8 2 2" xfId="127"/>
    <cellStyle name="20% - Accent1 8 2 2 2" xfId="128"/>
    <cellStyle name="20% - Accent1 8 2 2 2 2" xfId="129"/>
    <cellStyle name="20% - Accent1 8 2 2 3" xfId="130"/>
    <cellStyle name="20% - Accent1 8 2 3" xfId="131"/>
    <cellStyle name="20% - Accent1 8 2 3 2" xfId="132"/>
    <cellStyle name="20% - Accent1 8 2 4" xfId="133"/>
    <cellStyle name="20% - Accent1 8 3" xfId="134"/>
    <cellStyle name="20% - Accent1 8 3 2" xfId="135"/>
    <cellStyle name="20% - Accent1 8 3 2 2" xfId="136"/>
    <cellStyle name="20% - Accent1 8 3 3" xfId="137"/>
    <cellStyle name="20% - Accent1 8 4" xfId="138"/>
    <cellStyle name="20% - Accent1 8 4 2" xfId="139"/>
    <cellStyle name="20% - Accent1 8 5" xfId="140"/>
    <cellStyle name="20% - Accent1 9" xfId="141"/>
    <cellStyle name="20% - Accent1 9 2" xfId="142"/>
    <cellStyle name="20% - Accent1 9 2 2" xfId="143"/>
    <cellStyle name="20% - Accent1 9 2 2 2" xfId="144"/>
    <cellStyle name="20% - Accent1 9 2 3" xfId="145"/>
    <cellStyle name="20% - Accent1 9 3" xfId="146"/>
    <cellStyle name="20% - Accent1 9 3 2" xfId="147"/>
    <cellStyle name="20% - Accent1 9 4" xfId="148"/>
    <cellStyle name="20% - Accent2 10" xfId="149"/>
    <cellStyle name="20% - Accent2 10 2" xfId="150"/>
    <cellStyle name="20% - Accent2 10 2 2" xfId="151"/>
    <cellStyle name="20% - Accent2 10 3" xfId="152"/>
    <cellStyle name="20% - Accent2 11" xfId="153"/>
    <cellStyle name="20% - Accent2 11 2" xfId="154"/>
    <cellStyle name="20% - Accent2 12" xfId="155"/>
    <cellStyle name="20% - Accent2 2" xfId="156"/>
    <cellStyle name="20% - Accent2 2 2" xfId="157"/>
    <cellStyle name="20% - Accent2 2 2 2" xfId="158"/>
    <cellStyle name="20% - Accent2 2 2 2 2" xfId="159"/>
    <cellStyle name="20% - Accent2 2 2 2 2 2" xfId="160"/>
    <cellStyle name="20% - Accent2 2 2 2 2 2 2" xfId="161"/>
    <cellStyle name="20% - Accent2 2 2 2 2 3" xfId="162"/>
    <cellStyle name="20% - Accent2 2 2 2 3" xfId="163"/>
    <cellStyle name="20% - Accent2 2 2 2 3 2" xfId="164"/>
    <cellStyle name="20% - Accent2 2 2 2 4" xfId="165"/>
    <cellStyle name="20% - Accent2 2 2 3" xfId="166"/>
    <cellStyle name="20% - Accent2 2 2 3 2" xfId="167"/>
    <cellStyle name="20% - Accent2 2 2 3 2 2" xfId="168"/>
    <cellStyle name="20% - Accent2 2 2 3 3" xfId="169"/>
    <cellStyle name="20% - Accent2 2 2 4" xfId="170"/>
    <cellStyle name="20% - Accent2 2 2 4 2" xfId="171"/>
    <cellStyle name="20% - Accent2 2 2 5" xfId="172"/>
    <cellStyle name="20% - Accent2 2 3" xfId="173"/>
    <cellStyle name="20% - Accent2 2 3 2" xfId="174"/>
    <cellStyle name="20% - Accent2 2 3 2 2" xfId="175"/>
    <cellStyle name="20% - Accent2 2 3 2 2 2" xfId="176"/>
    <cellStyle name="20% - Accent2 2 3 2 3" xfId="177"/>
    <cellStyle name="20% - Accent2 2 3 3" xfId="178"/>
    <cellStyle name="20% - Accent2 2 3 3 2" xfId="179"/>
    <cellStyle name="20% - Accent2 2 3 4" xfId="180"/>
    <cellStyle name="20% - Accent2 2 4" xfId="181"/>
    <cellStyle name="20% - Accent2 2 4 2" xfId="182"/>
    <cellStyle name="20% - Accent2 2 4 2 2" xfId="183"/>
    <cellStyle name="20% - Accent2 2 4 3" xfId="184"/>
    <cellStyle name="20% - Accent2 2 5" xfId="185"/>
    <cellStyle name="20% - Accent2 2 5 2" xfId="186"/>
    <cellStyle name="20% - Accent2 2 6" xfId="187"/>
    <cellStyle name="20% - Accent2 3" xfId="188"/>
    <cellStyle name="20% - Accent2 3 2" xfId="189"/>
    <cellStyle name="20% - Accent2 3 2 2" xfId="190"/>
    <cellStyle name="20% - Accent2 3 2 2 2" xfId="191"/>
    <cellStyle name="20% - Accent2 3 2 2 2 2" xfId="192"/>
    <cellStyle name="20% - Accent2 3 2 2 3" xfId="193"/>
    <cellStyle name="20% - Accent2 3 2 3" xfId="194"/>
    <cellStyle name="20% - Accent2 3 2 3 2" xfId="195"/>
    <cellStyle name="20% - Accent2 3 2 4" xfId="196"/>
    <cellStyle name="20% - Accent2 3 3" xfId="197"/>
    <cellStyle name="20% - Accent2 3 3 2" xfId="198"/>
    <cellStyle name="20% - Accent2 3 3 2 2" xfId="199"/>
    <cellStyle name="20% - Accent2 3 3 3" xfId="200"/>
    <cellStyle name="20% - Accent2 3 4" xfId="201"/>
    <cellStyle name="20% - Accent2 3 4 2" xfId="202"/>
    <cellStyle name="20% - Accent2 3 5" xfId="203"/>
    <cellStyle name="20% - Accent2 4" xfId="204"/>
    <cellStyle name="20% - Accent2 4 2" xfId="205"/>
    <cellStyle name="20% - Accent2 4 2 2" xfId="206"/>
    <cellStyle name="20% - Accent2 4 2 2 2" xfId="207"/>
    <cellStyle name="20% - Accent2 4 2 2 2 2" xfId="208"/>
    <cellStyle name="20% - Accent2 4 2 2 3" xfId="209"/>
    <cellStyle name="20% - Accent2 4 2 3" xfId="210"/>
    <cellStyle name="20% - Accent2 4 2 3 2" xfId="211"/>
    <cellStyle name="20% - Accent2 4 2 4" xfId="212"/>
    <cellStyle name="20% - Accent2 4 3" xfId="213"/>
    <cellStyle name="20% - Accent2 4 3 2" xfId="214"/>
    <cellStyle name="20% - Accent2 4 3 2 2" xfId="215"/>
    <cellStyle name="20% - Accent2 4 3 3" xfId="216"/>
    <cellStyle name="20% - Accent2 4 4" xfId="217"/>
    <cellStyle name="20% - Accent2 4 4 2" xfId="218"/>
    <cellStyle name="20% - Accent2 4 5" xfId="219"/>
    <cellStyle name="20% - Accent2 5" xfId="220"/>
    <cellStyle name="20% - Accent2 5 2" xfId="221"/>
    <cellStyle name="20% - Accent2 5 2 2" xfId="222"/>
    <cellStyle name="20% - Accent2 5 2 2 2" xfId="223"/>
    <cellStyle name="20% - Accent2 5 2 2 2 2" xfId="224"/>
    <cellStyle name="20% - Accent2 5 2 2 3" xfId="225"/>
    <cellStyle name="20% - Accent2 5 2 3" xfId="226"/>
    <cellStyle name="20% - Accent2 5 2 3 2" xfId="227"/>
    <cellStyle name="20% - Accent2 5 2 4" xfId="228"/>
    <cellStyle name="20% - Accent2 5 3" xfId="229"/>
    <cellStyle name="20% - Accent2 5 3 2" xfId="230"/>
    <cellStyle name="20% - Accent2 5 3 2 2" xfId="231"/>
    <cellStyle name="20% - Accent2 5 3 3" xfId="232"/>
    <cellStyle name="20% - Accent2 5 4" xfId="233"/>
    <cellStyle name="20% - Accent2 5 4 2" xfId="234"/>
    <cellStyle name="20% - Accent2 5 5" xfId="235"/>
    <cellStyle name="20% - Accent2 6" xfId="236"/>
    <cellStyle name="20% - Accent2 6 2" xfId="237"/>
    <cellStyle name="20% - Accent2 6 2 2" xfId="238"/>
    <cellStyle name="20% - Accent2 6 2 2 2" xfId="239"/>
    <cellStyle name="20% - Accent2 6 2 2 2 2" xfId="240"/>
    <cellStyle name="20% - Accent2 6 2 2 3" xfId="241"/>
    <cellStyle name="20% - Accent2 6 2 3" xfId="242"/>
    <cellStyle name="20% - Accent2 6 2 3 2" xfId="243"/>
    <cellStyle name="20% - Accent2 6 2 4" xfId="244"/>
    <cellStyle name="20% - Accent2 6 3" xfId="245"/>
    <cellStyle name="20% - Accent2 6 3 2" xfId="246"/>
    <cellStyle name="20% - Accent2 6 3 2 2" xfId="247"/>
    <cellStyle name="20% - Accent2 6 3 3" xfId="248"/>
    <cellStyle name="20% - Accent2 6 4" xfId="249"/>
    <cellStyle name="20% - Accent2 6 4 2" xfId="250"/>
    <cellStyle name="20% - Accent2 6 5" xfId="251"/>
    <cellStyle name="20% - Accent2 7" xfId="252"/>
    <cellStyle name="20% - Accent2 7 2" xfId="253"/>
    <cellStyle name="20% - Accent2 7 2 2" xfId="254"/>
    <cellStyle name="20% - Accent2 7 2 2 2" xfId="255"/>
    <cellStyle name="20% - Accent2 7 2 2 2 2" xfId="256"/>
    <cellStyle name="20% - Accent2 7 2 2 3" xfId="257"/>
    <cellStyle name="20% - Accent2 7 2 3" xfId="258"/>
    <cellStyle name="20% - Accent2 7 2 3 2" xfId="259"/>
    <cellStyle name="20% - Accent2 7 2 4" xfId="260"/>
    <cellStyle name="20% - Accent2 7 3" xfId="261"/>
    <cellStyle name="20% - Accent2 7 3 2" xfId="262"/>
    <cellStyle name="20% - Accent2 7 3 2 2" xfId="263"/>
    <cellStyle name="20% - Accent2 7 3 3" xfId="264"/>
    <cellStyle name="20% - Accent2 7 4" xfId="265"/>
    <cellStyle name="20% - Accent2 7 4 2" xfId="266"/>
    <cellStyle name="20% - Accent2 7 5" xfId="267"/>
    <cellStyle name="20% - Accent2 8" xfId="268"/>
    <cellStyle name="20% - Accent2 8 2" xfId="269"/>
    <cellStyle name="20% - Accent2 8 2 2" xfId="270"/>
    <cellStyle name="20% - Accent2 8 2 2 2" xfId="271"/>
    <cellStyle name="20% - Accent2 8 2 2 2 2" xfId="272"/>
    <cellStyle name="20% - Accent2 8 2 2 3" xfId="273"/>
    <cellStyle name="20% - Accent2 8 2 3" xfId="274"/>
    <cellStyle name="20% - Accent2 8 2 3 2" xfId="275"/>
    <cellStyle name="20% - Accent2 8 2 4" xfId="276"/>
    <cellStyle name="20% - Accent2 8 3" xfId="277"/>
    <cellStyle name="20% - Accent2 8 3 2" xfId="278"/>
    <cellStyle name="20% - Accent2 8 3 2 2" xfId="279"/>
    <cellStyle name="20% - Accent2 8 3 3" xfId="280"/>
    <cellStyle name="20% - Accent2 8 4" xfId="281"/>
    <cellStyle name="20% - Accent2 8 4 2" xfId="282"/>
    <cellStyle name="20% - Accent2 8 5" xfId="283"/>
    <cellStyle name="20% - Accent2 9" xfId="284"/>
    <cellStyle name="20% - Accent2 9 2" xfId="285"/>
    <cellStyle name="20% - Accent2 9 2 2" xfId="286"/>
    <cellStyle name="20% - Accent2 9 2 2 2" xfId="287"/>
    <cellStyle name="20% - Accent2 9 2 3" xfId="288"/>
    <cellStyle name="20% - Accent2 9 3" xfId="289"/>
    <cellStyle name="20% - Accent2 9 3 2" xfId="290"/>
    <cellStyle name="20% - Accent2 9 4" xfId="291"/>
    <cellStyle name="20% - Accent3 10" xfId="292"/>
    <cellStyle name="20% - Accent3 10 2" xfId="293"/>
    <cellStyle name="20% - Accent3 10 2 2" xfId="294"/>
    <cellStyle name="20% - Accent3 10 3" xfId="295"/>
    <cellStyle name="20% - Accent3 11" xfId="296"/>
    <cellStyle name="20% - Accent3 11 2" xfId="297"/>
    <cellStyle name="20% - Accent3 12" xfId="298"/>
    <cellStyle name="20% - Accent3 2" xfId="299"/>
    <cellStyle name="20% - Accent3 2 2" xfId="300"/>
    <cellStyle name="20% - Accent3 2 2 2" xfId="301"/>
    <cellStyle name="20% - Accent3 2 2 2 2" xfId="302"/>
    <cellStyle name="20% - Accent3 2 2 2 2 2" xfId="303"/>
    <cellStyle name="20% - Accent3 2 2 2 2 2 2" xfId="304"/>
    <cellStyle name="20% - Accent3 2 2 2 2 3" xfId="305"/>
    <cellStyle name="20% - Accent3 2 2 2 3" xfId="306"/>
    <cellStyle name="20% - Accent3 2 2 2 3 2" xfId="307"/>
    <cellStyle name="20% - Accent3 2 2 2 4" xfId="308"/>
    <cellStyle name="20% - Accent3 2 2 3" xfId="309"/>
    <cellStyle name="20% - Accent3 2 2 3 2" xfId="310"/>
    <cellStyle name="20% - Accent3 2 2 3 2 2" xfId="311"/>
    <cellStyle name="20% - Accent3 2 2 3 3" xfId="312"/>
    <cellStyle name="20% - Accent3 2 2 4" xfId="313"/>
    <cellStyle name="20% - Accent3 2 2 4 2" xfId="314"/>
    <cellStyle name="20% - Accent3 2 2 5" xfId="315"/>
    <cellStyle name="20% - Accent3 2 3" xfId="316"/>
    <cellStyle name="20% - Accent3 2 3 2" xfId="317"/>
    <cellStyle name="20% - Accent3 2 3 2 2" xfId="318"/>
    <cellStyle name="20% - Accent3 2 3 2 2 2" xfId="319"/>
    <cellStyle name="20% - Accent3 2 3 2 3" xfId="320"/>
    <cellStyle name="20% - Accent3 2 3 3" xfId="321"/>
    <cellStyle name="20% - Accent3 2 3 3 2" xfId="322"/>
    <cellStyle name="20% - Accent3 2 3 4" xfId="323"/>
    <cellStyle name="20% - Accent3 2 4" xfId="324"/>
    <cellStyle name="20% - Accent3 2 4 2" xfId="325"/>
    <cellStyle name="20% - Accent3 2 4 2 2" xfId="326"/>
    <cellStyle name="20% - Accent3 2 4 3" xfId="327"/>
    <cellStyle name="20% - Accent3 2 5" xfId="328"/>
    <cellStyle name="20% - Accent3 2 5 2" xfId="329"/>
    <cellStyle name="20% - Accent3 2 6" xfId="330"/>
    <cellStyle name="20% - Accent3 3" xfId="331"/>
    <cellStyle name="20% - Accent3 3 2" xfId="332"/>
    <cellStyle name="20% - Accent3 3 2 2" xfId="333"/>
    <cellStyle name="20% - Accent3 3 2 2 2" xfId="334"/>
    <cellStyle name="20% - Accent3 3 2 2 2 2" xfId="335"/>
    <cellStyle name="20% - Accent3 3 2 2 3" xfId="336"/>
    <cellStyle name="20% - Accent3 3 2 3" xfId="337"/>
    <cellStyle name="20% - Accent3 3 2 3 2" xfId="338"/>
    <cellStyle name="20% - Accent3 3 2 4" xfId="339"/>
    <cellStyle name="20% - Accent3 3 3" xfId="340"/>
    <cellStyle name="20% - Accent3 3 3 2" xfId="341"/>
    <cellStyle name="20% - Accent3 3 3 2 2" xfId="342"/>
    <cellStyle name="20% - Accent3 3 3 3" xfId="343"/>
    <cellStyle name="20% - Accent3 3 4" xfId="344"/>
    <cellStyle name="20% - Accent3 3 4 2" xfId="345"/>
    <cellStyle name="20% - Accent3 3 5" xfId="346"/>
    <cellStyle name="20% - Accent3 4" xfId="347"/>
    <cellStyle name="20% - Accent3 4 2" xfId="348"/>
    <cellStyle name="20% - Accent3 4 2 2" xfId="349"/>
    <cellStyle name="20% - Accent3 4 2 2 2" xfId="350"/>
    <cellStyle name="20% - Accent3 4 2 2 2 2" xfId="351"/>
    <cellStyle name="20% - Accent3 4 2 2 3" xfId="352"/>
    <cellStyle name="20% - Accent3 4 2 3" xfId="353"/>
    <cellStyle name="20% - Accent3 4 2 3 2" xfId="354"/>
    <cellStyle name="20% - Accent3 4 2 4" xfId="355"/>
    <cellStyle name="20% - Accent3 4 3" xfId="356"/>
    <cellStyle name="20% - Accent3 4 3 2" xfId="357"/>
    <cellStyle name="20% - Accent3 4 3 2 2" xfId="358"/>
    <cellStyle name="20% - Accent3 4 3 3" xfId="359"/>
    <cellStyle name="20% - Accent3 4 4" xfId="360"/>
    <cellStyle name="20% - Accent3 4 4 2" xfId="361"/>
    <cellStyle name="20% - Accent3 4 5" xfId="362"/>
    <cellStyle name="20% - Accent3 5" xfId="363"/>
    <cellStyle name="20% - Accent3 5 2" xfId="364"/>
    <cellStyle name="20% - Accent3 5 2 2" xfId="365"/>
    <cellStyle name="20% - Accent3 5 2 2 2" xfId="366"/>
    <cellStyle name="20% - Accent3 5 2 2 2 2" xfId="367"/>
    <cellStyle name="20% - Accent3 5 2 2 3" xfId="368"/>
    <cellStyle name="20% - Accent3 5 2 3" xfId="369"/>
    <cellStyle name="20% - Accent3 5 2 3 2" xfId="370"/>
    <cellStyle name="20% - Accent3 5 2 4" xfId="371"/>
    <cellStyle name="20% - Accent3 5 3" xfId="372"/>
    <cellStyle name="20% - Accent3 5 3 2" xfId="373"/>
    <cellStyle name="20% - Accent3 5 3 2 2" xfId="374"/>
    <cellStyle name="20% - Accent3 5 3 3" xfId="375"/>
    <cellStyle name="20% - Accent3 5 4" xfId="376"/>
    <cellStyle name="20% - Accent3 5 4 2" xfId="377"/>
    <cellStyle name="20% - Accent3 5 5" xfId="378"/>
    <cellStyle name="20% - Accent3 6" xfId="379"/>
    <cellStyle name="20% - Accent3 6 2" xfId="380"/>
    <cellStyle name="20% - Accent3 6 2 2" xfId="381"/>
    <cellStyle name="20% - Accent3 6 2 2 2" xfId="382"/>
    <cellStyle name="20% - Accent3 6 2 2 2 2" xfId="383"/>
    <cellStyle name="20% - Accent3 6 2 2 3" xfId="384"/>
    <cellStyle name="20% - Accent3 6 2 3" xfId="385"/>
    <cellStyle name="20% - Accent3 6 2 3 2" xfId="386"/>
    <cellStyle name="20% - Accent3 6 2 4" xfId="387"/>
    <cellStyle name="20% - Accent3 6 3" xfId="388"/>
    <cellStyle name="20% - Accent3 6 3 2" xfId="389"/>
    <cellStyle name="20% - Accent3 6 3 2 2" xfId="390"/>
    <cellStyle name="20% - Accent3 6 3 3" xfId="391"/>
    <cellStyle name="20% - Accent3 6 4" xfId="392"/>
    <cellStyle name="20% - Accent3 6 4 2" xfId="393"/>
    <cellStyle name="20% - Accent3 6 5" xfId="394"/>
    <cellStyle name="20% - Accent3 7" xfId="395"/>
    <cellStyle name="20% - Accent3 7 2" xfId="396"/>
    <cellStyle name="20% - Accent3 7 2 2" xfId="397"/>
    <cellStyle name="20% - Accent3 7 2 2 2" xfId="398"/>
    <cellStyle name="20% - Accent3 7 2 2 2 2" xfId="399"/>
    <cellStyle name="20% - Accent3 7 2 2 3" xfId="400"/>
    <cellStyle name="20% - Accent3 7 2 3" xfId="401"/>
    <cellStyle name="20% - Accent3 7 2 3 2" xfId="402"/>
    <cellStyle name="20% - Accent3 7 2 4" xfId="403"/>
    <cellStyle name="20% - Accent3 7 3" xfId="404"/>
    <cellStyle name="20% - Accent3 7 3 2" xfId="405"/>
    <cellStyle name="20% - Accent3 7 3 2 2" xfId="406"/>
    <cellStyle name="20% - Accent3 7 3 3" xfId="407"/>
    <cellStyle name="20% - Accent3 7 4" xfId="408"/>
    <cellStyle name="20% - Accent3 7 4 2" xfId="409"/>
    <cellStyle name="20% - Accent3 7 5" xfId="410"/>
    <cellStyle name="20% - Accent3 8" xfId="411"/>
    <cellStyle name="20% - Accent3 8 2" xfId="412"/>
    <cellStyle name="20% - Accent3 8 2 2" xfId="413"/>
    <cellStyle name="20% - Accent3 8 2 2 2" xfId="414"/>
    <cellStyle name="20% - Accent3 8 2 2 2 2" xfId="415"/>
    <cellStyle name="20% - Accent3 8 2 2 3" xfId="416"/>
    <cellStyle name="20% - Accent3 8 2 3" xfId="417"/>
    <cellStyle name="20% - Accent3 8 2 3 2" xfId="418"/>
    <cellStyle name="20% - Accent3 8 2 4" xfId="419"/>
    <cellStyle name="20% - Accent3 8 3" xfId="420"/>
    <cellStyle name="20% - Accent3 8 3 2" xfId="421"/>
    <cellStyle name="20% - Accent3 8 3 2 2" xfId="422"/>
    <cellStyle name="20% - Accent3 8 3 3" xfId="423"/>
    <cellStyle name="20% - Accent3 8 4" xfId="424"/>
    <cellStyle name="20% - Accent3 8 4 2" xfId="425"/>
    <cellStyle name="20% - Accent3 8 5" xfId="426"/>
    <cellStyle name="20% - Accent3 9" xfId="427"/>
    <cellStyle name="20% - Accent3 9 2" xfId="428"/>
    <cellStyle name="20% - Accent3 9 2 2" xfId="429"/>
    <cellStyle name="20% - Accent3 9 2 2 2" xfId="430"/>
    <cellStyle name="20% - Accent3 9 2 3" xfId="431"/>
    <cellStyle name="20% - Accent3 9 3" xfId="432"/>
    <cellStyle name="20% - Accent3 9 3 2" xfId="433"/>
    <cellStyle name="20% - Accent3 9 4" xfId="434"/>
    <cellStyle name="20% - Accent4 10" xfId="435"/>
    <cellStyle name="20% - Accent4 10 2" xfId="436"/>
    <cellStyle name="20% - Accent4 10 2 2" xfId="437"/>
    <cellStyle name="20% - Accent4 10 3" xfId="438"/>
    <cellStyle name="20% - Accent4 11" xfId="439"/>
    <cellStyle name="20% - Accent4 11 2" xfId="440"/>
    <cellStyle name="20% - Accent4 12" xfId="441"/>
    <cellStyle name="20% - Accent4 2" xfId="442"/>
    <cellStyle name="20% - Accent4 2 2" xfId="443"/>
    <cellStyle name="20% - Accent4 2 2 2" xfId="444"/>
    <cellStyle name="20% - Accent4 2 2 2 2" xfId="445"/>
    <cellStyle name="20% - Accent4 2 2 2 2 2" xfId="446"/>
    <cellStyle name="20% - Accent4 2 2 2 2 2 2" xfId="447"/>
    <cellStyle name="20% - Accent4 2 2 2 2 3" xfId="448"/>
    <cellStyle name="20% - Accent4 2 2 2 3" xfId="449"/>
    <cellStyle name="20% - Accent4 2 2 2 3 2" xfId="450"/>
    <cellStyle name="20% - Accent4 2 2 2 4" xfId="451"/>
    <cellStyle name="20% - Accent4 2 2 3" xfId="452"/>
    <cellStyle name="20% - Accent4 2 2 3 2" xfId="453"/>
    <cellStyle name="20% - Accent4 2 2 3 2 2" xfId="454"/>
    <cellStyle name="20% - Accent4 2 2 3 3" xfId="455"/>
    <cellStyle name="20% - Accent4 2 2 4" xfId="456"/>
    <cellStyle name="20% - Accent4 2 2 4 2" xfId="457"/>
    <cellStyle name="20% - Accent4 2 2 5" xfId="458"/>
    <cellStyle name="20% - Accent4 2 3" xfId="459"/>
    <cellStyle name="20% - Accent4 2 3 2" xfId="460"/>
    <cellStyle name="20% - Accent4 2 3 2 2" xfId="461"/>
    <cellStyle name="20% - Accent4 2 3 2 2 2" xfId="462"/>
    <cellStyle name="20% - Accent4 2 3 2 3" xfId="463"/>
    <cellStyle name="20% - Accent4 2 3 3" xfId="464"/>
    <cellStyle name="20% - Accent4 2 3 3 2" xfId="465"/>
    <cellStyle name="20% - Accent4 2 3 4" xfId="466"/>
    <cellStyle name="20% - Accent4 2 4" xfId="467"/>
    <cellStyle name="20% - Accent4 2 4 2" xfId="468"/>
    <cellStyle name="20% - Accent4 2 4 2 2" xfId="469"/>
    <cellStyle name="20% - Accent4 2 4 3" xfId="470"/>
    <cellStyle name="20% - Accent4 2 5" xfId="471"/>
    <cellStyle name="20% - Accent4 2 5 2" xfId="472"/>
    <cellStyle name="20% - Accent4 2 6" xfId="473"/>
    <cellStyle name="20% - Accent4 3" xfId="474"/>
    <cellStyle name="20% - Accent4 3 2" xfId="475"/>
    <cellStyle name="20% - Accent4 3 2 2" xfId="476"/>
    <cellStyle name="20% - Accent4 3 2 2 2" xfId="477"/>
    <cellStyle name="20% - Accent4 3 2 2 2 2" xfId="478"/>
    <cellStyle name="20% - Accent4 3 2 2 3" xfId="479"/>
    <cellStyle name="20% - Accent4 3 2 3" xfId="480"/>
    <cellStyle name="20% - Accent4 3 2 3 2" xfId="481"/>
    <cellStyle name="20% - Accent4 3 2 4" xfId="482"/>
    <cellStyle name="20% - Accent4 3 3" xfId="483"/>
    <cellStyle name="20% - Accent4 3 3 2" xfId="484"/>
    <cellStyle name="20% - Accent4 3 3 2 2" xfId="485"/>
    <cellStyle name="20% - Accent4 3 3 3" xfId="486"/>
    <cellStyle name="20% - Accent4 3 4" xfId="487"/>
    <cellStyle name="20% - Accent4 3 4 2" xfId="488"/>
    <cellStyle name="20% - Accent4 3 5" xfId="489"/>
    <cellStyle name="20% - Accent4 4" xfId="490"/>
    <cellStyle name="20% - Accent4 4 2" xfId="491"/>
    <cellStyle name="20% - Accent4 4 2 2" xfId="492"/>
    <cellStyle name="20% - Accent4 4 2 2 2" xfId="493"/>
    <cellStyle name="20% - Accent4 4 2 2 2 2" xfId="494"/>
    <cellStyle name="20% - Accent4 4 2 2 3" xfId="495"/>
    <cellStyle name="20% - Accent4 4 2 3" xfId="496"/>
    <cellStyle name="20% - Accent4 4 2 3 2" xfId="497"/>
    <cellStyle name="20% - Accent4 4 2 4" xfId="498"/>
    <cellStyle name="20% - Accent4 4 3" xfId="499"/>
    <cellStyle name="20% - Accent4 4 3 2" xfId="500"/>
    <cellStyle name="20% - Accent4 4 3 2 2" xfId="501"/>
    <cellStyle name="20% - Accent4 4 3 3" xfId="502"/>
    <cellStyle name="20% - Accent4 4 4" xfId="503"/>
    <cellStyle name="20% - Accent4 4 4 2" xfId="504"/>
    <cellStyle name="20% - Accent4 4 5" xfId="505"/>
    <cellStyle name="20% - Accent4 5" xfId="506"/>
    <cellStyle name="20% - Accent4 5 2" xfId="507"/>
    <cellStyle name="20% - Accent4 5 2 2" xfId="508"/>
    <cellStyle name="20% - Accent4 5 2 2 2" xfId="509"/>
    <cellStyle name="20% - Accent4 5 2 2 2 2" xfId="510"/>
    <cellStyle name="20% - Accent4 5 2 2 3" xfId="511"/>
    <cellStyle name="20% - Accent4 5 2 3" xfId="512"/>
    <cellStyle name="20% - Accent4 5 2 3 2" xfId="513"/>
    <cellStyle name="20% - Accent4 5 2 4" xfId="514"/>
    <cellStyle name="20% - Accent4 5 3" xfId="515"/>
    <cellStyle name="20% - Accent4 5 3 2" xfId="516"/>
    <cellStyle name="20% - Accent4 5 3 2 2" xfId="517"/>
    <cellStyle name="20% - Accent4 5 3 3" xfId="518"/>
    <cellStyle name="20% - Accent4 5 4" xfId="519"/>
    <cellStyle name="20% - Accent4 5 4 2" xfId="520"/>
    <cellStyle name="20% - Accent4 5 5" xfId="521"/>
    <cellStyle name="20% - Accent4 6" xfId="522"/>
    <cellStyle name="20% - Accent4 6 2" xfId="523"/>
    <cellStyle name="20% - Accent4 6 2 2" xfId="524"/>
    <cellStyle name="20% - Accent4 6 2 2 2" xfId="525"/>
    <cellStyle name="20% - Accent4 6 2 2 2 2" xfId="526"/>
    <cellStyle name="20% - Accent4 6 2 2 3" xfId="527"/>
    <cellStyle name="20% - Accent4 6 2 3" xfId="528"/>
    <cellStyle name="20% - Accent4 6 2 3 2" xfId="529"/>
    <cellStyle name="20% - Accent4 6 2 4" xfId="530"/>
    <cellStyle name="20% - Accent4 6 3" xfId="531"/>
    <cellStyle name="20% - Accent4 6 3 2" xfId="532"/>
    <cellStyle name="20% - Accent4 6 3 2 2" xfId="533"/>
    <cellStyle name="20% - Accent4 6 3 3" xfId="534"/>
    <cellStyle name="20% - Accent4 6 4" xfId="535"/>
    <cellStyle name="20% - Accent4 6 4 2" xfId="536"/>
    <cellStyle name="20% - Accent4 6 5" xfId="537"/>
    <cellStyle name="20% - Accent4 7" xfId="538"/>
    <cellStyle name="20% - Accent4 7 2" xfId="539"/>
    <cellStyle name="20% - Accent4 7 2 2" xfId="540"/>
    <cellStyle name="20% - Accent4 7 2 2 2" xfId="541"/>
    <cellStyle name="20% - Accent4 7 2 2 2 2" xfId="542"/>
    <cellStyle name="20% - Accent4 7 2 2 3" xfId="543"/>
    <cellStyle name="20% - Accent4 7 2 3" xfId="544"/>
    <cellStyle name="20% - Accent4 7 2 3 2" xfId="545"/>
    <cellStyle name="20% - Accent4 7 2 4" xfId="546"/>
    <cellStyle name="20% - Accent4 7 3" xfId="547"/>
    <cellStyle name="20% - Accent4 7 3 2" xfId="548"/>
    <cellStyle name="20% - Accent4 7 3 2 2" xfId="549"/>
    <cellStyle name="20% - Accent4 7 3 3" xfId="550"/>
    <cellStyle name="20% - Accent4 7 4" xfId="551"/>
    <cellStyle name="20% - Accent4 7 4 2" xfId="552"/>
    <cellStyle name="20% - Accent4 7 5" xfId="553"/>
    <cellStyle name="20% - Accent4 8" xfId="554"/>
    <cellStyle name="20% - Accent4 8 2" xfId="555"/>
    <cellStyle name="20% - Accent4 8 2 2" xfId="556"/>
    <cellStyle name="20% - Accent4 8 2 2 2" xfId="557"/>
    <cellStyle name="20% - Accent4 8 2 2 2 2" xfId="558"/>
    <cellStyle name="20% - Accent4 8 2 2 3" xfId="559"/>
    <cellStyle name="20% - Accent4 8 2 3" xfId="560"/>
    <cellStyle name="20% - Accent4 8 2 3 2" xfId="561"/>
    <cellStyle name="20% - Accent4 8 2 4" xfId="562"/>
    <cellStyle name="20% - Accent4 8 3" xfId="563"/>
    <cellStyle name="20% - Accent4 8 3 2" xfId="564"/>
    <cellStyle name="20% - Accent4 8 3 2 2" xfId="565"/>
    <cellStyle name="20% - Accent4 8 3 3" xfId="566"/>
    <cellStyle name="20% - Accent4 8 4" xfId="567"/>
    <cellStyle name="20% - Accent4 8 4 2" xfId="568"/>
    <cellStyle name="20% - Accent4 8 5" xfId="569"/>
    <cellStyle name="20% - Accent4 9" xfId="570"/>
    <cellStyle name="20% - Accent4 9 2" xfId="571"/>
    <cellStyle name="20% - Accent4 9 2 2" xfId="572"/>
    <cellStyle name="20% - Accent4 9 2 2 2" xfId="573"/>
    <cellStyle name="20% - Accent4 9 2 3" xfId="574"/>
    <cellStyle name="20% - Accent4 9 3" xfId="575"/>
    <cellStyle name="20% - Accent4 9 3 2" xfId="576"/>
    <cellStyle name="20% - Accent4 9 4" xfId="577"/>
    <cellStyle name="20% - Accent5 10" xfId="578"/>
    <cellStyle name="20% - Accent5 10 2" xfId="579"/>
    <cellStyle name="20% - Accent5 10 2 2" xfId="580"/>
    <cellStyle name="20% - Accent5 10 3" xfId="581"/>
    <cellStyle name="20% - Accent5 11" xfId="582"/>
    <cellStyle name="20% - Accent5 11 2" xfId="583"/>
    <cellStyle name="20% - Accent5 12" xfId="584"/>
    <cellStyle name="20% - Accent5 2" xfId="585"/>
    <cellStyle name="20% - Accent5 2 2" xfId="586"/>
    <cellStyle name="20% - Accent5 2 2 2" xfId="587"/>
    <cellStyle name="20% - Accent5 2 2 2 2" xfId="588"/>
    <cellStyle name="20% - Accent5 2 2 2 2 2" xfId="589"/>
    <cellStyle name="20% - Accent5 2 2 2 2 2 2" xfId="590"/>
    <cellStyle name="20% - Accent5 2 2 2 2 3" xfId="591"/>
    <cellStyle name="20% - Accent5 2 2 2 3" xfId="592"/>
    <cellStyle name="20% - Accent5 2 2 2 3 2" xfId="593"/>
    <cellStyle name="20% - Accent5 2 2 2 4" xfId="594"/>
    <cellStyle name="20% - Accent5 2 2 3" xfId="595"/>
    <cellStyle name="20% - Accent5 2 2 3 2" xfId="596"/>
    <cellStyle name="20% - Accent5 2 2 3 2 2" xfId="597"/>
    <cellStyle name="20% - Accent5 2 2 3 3" xfId="598"/>
    <cellStyle name="20% - Accent5 2 2 4" xfId="599"/>
    <cellStyle name="20% - Accent5 2 2 4 2" xfId="600"/>
    <cellStyle name="20% - Accent5 2 2 5" xfId="601"/>
    <cellStyle name="20% - Accent5 2 3" xfId="602"/>
    <cellStyle name="20% - Accent5 2 3 2" xfId="603"/>
    <cellStyle name="20% - Accent5 2 3 2 2" xfId="604"/>
    <cellStyle name="20% - Accent5 2 3 2 2 2" xfId="605"/>
    <cellStyle name="20% - Accent5 2 3 2 3" xfId="606"/>
    <cellStyle name="20% - Accent5 2 3 3" xfId="607"/>
    <cellStyle name="20% - Accent5 2 3 3 2" xfId="608"/>
    <cellStyle name="20% - Accent5 2 3 4" xfId="609"/>
    <cellStyle name="20% - Accent5 2 4" xfId="610"/>
    <cellStyle name="20% - Accent5 2 4 2" xfId="611"/>
    <cellStyle name="20% - Accent5 2 4 2 2" xfId="612"/>
    <cellStyle name="20% - Accent5 2 4 3" xfId="613"/>
    <cellStyle name="20% - Accent5 2 5" xfId="614"/>
    <cellStyle name="20% - Accent5 2 5 2" xfId="615"/>
    <cellStyle name="20% - Accent5 2 6" xfId="616"/>
    <cellStyle name="20% - Accent5 3" xfId="617"/>
    <cellStyle name="20% - Accent5 3 2" xfId="618"/>
    <cellStyle name="20% - Accent5 3 2 2" xfId="619"/>
    <cellStyle name="20% - Accent5 3 2 2 2" xfId="620"/>
    <cellStyle name="20% - Accent5 3 2 2 2 2" xfId="621"/>
    <cellStyle name="20% - Accent5 3 2 2 3" xfId="622"/>
    <cellStyle name="20% - Accent5 3 2 3" xfId="623"/>
    <cellStyle name="20% - Accent5 3 2 3 2" xfId="624"/>
    <cellStyle name="20% - Accent5 3 2 4" xfId="625"/>
    <cellStyle name="20% - Accent5 3 3" xfId="626"/>
    <cellStyle name="20% - Accent5 3 3 2" xfId="627"/>
    <cellStyle name="20% - Accent5 3 3 2 2" xfId="628"/>
    <cellStyle name="20% - Accent5 3 3 3" xfId="629"/>
    <cellStyle name="20% - Accent5 3 4" xfId="630"/>
    <cellStyle name="20% - Accent5 3 4 2" xfId="631"/>
    <cellStyle name="20% - Accent5 3 5" xfId="632"/>
    <cellStyle name="20% - Accent5 4" xfId="633"/>
    <cellStyle name="20% - Accent5 4 2" xfId="634"/>
    <cellStyle name="20% - Accent5 4 2 2" xfId="635"/>
    <cellStyle name="20% - Accent5 4 2 2 2" xfId="636"/>
    <cellStyle name="20% - Accent5 4 2 2 2 2" xfId="637"/>
    <cellStyle name="20% - Accent5 4 2 2 3" xfId="638"/>
    <cellStyle name="20% - Accent5 4 2 3" xfId="639"/>
    <cellStyle name="20% - Accent5 4 2 3 2" xfId="640"/>
    <cellStyle name="20% - Accent5 4 2 4" xfId="641"/>
    <cellStyle name="20% - Accent5 4 3" xfId="642"/>
    <cellStyle name="20% - Accent5 4 3 2" xfId="643"/>
    <cellStyle name="20% - Accent5 4 3 2 2" xfId="644"/>
    <cellStyle name="20% - Accent5 4 3 3" xfId="645"/>
    <cellStyle name="20% - Accent5 4 4" xfId="646"/>
    <cellStyle name="20% - Accent5 4 4 2" xfId="647"/>
    <cellStyle name="20% - Accent5 4 5" xfId="648"/>
    <cellStyle name="20% - Accent5 5" xfId="649"/>
    <cellStyle name="20% - Accent5 5 2" xfId="650"/>
    <cellStyle name="20% - Accent5 5 2 2" xfId="651"/>
    <cellStyle name="20% - Accent5 5 2 2 2" xfId="652"/>
    <cellStyle name="20% - Accent5 5 2 2 2 2" xfId="653"/>
    <cellStyle name="20% - Accent5 5 2 2 3" xfId="654"/>
    <cellStyle name="20% - Accent5 5 2 3" xfId="655"/>
    <cellStyle name="20% - Accent5 5 2 3 2" xfId="656"/>
    <cellStyle name="20% - Accent5 5 2 4" xfId="657"/>
    <cellStyle name="20% - Accent5 5 3" xfId="658"/>
    <cellStyle name="20% - Accent5 5 3 2" xfId="659"/>
    <cellStyle name="20% - Accent5 5 3 2 2" xfId="660"/>
    <cellStyle name="20% - Accent5 5 3 3" xfId="661"/>
    <cellStyle name="20% - Accent5 5 4" xfId="662"/>
    <cellStyle name="20% - Accent5 5 4 2" xfId="663"/>
    <cellStyle name="20% - Accent5 5 5" xfId="664"/>
    <cellStyle name="20% - Accent5 6" xfId="665"/>
    <cellStyle name="20% - Accent5 6 2" xfId="666"/>
    <cellStyle name="20% - Accent5 6 2 2" xfId="667"/>
    <cellStyle name="20% - Accent5 6 2 2 2" xfId="668"/>
    <cellStyle name="20% - Accent5 6 2 2 2 2" xfId="669"/>
    <cellStyle name="20% - Accent5 6 2 2 3" xfId="670"/>
    <cellStyle name="20% - Accent5 6 2 3" xfId="671"/>
    <cellStyle name="20% - Accent5 6 2 3 2" xfId="672"/>
    <cellStyle name="20% - Accent5 6 2 4" xfId="673"/>
    <cellStyle name="20% - Accent5 6 3" xfId="674"/>
    <cellStyle name="20% - Accent5 6 3 2" xfId="675"/>
    <cellStyle name="20% - Accent5 6 3 2 2" xfId="676"/>
    <cellStyle name="20% - Accent5 6 3 3" xfId="677"/>
    <cellStyle name="20% - Accent5 6 4" xfId="678"/>
    <cellStyle name="20% - Accent5 6 4 2" xfId="679"/>
    <cellStyle name="20% - Accent5 6 5" xfId="680"/>
    <cellStyle name="20% - Accent5 7" xfId="681"/>
    <cellStyle name="20% - Accent5 7 2" xfId="682"/>
    <cellStyle name="20% - Accent5 7 2 2" xfId="683"/>
    <cellStyle name="20% - Accent5 7 2 2 2" xfId="684"/>
    <cellStyle name="20% - Accent5 7 2 2 2 2" xfId="685"/>
    <cellStyle name="20% - Accent5 7 2 2 3" xfId="686"/>
    <cellStyle name="20% - Accent5 7 2 3" xfId="687"/>
    <cellStyle name="20% - Accent5 7 2 3 2" xfId="688"/>
    <cellStyle name="20% - Accent5 7 2 4" xfId="689"/>
    <cellStyle name="20% - Accent5 7 3" xfId="690"/>
    <cellStyle name="20% - Accent5 7 3 2" xfId="691"/>
    <cellStyle name="20% - Accent5 7 3 2 2" xfId="692"/>
    <cellStyle name="20% - Accent5 7 3 3" xfId="693"/>
    <cellStyle name="20% - Accent5 7 4" xfId="694"/>
    <cellStyle name="20% - Accent5 7 4 2" xfId="695"/>
    <cellStyle name="20% - Accent5 7 5" xfId="696"/>
    <cellStyle name="20% - Accent5 8" xfId="697"/>
    <cellStyle name="20% - Accent5 8 2" xfId="698"/>
    <cellStyle name="20% - Accent5 8 2 2" xfId="699"/>
    <cellStyle name="20% - Accent5 8 2 2 2" xfId="700"/>
    <cellStyle name="20% - Accent5 8 2 2 2 2" xfId="701"/>
    <cellStyle name="20% - Accent5 8 2 2 3" xfId="702"/>
    <cellStyle name="20% - Accent5 8 2 3" xfId="703"/>
    <cellStyle name="20% - Accent5 8 2 3 2" xfId="704"/>
    <cellStyle name="20% - Accent5 8 2 4" xfId="705"/>
    <cellStyle name="20% - Accent5 8 3" xfId="706"/>
    <cellStyle name="20% - Accent5 8 3 2" xfId="707"/>
    <cellStyle name="20% - Accent5 8 3 2 2" xfId="708"/>
    <cellStyle name="20% - Accent5 8 3 3" xfId="709"/>
    <cellStyle name="20% - Accent5 8 4" xfId="710"/>
    <cellStyle name="20% - Accent5 8 4 2" xfId="711"/>
    <cellStyle name="20% - Accent5 8 5" xfId="712"/>
    <cellStyle name="20% - Accent5 9" xfId="713"/>
    <cellStyle name="20% - Accent5 9 2" xfId="714"/>
    <cellStyle name="20% - Accent5 9 2 2" xfId="715"/>
    <cellStyle name="20% - Accent5 9 2 2 2" xfId="716"/>
    <cellStyle name="20% - Accent5 9 2 3" xfId="717"/>
    <cellStyle name="20% - Accent5 9 3" xfId="718"/>
    <cellStyle name="20% - Accent5 9 3 2" xfId="719"/>
    <cellStyle name="20% - Accent5 9 4" xfId="720"/>
    <cellStyle name="20% - Accent6 10" xfId="721"/>
    <cellStyle name="20% - Accent6 10 2" xfId="722"/>
    <cellStyle name="20% - Accent6 10 2 2" xfId="723"/>
    <cellStyle name="20% - Accent6 10 3" xfId="724"/>
    <cellStyle name="20% - Accent6 11" xfId="725"/>
    <cellStyle name="20% - Accent6 11 2" xfId="726"/>
    <cellStyle name="20% - Accent6 12" xfId="727"/>
    <cellStyle name="20% - Accent6 2" xfId="728"/>
    <cellStyle name="20% - Accent6 2 2" xfId="729"/>
    <cellStyle name="20% - Accent6 2 2 2" xfId="730"/>
    <cellStyle name="20% - Accent6 2 2 2 2" xfId="731"/>
    <cellStyle name="20% - Accent6 2 2 2 2 2" xfId="732"/>
    <cellStyle name="20% - Accent6 2 2 2 2 2 2" xfId="733"/>
    <cellStyle name="20% - Accent6 2 2 2 2 3" xfId="734"/>
    <cellStyle name="20% - Accent6 2 2 2 3" xfId="735"/>
    <cellStyle name="20% - Accent6 2 2 2 3 2" xfId="736"/>
    <cellStyle name="20% - Accent6 2 2 2 4" xfId="737"/>
    <cellStyle name="20% - Accent6 2 2 3" xfId="738"/>
    <cellStyle name="20% - Accent6 2 2 3 2" xfId="739"/>
    <cellStyle name="20% - Accent6 2 2 3 2 2" xfId="740"/>
    <cellStyle name="20% - Accent6 2 2 3 3" xfId="741"/>
    <cellStyle name="20% - Accent6 2 2 4" xfId="742"/>
    <cellStyle name="20% - Accent6 2 2 4 2" xfId="743"/>
    <cellStyle name="20% - Accent6 2 2 5" xfId="744"/>
    <cellStyle name="20% - Accent6 2 3" xfId="745"/>
    <cellStyle name="20% - Accent6 2 3 2" xfId="746"/>
    <cellStyle name="20% - Accent6 2 3 2 2" xfId="747"/>
    <cellStyle name="20% - Accent6 2 3 2 2 2" xfId="748"/>
    <cellStyle name="20% - Accent6 2 3 2 3" xfId="749"/>
    <cellStyle name="20% - Accent6 2 3 3" xfId="750"/>
    <cellStyle name="20% - Accent6 2 3 3 2" xfId="751"/>
    <cellStyle name="20% - Accent6 2 3 4" xfId="752"/>
    <cellStyle name="20% - Accent6 2 4" xfId="753"/>
    <cellStyle name="20% - Accent6 2 4 2" xfId="754"/>
    <cellStyle name="20% - Accent6 2 4 2 2" xfId="755"/>
    <cellStyle name="20% - Accent6 2 4 3" xfId="756"/>
    <cellStyle name="20% - Accent6 2 5" xfId="757"/>
    <cellStyle name="20% - Accent6 2 5 2" xfId="758"/>
    <cellStyle name="20% - Accent6 2 6" xfId="759"/>
    <cellStyle name="20% - Accent6 3" xfId="760"/>
    <cellStyle name="20% - Accent6 3 2" xfId="761"/>
    <cellStyle name="20% - Accent6 3 2 2" xfId="762"/>
    <cellStyle name="20% - Accent6 3 2 2 2" xfId="763"/>
    <cellStyle name="20% - Accent6 3 2 2 2 2" xfId="764"/>
    <cellStyle name="20% - Accent6 3 2 2 3" xfId="765"/>
    <cellStyle name="20% - Accent6 3 2 3" xfId="766"/>
    <cellStyle name="20% - Accent6 3 2 3 2" xfId="767"/>
    <cellStyle name="20% - Accent6 3 2 4" xfId="768"/>
    <cellStyle name="20% - Accent6 3 3" xfId="769"/>
    <cellStyle name="20% - Accent6 3 3 2" xfId="770"/>
    <cellStyle name="20% - Accent6 3 3 2 2" xfId="771"/>
    <cellStyle name="20% - Accent6 3 3 3" xfId="772"/>
    <cellStyle name="20% - Accent6 3 4" xfId="773"/>
    <cellStyle name="20% - Accent6 3 4 2" xfId="774"/>
    <cellStyle name="20% - Accent6 3 5" xfId="775"/>
    <cellStyle name="20% - Accent6 4" xfId="776"/>
    <cellStyle name="20% - Accent6 4 2" xfId="777"/>
    <cellStyle name="20% - Accent6 4 2 2" xfId="778"/>
    <cellStyle name="20% - Accent6 4 2 2 2" xfId="779"/>
    <cellStyle name="20% - Accent6 4 2 2 2 2" xfId="780"/>
    <cellStyle name="20% - Accent6 4 2 2 3" xfId="781"/>
    <cellStyle name="20% - Accent6 4 2 3" xfId="782"/>
    <cellStyle name="20% - Accent6 4 2 3 2" xfId="783"/>
    <cellStyle name="20% - Accent6 4 2 4" xfId="784"/>
    <cellStyle name="20% - Accent6 4 3" xfId="785"/>
    <cellStyle name="20% - Accent6 4 3 2" xfId="786"/>
    <cellStyle name="20% - Accent6 4 3 2 2" xfId="787"/>
    <cellStyle name="20% - Accent6 4 3 3" xfId="788"/>
    <cellStyle name="20% - Accent6 4 4" xfId="789"/>
    <cellStyle name="20% - Accent6 4 4 2" xfId="790"/>
    <cellStyle name="20% - Accent6 4 5" xfId="791"/>
    <cellStyle name="20% - Accent6 5" xfId="792"/>
    <cellStyle name="20% - Accent6 5 2" xfId="793"/>
    <cellStyle name="20% - Accent6 5 2 2" xfId="794"/>
    <cellStyle name="20% - Accent6 5 2 2 2" xfId="795"/>
    <cellStyle name="20% - Accent6 5 2 2 2 2" xfId="796"/>
    <cellStyle name="20% - Accent6 5 2 2 3" xfId="797"/>
    <cellStyle name="20% - Accent6 5 2 3" xfId="798"/>
    <cellStyle name="20% - Accent6 5 2 3 2" xfId="799"/>
    <cellStyle name="20% - Accent6 5 2 4" xfId="800"/>
    <cellStyle name="20% - Accent6 5 3" xfId="801"/>
    <cellStyle name="20% - Accent6 5 3 2" xfId="802"/>
    <cellStyle name="20% - Accent6 5 3 2 2" xfId="803"/>
    <cellStyle name="20% - Accent6 5 3 3" xfId="804"/>
    <cellStyle name="20% - Accent6 5 4" xfId="805"/>
    <cellStyle name="20% - Accent6 5 4 2" xfId="806"/>
    <cellStyle name="20% - Accent6 5 5" xfId="807"/>
    <cellStyle name="20% - Accent6 6" xfId="808"/>
    <cellStyle name="20% - Accent6 6 2" xfId="809"/>
    <cellStyle name="20% - Accent6 6 2 2" xfId="810"/>
    <cellStyle name="20% - Accent6 6 2 2 2" xfId="811"/>
    <cellStyle name="20% - Accent6 6 2 2 2 2" xfId="812"/>
    <cellStyle name="20% - Accent6 6 2 2 3" xfId="813"/>
    <cellStyle name="20% - Accent6 6 2 3" xfId="814"/>
    <cellStyle name="20% - Accent6 6 2 3 2" xfId="815"/>
    <cellStyle name="20% - Accent6 6 2 4" xfId="816"/>
    <cellStyle name="20% - Accent6 6 3" xfId="817"/>
    <cellStyle name="20% - Accent6 6 3 2" xfId="818"/>
    <cellStyle name="20% - Accent6 6 3 2 2" xfId="819"/>
    <cellStyle name="20% - Accent6 6 3 3" xfId="820"/>
    <cellStyle name="20% - Accent6 6 4" xfId="821"/>
    <cellStyle name="20% - Accent6 6 4 2" xfId="822"/>
    <cellStyle name="20% - Accent6 6 5" xfId="823"/>
    <cellStyle name="20% - Accent6 7" xfId="824"/>
    <cellStyle name="20% - Accent6 7 2" xfId="825"/>
    <cellStyle name="20% - Accent6 7 2 2" xfId="826"/>
    <cellStyle name="20% - Accent6 7 2 2 2" xfId="827"/>
    <cellStyle name="20% - Accent6 7 2 2 2 2" xfId="828"/>
    <cellStyle name="20% - Accent6 7 2 2 3" xfId="829"/>
    <cellStyle name="20% - Accent6 7 2 3" xfId="830"/>
    <cellStyle name="20% - Accent6 7 2 3 2" xfId="831"/>
    <cellStyle name="20% - Accent6 7 2 4" xfId="832"/>
    <cellStyle name="20% - Accent6 7 3" xfId="833"/>
    <cellStyle name="20% - Accent6 7 3 2" xfId="834"/>
    <cellStyle name="20% - Accent6 7 3 2 2" xfId="835"/>
    <cellStyle name="20% - Accent6 7 3 3" xfId="836"/>
    <cellStyle name="20% - Accent6 7 4" xfId="837"/>
    <cellStyle name="20% - Accent6 7 4 2" xfId="838"/>
    <cellStyle name="20% - Accent6 7 5" xfId="839"/>
    <cellStyle name="20% - Accent6 8" xfId="840"/>
    <cellStyle name="20% - Accent6 8 2" xfId="841"/>
    <cellStyle name="20% - Accent6 8 2 2" xfId="842"/>
    <cellStyle name="20% - Accent6 8 2 2 2" xfId="843"/>
    <cellStyle name="20% - Accent6 8 2 2 2 2" xfId="844"/>
    <cellStyle name="20% - Accent6 8 2 2 3" xfId="845"/>
    <cellStyle name="20% - Accent6 8 2 3" xfId="846"/>
    <cellStyle name="20% - Accent6 8 2 3 2" xfId="847"/>
    <cellStyle name="20% - Accent6 8 2 4" xfId="848"/>
    <cellStyle name="20% - Accent6 8 3" xfId="849"/>
    <cellStyle name="20% - Accent6 8 3 2" xfId="850"/>
    <cellStyle name="20% - Accent6 8 3 2 2" xfId="851"/>
    <cellStyle name="20% - Accent6 8 3 3" xfId="852"/>
    <cellStyle name="20% - Accent6 8 4" xfId="853"/>
    <cellStyle name="20% - Accent6 8 4 2" xfId="854"/>
    <cellStyle name="20% - Accent6 8 5" xfId="855"/>
    <cellStyle name="20% - Accent6 9" xfId="856"/>
    <cellStyle name="20% - Accent6 9 2" xfId="857"/>
    <cellStyle name="20% - Accent6 9 2 2" xfId="858"/>
    <cellStyle name="20% - Accent6 9 2 2 2" xfId="859"/>
    <cellStyle name="20% - Accent6 9 2 3" xfId="860"/>
    <cellStyle name="20% - Accent6 9 3" xfId="861"/>
    <cellStyle name="20% - Accent6 9 3 2" xfId="862"/>
    <cellStyle name="20% - Accent6 9 4" xfId="863"/>
    <cellStyle name="40% - Accent1 10" xfId="864"/>
    <cellStyle name="40% - Accent1 10 2" xfId="865"/>
    <cellStyle name="40% - Accent1 10 2 2" xfId="866"/>
    <cellStyle name="40% - Accent1 10 3" xfId="867"/>
    <cellStyle name="40% - Accent1 11" xfId="868"/>
    <cellStyle name="40% - Accent1 11 2" xfId="869"/>
    <cellStyle name="40% - Accent1 12" xfId="870"/>
    <cellStyle name="40% - Accent1 2" xfId="871"/>
    <cellStyle name="40% - Accent1 2 2" xfId="872"/>
    <cellStyle name="40% - Accent1 2 2 2" xfId="873"/>
    <cellStyle name="40% - Accent1 2 2 2 2" xfId="874"/>
    <cellStyle name="40% - Accent1 2 2 2 2 2" xfId="875"/>
    <cellStyle name="40% - Accent1 2 2 2 2 2 2" xfId="876"/>
    <cellStyle name="40% - Accent1 2 2 2 2 3" xfId="877"/>
    <cellStyle name="40% - Accent1 2 2 2 3" xfId="878"/>
    <cellStyle name="40% - Accent1 2 2 2 3 2" xfId="879"/>
    <cellStyle name="40% - Accent1 2 2 2 4" xfId="880"/>
    <cellStyle name="40% - Accent1 2 2 3" xfId="881"/>
    <cellStyle name="40% - Accent1 2 2 3 2" xfId="882"/>
    <cellStyle name="40% - Accent1 2 2 3 2 2" xfId="883"/>
    <cellStyle name="40% - Accent1 2 2 3 3" xfId="884"/>
    <cellStyle name="40% - Accent1 2 2 4" xfId="885"/>
    <cellStyle name="40% - Accent1 2 2 4 2" xfId="886"/>
    <cellStyle name="40% - Accent1 2 2 5" xfId="887"/>
    <cellStyle name="40% - Accent1 2 3" xfId="888"/>
    <cellStyle name="40% - Accent1 2 3 2" xfId="889"/>
    <cellStyle name="40% - Accent1 2 3 2 2" xfId="890"/>
    <cellStyle name="40% - Accent1 2 3 2 2 2" xfId="891"/>
    <cellStyle name="40% - Accent1 2 3 2 3" xfId="892"/>
    <cellStyle name="40% - Accent1 2 3 3" xfId="893"/>
    <cellStyle name="40% - Accent1 2 3 3 2" xfId="894"/>
    <cellStyle name="40% - Accent1 2 3 4" xfId="895"/>
    <cellStyle name="40% - Accent1 2 4" xfId="896"/>
    <cellStyle name="40% - Accent1 2 4 2" xfId="897"/>
    <cellStyle name="40% - Accent1 2 4 2 2" xfId="898"/>
    <cellStyle name="40% - Accent1 2 4 3" xfId="899"/>
    <cellStyle name="40% - Accent1 2 5" xfId="900"/>
    <cellStyle name="40% - Accent1 2 5 2" xfId="901"/>
    <cellStyle name="40% - Accent1 2 6" xfId="902"/>
    <cellStyle name="40% - Accent1 3" xfId="903"/>
    <cellStyle name="40% - Accent1 3 2" xfId="904"/>
    <cellStyle name="40% - Accent1 3 2 2" xfId="905"/>
    <cellStyle name="40% - Accent1 3 2 2 2" xfId="906"/>
    <cellStyle name="40% - Accent1 3 2 2 2 2" xfId="907"/>
    <cellStyle name="40% - Accent1 3 2 2 3" xfId="908"/>
    <cellStyle name="40% - Accent1 3 2 3" xfId="909"/>
    <cellStyle name="40% - Accent1 3 2 3 2" xfId="910"/>
    <cellStyle name="40% - Accent1 3 2 4" xfId="911"/>
    <cellStyle name="40% - Accent1 3 3" xfId="912"/>
    <cellStyle name="40% - Accent1 3 3 2" xfId="913"/>
    <cellStyle name="40% - Accent1 3 3 2 2" xfId="914"/>
    <cellStyle name="40% - Accent1 3 3 3" xfId="915"/>
    <cellStyle name="40% - Accent1 3 4" xfId="916"/>
    <cellStyle name="40% - Accent1 3 4 2" xfId="917"/>
    <cellStyle name="40% - Accent1 3 5" xfId="918"/>
    <cellStyle name="40% - Accent1 4" xfId="919"/>
    <cellStyle name="40% - Accent1 4 2" xfId="920"/>
    <cellStyle name="40% - Accent1 4 2 2" xfId="921"/>
    <cellStyle name="40% - Accent1 4 2 2 2" xfId="922"/>
    <cellStyle name="40% - Accent1 4 2 2 2 2" xfId="923"/>
    <cellStyle name="40% - Accent1 4 2 2 3" xfId="924"/>
    <cellStyle name="40% - Accent1 4 2 3" xfId="925"/>
    <cellStyle name="40% - Accent1 4 2 3 2" xfId="926"/>
    <cellStyle name="40% - Accent1 4 2 4" xfId="927"/>
    <cellStyle name="40% - Accent1 4 3" xfId="928"/>
    <cellStyle name="40% - Accent1 4 3 2" xfId="929"/>
    <cellStyle name="40% - Accent1 4 3 2 2" xfId="930"/>
    <cellStyle name="40% - Accent1 4 3 3" xfId="931"/>
    <cellStyle name="40% - Accent1 4 4" xfId="932"/>
    <cellStyle name="40% - Accent1 4 4 2" xfId="933"/>
    <cellStyle name="40% - Accent1 4 5" xfId="934"/>
    <cellStyle name="40% - Accent1 5" xfId="935"/>
    <cellStyle name="40% - Accent1 5 2" xfId="936"/>
    <cellStyle name="40% - Accent1 5 2 2" xfId="937"/>
    <cellStyle name="40% - Accent1 5 2 2 2" xfId="938"/>
    <cellStyle name="40% - Accent1 5 2 2 2 2" xfId="939"/>
    <cellStyle name="40% - Accent1 5 2 2 3" xfId="940"/>
    <cellStyle name="40% - Accent1 5 2 3" xfId="941"/>
    <cellStyle name="40% - Accent1 5 2 3 2" xfId="942"/>
    <cellStyle name="40% - Accent1 5 2 4" xfId="943"/>
    <cellStyle name="40% - Accent1 5 3" xfId="944"/>
    <cellStyle name="40% - Accent1 5 3 2" xfId="945"/>
    <cellStyle name="40% - Accent1 5 3 2 2" xfId="946"/>
    <cellStyle name="40% - Accent1 5 3 3" xfId="947"/>
    <cellStyle name="40% - Accent1 5 4" xfId="948"/>
    <cellStyle name="40% - Accent1 5 4 2" xfId="949"/>
    <cellStyle name="40% - Accent1 5 5" xfId="950"/>
    <cellStyle name="40% - Accent1 6" xfId="951"/>
    <cellStyle name="40% - Accent1 6 2" xfId="952"/>
    <cellStyle name="40% - Accent1 6 2 2" xfId="953"/>
    <cellStyle name="40% - Accent1 6 2 2 2" xfId="954"/>
    <cellStyle name="40% - Accent1 6 2 2 2 2" xfId="955"/>
    <cellStyle name="40% - Accent1 6 2 2 3" xfId="956"/>
    <cellStyle name="40% - Accent1 6 2 3" xfId="957"/>
    <cellStyle name="40% - Accent1 6 2 3 2" xfId="958"/>
    <cellStyle name="40% - Accent1 6 2 4" xfId="959"/>
    <cellStyle name="40% - Accent1 6 3" xfId="960"/>
    <cellStyle name="40% - Accent1 6 3 2" xfId="961"/>
    <cellStyle name="40% - Accent1 6 3 2 2" xfId="962"/>
    <cellStyle name="40% - Accent1 6 3 3" xfId="963"/>
    <cellStyle name="40% - Accent1 6 4" xfId="964"/>
    <cellStyle name="40% - Accent1 6 4 2" xfId="965"/>
    <cellStyle name="40% - Accent1 6 5" xfId="966"/>
    <cellStyle name="40% - Accent1 7" xfId="967"/>
    <cellStyle name="40% - Accent1 7 2" xfId="968"/>
    <cellStyle name="40% - Accent1 7 2 2" xfId="969"/>
    <cellStyle name="40% - Accent1 7 2 2 2" xfId="970"/>
    <cellStyle name="40% - Accent1 7 2 2 2 2" xfId="971"/>
    <cellStyle name="40% - Accent1 7 2 2 3" xfId="972"/>
    <cellStyle name="40% - Accent1 7 2 3" xfId="973"/>
    <cellStyle name="40% - Accent1 7 2 3 2" xfId="974"/>
    <cellStyle name="40% - Accent1 7 2 4" xfId="975"/>
    <cellStyle name="40% - Accent1 7 3" xfId="976"/>
    <cellStyle name="40% - Accent1 7 3 2" xfId="977"/>
    <cellStyle name="40% - Accent1 7 3 2 2" xfId="978"/>
    <cellStyle name="40% - Accent1 7 3 3" xfId="979"/>
    <cellStyle name="40% - Accent1 7 4" xfId="980"/>
    <cellStyle name="40% - Accent1 7 4 2" xfId="981"/>
    <cellStyle name="40% - Accent1 7 5" xfId="982"/>
    <cellStyle name="40% - Accent1 8" xfId="983"/>
    <cellStyle name="40% - Accent1 8 2" xfId="984"/>
    <cellStyle name="40% - Accent1 8 2 2" xfId="985"/>
    <cellStyle name="40% - Accent1 8 2 2 2" xfId="986"/>
    <cellStyle name="40% - Accent1 8 2 2 2 2" xfId="987"/>
    <cellStyle name="40% - Accent1 8 2 2 3" xfId="988"/>
    <cellStyle name="40% - Accent1 8 2 3" xfId="989"/>
    <cellStyle name="40% - Accent1 8 2 3 2" xfId="990"/>
    <cellStyle name="40% - Accent1 8 2 4" xfId="991"/>
    <cellStyle name="40% - Accent1 8 3" xfId="992"/>
    <cellStyle name="40% - Accent1 8 3 2" xfId="993"/>
    <cellStyle name="40% - Accent1 8 3 2 2" xfId="994"/>
    <cellStyle name="40% - Accent1 8 3 3" xfId="995"/>
    <cellStyle name="40% - Accent1 8 4" xfId="996"/>
    <cellStyle name="40% - Accent1 8 4 2" xfId="997"/>
    <cellStyle name="40% - Accent1 8 5" xfId="998"/>
    <cellStyle name="40% - Accent1 9" xfId="999"/>
    <cellStyle name="40% - Accent1 9 2" xfId="1000"/>
    <cellStyle name="40% - Accent1 9 2 2" xfId="1001"/>
    <cellStyle name="40% - Accent1 9 2 2 2" xfId="1002"/>
    <cellStyle name="40% - Accent1 9 2 3" xfId="1003"/>
    <cellStyle name="40% - Accent1 9 3" xfId="1004"/>
    <cellStyle name="40% - Accent1 9 3 2" xfId="1005"/>
    <cellStyle name="40% - Accent1 9 4" xfId="1006"/>
    <cellStyle name="40% - Accent2 10" xfId="1007"/>
    <cellStyle name="40% - Accent2 10 2" xfId="1008"/>
    <cellStyle name="40% - Accent2 10 2 2" xfId="1009"/>
    <cellStyle name="40% - Accent2 10 3" xfId="1010"/>
    <cellStyle name="40% - Accent2 11" xfId="1011"/>
    <cellStyle name="40% - Accent2 11 2" xfId="1012"/>
    <cellStyle name="40% - Accent2 12" xfId="1013"/>
    <cellStyle name="40% - Accent2 2" xfId="1014"/>
    <cellStyle name="40% - Accent2 2 2" xfId="1015"/>
    <cellStyle name="40% - Accent2 2 2 2" xfId="1016"/>
    <cellStyle name="40% - Accent2 2 2 2 2" xfId="1017"/>
    <cellStyle name="40% - Accent2 2 2 2 2 2" xfId="1018"/>
    <cellStyle name="40% - Accent2 2 2 2 2 2 2" xfId="1019"/>
    <cellStyle name="40% - Accent2 2 2 2 2 3" xfId="1020"/>
    <cellStyle name="40% - Accent2 2 2 2 3" xfId="1021"/>
    <cellStyle name="40% - Accent2 2 2 2 3 2" xfId="1022"/>
    <cellStyle name="40% - Accent2 2 2 2 4" xfId="1023"/>
    <cellStyle name="40% - Accent2 2 2 3" xfId="1024"/>
    <cellStyle name="40% - Accent2 2 2 3 2" xfId="1025"/>
    <cellStyle name="40% - Accent2 2 2 3 2 2" xfId="1026"/>
    <cellStyle name="40% - Accent2 2 2 3 3" xfId="1027"/>
    <cellStyle name="40% - Accent2 2 2 4" xfId="1028"/>
    <cellStyle name="40% - Accent2 2 2 4 2" xfId="1029"/>
    <cellStyle name="40% - Accent2 2 2 5" xfId="1030"/>
    <cellStyle name="40% - Accent2 2 3" xfId="1031"/>
    <cellStyle name="40% - Accent2 2 3 2" xfId="1032"/>
    <cellStyle name="40% - Accent2 2 3 2 2" xfId="1033"/>
    <cellStyle name="40% - Accent2 2 3 2 2 2" xfId="1034"/>
    <cellStyle name="40% - Accent2 2 3 2 3" xfId="1035"/>
    <cellStyle name="40% - Accent2 2 3 3" xfId="1036"/>
    <cellStyle name="40% - Accent2 2 3 3 2" xfId="1037"/>
    <cellStyle name="40% - Accent2 2 3 4" xfId="1038"/>
    <cellStyle name="40% - Accent2 2 4" xfId="1039"/>
    <cellStyle name="40% - Accent2 2 4 2" xfId="1040"/>
    <cellStyle name="40% - Accent2 2 4 2 2" xfId="1041"/>
    <cellStyle name="40% - Accent2 2 4 3" xfId="1042"/>
    <cellStyle name="40% - Accent2 2 5" xfId="1043"/>
    <cellStyle name="40% - Accent2 2 5 2" xfId="1044"/>
    <cellStyle name="40% - Accent2 2 6" xfId="1045"/>
    <cellStyle name="40% - Accent2 3" xfId="1046"/>
    <cellStyle name="40% - Accent2 3 2" xfId="1047"/>
    <cellStyle name="40% - Accent2 3 2 2" xfId="1048"/>
    <cellStyle name="40% - Accent2 3 2 2 2" xfId="1049"/>
    <cellStyle name="40% - Accent2 3 2 2 2 2" xfId="1050"/>
    <cellStyle name="40% - Accent2 3 2 2 3" xfId="1051"/>
    <cellStyle name="40% - Accent2 3 2 3" xfId="1052"/>
    <cellStyle name="40% - Accent2 3 2 3 2" xfId="1053"/>
    <cellStyle name="40% - Accent2 3 2 4" xfId="1054"/>
    <cellStyle name="40% - Accent2 3 3" xfId="1055"/>
    <cellStyle name="40% - Accent2 3 3 2" xfId="1056"/>
    <cellStyle name="40% - Accent2 3 3 2 2" xfId="1057"/>
    <cellStyle name="40% - Accent2 3 3 3" xfId="1058"/>
    <cellStyle name="40% - Accent2 3 4" xfId="1059"/>
    <cellStyle name="40% - Accent2 3 4 2" xfId="1060"/>
    <cellStyle name="40% - Accent2 3 5" xfId="1061"/>
    <cellStyle name="40% - Accent2 4" xfId="1062"/>
    <cellStyle name="40% - Accent2 4 2" xfId="1063"/>
    <cellStyle name="40% - Accent2 4 2 2" xfId="1064"/>
    <cellStyle name="40% - Accent2 4 2 2 2" xfId="1065"/>
    <cellStyle name="40% - Accent2 4 2 2 2 2" xfId="1066"/>
    <cellStyle name="40% - Accent2 4 2 2 3" xfId="1067"/>
    <cellStyle name="40% - Accent2 4 2 3" xfId="1068"/>
    <cellStyle name="40% - Accent2 4 2 3 2" xfId="1069"/>
    <cellStyle name="40% - Accent2 4 2 4" xfId="1070"/>
    <cellStyle name="40% - Accent2 4 3" xfId="1071"/>
    <cellStyle name="40% - Accent2 4 3 2" xfId="1072"/>
    <cellStyle name="40% - Accent2 4 3 2 2" xfId="1073"/>
    <cellStyle name="40% - Accent2 4 3 3" xfId="1074"/>
    <cellStyle name="40% - Accent2 4 4" xfId="1075"/>
    <cellStyle name="40% - Accent2 4 4 2" xfId="1076"/>
    <cellStyle name="40% - Accent2 4 5" xfId="1077"/>
    <cellStyle name="40% - Accent2 5" xfId="1078"/>
    <cellStyle name="40% - Accent2 5 2" xfId="1079"/>
    <cellStyle name="40% - Accent2 5 2 2" xfId="1080"/>
    <cellStyle name="40% - Accent2 5 2 2 2" xfId="1081"/>
    <cellStyle name="40% - Accent2 5 2 2 2 2" xfId="1082"/>
    <cellStyle name="40% - Accent2 5 2 2 3" xfId="1083"/>
    <cellStyle name="40% - Accent2 5 2 3" xfId="1084"/>
    <cellStyle name="40% - Accent2 5 2 3 2" xfId="1085"/>
    <cellStyle name="40% - Accent2 5 2 4" xfId="1086"/>
    <cellStyle name="40% - Accent2 5 3" xfId="1087"/>
    <cellStyle name="40% - Accent2 5 3 2" xfId="1088"/>
    <cellStyle name="40% - Accent2 5 3 2 2" xfId="1089"/>
    <cellStyle name="40% - Accent2 5 3 3" xfId="1090"/>
    <cellStyle name="40% - Accent2 5 4" xfId="1091"/>
    <cellStyle name="40% - Accent2 5 4 2" xfId="1092"/>
    <cellStyle name="40% - Accent2 5 5" xfId="1093"/>
    <cellStyle name="40% - Accent2 6" xfId="1094"/>
    <cellStyle name="40% - Accent2 6 2" xfId="1095"/>
    <cellStyle name="40% - Accent2 6 2 2" xfId="1096"/>
    <cellStyle name="40% - Accent2 6 2 2 2" xfId="1097"/>
    <cellStyle name="40% - Accent2 6 2 2 2 2" xfId="1098"/>
    <cellStyle name="40% - Accent2 6 2 2 3" xfId="1099"/>
    <cellStyle name="40% - Accent2 6 2 3" xfId="1100"/>
    <cellStyle name="40% - Accent2 6 2 3 2" xfId="1101"/>
    <cellStyle name="40% - Accent2 6 2 4" xfId="1102"/>
    <cellStyle name="40% - Accent2 6 3" xfId="1103"/>
    <cellStyle name="40% - Accent2 6 3 2" xfId="1104"/>
    <cellStyle name="40% - Accent2 6 3 2 2" xfId="1105"/>
    <cellStyle name="40% - Accent2 6 3 3" xfId="1106"/>
    <cellStyle name="40% - Accent2 6 4" xfId="1107"/>
    <cellStyle name="40% - Accent2 6 4 2" xfId="1108"/>
    <cellStyle name="40% - Accent2 6 5" xfId="1109"/>
    <cellStyle name="40% - Accent2 7" xfId="1110"/>
    <cellStyle name="40% - Accent2 7 2" xfId="1111"/>
    <cellStyle name="40% - Accent2 7 2 2" xfId="1112"/>
    <cellStyle name="40% - Accent2 7 2 2 2" xfId="1113"/>
    <cellStyle name="40% - Accent2 7 2 2 2 2" xfId="1114"/>
    <cellStyle name="40% - Accent2 7 2 2 3" xfId="1115"/>
    <cellStyle name="40% - Accent2 7 2 3" xfId="1116"/>
    <cellStyle name="40% - Accent2 7 2 3 2" xfId="1117"/>
    <cellStyle name="40% - Accent2 7 2 4" xfId="1118"/>
    <cellStyle name="40% - Accent2 7 3" xfId="1119"/>
    <cellStyle name="40% - Accent2 7 3 2" xfId="1120"/>
    <cellStyle name="40% - Accent2 7 3 2 2" xfId="1121"/>
    <cellStyle name="40% - Accent2 7 3 3" xfId="1122"/>
    <cellStyle name="40% - Accent2 7 4" xfId="1123"/>
    <cellStyle name="40% - Accent2 7 4 2" xfId="1124"/>
    <cellStyle name="40% - Accent2 7 5" xfId="1125"/>
    <cellStyle name="40% - Accent2 8" xfId="1126"/>
    <cellStyle name="40% - Accent2 8 2" xfId="1127"/>
    <cellStyle name="40% - Accent2 8 2 2" xfId="1128"/>
    <cellStyle name="40% - Accent2 8 2 2 2" xfId="1129"/>
    <cellStyle name="40% - Accent2 8 2 2 2 2" xfId="1130"/>
    <cellStyle name="40% - Accent2 8 2 2 3" xfId="1131"/>
    <cellStyle name="40% - Accent2 8 2 3" xfId="1132"/>
    <cellStyle name="40% - Accent2 8 2 3 2" xfId="1133"/>
    <cellStyle name="40% - Accent2 8 2 4" xfId="1134"/>
    <cellStyle name="40% - Accent2 8 3" xfId="1135"/>
    <cellStyle name="40% - Accent2 8 3 2" xfId="1136"/>
    <cellStyle name="40% - Accent2 8 3 2 2" xfId="1137"/>
    <cellStyle name="40% - Accent2 8 3 3" xfId="1138"/>
    <cellStyle name="40% - Accent2 8 4" xfId="1139"/>
    <cellStyle name="40% - Accent2 8 4 2" xfId="1140"/>
    <cellStyle name="40% - Accent2 8 5" xfId="1141"/>
    <cellStyle name="40% - Accent2 9" xfId="1142"/>
    <cellStyle name="40% - Accent2 9 2" xfId="1143"/>
    <cellStyle name="40% - Accent2 9 2 2" xfId="1144"/>
    <cellStyle name="40% - Accent2 9 2 2 2" xfId="1145"/>
    <cellStyle name="40% - Accent2 9 2 3" xfId="1146"/>
    <cellStyle name="40% - Accent2 9 3" xfId="1147"/>
    <cellStyle name="40% - Accent2 9 3 2" xfId="1148"/>
    <cellStyle name="40% - Accent2 9 4" xfId="1149"/>
    <cellStyle name="40% - Accent3 10" xfId="1150"/>
    <cellStyle name="40% - Accent3 10 2" xfId="1151"/>
    <cellStyle name="40% - Accent3 10 2 2" xfId="1152"/>
    <cellStyle name="40% - Accent3 10 3" xfId="1153"/>
    <cellStyle name="40% - Accent3 11" xfId="1154"/>
    <cellStyle name="40% - Accent3 11 2" xfId="1155"/>
    <cellStyle name="40% - Accent3 12" xfId="1156"/>
    <cellStyle name="40% - Accent3 2" xfId="1157"/>
    <cellStyle name="40% - Accent3 2 2" xfId="1158"/>
    <cellStyle name="40% - Accent3 2 2 2" xfId="1159"/>
    <cellStyle name="40% - Accent3 2 2 2 2" xfId="1160"/>
    <cellStyle name="40% - Accent3 2 2 2 2 2" xfId="1161"/>
    <cellStyle name="40% - Accent3 2 2 2 2 2 2" xfId="1162"/>
    <cellStyle name="40% - Accent3 2 2 2 2 3" xfId="1163"/>
    <cellStyle name="40% - Accent3 2 2 2 3" xfId="1164"/>
    <cellStyle name="40% - Accent3 2 2 2 3 2" xfId="1165"/>
    <cellStyle name="40% - Accent3 2 2 2 4" xfId="1166"/>
    <cellStyle name="40% - Accent3 2 2 3" xfId="1167"/>
    <cellStyle name="40% - Accent3 2 2 3 2" xfId="1168"/>
    <cellStyle name="40% - Accent3 2 2 3 2 2" xfId="1169"/>
    <cellStyle name="40% - Accent3 2 2 3 3" xfId="1170"/>
    <cellStyle name="40% - Accent3 2 2 4" xfId="1171"/>
    <cellStyle name="40% - Accent3 2 2 4 2" xfId="1172"/>
    <cellStyle name="40% - Accent3 2 2 5" xfId="1173"/>
    <cellStyle name="40% - Accent3 2 3" xfId="1174"/>
    <cellStyle name="40% - Accent3 2 3 2" xfId="1175"/>
    <cellStyle name="40% - Accent3 2 3 2 2" xfId="1176"/>
    <cellStyle name="40% - Accent3 2 3 2 2 2" xfId="1177"/>
    <cellStyle name="40% - Accent3 2 3 2 3" xfId="1178"/>
    <cellStyle name="40% - Accent3 2 3 3" xfId="1179"/>
    <cellStyle name="40% - Accent3 2 3 3 2" xfId="1180"/>
    <cellStyle name="40% - Accent3 2 3 4" xfId="1181"/>
    <cellStyle name="40% - Accent3 2 4" xfId="1182"/>
    <cellStyle name="40% - Accent3 2 4 2" xfId="1183"/>
    <cellStyle name="40% - Accent3 2 4 2 2" xfId="1184"/>
    <cellStyle name="40% - Accent3 2 4 3" xfId="1185"/>
    <cellStyle name="40% - Accent3 2 5" xfId="1186"/>
    <cellStyle name="40% - Accent3 2 5 2" xfId="1187"/>
    <cellStyle name="40% - Accent3 2 6" xfId="1188"/>
    <cellStyle name="40% - Accent3 3" xfId="1189"/>
    <cellStyle name="40% - Accent3 3 2" xfId="1190"/>
    <cellStyle name="40% - Accent3 3 2 2" xfId="1191"/>
    <cellStyle name="40% - Accent3 3 2 2 2" xfId="1192"/>
    <cellStyle name="40% - Accent3 3 2 2 2 2" xfId="1193"/>
    <cellStyle name="40% - Accent3 3 2 2 3" xfId="1194"/>
    <cellStyle name="40% - Accent3 3 2 3" xfId="1195"/>
    <cellStyle name="40% - Accent3 3 2 3 2" xfId="1196"/>
    <cellStyle name="40% - Accent3 3 2 4" xfId="1197"/>
    <cellStyle name="40% - Accent3 3 3" xfId="1198"/>
    <cellStyle name="40% - Accent3 3 3 2" xfId="1199"/>
    <cellStyle name="40% - Accent3 3 3 2 2" xfId="1200"/>
    <cellStyle name="40% - Accent3 3 3 3" xfId="1201"/>
    <cellStyle name="40% - Accent3 3 4" xfId="1202"/>
    <cellStyle name="40% - Accent3 3 4 2" xfId="1203"/>
    <cellStyle name="40% - Accent3 3 5" xfId="1204"/>
    <cellStyle name="40% - Accent3 4" xfId="1205"/>
    <cellStyle name="40% - Accent3 4 2" xfId="1206"/>
    <cellStyle name="40% - Accent3 4 2 2" xfId="1207"/>
    <cellStyle name="40% - Accent3 4 2 2 2" xfId="1208"/>
    <cellStyle name="40% - Accent3 4 2 2 2 2" xfId="1209"/>
    <cellStyle name="40% - Accent3 4 2 2 3" xfId="1210"/>
    <cellStyle name="40% - Accent3 4 2 3" xfId="1211"/>
    <cellStyle name="40% - Accent3 4 2 3 2" xfId="1212"/>
    <cellStyle name="40% - Accent3 4 2 4" xfId="1213"/>
    <cellStyle name="40% - Accent3 4 3" xfId="1214"/>
    <cellStyle name="40% - Accent3 4 3 2" xfId="1215"/>
    <cellStyle name="40% - Accent3 4 3 2 2" xfId="1216"/>
    <cellStyle name="40% - Accent3 4 3 3" xfId="1217"/>
    <cellStyle name="40% - Accent3 4 4" xfId="1218"/>
    <cellStyle name="40% - Accent3 4 4 2" xfId="1219"/>
    <cellStyle name="40% - Accent3 4 5" xfId="1220"/>
    <cellStyle name="40% - Accent3 5" xfId="1221"/>
    <cellStyle name="40% - Accent3 5 2" xfId="1222"/>
    <cellStyle name="40% - Accent3 5 2 2" xfId="1223"/>
    <cellStyle name="40% - Accent3 5 2 2 2" xfId="1224"/>
    <cellStyle name="40% - Accent3 5 2 2 2 2" xfId="1225"/>
    <cellStyle name="40% - Accent3 5 2 2 3" xfId="1226"/>
    <cellStyle name="40% - Accent3 5 2 3" xfId="1227"/>
    <cellStyle name="40% - Accent3 5 2 3 2" xfId="1228"/>
    <cellStyle name="40% - Accent3 5 2 4" xfId="1229"/>
    <cellStyle name="40% - Accent3 5 3" xfId="1230"/>
    <cellStyle name="40% - Accent3 5 3 2" xfId="1231"/>
    <cellStyle name="40% - Accent3 5 3 2 2" xfId="1232"/>
    <cellStyle name="40% - Accent3 5 3 3" xfId="1233"/>
    <cellStyle name="40% - Accent3 5 4" xfId="1234"/>
    <cellStyle name="40% - Accent3 5 4 2" xfId="1235"/>
    <cellStyle name="40% - Accent3 5 5" xfId="1236"/>
    <cellStyle name="40% - Accent3 6" xfId="1237"/>
    <cellStyle name="40% - Accent3 6 2" xfId="1238"/>
    <cellStyle name="40% - Accent3 6 2 2" xfId="1239"/>
    <cellStyle name="40% - Accent3 6 2 2 2" xfId="1240"/>
    <cellStyle name="40% - Accent3 6 2 2 2 2" xfId="1241"/>
    <cellStyle name="40% - Accent3 6 2 2 3" xfId="1242"/>
    <cellStyle name="40% - Accent3 6 2 3" xfId="1243"/>
    <cellStyle name="40% - Accent3 6 2 3 2" xfId="1244"/>
    <cellStyle name="40% - Accent3 6 2 4" xfId="1245"/>
    <cellStyle name="40% - Accent3 6 3" xfId="1246"/>
    <cellStyle name="40% - Accent3 6 3 2" xfId="1247"/>
    <cellStyle name="40% - Accent3 6 3 2 2" xfId="1248"/>
    <cellStyle name="40% - Accent3 6 3 3" xfId="1249"/>
    <cellStyle name="40% - Accent3 6 4" xfId="1250"/>
    <cellStyle name="40% - Accent3 6 4 2" xfId="1251"/>
    <cellStyle name="40% - Accent3 6 5" xfId="1252"/>
    <cellStyle name="40% - Accent3 7" xfId="1253"/>
    <cellStyle name="40% - Accent3 7 2" xfId="1254"/>
    <cellStyle name="40% - Accent3 7 2 2" xfId="1255"/>
    <cellStyle name="40% - Accent3 7 2 2 2" xfId="1256"/>
    <cellStyle name="40% - Accent3 7 2 2 2 2" xfId="1257"/>
    <cellStyle name="40% - Accent3 7 2 2 3" xfId="1258"/>
    <cellStyle name="40% - Accent3 7 2 3" xfId="1259"/>
    <cellStyle name="40% - Accent3 7 2 3 2" xfId="1260"/>
    <cellStyle name="40% - Accent3 7 2 4" xfId="1261"/>
    <cellStyle name="40% - Accent3 7 3" xfId="1262"/>
    <cellStyle name="40% - Accent3 7 3 2" xfId="1263"/>
    <cellStyle name="40% - Accent3 7 3 2 2" xfId="1264"/>
    <cellStyle name="40% - Accent3 7 3 3" xfId="1265"/>
    <cellStyle name="40% - Accent3 7 4" xfId="1266"/>
    <cellStyle name="40% - Accent3 7 4 2" xfId="1267"/>
    <cellStyle name="40% - Accent3 7 5" xfId="1268"/>
    <cellStyle name="40% - Accent3 8" xfId="1269"/>
    <cellStyle name="40% - Accent3 8 2" xfId="1270"/>
    <cellStyle name="40% - Accent3 8 2 2" xfId="1271"/>
    <cellStyle name="40% - Accent3 8 2 2 2" xfId="1272"/>
    <cellStyle name="40% - Accent3 8 2 2 2 2" xfId="1273"/>
    <cellStyle name="40% - Accent3 8 2 2 3" xfId="1274"/>
    <cellStyle name="40% - Accent3 8 2 3" xfId="1275"/>
    <cellStyle name="40% - Accent3 8 2 3 2" xfId="1276"/>
    <cellStyle name="40% - Accent3 8 2 4" xfId="1277"/>
    <cellStyle name="40% - Accent3 8 3" xfId="1278"/>
    <cellStyle name="40% - Accent3 8 3 2" xfId="1279"/>
    <cellStyle name="40% - Accent3 8 3 2 2" xfId="1280"/>
    <cellStyle name="40% - Accent3 8 3 3" xfId="1281"/>
    <cellStyle name="40% - Accent3 8 4" xfId="1282"/>
    <cellStyle name="40% - Accent3 8 4 2" xfId="1283"/>
    <cellStyle name="40% - Accent3 8 5" xfId="1284"/>
    <cellStyle name="40% - Accent3 9" xfId="1285"/>
    <cellStyle name="40% - Accent3 9 2" xfId="1286"/>
    <cellStyle name="40% - Accent3 9 2 2" xfId="1287"/>
    <cellStyle name="40% - Accent3 9 2 2 2" xfId="1288"/>
    <cellStyle name="40% - Accent3 9 2 3" xfId="1289"/>
    <cellStyle name="40% - Accent3 9 3" xfId="1290"/>
    <cellStyle name="40% - Accent3 9 3 2" xfId="1291"/>
    <cellStyle name="40% - Accent3 9 4" xfId="1292"/>
    <cellStyle name="40% - Accent4 10" xfId="1293"/>
    <cellStyle name="40% - Accent4 10 2" xfId="1294"/>
    <cellStyle name="40% - Accent4 10 2 2" xfId="1295"/>
    <cellStyle name="40% - Accent4 10 3" xfId="1296"/>
    <cellStyle name="40% - Accent4 11" xfId="1297"/>
    <cellStyle name="40% - Accent4 11 2" xfId="1298"/>
    <cellStyle name="40% - Accent4 12" xfId="1299"/>
    <cellStyle name="40% - Accent4 2" xfId="1300"/>
    <cellStyle name="40% - Accent4 2 2" xfId="1301"/>
    <cellStyle name="40% - Accent4 2 2 2" xfId="1302"/>
    <cellStyle name="40% - Accent4 2 2 2 2" xfId="1303"/>
    <cellStyle name="40% - Accent4 2 2 2 2 2" xfId="1304"/>
    <cellStyle name="40% - Accent4 2 2 2 2 2 2" xfId="1305"/>
    <cellStyle name="40% - Accent4 2 2 2 2 3" xfId="1306"/>
    <cellStyle name="40% - Accent4 2 2 2 3" xfId="1307"/>
    <cellStyle name="40% - Accent4 2 2 2 3 2" xfId="1308"/>
    <cellStyle name="40% - Accent4 2 2 2 4" xfId="1309"/>
    <cellStyle name="40% - Accent4 2 2 3" xfId="1310"/>
    <cellStyle name="40% - Accent4 2 2 3 2" xfId="1311"/>
    <cellStyle name="40% - Accent4 2 2 3 2 2" xfId="1312"/>
    <cellStyle name="40% - Accent4 2 2 3 3" xfId="1313"/>
    <cellStyle name="40% - Accent4 2 2 4" xfId="1314"/>
    <cellStyle name="40% - Accent4 2 2 4 2" xfId="1315"/>
    <cellStyle name="40% - Accent4 2 2 5" xfId="1316"/>
    <cellStyle name="40% - Accent4 2 3" xfId="1317"/>
    <cellStyle name="40% - Accent4 2 3 2" xfId="1318"/>
    <cellStyle name="40% - Accent4 2 3 2 2" xfId="1319"/>
    <cellStyle name="40% - Accent4 2 3 2 2 2" xfId="1320"/>
    <cellStyle name="40% - Accent4 2 3 2 3" xfId="1321"/>
    <cellStyle name="40% - Accent4 2 3 3" xfId="1322"/>
    <cellStyle name="40% - Accent4 2 3 3 2" xfId="1323"/>
    <cellStyle name="40% - Accent4 2 3 4" xfId="1324"/>
    <cellStyle name="40% - Accent4 2 4" xfId="1325"/>
    <cellStyle name="40% - Accent4 2 4 2" xfId="1326"/>
    <cellStyle name="40% - Accent4 2 4 2 2" xfId="1327"/>
    <cellStyle name="40% - Accent4 2 4 3" xfId="1328"/>
    <cellStyle name="40% - Accent4 2 5" xfId="1329"/>
    <cellStyle name="40% - Accent4 2 5 2" xfId="1330"/>
    <cellStyle name="40% - Accent4 2 6" xfId="1331"/>
    <cellStyle name="40% - Accent4 3" xfId="1332"/>
    <cellStyle name="40% - Accent4 3 2" xfId="1333"/>
    <cellStyle name="40% - Accent4 3 2 2" xfId="1334"/>
    <cellStyle name="40% - Accent4 3 2 2 2" xfId="1335"/>
    <cellStyle name="40% - Accent4 3 2 2 2 2" xfId="1336"/>
    <cellStyle name="40% - Accent4 3 2 2 3" xfId="1337"/>
    <cellStyle name="40% - Accent4 3 2 3" xfId="1338"/>
    <cellStyle name="40% - Accent4 3 2 3 2" xfId="1339"/>
    <cellStyle name="40% - Accent4 3 2 4" xfId="1340"/>
    <cellStyle name="40% - Accent4 3 3" xfId="1341"/>
    <cellStyle name="40% - Accent4 3 3 2" xfId="1342"/>
    <cellStyle name="40% - Accent4 3 3 2 2" xfId="1343"/>
    <cellStyle name="40% - Accent4 3 3 3" xfId="1344"/>
    <cellStyle name="40% - Accent4 3 4" xfId="1345"/>
    <cellStyle name="40% - Accent4 3 4 2" xfId="1346"/>
    <cellStyle name="40% - Accent4 3 5" xfId="1347"/>
    <cellStyle name="40% - Accent4 4" xfId="1348"/>
    <cellStyle name="40% - Accent4 4 2" xfId="1349"/>
    <cellStyle name="40% - Accent4 4 2 2" xfId="1350"/>
    <cellStyle name="40% - Accent4 4 2 2 2" xfId="1351"/>
    <cellStyle name="40% - Accent4 4 2 2 2 2" xfId="1352"/>
    <cellStyle name="40% - Accent4 4 2 2 3" xfId="1353"/>
    <cellStyle name="40% - Accent4 4 2 3" xfId="1354"/>
    <cellStyle name="40% - Accent4 4 2 3 2" xfId="1355"/>
    <cellStyle name="40% - Accent4 4 2 4" xfId="1356"/>
    <cellStyle name="40% - Accent4 4 3" xfId="1357"/>
    <cellStyle name="40% - Accent4 4 3 2" xfId="1358"/>
    <cellStyle name="40% - Accent4 4 3 2 2" xfId="1359"/>
    <cellStyle name="40% - Accent4 4 3 3" xfId="1360"/>
    <cellStyle name="40% - Accent4 4 4" xfId="1361"/>
    <cellStyle name="40% - Accent4 4 4 2" xfId="1362"/>
    <cellStyle name="40% - Accent4 4 5" xfId="1363"/>
    <cellStyle name="40% - Accent4 5" xfId="1364"/>
    <cellStyle name="40% - Accent4 5 2" xfId="1365"/>
    <cellStyle name="40% - Accent4 5 2 2" xfId="1366"/>
    <cellStyle name="40% - Accent4 5 2 2 2" xfId="1367"/>
    <cellStyle name="40% - Accent4 5 2 2 2 2" xfId="1368"/>
    <cellStyle name="40% - Accent4 5 2 2 3" xfId="1369"/>
    <cellStyle name="40% - Accent4 5 2 3" xfId="1370"/>
    <cellStyle name="40% - Accent4 5 2 3 2" xfId="1371"/>
    <cellStyle name="40% - Accent4 5 2 4" xfId="1372"/>
    <cellStyle name="40% - Accent4 5 3" xfId="1373"/>
    <cellStyle name="40% - Accent4 5 3 2" xfId="1374"/>
    <cellStyle name="40% - Accent4 5 3 2 2" xfId="1375"/>
    <cellStyle name="40% - Accent4 5 3 3" xfId="1376"/>
    <cellStyle name="40% - Accent4 5 4" xfId="1377"/>
    <cellStyle name="40% - Accent4 5 4 2" xfId="1378"/>
    <cellStyle name="40% - Accent4 5 5" xfId="1379"/>
    <cellStyle name="40% - Accent4 6" xfId="1380"/>
    <cellStyle name="40% - Accent4 6 2" xfId="1381"/>
    <cellStyle name="40% - Accent4 6 2 2" xfId="1382"/>
    <cellStyle name="40% - Accent4 6 2 2 2" xfId="1383"/>
    <cellStyle name="40% - Accent4 6 2 2 2 2" xfId="1384"/>
    <cellStyle name="40% - Accent4 6 2 2 3" xfId="1385"/>
    <cellStyle name="40% - Accent4 6 2 3" xfId="1386"/>
    <cellStyle name="40% - Accent4 6 2 3 2" xfId="1387"/>
    <cellStyle name="40% - Accent4 6 2 4" xfId="1388"/>
    <cellStyle name="40% - Accent4 6 3" xfId="1389"/>
    <cellStyle name="40% - Accent4 6 3 2" xfId="1390"/>
    <cellStyle name="40% - Accent4 6 3 2 2" xfId="1391"/>
    <cellStyle name="40% - Accent4 6 3 3" xfId="1392"/>
    <cellStyle name="40% - Accent4 6 4" xfId="1393"/>
    <cellStyle name="40% - Accent4 6 4 2" xfId="1394"/>
    <cellStyle name="40% - Accent4 6 5" xfId="1395"/>
    <cellStyle name="40% - Accent4 7" xfId="1396"/>
    <cellStyle name="40% - Accent4 7 2" xfId="1397"/>
    <cellStyle name="40% - Accent4 7 2 2" xfId="1398"/>
    <cellStyle name="40% - Accent4 7 2 2 2" xfId="1399"/>
    <cellStyle name="40% - Accent4 7 2 2 2 2" xfId="1400"/>
    <cellStyle name="40% - Accent4 7 2 2 3" xfId="1401"/>
    <cellStyle name="40% - Accent4 7 2 3" xfId="1402"/>
    <cellStyle name="40% - Accent4 7 2 3 2" xfId="1403"/>
    <cellStyle name="40% - Accent4 7 2 4" xfId="1404"/>
    <cellStyle name="40% - Accent4 7 3" xfId="1405"/>
    <cellStyle name="40% - Accent4 7 3 2" xfId="1406"/>
    <cellStyle name="40% - Accent4 7 3 2 2" xfId="1407"/>
    <cellStyle name="40% - Accent4 7 3 3" xfId="1408"/>
    <cellStyle name="40% - Accent4 7 4" xfId="1409"/>
    <cellStyle name="40% - Accent4 7 4 2" xfId="1410"/>
    <cellStyle name="40% - Accent4 7 5" xfId="1411"/>
    <cellStyle name="40% - Accent4 8" xfId="1412"/>
    <cellStyle name="40% - Accent4 8 2" xfId="1413"/>
    <cellStyle name="40% - Accent4 8 2 2" xfId="1414"/>
    <cellStyle name="40% - Accent4 8 2 2 2" xfId="1415"/>
    <cellStyle name="40% - Accent4 8 2 2 2 2" xfId="1416"/>
    <cellStyle name="40% - Accent4 8 2 2 3" xfId="1417"/>
    <cellStyle name="40% - Accent4 8 2 3" xfId="1418"/>
    <cellStyle name="40% - Accent4 8 2 3 2" xfId="1419"/>
    <cellStyle name="40% - Accent4 8 2 4" xfId="1420"/>
    <cellStyle name="40% - Accent4 8 3" xfId="1421"/>
    <cellStyle name="40% - Accent4 8 3 2" xfId="1422"/>
    <cellStyle name="40% - Accent4 8 3 2 2" xfId="1423"/>
    <cellStyle name="40% - Accent4 8 3 3" xfId="1424"/>
    <cellStyle name="40% - Accent4 8 4" xfId="1425"/>
    <cellStyle name="40% - Accent4 8 4 2" xfId="1426"/>
    <cellStyle name="40% - Accent4 8 5" xfId="1427"/>
    <cellStyle name="40% - Accent4 9" xfId="1428"/>
    <cellStyle name="40% - Accent4 9 2" xfId="1429"/>
    <cellStyle name="40% - Accent4 9 2 2" xfId="1430"/>
    <cellStyle name="40% - Accent4 9 2 2 2" xfId="1431"/>
    <cellStyle name="40% - Accent4 9 2 3" xfId="1432"/>
    <cellStyle name="40% - Accent4 9 3" xfId="1433"/>
    <cellStyle name="40% - Accent4 9 3 2" xfId="1434"/>
    <cellStyle name="40% - Accent4 9 4" xfId="1435"/>
    <cellStyle name="40% - Accent5 10" xfId="1436"/>
    <cellStyle name="40% - Accent5 10 2" xfId="1437"/>
    <cellStyle name="40% - Accent5 10 2 2" xfId="1438"/>
    <cellStyle name="40% - Accent5 10 3" xfId="1439"/>
    <cellStyle name="40% - Accent5 11" xfId="1440"/>
    <cellStyle name="40% - Accent5 11 2" xfId="1441"/>
    <cellStyle name="40% - Accent5 12" xfId="1442"/>
    <cellStyle name="40% - Accent5 2" xfId="1443"/>
    <cellStyle name="40% - Accent5 2 2" xfId="1444"/>
    <cellStyle name="40% - Accent5 2 2 2" xfId="1445"/>
    <cellStyle name="40% - Accent5 2 2 2 2" xfId="1446"/>
    <cellStyle name="40% - Accent5 2 2 2 2 2" xfId="1447"/>
    <cellStyle name="40% - Accent5 2 2 2 2 2 2" xfId="1448"/>
    <cellStyle name="40% - Accent5 2 2 2 2 3" xfId="1449"/>
    <cellStyle name="40% - Accent5 2 2 2 3" xfId="1450"/>
    <cellStyle name="40% - Accent5 2 2 2 3 2" xfId="1451"/>
    <cellStyle name="40% - Accent5 2 2 2 4" xfId="1452"/>
    <cellStyle name="40% - Accent5 2 2 3" xfId="1453"/>
    <cellStyle name="40% - Accent5 2 2 3 2" xfId="1454"/>
    <cellStyle name="40% - Accent5 2 2 3 2 2" xfId="1455"/>
    <cellStyle name="40% - Accent5 2 2 3 3" xfId="1456"/>
    <cellStyle name="40% - Accent5 2 2 4" xfId="1457"/>
    <cellStyle name="40% - Accent5 2 2 4 2" xfId="1458"/>
    <cellStyle name="40% - Accent5 2 2 5" xfId="1459"/>
    <cellStyle name="40% - Accent5 2 3" xfId="1460"/>
    <cellStyle name="40% - Accent5 2 3 2" xfId="1461"/>
    <cellStyle name="40% - Accent5 2 3 2 2" xfId="1462"/>
    <cellStyle name="40% - Accent5 2 3 2 2 2" xfId="1463"/>
    <cellStyle name="40% - Accent5 2 3 2 3" xfId="1464"/>
    <cellStyle name="40% - Accent5 2 3 3" xfId="1465"/>
    <cellStyle name="40% - Accent5 2 3 3 2" xfId="1466"/>
    <cellStyle name="40% - Accent5 2 3 4" xfId="1467"/>
    <cellStyle name="40% - Accent5 2 4" xfId="1468"/>
    <cellStyle name="40% - Accent5 2 4 2" xfId="1469"/>
    <cellStyle name="40% - Accent5 2 4 2 2" xfId="1470"/>
    <cellStyle name="40% - Accent5 2 4 3" xfId="1471"/>
    <cellStyle name="40% - Accent5 2 5" xfId="1472"/>
    <cellStyle name="40% - Accent5 2 5 2" xfId="1473"/>
    <cellStyle name="40% - Accent5 2 6" xfId="1474"/>
    <cellStyle name="40% - Accent5 3" xfId="1475"/>
    <cellStyle name="40% - Accent5 3 2" xfId="1476"/>
    <cellStyle name="40% - Accent5 3 2 2" xfId="1477"/>
    <cellStyle name="40% - Accent5 3 2 2 2" xfId="1478"/>
    <cellStyle name="40% - Accent5 3 2 2 2 2" xfId="1479"/>
    <cellStyle name="40% - Accent5 3 2 2 3" xfId="1480"/>
    <cellStyle name="40% - Accent5 3 2 3" xfId="1481"/>
    <cellStyle name="40% - Accent5 3 2 3 2" xfId="1482"/>
    <cellStyle name="40% - Accent5 3 2 4" xfId="1483"/>
    <cellStyle name="40% - Accent5 3 3" xfId="1484"/>
    <cellStyle name="40% - Accent5 3 3 2" xfId="1485"/>
    <cellStyle name="40% - Accent5 3 3 2 2" xfId="1486"/>
    <cellStyle name="40% - Accent5 3 3 3" xfId="1487"/>
    <cellStyle name="40% - Accent5 3 4" xfId="1488"/>
    <cellStyle name="40% - Accent5 3 4 2" xfId="1489"/>
    <cellStyle name="40% - Accent5 3 5" xfId="1490"/>
    <cellStyle name="40% - Accent5 4" xfId="1491"/>
    <cellStyle name="40% - Accent5 4 2" xfId="1492"/>
    <cellStyle name="40% - Accent5 4 2 2" xfId="1493"/>
    <cellStyle name="40% - Accent5 4 2 2 2" xfId="1494"/>
    <cellStyle name="40% - Accent5 4 2 2 2 2" xfId="1495"/>
    <cellStyle name="40% - Accent5 4 2 2 3" xfId="1496"/>
    <cellStyle name="40% - Accent5 4 2 3" xfId="1497"/>
    <cellStyle name="40% - Accent5 4 2 3 2" xfId="1498"/>
    <cellStyle name="40% - Accent5 4 2 4" xfId="1499"/>
    <cellStyle name="40% - Accent5 4 3" xfId="1500"/>
    <cellStyle name="40% - Accent5 4 3 2" xfId="1501"/>
    <cellStyle name="40% - Accent5 4 3 2 2" xfId="1502"/>
    <cellStyle name="40% - Accent5 4 3 3" xfId="1503"/>
    <cellStyle name="40% - Accent5 4 4" xfId="1504"/>
    <cellStyle name="40% - Accent5 4 4 2" xfId="1505"/>
    <cellStyle name="40% - Accent5 4 5" xfId="1506"/>
    <cellStyle name="40% - Accent5 5" xfId="1507"/>
    <cellStyle name="40% - Accent5 5 2" xfId="1508"/>
    <cellStyle name="40% - Accent5 5 2 2" xfId="1509"/>
    <cellStyle name="40% - Accent5 5 2 2 2" xfId="1510"/>
    <cellStyle name="40% - Accent5 5 2 2 2 2" xfId="1511"/>
    <cellStyle name="40% - Accent5 5 2 2 3" xfId="1512"/>
    <cellStyle name="40% - Accent5 5 2 3" xfId="1513"/>
    <cellStyle name="40% - Accent5 5 2 3 2" xfId="1514"/>
    <cellStyle name="40% - Accent5 5 2 4" xfId="1515"/>
    <cellStyle name="40% - Accent5 5 3" xfId="1516"/>
    <cellStyle name="40% - Accent5 5 3 2" xfId="1517"/>
    <cellStyle name="40% - Accent5 5 3 2 2" xfId="1518"/>
    <cellStyle name="40% - Accent5 5 3 3" xfId="1519"/>
    <cellStyle name="40% - Accent5 5 4" xfId="1520"/>
    <cellStyle name="40% - Accent5 5 4 2" xfId="1521"/>
    <cellStyle name="40% - Accent5 5 5" xfId="1522"/>
    <cellStyle name="40% - Accent5 6" xfId="1523"/>
    <cellStyle name="40% - Accent5 6 2" xfId="1524"/>
    <cellStyle name="40% - Accent5 6 2 2" xfId="1525"/>
    <cellStyle name="40% - Accent5 6 2 2 2" xfId="1526"/>
    <cellStyle name="40% - Accent5 6 2 2 2 2" xfId="1527"/>
    <cellStyle name="40% - Accent5 6 2 2 3" xfId="1528"/>
    <cellStyle name="40% - Accent5 6 2 3" xfId="1529"/>
    <cellStyle name="40% - Accent5 6 2 3 2" xfId="1530"/>
    <cellStyle name="40% - Accent5 6 2 4" xfId="1531"/>
    <cellStyle name="40% - Accent5 6 3" xfId="1532"/>
    <cellStyle name="40% - Accent5 6 3 2" xfId="1533"/>
    <cellStyle name="40% - Accent5 6 3 2 2" xfId="1534"/>
    <cellStyle name="40% - Accent5 6 3 3" xfId="1535"/>
    <cellStyle name="40% - Accent5 6 4" xfId="1536"/>
    <cellStyle name="40% - Accent5 6 4 2" xfId="1537"/>
    <cellStyle name="40% - Accent5 6 5" xfId="1538"/>
    <cellStyle name="40% - Accent5 7" xfId="1539"/>
    <cellStyle name="40% - Accent5 7 2" xfId="1540"/>
    <cellStyle name="40% - Accent5 7 2 2" xfId="1541"/>
    <cellStyle name="40% - Accent5 7 2 2 2" xfId="1542"/>
    <cellStyle name="40% - Accent5 7 2 2 2 2" xfId="1543"/>
    <cellStyle name="40% - Accent5 7 2 2 3" xfId="1544"/>
    <cellStyle name="40% - Accent5 7 2 3" xfId="1545"/>
    <cellStyle name="40% - Accent5 7 2 3 2" xfId="1546"/>
    <cellStyle name="40% - Accent5 7 2 4" xfId="1547"/>
    <cellStyle name="40% - Accent5 7 3" xfId="1548"/>
    <cellStyle name="40% - Accent5 7 3 2" xfId="1549"/>
    <cellStyle name="40% - Accent5 7 3 2 2" xfId="1550"/>
    <cellStyle name="40% - Accent5 7 3 3" xfId="1551"/>
    <cellStyle name="40% - Accent5 7 4" xfId="1552"/>
    <cellStyle name="40% - Accent5 7 4 2" xfId="1553"/>
    <cellStyle name="40% - Accent5 7 5" xfId="1554"/>
    <cellStyle name="40% - Accent5 8" xfId="1555"/>
    <cellStyle name="40% - Accent5 8 2" xfId="1556"/>
    <cellStyle name="40% - Accent5 8 2 2" xfId="1557"/>
    <cellStyle name="40% - Accent5 8 2 2 2" xfId="1558"/>
    <cellStyle name="40% - Accent5 8 2 2 2 2" xfId="1559"/>
    <cellStyle name="40% - Accent5 8 2 2 3" xfId="1560"/>
    <cellStyle name="40% - Accent5 8 2 3" xfId="1561"/>
    <cellStyle name="40% - Accent5 8 2 3 2" xfId="1562"/>
    <cellStyle name="40% - Accent5 8 2 4" xfId="1563"/>
    <cellStyle name="40% - Accent5 8 3" xfId="1564"/>
    <cellStyle name="40% - Accent5 8 3 2" xfId="1565"/>
    <cellStyle name="40% - Accent5 8 3 2 2" xfId="1566"/>
    <cellStyle name="40% - Accent5 8 3 3" xfId="1567"/>
    <cellStyle name="40% - Accent5 8 4" xfId="1568"/>
    <cellStyle name="40% - Accent5 8 4 2" xfId="1569"/>
    <cellStyle name="40% - Accent5 8 5" xfId="1570"/>
    <cellStyle name="40% - Accent5 9" xfId="1571"/>
    <cellStyle name="40% - Accent5 9 2" xfId="1572"/>
    <cellStyle name="40% - Accent5 9 2 2" xfId="1573"/>
    <cellStyle name="40% - Accent5 9 2 2 2" xfId="1574"/>
    <cellStyle name="40% - Accent5 9 2 3" xfId="1575"/>
    <cellStyle name="40% - Accent5 9 3" xfId="1576"/>
    <cellStyle name="40% - Accent5 9 3 2" xfId="1577"/>
    <cellStyle name="40% - Accent5 9 4" xfId="1578"/>
    <cellStyle name="40% - Accent6 10" xfId="1579"/>
    <cellStyle name="40% - Accent6 10 2" xfId="1580"/>
    <cellStyle name="40% - Accent6 10 2 2" xfId="1581"/>
    <cellStyle name="40% - Accent6 10 3" xfId="1582"/>
    <cellStyle name="40% - Accent6 11" xfId="1583"/>
    <cellStyle name="40% - Accent6 11 2" xfId="1584"/>
    <cellStyle name="40% - Accent6 12" xfId="1585"/>
    <cellStyle name="40% - Accent6 2" xfId="1586"/>
    <cellStyle name="40% - Accent6 2 2" xfId="1587"/>
    <cellStyle name="40% - Accent6 2 2 2" xfId="1588"/>
    <cellStyle name="40% - Accent6 2 2 2 2" xfId="1589"/>
    <cellStyle name="40% - Accent6 2 2 2 2 2" xfId="1590"/>
    <cellStyle name="40% - Accent6 2 2 2 2 2 2" xfId="1591"/>
    <cellStyle name="40% - Accent6 2 2 2 2 3" xfId="1592"/>
    <cellStyle name="40% - Accent6 2 2 2 3" xfId="1593"/>
    <cellStyle name="40% - Accent6 2 2 2 3 2" xfId="1594"/>
    <cellStyle name="40% - Accent6 2 2 2 4" xfId="1595"/>
    <cellStyle name="40% - Accent6 2 2 3" xfId="1596"/>
    <cellStyle name="40% - Accent6 2 2 3 2" xfId="1597"/>
    <cellStyle name="40% - Accent6 2 2 3 2 2" xfId="1598"/>
    <cellStyle name="40% - Accent6 2 2 3 3" xfId="1599"/>
    <cellStyle name="40% - Accent6 2 2 4" xfId="1600"/>
    <cellStyle name="40% - Accent6 2 2 4 2" xfId="1601"/>
    <cellStyle name="40% - Accent6 2 2 5" xfId="1602"/>
    <cellStyle name="40% - Accent6 2 3" xfId="1603"/>
    <cellStyle name="40% - Accent6 2 3 2" xfId="1604"/>
    <cellStyle name="40% - Accent6 2 3 2 2" xfId="1605"/>
    <cellStyle name="40% - Accent6 2 3 2 2 2" xfId="1606"/>
    <cellStyle name="40% - Accent6 2 3 2 3" xfId="1607"/>
    <cellStyle name="40% - Accent6 2 3 3" xfId="1608"/>
    <cellStyle name="40% - Accent6 2 3 3 2" xfId="1609"/>
    <cellStyle name="40% - Accent6 2 3 4" xfId="1610"/>
    <cellStyle name="40% - Accent6 2 4" xfId="1611"/>
    <cellStyle name="40% - Accent6 2 4 2" xfId="1612"/>
    <cellStyle name="40% - Accent6 2 4 2 2" xfId="1613"/>
    <cellStyle name="40% - Accent6 2 4 3" xfId="1614"/>
    <cellStyle name="40% - Accent6 2 5" xfId="1615"/>
    <cellStyle name="40% - Accent6 2 5 2" xfId="1616"/>
    <cellStyle name="40% - Accent6 2 6" xfId="1617"/>
    <cellStyle name="40% - Accent6 3" xfId="1618"/>
    <cellStyle name="40% - Accent6 3 2" xfId="1619"/>
    <cellStyle name="40% - Accent6 3 2 2" xfId="1620"/>
    <cellStyle name="40% - Accent6 3 2 2 2" xfId="1621"/>
    <cellStyle name="40% - Accent6 3 2 2 2 2" xfId="1622"/>
    <cellStyle name="40% - Accent6 3 2 2 3" xfId="1623"/>
    <cellStyle name="40% - Accent6 3 2 3" xfId="1624"/>
    <cellStyle name="40% - Accent6 3 2 3 2" xfId="1625"/>
    <cellStyle name="40% - Accent6 3 2 4" xfId="1626"/>
    <cellStyle name="40% - Accent6 3 3" xfId="1627"/>
    <cellStyle name="40% - Accent6 3 3 2" xfId="1628"/>
    <cellStyle name="40% - Accent6 3 3 2 2" xfId="1629"/>
    <cellStyle name="40% - Accent6 3 3 3" xfId="1630"/>
    <cellStyle name="40% - Accent6 3 4" xfId="1631"/>
    <cellStyle name="40% - Accent6 3 4 2" xfId="1632"/>
    <cellStyle name="40% - Accent6 3 5" xfId="1633"/>
    <cellStyle name="40% - Accent6 4" xfId="1634"/>
    <cellStyle name="40% - Accent6 4 2" xfId="1635"/>
    <cellStyle name="40% - Accent6 4 2 2" xfId="1636"/>
    <cellStyle name="40% - Accent6 4 2 2 2" xfId="1637"/>
    <cellStyle name="40% - Accent6 4 2 2 2 2" xfId="1638"/>
    <cellStyle name="40% - Accent6 4 2 2 3" xfId="1639"/>
    <cellStyle name="40% - Accent6 4 2 3" xfId="1640"/>
    <cellStyle name="40% - Accent6 4 2 3 2" xfId="1641"/>
    <cellStyle name="40% - Accent6 4 2 4" xfId="1642"/>
    <cellStyle name="40% - Accent6 4 3" xfId="1643"/>
    <cellStyle name="40% - Accent6 4 3 2" xfId="1644"/>
    <cellStyle name="40% - Accent6 4 3 2 2" xfId="1645"/>
    <cellStyle name="40% - Accent6 4 3 3" xfId="1646"/>
    <cellStyle name="40% - Accent6 4 4" xfId="1647"/>
    <cellStyle name="40% - Accent6 4 4 2" xfId="1648"/>
    <cellStyle name="40% - Accent6 4 5" xfId="1649"/>
    <cellStyle name="40% - Accent6 5" xfId="1650"/>
    <cellStyle name="40% - Accent6 5 2" xfId="1651"/>
    <cellStyle name="40% - Accent6 5 2 2" xfId="1652"/>
    <cellStyle name="40% - Accent6 5 2 2 2" xfId="1653"/>
    <cellStyle name="40% - Accent6 5 2 2 2 2" xfId="1654"/>
    <cellStyle name="40% - Accent6 5 2 2 3" xfId="1655"/>
    <cellStyle name="40% - Accent6 5 2 3" xfId="1656"/>
    <cellStyle name="40% - Accent6 5 2 3 2" xfId="1657"/>
    <cellStyle name="40% - Accent6 5 2 4" xfId="1658"/>
    <cellStyle name="40% - Accent6 5 3" xfId="1659"/>
    <cellStyle name="40% - Accent6 5 3 2" xfId="1660"/>
    <cellStyle name="40% - Accent6 5 3 2 2" xfId="1661"/>
    <cellStyle name="40% - Accent6 5 3 3" xfId="1662"/>
    <cellStyle name="40% - Accent6 5 4" xfId="1663"/>
    <cellStyle name="40% - Accent6 5 4 2" xfId="1664"/>
    <cellStyle name="40% - Accent6 5 5" xfId="1665"/>
    <cellStyle name="40% - Accent6 6" xfId="1666"/>
    <cellStyle name="40% - Accent6 6 2" xfId="1667"/>
    <cellStyle name="40% - Accent6 6 2 2" xfId="1668"/>
    <cellStyle name="40% - Accent6 6 2 2 2" xfId="1669"/>
    <cellStyle name="40% - Accent6 6 2 2 2 2" xfId="1670"/>
    <cellStyle name="40% - Accent6 6 2 2 3" xfId="1671"/>
    <cellStyle name="40% - Accent6 6 2 3" xfId="1672"/>
    <cellStyle name="40% - Accent6 6 2 3 2" xfId="1673"/>
    <cellStyle name="40% - Accent6 6 2 4" xfId="1674"/>
    <cellStyle name="40% - Accent6 6 3" xfId="1675"/>
    <cellStyle name="40% - Accent6 6 3 2" xfId="1676"/>
    <cellStyle name="40% - Accent6 6 3 2 2" xfId="1677"/>
    <cellStyle name="40% - Accent6 6 3 3" xfId="1678"/>
    <cellStyle name="40% - Accent6 6 4" xfId="1679"/>
    <cellStyle name="40% - Accent6 6 4 2" xfId="1680"/>
    <cellStyle name="40% - Accent6 6 5" xfId="1681"/>
    <cellStyle name="40% - Accent6 7" xfId="1682"/>
    <cellStyle name="40% - Accent6 7 2" xfId="1683"/>
    <cellStyle name="40% - Accent6 7 2 2" xfId="1684"/>
    <cellStyle name="40% - Accent6 7 2 2 2" xfId="1685"/>
    <cellStyle name="40% - Accent6 7 2 2 2 2" xfId="1686"/>
    <cellStyle name="40% - Accent6 7 2 2 3" xfId="1687"/>
    <cellStyle name="40% - Accent6 7 2 3" xfId="1688"/>
    <cellStyle name="40% - Accent6 7 2 3 2" xfId="1689"/>
    <cellStyle name="40% - Accent6 7 2 4" xfId="1690"/>
    <cellStyle name="40% - Accent6 7 3" xfId="1691"/>
    <cellStyle name="40% - Accent6 7 3 2" xfId="1692"/>
    <cellStyle name="40% - Accent6 7 3 2 2" xfId="1693"/>
    <cellStyle name="40% - Accent6 7 3 3" xfId="1694"/>
    <cellStyle name="40% - Accent6 7 4" xfId="1695"/>
    <cellStyle name="40% - Accent6 7 4 2" xfId="1696"/>
    <cellStyle name="40% - Accent6 7 5" xfId="1697"/>
    <cellStyle name="40% - Accent6 8" xfId="1698"/>
    <cellStyle name="40% - Accent6 8 2" xfId="1699"/>
    <cellStyle name="40% - Accent6 8 2 2" xfId="1700"/>
    <cellStyle name="40% - Accent6 8 2 2 2" xfId="1701"/>
    <cellStyle name="40% - Accent6 8 2 2 2 2" xfId="1702"/>
    <cellStyle name="40% - Accent6 8 2 2 3" xfId="1703"/>
    <cellStyle name="40% - Accent6 8 2 3" xfId="1704"/>
    <cellStyle name="40% - Accent6 8 2 3 2" xfId="1705"/>
    <cellStyle name="40% - Accent6 8 2 4" xfId="1706"/>
    <cellStyle name="40% - Accent6 8 3" xfId="1707"/>
    <cellStyle name="40% - Accent6 8 3 2" xfId="1708"/>
    <cellStyle name="40% - Accent6 8 3 2 2" xfId="1709"/>
    <cellStyle name="40% - Accent6 8 3 3" xfId="1710"/>
    <cellStyle name="40% - Accent6 8 4" xfId="1711"/>
    <cellStyle name="40% - Accent6 8 4 2" xfId="1712"/>
    <cellStyle name="40% - Accent6 8 5" xfId="1713"/>
    <cellStyle name="40% - Accent6 9" xfId="1714"/>
    <cellStyle name="40% - Accent6 9 2" xfId="1715"/>
    <cellStyle name="40% - Accent6 9 2 2" xfId="1716"/>
    <cellStyle name="40% - Accent6 9 2 2 2" xfId="1717"/>
    <cellStyle name="40% - Accent6 9 2 3" xfId="1718"/>
    <cellStyle name="40% - Accent6 9 3" xfId="1719"/>
    <cellStyle name="40% - Accent6 9 3 2" xfId="1720"/>
    <cellStyle name="40% - Accent6 9 4" xfId="1721"/>
    <cellStyle name="Comma" xfId="1" builtinId="3"/>
    <cellStyle name="Comma [0] 2" xfId="1722"/>
    <cellStyle name="Comma [0] 2 2" xfId="1723"/>
    <cellStyle name="Comma 10" xfId="1724"/>
    <cellStyle name="Comma 11" xfId="1725"/>
    <cellStyle name="Comma 12" xfId="1726"/>
    <cellStyle name="Comma 13" xfId="1727"/>
    <cellStyle name="Comma 14" xfId="1728"/>
    <cellStyle name="Comma 15" xfId="1729"/>
    <cellStyle name="Comma 16" xfId="1730"/>
    <cellStyle name="Comma 17" xfId="1731"/>
    <cellStyle name="Comma 18" xfId="1732"/>
    <cellStyle name="Comma 19" xfId="1733"/>
    <cellStyle name="Comma 2" xfId="1734"/>
    <cellStyle name="Comma 2 2" xfId="1735"/>
    <cellStyle name="Comma 2 2 2" xfId="1736"/>
    <cellStyle name="Comma 2 2 2 2" xfId="1737"/>
    <cellStyle name="Comma 2 2 2 2 2" xfId="1738"/>
    <cellStyle name="Comma 2 2 2 3" xfId="1739"/>
    <cellStyle name="Comma 2 2 3" xfId="1740"/>
    <cellStyle name="Comma 2 2 3 2" xfId="1741"/>
    <cellStyle name="Comma 2 2 4" xfId="1742"/>
    <cellStyle name="Comma 2 3" xfId="1743"/>
    <cellStyle name="Comma 2 3 2" xfId="1744"/>
    <cellStyle name="Comma 2 3 2 2" xfId="1745"/>
    <cellStyle name="Comma 2 3 3" xfId="1746"/>
    <cellStyle name="Comma 2 4" xfId="1747"/>
    <cellStyle name="Comma 2 4 2" xfId="1748"/>
    <cellStyle name="Comma 2 5" xfId="1749"/>
    <cellStyle name="Comma 20" xfId="1750"/>
    <cellStyle name="Comma 21" xfId="1751"/>
    <cellStyle name="Comma 22" xfId="1752"/>
    <cellStyle name="Comma 23" xfId="1753"/>
    <cellStyle name="Comma 24" xfId="1754"/>
    <cellStyle name="Comma 25" xfId="1755"/>
    <cellStyle name="Comma 3" xfId="1756"/>
    <cellStyle name="Comma 3 2" xfId="1757"/>
    <cellStyle name="Comma 3 2 2" xfId="1758"/>
    <cellStyle name="Comma 3 3" xfId="1759"/>
    <cellStyle name="Comma 4" xfId="1760"/>
    <cellStyle name="Comma 4 2" xfId="1761"/>
    <cellStyle name="Comma 5" xfId="1762"/>
    <cellStyle name="Comma 5 2" xfId="1763"/>
    <cellStyle name="Comma 6" xfId="1764"/>
    <cellStyle name="Comma 6 2" xfId="1765"/>
    <cellStyle name="Comma 7" xfId="1766"/>
    <cellStyle name="Comma 7 2" xfId="1767"/>
    <cellStyle name="Comma 8" xfId="1768"/>
    <cellStyle name="Comma 8 2" xfId="1769"/>
    <cellStyle name="Comma 9" xfId="1770"/>
    <cellStyle name="Comma0" xfId="1771"/>
    <cellStyle name="Comma0 2" xfId="1772"/>
    <cellStyle name="Comma0 2 2" xfId="1773"/>
    <cellStyle name="Comma0 3" xfId="1774"/>
    <cellStyle name="Hyperlink" xfId="2297" builtinId="8"/>
    <cellStyle name="Hyperlink 2" xfId="1775"/>
    <cellStyle name="Normal" xfId="0" builtinId="0"/>
    <cellStyle name="Normal 10" xfId="1776"/>
    <cellStyle name="Normal 10 2" xfId="1777"/>
    <cellStyle name="Normal 10 2 2" xfId="1778"/>
    <cellStyle name="Normal 10 2 2 2" xfId="1779"/>
    <cellStyle name="Normal 10 2 2 2 2" xfId="1780"/>
    <cellStyle name="Normal 10 2 2 3" xfId="1781"/>
    <cellStyle name="Normal 10 2 2 4" xfId="1782"/>
    <cellStyle name="Normal 10 2 3" xfId="1783"/>
    <cellStyle name="Normal 10 2 3 2" xfId="1784"/>
    <cellStyle name="Normal 10 2 4" xfId="1785"/>
    <cellStyle name="Normal 10 3" xfId="1786"/>
    <cellStyle name="Normal 10 3 2" xfId="1787"/>
    <cellStyle name="Normal 10 3 2 2" xfId="1788"/>
    <cellStyle name="Normal 10 3 3" xfId="1789"/>
    <cellStyle name="Normal 10 4" xfId="1790"/>
    <cellStyle name="Normal 10 4 2" xfId="1791"/>
    <cellStyle name="Normal 10 5" xfId="1792"/>
    <cellStyle name="Normal 11" xfId="1793"/>
    <cellStyle name="Normal 11 2" xfId="1794"/>
    <cellStyle name="Normal 11 2 2" xfId="1795"/>
    <cellStyle name="Normal 11 2 2 2" xfId="1796"/>
    <cellStyle name="Normal 11 2 3" xfId="1797"/>
    <cellStyle name="Normal 11 3" xfId="1798"/>
    <cellStyle name="Normal 11 3 2" xfId="1799"/>
    <cellStyle name="Normal 11 4" xfId="1800"/>
    <cellStyle name="Normal 12" xfId="4"/>
    <cellStyle name="Normal 12 2" xfId="1801"/>
    <cellStyle name="Normal 13" xfId="1802"/>
    <cellStyle name="Normal 13 2" xfId="1803"/>
    <cellStyle name="Normal 13 2 2" xfId="1804"/>
    <cellStyle name="Normal 13 3" xfId="1805"/>
    <cellStyle name="Normal 13 4" xfId="1806"/>
    <cellStyle name="Normal 14" xfId="1807"/>
    <cellStyle name="Normal 14 2" xfId="1808"/>
    <cellStyle name="Normal 14 3" xfId="1809"/>
    <cellStyle name="Normal 15" xfId="1810"/>
    <cellStyle name="Normal 16" xfId="1811"/>
    <cellStyle name="Normal 16 2" xfId="1812"/>
    <cellStyle name="Normal 17" xfId="1813"/>
    <cellStyle name="Normal 17 2" xfId="1814"/>
    <cellStyle name="Normal 18" xfId="1815"/>
    <cellStyle name="Normal 19" xfId="2298"/>
    <cellStyle name="Normal 2" xfId="3"/>
    <cellStyle name="Normal 2 2" xfId="1816"/>
    <cellStyle name="Normal 2 2 2" xfId="1817"/>
    <cellStyle name="Normal 2 2 3" xfId="1818"/>
    <cellStyle name="Normal 2 3" xfId="1819"/>
    <cellStyle name="Normal 2 3 2" xfId="1820"/>
    <cellStyle name="Normal 2 3 2 2" xfId="1821"/>
    <cellStyle name="Normal 2 3 2 2 2" xfId="1822"/>
    <cellStyle name="Normal 2 3 2 2 2 2" xfId="1823"/>
    <cellStyle name="Normal 2 3 2 2 3" xfId="1824"/>
    <cellStyle name="Normal 2 3 2 3" xfId="1825"/>
    <cellStyle name="Normal 2 3 2 3 2" xfId="1826"/>
    <cellStyle name="Normal 2 3 2 4" xfId="1827"/>
    <cellStyle name="Normal 2 3 3" xfId="1828"/>
    <cellStyle name="Normal 2 3 3 2" xfId="1829"/>
    <cellStyle name="Normal 2 3 3 2 2" xfId="1830"/>
    <cellStyle name="Normal 2 3 3 3" xfId="1831"/>
    <cellStyle name="Normal 2 3 4" xfId="1832"/>
    <cellStyle name="Normal 2 3 4 2" xfId="1833"/>
    <cellStyle name="Normal 2 3 5" xfId="1834"/>
    <cellStyle name="Normal 2 3 6" xfId="1835"/>
    <cellStyle name="Normal 2 4" xfId="1836"/>
    <cellStyle name="Normal 2 5" xfId="1837"/>
    <cellStyle name="Normal 2 6" xfId="1838"/>
    <cellStyle name="Normal 20" xfId="2300"/>
    <cellStyle name="Normal 20 2" xfId="2303"/>
    <cellStyle name="Normal 20 2 2" xfId="2306"/>
    <cellStyle name="Normal 21" xfId="2301"/>
    <cellStyle name="Normal 22" xfId="2304"/>
    <cellStyle name="Normal 3" xfId="1839"/>
    <cellStyle name="Normal 3 2" xfId="1840"/>
    <cellStyle name="Normal 3 2 2" xfId="1841"/>
    <cellStyle name="Normal 3 3" xfId="1842"/>
    <cellStyle name="Normal 3 4" xfId="1843"/>
    <cellStyle name="Normal 3 5" xfId="1844"/>
    <cellStyle name="Normal 4" xfId="1845"/>
    <cellStyle name="Normal 4 10" xfId="1846"/>
    <cellStyle name="Normal 4 2" xfId="1847"/>
    <cellStyle name="Normal 4 2 2" xfId="1848"/>
    <cellStyle name="Normal 4 2 2 2" xfId="1849"/>
    <cellStyle name="Normal 4 2 2 2 2" xfId="1850"/>
    <cellStyle name="Normal 4 2 2 2 2 2" xfId="1851"/>
    <cellStyle name="Normal 4 2 2 2 2 2 2" xfId="1852"/>
    <cellStyle name="Normal 4 2 2 2 2 3" xfId="1853"/>
    <cellStyle name="Normal 4 2 2 2 3" xfId="1854"/>
    <cellStyle name="Normal 4 2 2 2 3 2" xfId="1855"/>
    <cellStyle name="Normal 4 2 2 2 4" xfId="1856"/>
    <cellStyle name="Normal 4 2 2 3" xfId="1857"/>
    <cellStyle name="Normal 4 2 2 3 2" xfId="1858"/>
    <cellStyle name="Normal 4 2 2 3 2 2" xfId="1859"/>
    <cellStyle name="Normal 4 2 2 3 3" xfId="1860"/>
    <cellStyle name="Normal 4 2 2 4" xfId="1861"/>
    <cellStyle name="Normal 4 2 2 4 2" xfId="1862"/>
    <cellStyle name="Normal 4 2 2 5" xfId="1863"/>
    <cellStyle name="Normal 4 2 3" xfId="1864"/>
    <cellStyle name="Normal 4 2 4" xfId="1865"/>
    <cellStyle name="Normal 4 2 4 2" xfId="1866"/>
    <cellStyle name="Normal 4 2 4 2 2" xfId="1867"/>
    <cellStyle name="Normal 4 2 4 2 2 2" xfId="1868"/>
    <cellStyle name="Normal 4 2 4 2 3" xfId="1869"/>
    <cellStyle name="Normal 4 2 4 3" xfId="1870"/>
    <cellStyle name="Normal 4 2 4 3 2" xfId="1871"/>
    <cellStyle name="Normal 4 2 4 4" xfId="1872"/>
    <cellStyle name="Normal 4 2 5" xfId="1873"/>
    <cellStyle name="Normal 4 2 5 2" xfId="1874"/>
    <cellStyle name="Normal 4 2 5 2 2" xfId="1875"/>
    <cellStyle name="Normal 4 2 5 3" xfId="1876"/>
    <cellStyle name="Normal 4 2 6" xfId="1877"/>
    <cellStyle name="Normal 4 2 6 2" xfId="1878"/>
    <cellStyle name="Normal 4 2 7" xfId="1879"/>
    <cellStyle name="Normal 4 3" xfId="1880"/>
    <cellStyle name="Normal 4 3 2" xfId="1881"/>
    <cellStyle name="Normal 4 3 2 2" xfId="1882"/>
    <cellStyle name="Normal 4 3 2 2 2" xfId="1883"/>
    <cellStyle name="Normal 4 3 2 2 2 2" xfId="1884"/>
    <cellStyle name="Normal 4 3 2 2 3" xfId="1885"/>
    <cellStyle name="Normal 4 3 2 3" xfId="1886"/>
    <cellStyle name="Normal 4 3 2 3 2" xfId="1887"/>
    <cellStyle name="Normal 4 3 2 4" xfId="1888"/>
    <cellStyle name="Normal 4 3 3" xfId="1889"/>
    <cellStyle name="Normal 4 3 3 2" xfId="1890"/>
    <cellStyle name="Normal 4 3 3 2 2" xfId="1891"/>
    <cellStyle name="Normal 4 3 3 3" xfId="1892"/>
    <cellStyle name="Normal 4 3 4" xfId="1893"/>
    <cellStyle name="Normal 4 3 4 2" xfId="1894"/>
    <cellStyle name="Normal 4 3 5" xfId="1895"/>
    <cellStyle name="Normal 4 4" xfId="1896"/>
    <cellStyle name="Normal 4 4 2" xfId="1897"/>
    <cellStyle name="Normal 4 4 2 2" xfId="1898"/>
    <cellStyle name="Normal 4 4 2 2 2" xfId="1899"/>
    <cellStyle name="Normal 4 4 2 2 2 2" xfId="1900"/>
    <cellStyle name="Normal 4 4 2 2 3" xfId="1901"/>
    <cellStyle name="Normal 4 4 2 3" xfId="1902"/>
    <cellStyle name="Normal 4 4 2 3 2" xfId="1903"/>
    <cellStyle name="Normal 4 4 2 4" xfId="1904"/>
    <cellStyle name="Normal 4 4 3" xfId="1905"/>
    <cellStyle name="Normal 4 4 3 2" xfId="1906"/>
    <cellStyle name="Normal 4 4 3 2 2" xfId="1907"/>
    <cellStyle name="Normal 4 4 3 3" xfId="1908"/>
    <cellStyle name="Normal 4 4 4" xfId="1909"/>
    <cellStyle name="Normal 4 4 4 2" xfId="1910"/>
    <cellStyle name="Normal 4 4 5" xfId="1911"/>
    <cellStyle name="Normal 4 5" xfId="1912"/>
    <cellStyle name="Normal 4 6" xfId="1913"/>
    <cellStyle name="Normal 4 6 2" xfId="1914"/>
    <cellStyle name="Normal 4 6 2 2" xfId="1915"/>
    <cellStyle name="Normal 4 6 2 2 2" xfId="1916"/>
    <cellStyle name="Normal 4 6 2 3" xfId="1917"/>
    <cellStyle name="Normal 4 6 3" xfId="1918"/>
    <cellStyle name="Normal 4 6 3 2" xfId="1919"/>
    <cellStyle name="Normal 4 6 4" xfId="1920"/>
    <cellStyle name="Normal 4 7" xfId="1921"/>
    <cellStyle name="Normal 4 7 2" xfId="1922"/>
    <cellStyle name="Normal 4 8" xfId="1923"/>
    <cellStyle name="Normal 4 8 2" xfId="1924"/>
    <cellStyle name="Normal 4 8 2 2" xfId="1925"/>
    <cellStyle name="Normal 4 8 3" xfId="1926"/>
    <cellStyle name="Normal 4 9" xfId="1927"/>
    <cellStyle name="Normal 4 9 2" xfId="1928"/>
    <cellStyle name="Normal 5" xfId="1929"/>
    <cellStyle name="Normal 5 2" xfId="1930"/>
    <cellStyle name="Normal 5 2 2" xfId="1931"/>
    <cellStyle name="Normal 5 2 2 2" xfId="1932"/>
    <cellStyle name="Normal 5 2 2 2 2" xfId="1933"/>
    <cellStyle name="Normal 5 2 2 2 2 2" xfId="1934"/>
    <cellStyle name="Normal 5 2 2 2 2 2 2" xfId="1935"/>
    <cellStyle name="Normal 5 2 2 2 2 3" xfId="1936"/>
    <cellStyle name="Normal 5 2 2 2 3" xfId="1937"/>
    <cellStyle name="Normal 5 2 2 2 3 2" xfId="1938"/>
    <cellStyle name="Normal 5 2 2 2 4" xfId="1939"/>
    <cellStyle name="Normal 5 2 2 3" xfId="1940"/>
    <cellStyle name="Normal 5 2 2 3 2" xfId="1941"/>
    <cellStyle name="Normal 5 2 2 3 2 2" xfId="1942"/>
    <cellStyle name="Normal 5 2 2 3 3" xfId="1943"/>
    <cellStyle name="Normal 5 2 2 4" xfId="1944"/>
    <cellStyle name="Normal 5 2 2 4 2" xfId="1945"/>
    <cellStyle name="Normal 5 2 2 5" xfId="1946"/>
    <cellStyle name="Normal 5 2 3" xfId="1947"/>
    <cellStyle name="Normal 5 2 3 2" xfId="1948"/>
    <cellStyle name="Normal 5 2 3 2 2" xfId="1949"/>
    <cellStyle name="Normal 5 2 3 2 2 2" xfId="1950"/>
    <cellStyle name="Normal 5 2 3 2 3" xfId="1951"/>
    <cellStyle name="Normal 5 2 3 3" xfId="1952"/>
    <cellStyle name="Normal 5 2 3 3 2" xfId="1953"/>
    <cellStyle name="Normal 5 2 3 4" xfId="1954"/>
    <cellStyle name="Normal 5 2 4" xfId="1955"/>
    <cellStyle name="Normal 5 2 4 2" xfId="1956"/>
    <cellStyle name="Normal 5 2 4 2 2" xfId="1957"/>
    <cellStyle name="Normal 5 2 4 3" xfId="1958"/>
    <cellStyle name="Normal 5 2 5" xfId="1959"/>
    <cellStyle name="Normal 5 2 5 2" xfId="1960"/>
    <cellStyle name="Normal 5 2 6" xfId="1961"/>
    <cellStyle name="Normal 5 3" xfId="1962"/>
    <cellStyle name="Normal 5 3 2" xfId="1963"/>
    <cellStyle name="Normal 5 3 2 2" xfId="1964"/>
    <cellStyle name="Normal 5 3 2 2 2" xfId="1965"/>
    <cellStyle name="Normal 5 3 2 2 2 2" xfId="1966"/>
    <cellStyle name="Normal 5 3 2 2 3" xfId="1967"/>
    <cellStyle name="Normal 5 3 2 3" xfId="1968"/>
    <cellStyle name="Normal 5 3 2 3 2" xfId="1969"/>
    <cellStyle name="Normal 5 3 2 4" xfId="1970"/>
    <cellStyle name="Normal 5 3 3" xfId="1971"/>
    <cellStyle name="Normal 5 3 3 2" xfId="1972"/>
    <cellStyle name="Normal 5 3 3 2 2" xfId="1973"/>
    <cellStyle name="Normal 5 3 3 3" xfId="1974"/>
    <cellStyle name="Normal 5 3 4" xfId="1975"/>
    <cellStyle name="Normal 5 3 4 2" xfId="1976"/>
    <cellStyle name="Normal 5 3 5" xfId="1977"/>
    <cellStyle name="Normal 5 4" xfId="1978"/>
    <cellStyle name="Normal 5 4 2" xfId="1979"/>
    <cellStyle name="Normal 5 4 2 2" xfId="1980"/>
    <cellStyle name="Normal 5 4 2 2 2" xfId="1981"/>
    <cellStyle name="Normal 5 4 2 2 2 2" xfId="1982"/>
    <cellStyle name="Normal 5 4 2 2 3" xfId="1983"/>
    <cellStyle name="Normal 5 4 2 3" xfId="1984"/>
    <cellStyle name="Normal 5 4 2 3 2" xfId="1985"/>
    <cellStyle name="Normal 5 4 2 4" xfId="1986"/>
    <cellStyle name="Normal 5 4 3" xfId="1987"/>
    <cellStyle name="Normal 5 4 3 2" xfId="1988"/>
    <cellStyle name="Normal 5 4 3 2 2" xfId="1989"/>
    <cellStyle name="Normal 5 4 3 3" xfId="1990"/>
    <cellStyle name="Normal 5 4 4" xfId="1991"/>
    <cellStyle name="Normal 5 4 4 2" xfId="1992"/>
    <cellStyle name="Normal 5 4 5" xfId="1993"/>
    <cellStyle name="Normal 5 5" xfId="1994"/>
    <cellStyle name="Normal 5 5 2" xfId="1995"/>
    <cellStyle name="Normal 5 6" xfId="1996"/>
    <cellStyle name="Normal 5 6 2" xfId="1997"/>
    <cellStyle name="Normal 5 6 2 2" xfId="1998"/>
    <cellStyle name="Normal 5 6 2 2 2" xfId="1999"/>
    <cellStyle name="Normal 5 6 2 3" xfId="2000"/>
    <cellStyle name="Normal 5 6 3" xfId="2001"/>
    <cellStyle name="Normal 5 6 3 2" xfId="2002"/>
    <cellStyle name="Normal 5 6 4" xfId="2003"/>
    <cellStyle name="Normal 5 7" xfId="2004"/>
    <cellStyle name="Normal 5 7 2" xfId="2005"/>
    <cellStyle name="Normal 5 7 2 2" xfId="2006"/>
    <cellStyle name="Normal 5 7 3" xfId="2007"/>
    <cellStyle name="Normal 5 8" xfId="2008"/>
    <cellStyle name="Normal 5 8 2" xfId="2009"/>
    <cellStyle name="Normal 5 9" xfId="2010"/>
    <cellStyle name="Normal 6" xfId="2011"/>
    <cellStyle name="Normal 6 2" xfId="2012"/>
    <cellStyle name="Normal 6 2 2" xfId="2013"/>
    <cellStyle name="Normal 6 2 2 2" xfId="2014"/>
    <cellStyle name="Normal 6 2 2 2 2" xfId="2015"/>
    <cellStyle name="Normal 6 2 2 2 2 2" xfId="2016"/>
    <cellStyle name="Normal 6 2 2 2 3" xfId="2017"/>
    <cellStyle name="Normal 6 2 2 3" xfId="2018"/>
    <cellStyle name="Normal 6 2 2 3 2" xfId="2019"/>
    <cellStyle name="Normal 6 2 2 4" xfId="2020"/>
    <cellStyle name="Normal 6 2 3" xfId="2021"/>
    <cellStyle name="Normal 6 2 3 2" xfId="2022"/>
    <cellStyle name="Normal 6 2 3 2 2" xfId="2023"/>
    <cellStyle name="Normal 6 2 3 3" xfId="2024"/>
    <cellStyle name="Normal 6 2 4" xfId="2025"/>
    <cellStyle name="Normal 6 2 4 2" xfId="2026"/>
    <cellStyle name="Normal 6 2 5" xfId="2027"/>
    <cellStyle name="Normal 6 3" xfId="2028"/>
    <cellStyle name="Normal 6 3 2" xfId="2029"/>
    <cellStyle name="Normal 6 3 2 2" xfId="2030"/>
    <cellStyle name="Normal 6 3 3" xfId="2031"/>
    <cellStyle name="Normal 6 4" xfId="2032"/>
    <cellStyle name="Normal 6 4 2" xfId="2033"/>
    <cellStyle name="Normal 6 4 2 2" xfId="2034"/>
    <cellStyle name="Normal 6 4 2 2 2" xfId="2035"/>
    <cellStyle name="Normal 6 4 2 3" xfId="2036"/>
    <cellStyle name="Normal 6 4 3" xfId="2037"/>
    <cellStyle name="Normal 6 4 3 2" xfId="2038"/>
    <cellStyle name="Normal 6 4 4" xfId="2039"/>
    <cellStyle name="Normal 6 5" xfId="2040"/>
    <cellStyle name="Normal 6 5 2" xfId="2041"/>
    <cellStyle name="Normal 6 5 2 2" xfId="2042"/>
    <cellStyle name="Normal 6 5 3" xfId="2043"/>
    <cellStyle name="Normal 6 6" xfId="2044"/>
    <cellStyle name="Normal 6 6 2" xfId="2045"/>
    <cellStyle name="Normal 6 7" xfId="2046"/>
    <cellStyle name="Normal 7" xfId="2047"/>
    <cellStyle name="Normal 7 2" xfId="2048"/>
    <cellStyle name="Normal 7 2 2" xfId="2049"/>
    <cellStyle name="Normal 7 2 2 2" xfId="2050"/>
    <cellStyle name="Normal 7 2 2 2 2" xfId="2051"/>
    <cellStyle name="Normal 7 2 2 2 2 2" xfId="2052"/>
    <cellStyle name="Normal 7 2 2 2 3" xfId="2053"/>
    <cellStyle name="Normal 7 2 2 3" xfId="2054"/>
    <cellStyle name="Normal 7 2 2 3 2" xfId="2055"/>
    <cellStyle name="Normal 7 2 2 4" xfId="2056"/>
    <cellStyle name="Normal 7 2 3" xfId="2057"/>
    <cellStyle name="Normal 7 2 3 2" xfId="2058"/>
    <cellStyle name="Normal 7 2 3 2 2" xfId="2059"/>
    <cellStyle name="Normal 7 2 3 3" xfId="2060"/>
    <cellStyle name="Normal 7 2 4" xfId="2061"/>
    <cellStyle name="Normal 7 2 4 2" xfId="2062"/>
    <cellStyle name="Normal 7 2 5" xfId="2063"/>
    <cellStyle name="Normal 7 3" xfId="2064"/>
    <cellStyle name="Normal 7 3 2" xfId="2065"/>
    <cellStyle name="Normal 7 3 2 2" xfId="2066"/>
    <cellStyle name="Normal 7 3 2 2 2" xfId="2067"/>
    <cellStyle name="Normal 7 3 2 3" xfId="2068"/>
    <cellStyle name="Normal 7 3 3" xfId="2069"/>
    <cellStyle name="Normal 7 3 3 2" xfId="2070"/>
    <cellStyle name="Normal 7 3 4" xfId="2071"/>
    <cellStyle name="Normal 7 4" xfId="2072"/>
    <cellStyle name="Normal 7 4 2" xfId="2073"/>
    <cellStyle name="Normal 7 4 2 2" xfId="2074"/>
    <cellStyle name="Normal 7 4 3" xfId="2075"/>
    <cellStyle name="Normal 7 5" xfId="2076"/>
    <cellStyle name="Normal 7 5 2" xfId="2077"/>
    <cellStyle name="Normal 7 6" xfId="2078"/>
    <cellStyle name="Normal 8" xfId="2079"/>
    <cellStyle name="Normal 8 2" xfId="2080"/>
    <cellStyle name="Normal 8 2 2" xfId="2081"/>
    <cellStyle name="Normal 8 2 2 2" xfId="2082"/>
    <cellStyle name="Normal 8 2 2 2 2" xfId="2083"/>
    <cellStyle name="Normal 8 2 2 3" xfId="2084"/>
    <cellStyle name="Normal 8 2 3" xfId="2085"/>
    <cellStyle name="Normal 8 2 3 2" xfId="2086"/>
    <cellStyle name="Normal 8 2 4" xfId="2087"/>
    <cellStyle name="Normal 8 3" xfId="2088"/>
    <cellStyle name="Normal 8 3 2" xfId="2089"/>
    <cellStyle name="Normal 8 3 2 2" xfId="2090"/>
    <cellStyle name="Normal 8 3 3" xfId="2091"/>
    <cellStyle name="Normal 8 4" xfId="2092"/>
    <cellStyle name="Normal 8 4 2" xfId="2093"/>
    <cellStyle name="Normal 8 5" xfId="2094"/>
    <cellStyle name="Normal 8 6" xfId="2095"/>
    <cellStyle name="Normal 9" xfId="2096"/>
    <cellStyle name="Normal 9 2" xfId="2097"/>
    <cellStyle name="Normal 9 2 2" xfId="2098"/>
    <cellStyle name="Normal 9 2 2 2" xfId="2099"/>
    <cellStyle name="Normal 9 2 2 2 2" xfId="2100"/>
    <cellStyle name="Normal 9 2 2 3" xfId="2101"/>
    <cellStyle name="Normal 9 2 3" xfId="2102"/>
    <cellStyle name="Normal 9 2 3 2" xfId="2103"/>
    <cellStyle name="Normal 9 2 4" xfId="2104"/>
    <cellStyle name="Normal 9 3" xfId="2105"/>
    <cellStyle name="Normal 9 3 2" xfId="2106"/>
    <cellStyle name="Normal 9 3 2 2" xfId="2107"/>
    <cellStyle name="Normal 9 3 3" xfId="2108"/>
    <cellStyle name="Normal 9 4" xfId="2109"/>
    <cellStyle name="Normal 9 4 2" xfId="2110"/>
    <cellStyle name="Normal 9 5" xfId="2111"/>
    <cellStyle name="Note 2" xfId="2112"/>
    <cellStyle name="Note 2 2" xfId="2113"/>
    <cellStyle name="Note 2 2 2" xfId="2114"/>
    <cellStyle name="Note 2 2 2 2" xfId="2115"/>
    <cellStyle name="Note 2 2 2 2 2" xfId="2116"/>
    <cellStyle name="Note 2 2 2 2 2 2" xfId="2117"/>
    <cellStyle name="Note 2 2 2 2 2 2 2" xfId="2118"/>
    <cellStyle name="Note 2 2 2 2 2 3" xfId="2119"/>
    <cellStyle name="Note 2 2 2 2 3" xfId="2120"/>
    <cellStyle name="Note 2 2 2 2 3 2" xfId="2121"/>
    <cellStyle name="Note 2 2 2 2 4" xfId="2122"/>
    <cellStyle name="Note 2 2 2 3" xfId="2123"/>
    <cellStyle name="Note 2 2 2 3 2" xfId="2124"/>
    <cellStyle name="Note 2 2 2 3 2 2" xfId="2125"/>
    <cellStyle name="Note 2 2 2 3 3" xfId="2126"/>
    <cellStyle name="Note 2 2 2 4" xfId="2127"/>
    <cellStyle name="Note 2 2 2 4 2" xfId="2128"/>
    <cellStyle name="Note 2 2 2 5" xfId="2129"/>
    <cellStyle name="Note 2 2 3" xfId="2130"/>
    <cellStyle name="Note 2 2 3 2" xfId="2131"/>
    <cellStyle name="Note 2 2 3 2 2" xfId="2132"/>
    <cellStyle name="Note 2 2 3 2 2 2" xfId="2133"/>
    <cellStyle name="Note 2 2 3 2 3" xfId="2134"/>
    <cellStyle name="Note 2 2 3 3" xfId="2135"/>
    <cellStyle name="Note 2 2 3 3 2" xfId="2136"/>
    <cellStyle name="Note 2 2 3 4" xfId="2137"/>
    <cellStyle name="Note 2 2 4" xfId="2138"/>
    <cellStyle name="Note 2 2 4 2" xfId="2139"/>
    <cellStyle name="Note 2 2 4 2 2" xfId="2140"/>
    <cellStyle name="Note 2 2 4 3" xfId="2141"/>
    <cellStyle name="Note 2 2 5" xfId="2142"/>
    <cellStyle name="Note 2 2 5 2" xfId="2143"/>
    <cellStyle name="Note 2 2 6" xfId="2144"/>
    <cellStyle name="Note 2 3" xfId="2145"/>
    <cellStyle name="Note 2 3 2" xfId="2146"/>
    <cellStyle name="Note 2 3 2 2" xfId="2147"/>
    <cellStyle name="Note 2 3 2 2 2" xfId="2148"/>
    <cellStyle name="Note 2 3 2 2 2 2" xfId="2149"/>
    <cellStyle name="Note 2 3 2 2 3" xfId="2150"/>
    <cellStyle name="Note 2 3 2 3" xfId="2151"/>
    <cellStyle name="Note 2 3 2 3 2" xfId="2152"/>
    <cellStyle name="Note 2 3 2 4" xfId="2153"/>
    <cellStyle name="Note 2 3 3" xfId="2154"/>
    <cellStyle name="Note 2 3 3 2" xfId="2155"/>
    <cellStyle name="Note 2 3 3 2 2" xfId="2156"/>
    <cellStyle name="Note 2 3 3 3" xfId="2157"/>
    <cellStyle name="Note 2 3 4" xfId="2158"/>
    <cellStyle name="Note 2 3 4 2" xfId="2159"/>
    <cellStyle name="Note 2 3 5" xfId="2160"/>
    <cellStyle name="Note 2 4" xfId="2161"/>
    <cellStyle name="Note 2 4 2" xfId="2162"/>
    <cellStyle name="Note 2 4 2 2" xfId="2163"/>
    <cellStyle name="Note 2 4 2 2 2" xfId="2164"/>
    <cellStyle name="Note 2 4 2 2 2 2" xfId="2165"/>
    <cellStyle name="Note 2 4 2 2 3" xfId="2166"/>
    <cellStyle name="Note 2 4 2 3" xfId="2167"/>
    <cellStyle name="Note 2 4 2 3 2" xfId="2168"/>
    <cellStyle name="Note 2 4 2 4" xfId="2169"/>
    <cellStyle name="Note 2 4 3" xfId="2170"/>
    <cellStyle name="Note 2 4 3 2" xfId="2171"/>
    <cellStyle name="Note 2 4 3 2 2" xfId="2172"/>
    <cellStyle name="Note 2 4 3 3" xfId="2173"/>
    <cellStyle name="Note 2 4 4" xfId="2174"/>
    <cellStyle name="Note 2 4 4 2" xfId="2175"/>
    <cellStyle name="Note 2 4 5" xfId="2176"/>
    <cellStyle name="Note 2 5" xfId="2177"/>
    <cellStyle name="Note 2 5 2" xfId="2178"/>
    <cellStyle name="Note 2 5 2 2" xfId="2179"/>
    <cellStyle name="Note 2 5 2 2 2" xfId="2180"/>
    <cellStyle name="Note 2 5 2 3" xfId="2181"/>
    <cellStyle name="Note 2 5 3" xfId="2182"/>
    <cellStyle name="Note 2 5 3 2" xfId="2183"/>
    <cellStyle name="Note 2 5 4" xfId="2184"/>
    <cellStyle name="Note 2 6" xfId="2185"/>
    <cellStyle name="Note 2 6 2" xfId="2186"/>
    <cellStyle name="Note 2 6 2 2" xfId="2187"/>
    <cellStyle name="Note 2 6 3" xfId="2188"/>
    <cellStyle name="Note 2 7" xfId="2189"/>
    <cellStyle name="Note 2 7 2" xfId="2190"/>
    <cellStyle name="Note 2 8" xfId="2191"/>
    <cellStyle name="Note 3" xfId="2192"/>
    <cellStyle name="Note 3 2" xfId="2193"/>
    <cellStyle name="Note 3 2 2" xfId="2194"/>
    <cellStyle name="Note 3 2 2 2" xfId="2195"/>
    <cellStyle name="Note 3 2 2 2 2" xfId="2196"/>
    <cellStyle name="Note 3 2 2 3" xfId="2197"/>
    <cellStyle name="Note 3 2 3" xfId="2198"/>
    <cellStyle name="Note 3 2 3 2" xfId="2199"/>
    <cellStyle name="Note 3 2 4" xfId="2200"/>
    <cellStyle name="Note 3 3" xfId="2201"/>
    <cellStyle name="Note 3 3 2" xfId="2202"/>
    <cellStyle name="Note 3 3 2 2" xfId="2203"/>
    <cellStyle name="Note 3 3 3" xfId="2204"/>
    <cellStyle name="Note 3 4" xfId="2205"/>
    <cellStyle name="Note 3 4 2" xfId="2206"/>
    <cellStyle name="Note 3 5" xfId="2207"/>
    <cellStyle name="Note 4" xfId="2208"/>
    <cellStyle name="Note 4 2" xfId="2209"/>
    <cellStyle name="Note 4 2 2" xfId="2210"/>
    <cellStyle name="Note 4 2 2 2" xfId="2211"/>
    <cellStyle name="Note 4 2 2 2 2" xfId="2212"/>
    <cellStyle name="Note 4 2 2 3" xfId="2213"/>
    <cellStyle name="Note 4 2 3" xfId="2214"/>
    <cellStyle name="Note 4 2 3 2" xfId="2215"/>
    <cellStyle name="Note 4 2 4" xfId="2216"/>
    <cellStyle name="Note 4 3" xfId="2217"/>
    <cellStyle name="Note 4 3 2" xfId="2218"/>
    <cellStyle name="Note 4 3 2 2" xfId="2219"/>
    <cellStyle name="Note 4 3 3" xfId="2220"/>
    <cellStyle name="Note 4 4" xfId="2221"/>
    <cellStyle name="Note 4 4 2" xfId="2222"/>
    <cellStyle name="Note 4 5" xfId="2223"/>
    <cellStyle name="Note 5" xfId="2224"/>
    <cellStyle name="Note 5 2" xfId="2225"/>
    <cellStyle name="Note 5 2 2" xfId="2226"/>
    <cellStyle name="Note 5 2 2 2" xfId="2227"/>
    <cellStyle name="Note 5 2 2 2 2" xfId="2228"/>
    <cellStyle name="Note 5 2 2 3" xfId="2229"/>
    <cellStyle name="Note 5 2 3" xfId="2230"/>
    <cellStyle name="Note 5 2 3 2" xfId="2231"/>
    <cellStyle name="Note 5 2 4" xfId="2232"/>
    <cellStyle name="Note 5 3" xfId="2233"/>
    <cellStyle name="Note 5 3 2" xfId="2234"/>
    <cellStyle name="Note 5 3 2 2" xfId="2235"/>
    <cellStyle name="Note 5 3 3" xfId="2236"/>
    <cellStyle name="Note 5 4" xfId="2237"/>
    <cellStyle name="Note 5 4 2" xfId="2238"/>
    <cellStyle name="Note 5 5" xfId="2239"/>
    <cellStyle name="Note 6" xfId="2240"/>
    <cellStyle name="Note 6 2" xfId="2241"/>
    <cellStyle name="Note 6 2 2" xfId="2242"/>
    <cellStyle name="Note 6 2 2 2" xfId="2243"/>
    <cellStyle name="Note 6 2 2 2 2" xfId="2244"/>
    <cellStyle name="Note 6 2 2 3" xfId="2245"/>
    <cellStyle name="Note 6 2 3" xfId="2246"/>
    <cellStyle name="Note 6 2 3 2" xfId="2247"/>
    <cellStyle name="Note 6 2 4" xfId="2248"/>
    <cellStyle name="Note 6 3" xfId="2249"/>
    <cellStyle name="Note 6 3 2" xfId="2250"/>
    <cellStyle name="Note 6 3 2 2" xfId="2251"/>
    <cellStyle name="Note 6 3 3" xfId="2252"/>
    <cellStyle name="Note 6 4" xfId="2253"/>
    <cellStyle name="Note 6 4 2" xfId="2254"/>
    <cellStyle name="Note 6 5" xfId="2255"/>
    <cellStyle name="Note 7" xfId="2256"/>
    <cellStyle name="Note 7 2" xfId="2257"/>
    <cellStyle name="Note 7 2 2" xfId="2258"/>
    <cellStyle name="Note 7 2 2 2" xfId="2259"/>
    <cellStyle name="Note 7 2 3" xfId="2260"/>
    <cellStyle name="Note 7 3" xfId="2261"/>
    <cellStyle name="Note 7 3 2" xfId="2262"/>
    <cellStyle name="Note 7 4" xfId="2263"/>
    <cellStyle name="Note 8" xfId="2264"/>
    <cellStyle name="Note 8 2" xfId="2265"/>
    <cellStyle name="Note 8 2 2" xfId="2266"/>
    <cellStyle name="Note 8 3" xfId="2267"/>
    <cellStyle name="Note 9" xfId="2268"/>
    <cellStyle name="Note 9 2" xfId="2269"/>
    <cellStyle name="Percent" xfId="2" builtinId="5"/>
    <cellStyle name="Percent 10" xfId="2302"/>
    <cellStyle name="Percent 2" xfId="5"/>
    <cellStyle name="Percent 2 2" xfId="2270"/>
    <cellStyle name="Percent 3" xfId="2271"/>
    <cellStyle name="Percent 3 2" xfId="2272"/>
    <cellStyle name="Percent 3 2 2" xfId="2273"/>
    <cellStyle name="Percent 3 2 2 2" xfId="2274"/>
    <cellStyle name="Percent 3 2 2 2 2" xfId="2275"/>
    <cellStyle name="Percent 3 2 2 3" xfId="2276"/>
    <cellStyle name="Percent 3 2 3" xfId="2277"/>
    <cellStyle name="Percent 3 2 3 2" xfId="2278"/>
    <cellStyle name="Percent 3 2 4" xfId="2279"/>
    <cellStyle name="Percent 3 3" xfId="2280"/>
    <cellStyle name="Percent 3 3 2" xfId="2281"/>
    <cellStyle name="Percent 3 3 2 2" xfId="2282"/>
    <cellStyle name="Percent 3 3 3" xfId="2283"/>
    <cellStyle name="Percent 3 4" xfId="2284"/>
    <cellStyle name="Percent 3 4 2" xfId="2285"/>
    <cellStyle name="Percent 3 5" xfId="2286"/>
    <cellStyle name="Percent 4" xfId="2287"/>
    <cellStyle name="Percent 4 2" xfId="2288"/>
    <cellStyle name="Percent 4 2 2" xfId="2289"/>
    <cellStyle name="Percent 4 3" xfId="2290"/>
    <cellStyle name="Percent 5" xfId="2291"/>
    <cellStyle name="Percent 5 2" xfId="2292"/>
    <cellStyle name="Percent 6" xfId="2293"/>
    <cellStyle name="Percent 6 2" xfId="2294"/>
    <cellStyle name="Percent 7" xfId="2295"/>
    <cellStyle name="Percent 8" xfId="2296"/>
    <cellStyle name="Percent 9" xfId="2299"/>
    <cellStyle name="WinCalendar_BlankCells_46" xfId="2305"/>
  </cellStyles>
  <dxfs count="26"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  <dxf>
      <font>
        <color rgb="FFCC0000"/>
      </font>
    </dxf>
    <dxf>
      <font>
        <color rgb="FFCC0000"/>
      </font>
    </dxf>
    <dxf>
      <font>
        <color theme="0"/>
      </font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ont>
        <b val="0"/>
        <i val="0"/>
      </font>
      <numFmt numFmtId="1" formatCode="0"/>
    </dxf>
    <dxf>
      <fill>
        <patternFill>
          <bgColor rgb="FFFF7171"/>
        </patternFill>
      </fill>
    </dxf>
    <dxf>
      <fill>
        <patternFill>
          <bgColor rgb="FFFFFF7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5E2"/>
      <color rgb="FF62BC2A"/>
      <color rgb="FFE95DAD"/>
      <color rgb="FFFFF9DD"/>
      <color rgb="FF03BE7B"/>
      <color rgb="FF9C0218"/>
      <color rgb="FF62BC20"/>
      <color rgb="FFE95DB3"/>
      <color rgb="FFFFFBE7"/>
      <color rgb="FF2FCB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780135</xdr:colOff>
      <xdr:row>20</xdr:row>
      <xdr:rowOff>32402</xdr:rowOff>
    </xdr:from>
    <xdr:to>
      <xdr:col>1</xdr:col>
      <xdr:colOff>86715</xdr:colOff>
      <xdr:row>20</xdr:row>
      <xdr:rowOff>348886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74835">
          <a:off x="780135" y="4840622"/>
          <a:ext cx="220980" cy="316484"/>
        </a:xfrm>
        <a:prstGeom prst="downArrow">
          <a:avLst/>
        </a:prstGeom>
        <a:solidFill>
          <a:srgbClr val="33CC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87086</xdr:colOff>
      <xdr:row>11</xdr:row>
      <xdr:rowOff>152399</xdr:rowOff>
    </xdr:from>
    <xdr:to>
      <xdr:col>16</xdr:col>
      <xdr:colOff>266700</xdr:colOff>
      <xdr:row>13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831536" y="2343149"/>
          <a:ext cx="372291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0 - Not in rebuilding</a:t>
          </a:r>
        </a:p>
        <a:p>
          <a:r>
            <a:rPr lang="en-US" sz="1200" b="1"/>
            <a:t>4 - Projected to rebuild in over 20 years</a:t>
          </a:r>
        </a:p>
        <a:p>
          <a:r>
            <a:rPr lang="en-US" sz="1200" b="1"/>
            <a:t>6 - Projected to rebuild within 20 years</a:t>
          </a:r>
        </a:p>
        <a:p>
          <a:r>
            <a:rPr lang="en-US" sz="1200" b="1"/>
            <a:t>9 - In rebuilding and projected to be rebuilt by next assessment</a:t>
          </a:r>
        </a:p>
        <a:p>
          <a:r>
            <a:rPr lang="en-US" sz="1200" b="1"/>
            <a:t>10 - In rebuilding, with declining biomass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65314</xdr:colOff>
      <xdr:row>13</xdr:row>
      <xdr:rowOff>83820</xdr:rowOff>
    </xdr:from>
    <xdr:to>
      <xdr:col>10</xdr:col>
      <xdr:colOff>50074</xdr:colOff>
      <xdr:row>13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62057" y="3099163"/>
          <a:ext cx="610253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420007</xdr:colOff>
      <xdr:row>14</xdr:row>
      <xdr:rowOff>80554</xdr:rowOff>
    </xdr:from>
    <xdr:to>
      <xdr:col>19</xdr:col>
      <xdr:colOff>160020</xdr:colOff>
      <xdr:row>20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612007" y="3326674"/>
          <a:ext cx="5912213" cy="26016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1 - point = stock biomass is way above target (SBC &gt; 2 * SBMSY)</a:t>
          </a:r>
        </a:p>
        <a:p>
          <a:r>
            <a:rPr lang="en-US" sz="1200" b="1"/>
            <a:t>2 - points = stock biomass is above target ( 2 * SBMSY &gt;= SBC &gt; 1.5*SBMSY)</a:t>
          </a:r>
        </a:p>
        <a:p>
          <a:r>
            <a:rPr lang="en-US" sz="1200" b="1"/>
            <a:t>3 - points = stock biomass is above target ( 1.5 * SBMSY &gt;= SBC &gt; 1.1*SBMSY), </a:t>
          </a:r>
        </a:p>
        <a:p>
          <a:r>
            <a:rPr lang="en-US" sz="1200" b="1"/>
            <a:t>or SBC is unknown and Vulnerability is low (1.8 &gt; PSA)"</a:t>
          </a:r>
        </a:p>
        <a:p>
          <a:r>
            <a:rPr lang="en-US" sz="1200" b="1"/>
            <a:t>4 - points = stock biomass is near target ( 1.1 * SBMSY &gt;= SBC &gt; 0.9*SBMSY), </a:t>
          </a:r>
        </a:p>
        <a:p>
          <a:r>
            <a:rPr lang="en-US" sz="1200" b="1"/>
            <a:t>or SBC is unknown and Vulnerability is intermediate (2 &gt; PSA &gt;= 1.8)"</a:t>
          </a:r>
        </a:p>
        <a:p>
          <a:r>
            <a:rPr lang="en-US" sz="1200" b="1"/>
            <a:t>5 -  points = stock biomass is below target ( 0.9 * SBMSY &gt;= SBC &gt; MSST)) and not declining</a:t>
          </a:r>
        </a:p>
        <a:p>
          <a:r>
            <a:rPr lang="en-US" sz="1200" b="1"/>
            <a:t>6 -  points = SBC is unknown and Vulnerability is high (PSA &gt;= 2)</a:t>
          </a:r>
        </a:p>
        <a:p>
          <a:r>
            <a:rPr lang="en-US" sz="1200" b="1"/>
            <a:t>7 -  points = stock biomass is below target ( 0.9 * SBMSY &gt;= SBC &gt; MSST))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recent trend </a:t>
          </a:r>
          <a:r>
            <a:rPr lang="en-US" sz="1200" b="1"/>
            <a:t>is declining or unknown</a:t>
          </a:r>
        </a:p>
        <a:p>
          <a:r>
            <a:rPr lang="en-US" sz="1200" b="1"/>
            <a:t>8 -  points = stock is overfished (SBC ≤ MSST) and increasing</a:t>
          </a:r>
        </a:p>
        <a:p>
          <a:r>
            <a:rPr lang="en-US" sz="1200" b="1"/>
            <a:t>9 -  points = stock is overfished (SBC ≤ MSST) and stable</a:t>
          </a:r>
        </a:p>
        <a:p>
          <a:r>
            <a:rPr lang="en-US" sz="1200" b="1"/>
            <a:t>10 -  points = stock is overfished (SBC ≤ MSST) and declining</a:t>
          </a:r>
        </a:p>
        <a:p>
          <a:endParaRPr lang="en-US" sz="1200" b="1"/>
        </a:p>
      </xdr:txBody>
    </xdr:sp>
    <xdr:clientData/>
  </xdr:twoCellAnchor>
  <xdr:twoCellAnchor>
    <xdr:from>
      <xdr:col>5</xdr:col>
      <xdr:colOff>57695</xdr:colOff>
      <xdr:row>14</xdr:row>
      <xdr:rowOff>141514</xdr:rowOff>
    </xdr:from>
    <xdr:to>
      <xdr:col>9</xdr:col>
      <xdr:colOff>400595</xdr:colOff>
      <xdr:row>14</xdr:row>
      <xdr:rowOff>141514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54438" y="3385457"/>
          <a:ext cx="5774871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173083</xdr:colOff>
      <xdr:row>15</xdr:row>
      <xdr:rowOff>66583</xdr:rowOff>
    </xdr:from>
    <xdr:to>
      <xdr:col>9</xdr:col>
      <xdr:colOff>386443</xdr:colOff>
      <xdr:row>19</xdr:row>
      <xdr:rowOff>333375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7402558" y="3933733"/>
          <a:ext cx="5061585" cy="21717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point = negligible fisheries impact on stock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0.1*F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points = low fisheries impact on stock (0.1*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points = moderately low fisheries impact on stock (0.25*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&lt;=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points = moderate fisheries impact on stock (0.5*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points = caution -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is unknown or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unknown and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 5 mt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points = moderately high fisheries impact on stock (0.75*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points =high impact, potential for overfishing (0.9*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points =slight overfishing (F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points = significant overfishing (1.1*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F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53340</xdr:colOff>
      <xdr:row>15</xdr:row>
      <xdr:rowOff>160020</xdr:rowOff>
    </xdr:from>
    <xdr:to>
      <xdr:col>6</xdr:col>
      <xdr:colOff>152400</xdr:colOff>
      <xdr:row>15</xdr:row>
      <xdr:rowOff>160020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873240" y="3139440"/>
          <a:ext cx="708660" cy="0"/>
        </a:xfrm>
        <a:prstGeom prst="straightConnector1">
          <a:avLst/>
        </a:prstGeom>
        <a:ln w="28575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45721</xdr:colOff>
      <xdr:row>23</xdr:row>
      <xdr:rowOff>30481</xdr:rowOff>
    </xdr:from>
    <xdr:to>
      <xdr:col>6</xdr:col>
      <xdr:colOff>1515534</xdr:colOff>
      <xdr:row>24</xdr:row>
      <xdr:rowOff>458047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515101" y="6896101"/>
          <a:ext cx="2201333" cy="884766"/>
        </a:xfrm>
        <a:prstGeom prst="rect">
          <a:avLst/>
        </a:prstGeom>
        <a:solidFill>
          <a:srgbClr val="86FCB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in the top third of each category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in the bottom third receive a 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45720</xdr:colOff>
      <xdr:row>22</xdr:row>
      <xdr:rowOff>8466</xdr:rowOff>
    </xdr:from>
    <xdr:to>
      <xdr:col>7</xdr:col>
      <xdr:colOff>914400</xdr:colOff>
      <xdr:row>23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515100" y="6371166"/>
          <a:ext cx="3208020" cy="494454"/>
        </a:xfrm>
        <a:prstGeom prst="rect">
          <a:avLst/>
        </a:prstGeom>
        <a:solidFill>
          <a:srgbClr val="A5D4E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Species with Sigma-r &gt; 0.9 receive a -1;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species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Sigma-r &lt; 0.3 receive a 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+1; others receive a 0.</a:t>
          </a:r>
          <a:endParaRPr lang="en-US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233083</xdr:colOff>
      <xdr:row>3</xdr:row>
      <xdr:rowOff>17930</xdr:rowOff>
    </xdr:from>
    <xdr:to>
      <xdr:col>3</xdr:col>
      <xdr:colOff>358589</xdr:colOff>
      <xdr:row>4</xdr:row>
      <xdr:rowOff>206188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038243" y="779930"/>
          <a:ext cx="125506" cy="424478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.nmfs.noaa.gov/Assets/stock/documents/PrioritizingFishStockAssessments_FinalWe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W42"/>
  <sheetViews>
    <sheetView zoomScale="85" zoomScaleNormal="85" workbookViewId="0">
      <selection activeCell="B16" sqref="B16"/>
    </sheetView>
  </sheetViews>
  <sheetFormatPr defaultColWidth="8.85546875" defaultRowHeight="18.75" x14ac:dyDescent="0.3"/>
  <cols>
    <col min="1" max="1" width="16.7109375" style="13" customWidth="1"/>
    <col min="2" max="2" width="34.140625" style="1" customWidth="1"/>
    <col min="3" max="3" width="44.5703125" style="1" customWidth="1"/>
    <col min="4" max="4" width="9.28515625" style="3" customWidth="1"/>
    <col min="5" max="5" width="1.7109375" style="136" customWidth="1"/>
    <col min="6" max="6" width="8.85546875" style="1"/>
    <col min="7" max="7" width="23.42578125" style="1" customWidth="1"/>
    <col min="8" max="8" width="40.42578125" style="1" customWidth="1"/>
    <col min="9" max="9" width="10.140625" style="1" customWidth="1"/>
    <col min="10" max="10" width="10" style="1" customWidth="1"/>
    <col min="11" max="16384" width="8.85546875" style="1"/>
  </cols>
  <sheetData>
    <row r="1" spans="1:23" x14ac:dyDescent="0.3">
      <c r="H1" s="870" t="s">
        <v>312</v>
      </c>
    </row>
    <row r="2" spans="1:23" x14ac:dyDescent="0.3">
      <c r="H2" s="870" t="s">
        <v>311</v>
      </c>
    </row>
    <row r="3" spans="1:23" x14ac:dyDescent="0.3">
      <c r="H3" s="871" t="s">
        <v>313</v>
      </c>
    </row>
    <row r="5" spans="1:23" ht="21" x14ac:dyDescent="0.3">
      <c r="A5" s="164" t="s">
        <v>155</v>
      </c>
      <c r="B5" s="31"/>
      <c r="C5" s="31"/>
      <c r="D5" s="30"/>
      <c r="E5" s="165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23" x14ac:dyDescent="0.3">
      <c r="A6" s="166" t="s">
        <v>186</v>
      </c>
      <c r="B6" s="31"/>
      <c r="C6" s="31"/>
      <c r="D6" s="30"/>
      <c r="E6" s="165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23" x14ac:dyDescent="0.3">
      <c r="A7" s="167" t="s">
        <v>150</v>
      </c>
      <c r="B7" s="31"/>
      <c r="C7" s="31"/>
      <c r="D7" s="30"/>
      <c r="E7" s="165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23" x14ac:dyDescent="0.3">
      <c r="A8" s="167"/>
      <c r="B8" s="31"/>
      <c r="C8" s="31"/>
      <c r="D8" s="30"/>
      <c r="E8" s="165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21.75" thickBot="1" x14ac:dyDescent="0.4">
      <c r="A9" s="508" t="s">
        <v>28</v>
      </c>
      <c r="B9" s="509" t="s">
        <v>54</v>
      </c>
      <c r="C9" s="509" t="s">
        <v>120</v>
      </c>
      <c r="D9" s="510" t="s">
        <v>121</v>
      </c>
      <c r="E9" s="137"/>
      <c r="F9" s="138"/>
      <c r="G9" s="139" t="s">
        <v>95</v>
      </c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</row>
    <row r="10" spans="1:23" ht="42.75" customHeight="1" x14ac:dyDescent="0.3">
      <c r="A10" s="1165" t="s">
        <v>29</v>
      </c>
      <c r="B10" s="511" t="s">
        <v>137</v>
      </c>
      <c r="C10" s="511" t="s">
        <v>148</v>
      </c>
      <c r="D10" s="512" t="s">
        <v>30</v>
      </c>
      <c r="E10" s="169"/>
      <c r="F10" s="170"/>
      <c r="G10" s="171" t="s">
        <v>184</v>
      </c>
      <c r="H10" s="171"/>
      <c r="I10" s="31"/>
      <c r="J10" s="106"/>
      <c r="K10" s="31"/>
      <c r="L10" s="31"/>
      <c r="M10" s="31"/>
      <c r="N10" s="31"/>
      <c r="O10" s="31"/>
      <c r="P10" s="31"/>
      <c r="Q10" s="31"/>
      <c r="R10" s="31"/>
      <c r="S10" s="31"/>
      <c r="T10" s="31"/>
      <c r="W10" s="1" t="s">
        <v>31</v>
      </c>
    </row>
    <row r="11" spans="1:23" ht="42.75" customHeight="1" x14ac:dyDescent="0.3">
      <c r="A11" s="1166"/>
      <c r="B11" s="513" t="s">
        <v>122</v>
      </c>
      <c r="C11" s="513" t="s">
        <v>237</v>
      </c>
      <c r="D11" s="514" t="s">
        <v>30</v>
      </c>
      <c r="E11" s="169"/>
      <c r="F11" s="170"/>
      <c r="G11" s="171" t="s">
        <v>185</v>
      </c>
      <c r="H11" s="171"/>
      <c r="I11" s="31"/>
      <c r="J11" s="95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3" ht="63" x14ac:dyDescent="0.3">
      <c r="A12" s="1166"/>
      <c r="B12" s="515" t="s">
        <v>32</v>
      </c>
      <c r="C12" s="513" t="s">
        <v>149</v>
      </c>
      <c r="D12" s="514" t="s">
        <v>30</v>
      </c>
      <c r="E12" s="169"/>
      <c r="F12" s="170"/>
      <c r="G12" s="172" t="s">
        <v>187</v>
      </c>
      <c r="H12" s="173"/>
      <c r="I12" s="175"/>
      <c r="J12" s="182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1:23" ht="44.25" customHeight="1" x14ac:dyDescent="0.3">
      <c r="A13" s="1166"/>
      <c r="B13" s="513" t="s">
        <v>138</v>
      </c>
      <c r="C13" s="513" t="s">
        <v>240</v>
      </c>
      <c r="D13" s="514" t="s">
        <v>30</v>
      </c>
      <c r="E13" s="169"/>
      <c r="F13" s="170"/>
      <c r="G13" s="183" t="s">
        <v>181</v>
      </c>
      <c r="H13" s="174"/>
      <c r="I13" s="107"/>
      <c r="J13" s="182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1:23" ht="24" customHeight="1" x14ac:dyDescent="0.3">
      <c r="A14" s="1164" t="s">
        <v>34</v>
      </c>
      <c r="B14" s="516" t="s">
        <v>33</v>
      </c>
      <c r="C14" s="516" t="s">
        <v>140</v>
      </c>
      <c r="D14" s="517" t="s">
        <v>30</v>
      </c>
      <c r="E14" s="168"/>
      <c r="F14" s="31"/>
      <c r="G14" s="31"/>
      <c r="H14" s="31"/>
      <c r="I14" s="142"/>
      <c r="J14" s="165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1:23" ht="24" customHeight="1" x14ac:dyDescent="0.3">
      <c r="A15" s="1164"/>
      <c r="B15" s="518" t="s">
        <v>35</v>
      </c>
      <c r="C15" s="519" t="s">
        <v>143</v>
      </c>
      <c r="D15" s="520" t="s">
        <v>36</v>
      </c>
      <c r="E15" s="168"/>
      <c r="F15" s="31"/>
      <c r="G15" s="31"/>
      <c r="H15" s="31"/>
      <c r="I15" s="143"/>
      <c r="J15" s="165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3" ht="24" customHeight="1" x14ac:dyDescent="0.3">
      <c r="A16" s="1164"/>
      <c r="B16" s="521" t="s">
        <v>37</v>
      </c>
      <c r="C16" s="521" t="s">
        <v>141</v>
      </c>
      <c r="D16" s="520" t="s">
        <v>36</v>
      </c>
      <c r="E16" s="168"/>
      <c r="F16" s="31"/>
      <c r="G16" s="31"/>
      <c r="H16" s="31"/>
      <c r="I16" s="143"/>
      <c r="J16" s="165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1:20" ht="49.5" customHeight="1" x14ac:dyDescent="0.3">
      <c r="A17" s="522" t="s">
        <v>242</v>
      </c>
      <c r="B17" s="523" t="s">
        <v>123</v>
      </c>
      <c r="C17" s="524" t="s">
        <v>182</v>
      </c>
      <c r="D17" s="525" t="s">
        <v>30</v>
      </c>
      <c r="E17" s="168"/>
      <c r="F17" s="31"/>
      <c r="G17" s="31"/>
      <c r="H17" s="31"/>
      <c r="I17" s="143"/>
      <c r="J17" s="165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1:20" ht="43.5" customHeight="1" x14ac:dyDescent="0.3">
      <c r="A18" s="1162" t="s">
        <v>147</v>
      </c>
      <c r="B18" s="526" t="s">
        <v>139</v>
      </c>
      <c r="C18" s="527" t="s">
        <v>238</v>
      </c>
      <c r="D18" s="528" t="s">
        <v>30</v>
      </c>
      <c r="E18" s="168"/>
      <c r="F18" s="31"/>
      <c r="G18" s="31"/>
      <c r="H18" s="31"/>
      <c r="I18" s="143"/>
      <c r="J18" s="165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1:20" ht="72.75" customHeight="1" x14ac:dyDescent="0.3">
      <c r="A19" s="1162"/>
      <c r="B19" s="529" t="s">
        <v>38</v>
      </c>
      <c r="C19" s="529" t="s">
        <v>142</v>
      </c>
      <c r="D19" s="530" t="s">
        <v>30</v>
      </c>
      <c r="E19" s="168"/>
      <c r="F19" s="31"/>
      <c r="G19" s="31"/>
      <c r="H19" s="31"/>
      <c r="I19" s="143"/>
      <c r="J19" s="165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ht="68.25" customHeight="1" x14ac:dyDescent="0.3">
      <c r="A20" s="1162"/>
      <c r="B20" s="531" t="s">
        <v>241</v>
      </c>
      <c r="C20" s="531" t="s">
        <v>265</v>
      </c>
      <c r="D20" s="532" t="s">
        <v>223</v>
      </c>
      <c r="E20" s="168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28.15" customHeight="1" x14ac:dyDescent="0.3"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</row>
    <row r="22" spans="1:20" ht="37.15" customHeight="1" x14ac:dyDescent="0.3">
      <c r="A22" s="1163" t="s">
        <v>39</v>
      </c>
      <c r="B22" s="135" t="s">
        <v>144</v>
      </c>
      <c r="C22" s="14" t="s">
        <v>40</v>
      </c>
      <c r="D22" s="15" t="s">
        <v>41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9.6" customHeight="1" x14ac:dyDescent="0.3">
      <c r="A23" s="1163"/>
      <c r="B23" s="16" t="s">
        <v>42</v>
      </c>
      <c r="C23" s="17" t="s">
        <v>145</v>
      </c>
      <c r="D23" s="18" t="s">
        <v>43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37.5" x14ac:dyDescent="0.3">
      <c r="A24" s="1163"/>
      <c r="B24" s="176" t="s">
        <v>44</v>
      </c>
      <c r="C24" s="177" t="s">
        <v>146</v>
      </c>
      <c r="D24" s="178" t="s">
        <v>43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</row>
    <row r="25" spans="1:20" ht="37.15" customHeight="1" x14ac:dyDescent="0.3">
      <c r="A25" s="1163"/>
      <c r="B25" s="179" t="s">
        <v>45</v>
      </c>
      <c r="C25" s="180" t="s">
        <v>183</v>
      </c>
      <c r="D25" s="181" t="s">
        <v>43</v>
      </c>
      <c r="E25" s="165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</row>
    <row r="30" spans="1:20" x14ac:dyDescent="0.3">
      <c r="A30" s="19"/>
    </row>
    <row r="31" spans="1:20" x14ac:dyDescent="0.3">
      <c r="A31" s="1"/>
    </row>
    <row r="32" spans="1:20" x14ac:dyDescent="0.3">
      <c r="A32" s="1"/>
      <c r="C32" s="20"/>
    </row>
    <row r="33" spans="1:5" x14ac:dyDescent="0.3">
      <c r="A33" s="1"/>
      <c r="C33" s="20"/>
    </row>
    <row r="34" spans="1:5" x14ac:dyDescent="0.3">
      <c r="A34" s="1"/>
    </row>
    <row r="35" spans="1:5" x14ac:dyDescent="0.3">
      <c r="A35" s="1"/>
    </row>
    <row r="37" spans="1:5" x14ac:dyDescent="0.3">
      <c r="A37" s="19"/>
    </row>
    <row r="38" spans="1:5" x14ac:dyDescent="0.3">
      <c r="A38" s="21"/>
    </row>
    <row r="39" spans="1:5" x14ac:dyDescent="0.3">
      <c r="A39" s="21"/>
      <c r="D39" s="1"/>
      <c r="E39" s="61"/>
    </row>
    <row r="40" spans="1:5" x14ac:dyDescent="0.3">
      <c r="A40" s="21"/>
      <c r="D40" s="1"/>
      <c r="E40" s="61"/>
    </row>
    <row r="41" spans="1:5" x14ac:dyDescent="0.3">
      <c r="A41" s="21"/>
      <c r="D41" s="1"/>
      <c r="E41" s="61"/>
    </row>
    <row r="42" spans="1:5" x14ac:dyDescent="0.3">
      <c r="A42" s="21"/>
      <c r="D42" s="1"/>
      <c r="E42" s="61"/>
    </row>
  </sheetData>
  <mergeCells count="4">
    <mergeCell ref="A18:A20"/>
    <mergeCell ref="A22:A25"/>
    <mergeCell ref="A14:A16"/>
    <mergeCell ref="A10:A13"/>
  </mergeCells>
  <hyperlinks>
    <hyperlink ref="A7" r:id="rId1" display="http://www.st.nmfs.noaa.gov/Assets/stock/documents/PrioritizingFishStockAssessments_FinalWeb.pdf"/>
  </hyperlinks>
  <pageMargins left="0.7" right="0.7" top="0.75" bottom="0.75" header="0.3" footer="0.3"/>
  <pageSetup scale="80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343"/>
  <sheetViews>
    <sheetView zoomScale="95" zoomScaleNormal="95"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 activeCell="O18" sqref="O18"/>
    </sheetView>
  </sheetViews>
  <sheetFormatPr defaultColWidth="10.140625" defaultRowHeight="18.75" x14ac:dyDescent="0.3"/>
  <cols>
    <col min="1" max="1" width="37.42578125" style="161" customWidth="1"/>
    <col min="2" max="2" width="11.85546875" style="35" bestFit="1" customWidth="1"/>
    <col min="3" max="3" width="13.42578125" style="192" customWidth="1"/>
    <col min="4" max="4" width="14" style="192" customWidth="1"/>
    <col min="5" max="5" width="10.140625" style="192"/>
    <col min="6" max="6" width="14.42578125" style="199" customWidth="1"/>
    <col min="7" max="7" width="26" style="161" customWidth="1"/>
    <col min="8" max="8" width="16.42578125" style="161" customWidth="1"/>
    <col min="9" max="9" width="1.85546875" style="161" customWidth="1"/>
    <col min="10" max="10" width="11.85546875" style="162" customWidth="1"/>
    <col min="11" max="11" width="9.42578125" style="162" bestFit="1" customWidth="1"/>
    <col min="12" max="12" width="6.7109375" bestFit="1" customWidth="1"/>
    <col min="13" max="13" width="4.140625" style="165" customWidth="1"/>
    <col min="14" max="14" width="12.28515625" style="163" customWidth="1"/>
    <col min="15" max="15" width="9.7109375" style="163" customWidth="1"/>
    <col min="16" max="16" width="7.28515625" style="191" customWidth="1"/>
    <col min="22" max="16384" width="10.140625" style="161"/>
  </cols>
  <sheetData>
    <row r="1" spans="1:24" x14ac:dyDescent="0.3">
      <c r="A1" s="66" t="s">
        <v>439</v>
      </c>
      <c r="B1" s="104"/>
      <c r="C1" s="201"/>
      <c r="D1" s="201"/>
      <c r="E1" s="201"/>
      <c r="F1" s="359"/>
      <c r="G1" s="201"/>
      <c r="H1" s="201"/>
      <c r="I1" s="201"/>
      <c r="J1" s="201"/>
      <c r="K1" s="201"/>
      <c r="L1" s="201"/>
      <c r="N1" s="201"/>
      <c r="O1" s="201"/>
      <c r="P1" s="201"/>
      <c r="Q1" s="165"/>
      <c r="R1" s="165"/>
      <c r="S1" s="165"/>
      <c r="T1" s="165"/>
      <c r="U1" s="165"/>
      <c r="V1" s="201"/>
      <c r="W1" s="201"/>
    </row>
    <row r="2" spans="1:24" x14ac:dyDescent="0.3">
      <c r="A2" s="66"/>
      <c r="B2" s="104"/>
      <c r="C2" s="201"/>
      <c r="D2" s="201"/>
      <c r="E2" s="201"/>
      <c r="F2" s="359"/>
      <c r="G2" s="201"/>
      <c r="H2" s="201"/>
      <c r="I2" s="201"/>
      <c r="J2" s="201"/>
      <c r="K2" s="201"/>
      <c r="L2" s="201"/>
      <c r="N2" s="201"/>
      <c r="O2" s="201"/>
      <c r="P2" s="201"/>
      <c r="Q2" s="165"/>
      <c r="R2" s="165"/>
      <c r="S2" s="165"/>
      <c r="T2" s="165"/>
      <c r="U2" s="165"/>
      <c r="V2" s="201"/>
      <c r="W2" s="201"/>
    </row>
    <row r="3" spans="1:24" ht="19.5" thickBot="1" x14ac:dyDescent="0.35">
      <c r="A3" s="202"/>
      <c r="B3" s="104"/>
      <c r="C3" s="201"/>
      <c r="D3" s="201"/>
      <c r="E3" s="201"/>
      <c r="F3" s="359"/>
      <c r="G3" s="201"/>
      <c r="H3" s="201"/>
      <c r="I3" s="1199"/>
      <c r="J3" s="1200" t="s">
        <v>170</v>
      </c>
      <c r="K3" s="1198"/>
      <c r="L3" s="1201"/>
      <c r="M3" s="144"/>
      <c r="N3" s="243" t="s">
        <v>190</v>
      </c>
      <c r="O3" s="243"/>
      <c r="P3" s="245"/>
      <c r="Q3" s="201"/>
      <c r="R3" s="201"/>
      <c r="S3" s="201"/>
      <c r="T3" s="201"/>
      <c r="U3" s="201"/>
      <c r="V3" s="201"/>
      <c r="W3" s="201"/>
      <c r="X3" s="201"/>
    </row>
    <row r="4" spans="1:24" ht="56.25" x14ac:dyDescent="0.3">
      <c r="A4" s="216"/>
      <c r="B4" s="203" t="s">
        <v>191</v>
      </c>
      <c r="C4" s="204"/>
      <c r="D4" s="205"/>
      <c r="E4" s="217"/>
      <c r="F4" s="221"/>
      <c r="G4" s="215"/>
      <c r="H4" s="675" t="s">
        <v>221</v>
      </c>
      <c r="I4" s="1196"/>
      <c r="J4" s="360" t="s">
        <v>202</v>
      </c>
      <c r="K4" s="361"/>
      <c r="L4" s="362"/>
      <c r="M4" s="144"/>
      <c r="N4" s="1176" t="s">
        <v>216</v>
      </c>
      <c r="O4" s="1177"/>
      <c r="P4" s="1178"/>
      <c r="Q4" s="201" t="s">
        <v>215</v>
      </c>
      <c r="R4" s="201"/>
      <c r="S4" s="201"/>
      <c r="T4" s="201"/>
      <c r="U4" s="201"/>
      <c r="V4" s="201"/>
      <c r="W4" s="201"/>
      <c r="X4" s="201"/>
    </row>
    <row r="5" spans="1:24" ht="57" thickBot="1" x14ac:dyDescent="0.35">
      <c r="A5" s="674" t="s">
        <v>4</v>
      </c>
      <c r="B5" s="213" t="s">
        <v>3</v>
      </c>
      <c r="C5" s="230" t="s">
        <v>200</v>
      </c>
      <c r="D5" s="231" t="s">
        <v>201</v>
      </c>
      <c r="E5" s="232" t="s">
        <v>193</v>
      </c>
      <c r="F5" s="233" t="s">
        <v>194</v>
      </c>
      <c r="G5" s="234" t="s">
        <v>192</v>
      </c>
      <c r="H5" s="235" t="s">
        <v>320</v>
      </c>
      <c r="I5" s="1197"/>
      <c r="J5" s="236" t="s">
        <v>180</v>
      </c>
      <c r="K5" s="237" t="s">
        <v>179</v>
      </c>
      <c r="L5" s="238" t="s">
        <v>3</v>
      </c>
      <c r="M5" s="145"/>
      <c r="N5" s="239" t="s">
        <v>180</v>
      </c>
      <c r="O5" s="240" t="s">
        <v>179</v>
      </c>
      <c r="P5" s="244" t="s">
        <v>3</v>
      </c>
      <c r="Q5" s="201"/>
      <c r="R5" s="201"/>
      <c r="S5" s="201"/>
      <c r="T5" s="201"/>
      <c r="U5" s="201"/>
      <c r="V5" s="201"/>
      <c r="W5" s="201"/>
      <c r="X5" s="201"/>
    </row>
    <row r="6" spans="1:24" x14ac:dyDescent="0.3">
      <c r="A6" s="151" t="s">
        <v>10</v>
      </c>
      <c r="B6" s="214">
        <f t="shared" ref="B6:B39" si="0">RANK(C6,C$6:C$70,0)</f>
        <v>3</v>
      </c>
      <c r="C6" s="223">
        <f t="shared" ref="C6:C39" si="1">D6/MAX($D$6:$D$70)*10</f>
        <v>5.7118109499081191</v>
      </c>
      <c r="D6" s="224">
        <f>K6+O6</f>
        <v>4.1962974014290282</v>
      </c>
      <c r="E6" s="225">
        <f t="shared" ref="E6:E39" si="2">_xlfn.RANK.EQ(C6,$C$6:$C$70,1)/COUNT($C$6:$C$70)</f>
        <v>0.96923076923076923</v>
      </c>
      <c r="F6" s="226">
        <f t="shared" ref="F6:F39" si="3">IF(E6&gt;0.66,-1,IF(E6&lt;0.335,1,0))</f>
        <v>-1</v>
      </c>
      <c r="G6" s="227" t="s">
        <v>10</v>
      </c>
      <c r="H6" s="1075">
        <v>16833.333333333299</v>
      </c>
      <c r="I6" s="1075"/>
      <c r="J6" s="228">
        <v>5.1627904243807102E-2</v>
      </c>
      <c r="K6" s="229">
        <v>4.0383469032164596</v>
      </c>
      <c r="L6" s="72">
        <v>3</v>
      </c>
      <c r="M6" s="246"/>
      <c r="N6" s="241">
        <v>3.2053069251109299E-3</v>
      </c>
      <c r="O6" s="242">
        <v>0.15795049821256901</v>
      </c>
      <c r="P6" s="41">
        <f>RANK(O6,O$6:O$70,0)</f>
        <v>7</v>
      </c>
      <c r="Q6" s="201"/>
      <c r="R6" s="201"/>
      <c r="S6" s="201"/>
      <c r="T6" s="201"/>
      <c r="U6" s="201"/>
      <c r="V6" s="201"/>
      <c r="W6" s="201"/>
      <c r="X6" s="201"/>
    </row>
    <row r="7" spans="1:24" x14ac:dyDescent="0.3">
      <c r="A7" s="184" t="s">
        <v>156</v>
      </c>
      <c r="B7" s="212">
        <f t="shared" si="0"/>
        <v>51</v>
      </c>
      <c r="C7" s="211">
        <f t="shared" si="1"/>
        <v>5.8866153107661398E-3</v>
      </c>
      <c r="D7" s="206">
        <f t="shared" ref="D6:D39" si="4">K7+O7</f>
        <v>4.3247209595019325E-3</v>
      </c>
      <c r="E7" s="218">
        <f t="shared" si="2"/>
        <v>0.23076923076923078</v>
      </c>
      <c r="F7" s="222">
        <f t="shared" si="3"/>
        <v>1</v>
      </c>
      <c r="G7" s="219" t="s">
        <v>171</v>
      </c>
      <c r="H7" s="1076">
        <v>92.065399999999997</v>
      </c>
      <c r="I7" s="1076"/>
      <c r="J7" s="209">
        <v>3.74537214655586E-6</v>
      </c>
      <c r="K7" s="210">
        <v>2.9296389677199302E-4</v>
      </c>
      <c r="L7" s="41">
        <v>50</v>
      </c>
      <c r="M7" s="246"/>
      <c r="N7" s="241">
        <v>8.1816891872930005E-5</v>
      </c>
      <c r="O7" s="242">
        <v>4.0317570627299397E-3</v>
      </c>
      <c r="P7" s="41">
        <f>RANK(O7,O$6:O$70,0)</f>
        <v>40</v>
      </c>
      <c r="Q7" s="201"/>
      <c r="R7" s="201"/>
      <c r="S7" s="201"/>
      <c r="T7" s="201"/>
      <c r="U7" s="201"/>
      <c r="V7" s="201"/>
      <c r="W7" s="201"/>
      <c r="X7" s="201"/>
    </row>
    <row r="8" spans="1:24" x14ac:dyDescent="0.3">
      <c r="A8" s="184" t="s">
        <v>102</v>
      </c>
      <c r="B8" s="212">
        <f t="shared" si="0"/>
        <v>52</v>
      </c>
      <c r="C8" s="211">
        <f t="shared" si="1"/>
        <v>5.0210781279627732E-3</v>
      </c>
      <c r="D8" s="206">
        <f t="shared" si="4"/>
        <v>3.6888365678631658E-3</v>
      </c>
      <c r="E8" s="218">
        <f t="shared" si="2"/>
        <v>0.2153846153846154</v>
      </c>
      <c r="F8" s="222">
        <f t="shared" si="3"/>
        <v>1</v>
      </c>
      <c r="G8" s="220" t="s">
        <v>171</v>
      </c>
      <c r="H8" s="1076">
        <v>520.43501399333297</v>
      </c>
      <c r="I8" s="1076"/>
      <c r="J8" s="209">
        <v>3.1946721797428001E-6</v>
      </c>
      <c r="K8" s="210">
        <v>2.4988801487915599E-4</v>
      </c>
      <c r="L8" s="41">
        <v>49</v>
      </c>
      <c r="M8" s="246"/>
      <c r="N8" s="241">
        <v>6.9786963236705498E-5</v>
      </c>
      <c r="O8" s="242">
        <v>3.43894855298401E-3</v>
      </c>
      <c r="P8" s="41">
        <v>49</v>
      </c>
      <c r="Q8" s="201"/>
      <c r="R8" s="201"/>
      <c r="S8" s="201"/>
      <c r="T8" s="201"/>
      <c r="U8" s="201"/>
      <c r="V8" s="201"/>
      <c r="W8" s="201"/>
      <c r="X8" s="201"/>
    </row>
    <row r="9" spans="1:24" x14ac:dyDescent="0.3">
      <c r="A9" s="184" t="s">
        <v>103</v>
      </c>
      <c r="B9" s="212">
        <f t="shared" si="0"/>
        <v>15</v>
      </c>
      <c r="C9" s="211">
        <f t="shared" si="1"/>
        <v>0.48456827431549809</v>
      </c>
      <c r="D9" s="206">
        <f t="shared" si="4"/>
        <v>0.35599788020956519</v>
      </c>
      <c r="E9" s="218">
        <f t="shared" si="2"/>
        <v>0.7846153846153846</v>
      </c>
      <c r="F9" s="222">
        <f t="shared" si="3"/>
        <v>-1</v>
      </c>
      <c r="G9" s="219" t="s">
        <v>173</v>
      </c>
      <c r="H9" s="1076">
        <v>541</v>
      </c>
      <c r="I9" s="1076"/>
      <c r="J9" s="207">
        <v>4.1489730199526804E-3</v>
      </c>
      <c r="K9" s="208">
        <v>0.324533652722584</v>
      </c>
      <c r="L9" s="41">
        <v>12</v>
      </c>
      <c r="M9" s="246"/>
      <c r="N9" s="241">
        <v>6.3850704745204096E-4</v>
      </c>
      <c r="O9" s="242">
        <v>3.1464227486981203E-2</v>
      </c>
      <c r="P9" s="41">
        <f t="shared" ref="P9:P42" si="5">RANK(O9,O$6:O$70,0)</f>
        <v>27</v>
      </c>
      <c r="Q9" s="201"/>
      <c r="R9" s="201"/>
      <c r="S9" s="201"/>
      <c r="T9" s="201"/>
      <c r="U9" s="201"/>
      <c r="V9" s="201"/>
      <c r="W9" s="201"/>
      <c r="X9" s="201"/>
    </row>
    <row r="10" spans="1:24" x14ac:dyDescent="0.3">
      <c r="A10" s="87" t="s">
        <v>5</v>
      </c>
      <c r="B10" s="212">
        <f t="shared" si="0"/>
        <v>9</v>
      </c>
      <c r="C10" s="211">
        <f t="shared" si="1"/>
        <v>0.94793158689862256</v>
      </c>
      <c r="D10" s="206">
        <f t="shared" si="4"/>
        <v>0.69641710653941935</v>
      </c>
      <c r="E10" s="218">
        <f t="shared" si="2"/>
        <v>0.87692307692307692</v>
      </c>
      <c r="F10" s="222">
        <f t="shared" si="3"/>
        <v>-1</v>
      </c>
      <c r="G10" s="219" t="s">
        <v>5</v>
      </c>
      <c r="H10" s="1076">
        <v>1671.0333333333299</v>
      </c>
      <c r="I10" s="1076"/>
      <c r="J10" s="207">
        <v>8.1407544131792894E-3</v>
      </c>
      <c r="K10" s="208">
        <v>0.63677173915599705</v>
      </c>
      <c r="L10" s="41">
        <v>9</v>
      </c>
      <c r="M10" s="246"/>
      <c r="N10" s="241">
        <v>1.2103900354120899E-3</v>
      </c>
      <c r="O10" s="242">
        <v>5.9645367383422299E-2</v>
      </c>
      <c r="P10" s="41">
        <f t="shared" si="5"/>
        <v>17</v>
      </c>
      <c r="Q10" s="201"/>
      <c r="R10" s="201"/>
      <c r="S10" s="201"/>
      <c r="T10" s="201"/>
      <c r="U10" s="201"/>
      <c r="V10" s="201"/>
      <c r="W10" s="201"/>
      <c r="X10" s="201"/>
    </row>
    <row r="11" spans="1:24" x14ac:dyDescent="0.3">
      <c r="A11" s="184" t="s">
        <v>157</v>
      </c>
      <c r="B11" s="212">
        <f t="shared" si="0"/>
        <v>50</v>
      </c>
      <c r="C11" s="211">
        <f t="shared" si="1"/>
        <v>6.8975049559537854E-3</v>
      </c>
      <c r="D11" s="206">
        <f t="shared" si="4"/>
        <v>5.0673914765120703E-3</v>
      </c>
      <c r="E11" s="218">
        <f t="shared" si="2"/>
        <v>0.24615384615384617</v>
      </c>
      <c r="F11" s="222">
        <f t="shared" si="3"/>
        <v>1</v>
      </c>
      <c r="G11" s="219" t="s">
        <v>171</v>
      </c>
      <c r="H11" s="1076">
        <v>169.36666666666699</v>
      </c>
      <c r="I11" s="1076"/>
      <c r="J11" s="209">
        <v>4.3885529423865202E-6</v>
      </c>
      <c r="K11" s="210">
        <v>3.4327365102398001E-4</v>
      </c>
      <c r="L11" s="41">
        <v>50</v>
      </c>
      <c r="M11" s="246"/>
      <c r="N11" s="241">
        <v>9.5867045387211197E-5</v>
      </c>
      <c r="O11" s="242">
        <v>4.7241178254880901E-3</v>
      </c>
      <c r="P11" s="41">
        <f t="shared" si="5"/>
        <v>39</v>
      </c>
      <c r="Q11" s="201"/>
      <c r="R11" s="201"/>
      <c r="S11" s="201"/>
      <c r="T11" s="201"/>
      <c r="U11" s="201"/>
      <c r="V11" s="201"/>
      <c r="W11" s="201"/>
      <c r="X11" s="201"/>
    </row>
    <row r="12" spans="1:24" x14ac:dyDescent="0.3">
      <c r="A12" s="184" t="s">
        <v>247</v>
      </c>
      <c r="B12" s="212">
        <f t="shared" si="0"/>
        <v>25</v>
      </c>
      <c r="C12" s="211">
        <f t="shared" si="1"/>
        <v>0.1136410837189569</v>
      </c>
      <c r="D12" s="206">
        <f t="shared" si="4"/>
        <v>8.3488719862674809E-2</v>
      </c>
      <c r="E12" s="218">
        <f t="shared" si="2"/>
        <v>0.63076923076923075</v>
      </c>
      <c r="F12" s="222">
        <f t="shared" si="3"/>
        <v>0</v>
      </c>
      <c r="G12" s="219" t="s">
        <v>174</v>
      </c>
      <c r="H12" s="1076">
        <v>431.64333333333298</v>
      </c>
      <c r="I12" s="1076"/>
      <c r="J12" s="207">
        <v>8.0516514486400495E-4</v>
      </c>
      <c r="K12" s="208">
        <v>6.2980208415673103E-2</v>
      </c>
      <c r="L12" s="41">
        <v>20</v>
      </c>
      <c r="M12" s="246"/>
      <c r="N12" s="241">
        <v>4.1618149045863801E-4</v>
      </c>
      <c r="O12" s="242">
        <v>2.05085114470017E-2</v>
      </c>
      <c r="P12" s="41">
        <f t="shared" si="5"/>
        <v>28</v>
      </c>
      <c r="Q12" s="201"/>
      <c r="R12" s="201"/>
      <c r="S12" s="201"/>
      <c r="T12" s="201"/>
      <c r="U12" s="201"/>
      <c r="V12" s="201"/>
      <c r="W12" s="201"/>
      <c r="X12" s="201"/>
    </row>
    <row r="13" spans="1:24" x14ac:dyDescent="0.3">
      <c r="A13" s="87" t="s">
        <v>94</v>
      </c>
      <c r="B13" s="212">
        <f t="shared" si="0"/>
        <v>13</v>
      </c>
      <c r="C13" s="211">
        <f t="shared" si="1"/>
        <v>0.66286069774807621</v>
      </c>
      <c r="D13" s="206">
        <f t="shared" si="4"/>
        <v>0.48698401397798874</v>
      </c>
      <c r="E13" s="218">
        <f t="shared" si="2"/>
        <v>0.81538461538461537</v>
      </c>
      <c r="F13" s="222">
        <f t="shared" si="3"/>
        <v>-1</v>
      </c>
      <c r="G13" s="219" t="s">
        <v>175</v>
      </c>
      <c r="H13" s="1076">
        <v>2387.5721283333301</v>
      </c>
      <c r="I13" s="1076"/>
      <c r="J13" s="207">
        <v>5.5636416068801401E-3</v>
      </c>
      <c r="K13" s="208">
        <v>0.43518936479870302</v>
      </c>
      <c r="L13" s="41">
        <v>10</v>
      </c>
      <c r="M13" s="246"/>
      <c r="N13" s="241">
        <v>1.0510745428268899E-3</v>
      </c>
      <c r="O13" s="242">
        <v>5.1794649179285703E-2</v>
      </c>
      <c r="P13" s="41">
        <f t="shared" si="5"/>
        <v>19</v>
      </c>
      <c r="Q13" s="201"/>
      <c r="R13" s="201"/>
      <c r="S13" s="201"/>
      <c r="T13" s="201"/>
      <c r="U13" s="201"/>
      <c r="V13" s="201"/>
      <c r="W13" s="201"/>
      <c r="X13" s="201"/>
    </row>
    <row r="14" spans="1:24" x14ac:dyDescent="0.3">
      <c r="A14" s="184" t="s">
        <v>104</v>
      </c>
      <c r="B14" s="212">
        <f t="shared" si="0"/>
        <v>39</v>
      </c>
      <c r="C14" s="211">
        <f t="shared" si="1"/>
        <v>2.6497760528589875E-2</v>
      </c>
      <c r="D14" s="206">
        <f t="shared" si="4"/>
        <v>1.9467115530425429E-2</v>
      </c>
      <c r="E14" s="218">
        <f t="shared" si="2"/>
        <v>0.41538461538461541</v>
      </c>
      <c r="F14" s="222">
        <f t="shared" si="3"/>
        <v>0</v>
      </c>
      <c r="G14" s="219" t="s">
        <v>174</v>
      </c>
      <c r="H14" s="1076">
        <v>179.996933333333</v>
      </c>
      <c r="I14" s="1076"/>
      <c r="J14" s="207">
        <v>1.8774084597201701E-4</v>
      </c>
      <c r="K14" s="208">
        <v>1.46851334572481E-2</v>
      </c>
      <c r="L14" s="41">
        <v>26</v>
      </c>
      <c r="M14" s="246"/>
      <c r="N14" s="241">
        <v>9.7041290963727404E-5</v>
      </c>
      <c r="O14" s="242">
        <v>4.7819820731773302E-3</v>
      </c>
      <c r="P14" s="41">
        <f t="shared" si="5"/>
        <v>38</v>
      </c>
      <c r="Q14" s="201"/>
      <c r="R14" s="201"/>
      <c r="S14" s="201"/>
      <c r="T14" s="201"/>
      <c r="U14" s="201"/>
      <c r="V14" s="201"/>
      <c r="W14" s="201"/>
      <c r="X14" s="201"/>
    </row>
    <row r="15" spans="1:24" x14ac:dyDescent="0.3">
      <c r="A15" s="184" t="s">
        <v>9</v>
      </c>
      <c r="B15" s="212">
        <f t="shared" si="0"/>
        <v>20</v>
      </c>
      <c r="C15" s="211">
        <f t="shared" si="1"/>
        <v>0.21789096872192051</v>
      </c>
      <c r="D15" s="206">
        <f t="shared" si="4"/>
        <v>0.16007800570804201</v>
      </c>
      <c r="E15" s="218">
        <f t="shared" si="2"/>
        <v>0.70769230769230773</v>
      </c>
      <c r="F15" s="222">
        <f t="shared" si="3"/>
        <v>-1</v>
      </c>
      <c r="G15" s="220" t="s">
        <v>195</v>
      </c>
      <c r="H15" s="1076">
        <v>365.23666666666702</v>
      </c>
      <c r="I15" s="1076"/>
      <c r="J15" s="207">
        <v>1.9337998411040999E-3</v>
      </c>
      <c r="K15" s="208">
        <v>0.15126228178630699</v>
      </c>
      <c r="L15" s="41">
        <v>16</v>
      </c>
      <c r="M15" s="246"/>
      <c r="N15" s="241">
        <v>1.7889846031492201E-4</v>
      </c>
      <c r="O15" s="242">
        <v>8.8157239217350192E-3</v>
      </c>
      <c r="P15" s="41">
        <f t="shared" si="5"/>
        <v>31</v>
      </c>
      <c r="Q15" s="201"/>
      <c r="R15" s="201"/>
      <c r="S15" s="201"/>
      <c r="T15" s="201"/>
      <c r="U15" s="201"/>
      <c r="V15" s="201"/>
      <c r="W15" s="201"/>
      <c r="X15" s="201"/>
    </row>
    <row r="16" spans="1:24" x14ac:dyDescent="0.3">
      <c r="A16" s="87" t="s">
        <v>90</v>
      </c>
      <c r="B16" s="212">
        <f t="shared" si="0"/>
        <v>17</v>
      </c>
      <c r="C16" s="211">
        <f t="shared" si="1"/>
        <v>0.3890122365528314</v>
      </c>
      <c r="D16" s="206">
        <f t="shared" si="4"/>
        <v>0.28579570502013901</v>
      </c>
      <c r="E16" s="218">
        <f t="shared" si="2"/>
        <v>0.7384615384615385</v>
      </c>
      <c r="F16" s="222">
        <f t="shared" si="3"/>
        <v>-1</v>
      </c>
      <c r="G16" s="219" t="s">
        <v>172</v>
      </c>
      <c r="H16" s="1076">
        <v>315.33333333333297</v>
      </c>
      <c r="I16" s="1076"/>
      <c r="J16" s="207">
        <v>2.0924624770714598E-3</v>
      </c>
      <c r="K16" s="208">
        <v>0.16367291076689</v>
      </c>
      <c r="L16" s="41">
        <v>13</v>
      </c>
      <c r="M16" s="246"/>
      <c r="N16" s="241">
        <v>2.47825136712792E-3</v>
      </c>
      <c r="O16" s="242">
        <v>0.122122794253249</v>
      </c>
      <c r="P16" s="41">
        <f t="shared" si="5"/>
        <v>11</v>
      </c>
      <c r="Q16" s="201"/>
      <c r="R16" s="201"/>
      <c r="S16" s="201"/>
      <c r="T16" s="201"/>
      <c r="U16" s="201"/>
      <c r="V16" s="201"/>
      <c r="W16" s="201"/>
      <c r="X16" s="201"/>
    </row>
    <row r="17" spans="1:24" x14ac:dyDescent="0.3">
      <c r="A17" s="87" t="s">
        <v>14</v>
      </c>
      <c r="B17" s="212">
        <f t="shared" si="0"/>
        <v>30</v>
      </c>
      <c r="C17" s="211">
        <f t="shared" si="1"/>
        <v>7.7165202449884146E-2</v>
      </c>
      <c r="D17" s="206">
        <f t="shared" si="4"/>
        <v>5.6690976182676801E-2</v>
      </c>
      <c r="E17" s="218">
        <f t="shared" si="2"/>
        <v>0.55384615384615388</v>
      </c>
      <c r="F17" s="222">
        <f t="shared" si="3"/>
        <v>0</v>
      </c>
      <c r="G17" s="219" t="s">
        <v>163</v>
      </c>
      <c r="H17" s="1076">
        <v>1514.6666666666699</v>
      </c>
      <c r="I17" s="1076"/>
      <c r="J17" s="207">
        <v>2.3399050797279301E-4</v>
      </c>
      <c r="K17" s="208">
        <v>1.8302792977836699E-2</v>
      </c>
      <c r="L17" s="41">
        <v>29</v>
      </c>
      <c r="M17" s="246"/>
      <c r="N17" s="241">
        <v>7.7901564642934298E-4</v>
      </c>
      <c r="O17" s="242">
        <v>3.8388183204840103E-2</v>
      </c>
      <c r="P17" s="41">
        <f t="shared" si="5"/>
        <v>24</v>
      </c>
      <c r="Q17" s="201"/>
      <c r="R17" s="201"/>
      <c r="S17" s="201"/>
      <c r="T17" s="201"/>
      <c r="U17" s="201"/>
      <c r="V17" s="201"/>
      <c r="W17" s="201"/>
      <c r="X17" s="201"/>
    </row>
    <row r="18" spans="1:24" x14ac:dyDescent="0.3">
      <c r="A18" s="87" t="s">
        <v>96</v>
      </c>
      <c r="B18" s="212">
        <f t="shared" si="0"/>
        <v>10</v>
      </c>
      <c r="C18" s="211">
        <f t="shared" si="1"/>
        <v>0.82859732884711845</v>
      </c>
      <c r="D18" s="206">
        <f t="shared" si="4"/>
        <v>0.60874578104307342</v>
      </c>
      <c r="E18" s="218">
        <f t="shared" si="2"/>
        <v>0.86153846153846159</v>
      </c>
      <c r="F18" s="222">
        <f t="shared" si="3"/>
        <v>-1</v>
      </c>
      <c r="G18" s="219" t="s">
        <v>175</v>
      </c>
      <c r="H18" s="1076">
        <v>2794.32</v>
      </c>
      <c r="I18" s="1076"/>
      <c r="J18" s="207">
        <v>6.9547321025142999E-3</v>
      </c>
      <c r="K18" s="208">
        <v>0.54400079298701498</v>
      </c>
      <c r="L18" s="41">
        <v>8</v>
      </c>
      <c r="M18" s="246"/>
      <c r="N18" s="241">
        <v>1.31387720159653E-3</v>
      </c>
      <c r="O18" s="242">
        <v>6.4744988056058397E-2</v>
      </c>
      <c r="P18" s="41">
        <f t="shared" si="5"/>
        <v>16</v>
      </c>
      <c r="Q18" s="201"/>
      <c r="R18" s="201"/>
      <c r="S18" s="201"/>
      <c r="T18" s="201"/>
      <c r="U18" s="201"/>
      <c r="V18" s="201"/>
      <c r="W18" s="201"/>
      <c r="X18" s="201"/>
    </row>
    <row r="19" spans="1:24" x14ac:dyDescent="0.3">
      <c r="A19" s="184" t="s">
        <v>99</v>
      </c>
      <c r="B19" s="212">
        <f t="shared" si="0"/>
        <v>37</v>
      </c>
      <c r="C19" s="211">
        <f t="shared" si="1"/>
        <v>3.3879694580730917E-2</v>
      </c>
      <c r="D19" s="206">
        <f t="shared" si="4"/>
        <v>2.4890402637121108E-2</v>
      </c>
      <c r="E19" s="218">
        <f t="shared" si="2"/>
        <v>0.44615384615384618</v>
      </c>
      <c r="F19" s="222">
        <f t="shared" si="3"/>
        <v>0</v>
      </c>
      <c r="G19" s="219" t="s">
        <v>175</v>
      </c>
      <c r="H19" s="1076">
        <v>42.926666666666698</v>
      </c>
      <c r="I19" s="1076"/>
      <c r="J19" s="207">
        <v>2.8436514495144198E-4</v>
      </c>
      <c r="K19" s="208">
        <v>2.2243109018609999E-2</v>
      </c>
      <c r="L19" s="41">
        <v>23</v>
      </c>
      <c r="M19" s="246"/>
      <c r="N19" s="241">
        <v>5.3721822116673799E-5</v>
      </c>
      <c r="O19" s="242">
        <v>2.6472936185111102E-3</v>
      </c>
      <c r="P19" s="41">
        <f t="shared" si="5"/>
        <v>45</v>
      </c>
      <c r="Q19" s="201"/>
      <c r="R19" s="201"/>
      <c r="S19" s="201"/>
      <c r="T19" s="201"/>
      <c r="U19" s="201"/>
      <c r="V19" s="201"/>
      <c r="W19" s="201"/>
      <c r="X19" s="201"/>
    </row>
    <row r="20" spans="1:24" x14ac:dyDescent="0.3">
      <c r="A20" s="184" t="s">
        <v>105</v>
      </c>
      <c r="B20" s="212">
        <f t="shared" si="0"/>
        <v>35</v>
      </c>
      <c r="C20" s="211">
        <f t="shared" si="1"/>
        <v>4.7365582080821381E-2</v>
      </c>
      <c r="D20" s="206">
        <f t="shared" si="4"/>
        <v>3.4798082560159205E-2</v>
      </c>
      <c r="E20" s="218">
        <f t="shared" si="2"/>
        <v>0.47692307692307695</v>
      </c>
      <c r="F20" s="222">
        <f t="shared" si="3"/>
        <v>0</v>
      </c>
      <c r="G20" s="219" t="s">
        <v>174</v>
      </c>
      <c r="H20" s="1076">
        <v>333.932633333333</v>
      </c>
      <c r="I20" s="1076"/>
      <c r="J20" s="207">
        <v>3.3559267924607698E-4</v>
      </c>
      <c r="K20" s="208">
        <v>2.6250138889534199E-2</v>
      </c>
      <c r="L20" s="41">
        <v>22</v>
      </c>
      <c r="M20" s="246"/>
      <c r="N20" s="241">
        <v>1.73464366070181E-4</v>
      </c>
      <c r="O20" s="242">
        <v>8.5479436706250092E-3</v>
      </c>
      <c r="P20" s="41">
        <f t="shared" si="5"/>
        <v>32</v>
      </c>
      <c r="Q20" s="201"/>
      <c r="R20" s="201"/>
      <c r="S20" s="201"/>
      <c r="T20" s="201"/>
      <c r="U20" s="201"/>
      <c r="V20" s="201"/>
      <c r="W20" s="201"/>
      <c r="X20" s="201"/>
    </row>
    <row r="21" spans="1:24" x14ac:dyDescent="0.3">
      <c r="A21" s="87" t="s">
        <v>92</v>
      </c>
      <c r="B21" s="212">
        <f t="shared" si="0"/>
        <v>62</v>
      </c>
      <c r="C21" s="211">
        <f t="shared" si="1"/>
        <v>1.3943884576294357E-3</v>
      </c>
      <c r="D21" s="206">
        <f t="shared" si="4"/>
        <v>1.024415673531204E-3</v>
      </c>
      <c r="E21" s="218">
        <f t="shared" si="2"/>
        <v>6.1538461538461542E-2</v>
      </c>
      <c r="F21" s="222">
        <f t="shared" si="3"/>
        <v>1</v>
      </c>
      <c r="G21" s="219" t="s">
        <v>174</v>
      </c>
      <c r="H21" s="1080">
        <v>74.1666666666667</v>
      </c>
      <c r="I21" s="1080"/>
      <c r="J21" s="207">
        <v>9.8794639028650592E-6</v>
      </c>
      <c r="K21" s="208">
        <v>7.7277400742757499E-4</v>
      </c>
      <c r="L21" s="41">
        <v>39</v>
      </c>
      <c r="M21" s="246"/>
      <c r="N21" s="241">
        <v>5.1065921547326298E-6</v>
      </c>
      <c r="O21" s="242">
        <v>2.51641666103629E-4</v>
      </c>
      <c r="P21" s="41">
        <f t="shared" si="5"/>
        <v>64</v>
      </c>
      <c r="Q21" s="201"/>
      <c r="R21" s="201"/>
      <c r="S21" s="201"/>
      <c r="T21" s="201"/>
      <c r="U21" s="201"/>
      <c r="V21" s="201"/>
      <c r="W21" s="201"/>
      <c r="X21" s="201"/>
    </row>
    <row r="22" spans="1:24" x14ac:dyDescent="0.3">
      <c r="A22" s="87" t="s">
        <v>22</v>
      </c>
      <c r="B22" s="212">
        <f t="shared" ref="B22" si="6">RANK(C22,C$6:C$70,0)</f>
        <v>65</v>
      </c>
      <c r="C22" s="211">
        <f t="shared" ref="C22" si="7">D22/MAX($D$6:$D$70)*10</f>
        <v>8.4956163216051521E-4</v>
      </c>
      <c r="D22" s="206">
        <f t="shared" ref="D22" si="8">K22+O22</f>
        <v>6.2414763034941147E-4</v>
      </c>
      <c r="E22" s="218">
        <f t="shared" ref="E22" si="9">_xlfn.RANK.EQ(C22,$C$6:$C$70,1)/COUNT($C$6:$C$70)</f>
        <v>1.5384615384615385E-2</v>
      </c>
      <c r="F22" s="222">
        <f t="shared" ref="F22" si="10">IF(E22&gt;0.66,-1,IF(E22&lt;0.335,1,0))</f>
        <v>1</v>
      </c>
      <c r="G22" s="219" t="s">
        <v>176</v>
      </c>
      <c r="H22" s="1080">
        <v>8.2422038433333302</v>
      </c>
      <c r="I22" s="1080"/>
      <c r="J22" s="207">
        <v>3.4381295540711599E-7</v>
      </c>
      <c r="K22" s="208">
        <v>2.68931308386505E-5</v>
      </c>
      <c r="L22" s="41"/>
      <c r="M22" s="246"/>
      <c r="N22" s="241">
        <v>1.21201515981237E-5</v>
      </c>
      <c r="O22" s="242">
        <v>5.9725449951076096E-4</v>
      </c>
      <c r="P22" s="41"/>
      <c r="Q22" s="201"/>
      <c r="R22" s="201"/>
      <c r="S22" s="201"/>
      <c r="T22" s="201"/>
      <c r="U22" s="201"/>
      <c r="V22" s="201"/>
      <c r="W22" s="201"/>
      <c r="X22" s="201"/>
    </row>
    <row r="23" spans="1:24" x14ac:dyDescent="0.3">
      <c r="A23" s="87" t="s">
        <v>13</v>
      </c>
      <c r="B23" s="212">
        <f t="shared" si="0"/>
        <v>33</v>
      </c>
      <c r="C23" s="211">
        <f t="shared" si="1"/>
        <v>5.6586831860472898E-2</v>
      </c>
      <c r="D23" s="206">
        <f t="shared" si="4"/>
        <v>4.1572660155186597E-2</v>
      </c>
      <c r="E23" s="218">
        <f t="shared" si="2"/>
        <v>0.50769230769230766</v>
      </c>
      <c r="F23" s="222">
        <f t="shared" si="3"/>
        <v>0</v>
      </c>
      <c r="G23" s="219" t="s">
        <v>171</v>
      </c>
      <c r="H23" s="1076">
        <v>778.66666666666697</v>
      </c>
      <c r="I23" s="1076"/>
      <c r="J23" s="209">
        <v>3.6003498228334397E-5</v>
      </c>
      <c r="K23" s="210">
        <v>2.8162021624729E-3</v>
      </c>
      <c r="L23" s="41">
        <v>50</v>
      </c>
      <c r="M23" s="246"/>
      <c r="N23" s="241">
        <v>7.8648908742049502E-4</v>
      </c>
      <c r="O23" s="242">
        <v>3.8756457992713697E-2</v>
      </c>
      <c r="P23" s="41">
        <f t="shared" si="5"/>
        <v>23</v>
      </c>
      <c r="Q23" s="201"/>
      <c r="R23" s="201"/>
      <c r="S23" s="201"/>
      <c r="T23" s="201"/>
      <c r="U23" s="201"/>
      <c r="V23" s="201"/>
      <c r="W23" s="201"/>
      <c r="X23" s="201"/>
    </row>
    <row r="24" spans="1:24" x14ac:dyDescent="0.3">
      <c r="A24" s="87" t="s">
        <v>6</v>
      </c>
      <c r="B24" s="212">
        <f t="shared" si="0"/>
        <v>7</v>
      </c>
      <c r="C24" s="211">
        <f t="shared" si="1"/>
        <v>1.894509684139607</v>
      </c>
      <c r="D24" s="206">
        <f t="shared" si="4"/>
        <v>1.3918398445356539</v>
      </c>
      <c r="E24" s="218">
        <f t="shared" si="2"/>
        <v>0.90769230769230769</v>
      </c>
      <c r="F24" s="222">
        <f t="shared" si="3"/>
        <v>-1</v>
      </c>
      <c r="G24" s="219" t="s">
        <v>176</v>
      </c>
      <c r="H24" s="1076">
        <v>91144.2</v>
      </c>
      <c r="I24" s="1076"/>
      <c r="J24" s="207">
        <v>7.6669772844493804E-4</v>
      </c>
      <c r="K24" s="208">
        <v>5.9971277988494102E-2</v>
      </c>
      <c r="L24" s="41">
        <v>19</v>
      </c>
      <c r="M24" s="246"/>
      <c r="N24" s="241">
        <v>2.7027756088150699E-2</v>
      </c>
      <c r="O24" s="242">
        <v>1.3318685665471599</v>
      </c>
      <c r="P24" s="41">
        <f t="shared" si="5"/>
        <v>1</v>
      </c>
      <c r="Q24" s="201"/>
      <c r="R24" s="201"/>
      <c r="S24" s="201"/>
      <c r="T24" s="201"/>
      <c r="U24" s="201"/>
      <c r="V24" s="201"/>
      <c r="W24" s="201"/>
      <c r="X24" s="201"/>
    </row>
    <row r="25" spans="1:24" x14ac:dyDescent="0.3">
      <c r="A25" s="87" t="s">
        <v>16</v>
      </c>
      <c r="B25" s="212">
        <f t="shared" si="0"/>
        <v>28</v>
      </c>
      <c r="C25" s="211">
        <f t="shared" si="1"/>
        <v>8.015571621133076E-2</v>
      </c>
      <c r="D25" s="206">
        <f t="shared" si="4"/>
        <v>5.888801758270739E-2</v>
      </c>
      <c r="E25" s="218">
        <f t="shared" si="2"/>
        <v>0.58461538461538465</v>
      </c>
      <c r="F25" s="222">
        <f t="shared" si="3"/>
        <v>0</v>
      </c>
      <c r="G25" s="219" t="s">
        <v>176</v>
      </c>
      <c r="H25" s="1076">
        <v>10136</v>
      </c>
      <c r="I25" s="1076"/>
      <c r="J25" s="207">
        <v>3.2438580839988801E-5</v>
      </c>
      <c r="K25" s="208">
        <v>2.5373534796469901E-3</v>
      </c>
      <c r="L25" s="41">
        <v>34</v>
      </c>
      <c r="M25" s="246"/>
      <c r="N25" s="241">
        <v>1.14353025744218E-3</v>
      </c>
      <c r="O25" s="242">
        <v>5.6350664103060402E-2</v>
      </c>
      <c r="P25" s="41">
        <f t="shared" si="5"/>
        <v>18</v>
      </c>
      <c r="Q25" s="201"/>
      <c r="R25" s="201"/>
      <c r="S25" s="201"/>
      <c r="T25" s="201"/>
      <c r="U25" s="201"/>
      <c r="V25" s="201"/>
      <c r="W25" s="201"/>
      <c r="X25" s="201"/>
    </row>
    <row r="26" spans="1:24" x14ac:dyDescent="0.3">
      <c r="A26" s="184" t="s">
        <v>106</v>
      </c>
      <c r="B26" s="212">
        <f t="shared" si="0"/>
        <v>43</v>
      </c>
      <c r="C26" s="211">
        <f t="shared" si="1"/>
        <v>1.1488141997411791E-2</v>
      </c>
      <c r="D26" s="206">
        <f t="shared" si="4"/>
        <v>8.4399957970881824E-3</v>
      </c>
      <c r="E26" s="218">
        <f t="shared" si="2"/>
        <v>0.35384615384615387</v>
      </c>
      <c r="F26" s="222">
        <f t="shared" si="3"/>
        <v>0</v>
      </c>
      <c r="G26" s="220" t="s">
        <v>175</v>
      </c>
      <c r="H26" s="1076">
        <v>23.4975103316667</v>
      </c>
      <c r="I26" s="1076"/>
      <c r="J26" s="207">
        <v>9.6424339261156505E-5</v>
      </c>
      <c r="K26" s="208">
        <v>7.5423346648182702E-3</v>
      </c>
      <c r="L26" s="41">
        <v>30</v>
      </c>
      <c r="M26" s="246"/>
      <c r="N26" s="241">
        <v>1.8216336613230799E-5</v>
      </c>
      <c r="O26" s="242">
        <v>8.9766113226991302E-4</v>
      </c>
      <c r="P26" s="41">
        <f t="shared" si="5"/>
        <v>56</v>
      </c>
      <c r="Q26" s="201"/>
      <c r="R26" s="201"/>
      <c r="S26" s="201"/>
      <c r="T26" s="201"/>
      <c r="U26" s="201"/>
      <c r="V26" s="201"/>
      <c r="W26" s="201"/>
      <c r="X26" s="201"/>
    </row>
    <row r="27" spans="1:24" x14ac:dyDescent="0.3">
      <c r="A27" s="184" t="s">
        <v>23</v>
      </c>
      <c r="B27" s="212">
        <f t="shared" si="0"/>
        <v>49</v>
      </c>
      <c r="C27" s="211">
        <f t="shared" si="1"/>
        <v>6.9417610815836195E-3</v>
      </c>
      <c r="D27" s="206">
        <f t="shared" si="4"/>
        <v>5.0999051340204259E-3</v>
      </c>
      <c r="E27" s="218">
        <f t="shared" si="2"/>
        <v>0.26153846153846155</v>
      </c>
      <c r="F27" s="222">
        <f t="shared" si="3"/>
        <v>1</v>
      </c>
      <c r="G27" s="220" t="s">
        <v>176</v>
      </c>
      <c r="H27" s="1076">
        <v>35</v>
      </c>
      <c r="I27" s="1076"/>
      <c r="J27" s="207">
        <v>2.80929281978029E-6</v>
      </c>
      <c r="K27" s="208">
        <v>2.1974355002699601E-4</v>
      </c>
      <c r="L27" s="41">
        <v>48</v>
      </c>
      <c r="M27" s="246"/>
      <c r="N27" s="241">
        <v>9.9033658632611502E-5</v>
      </c>
      <c r="O27" s="242">
        <v>4.8801615839934301E-3</v>
      </c>
      <c r="P27" s="41">
        <f t="shared" si="5"/>
        <v>37</v>
      </c>
      <c r="Q27" s="201"/>
      <c r="R27" s="201"/>
      <c r="S27" s="201"/>
      <c r="T27" s="201"/>
      <c r="U27" s="201"/>
      <c r="V27" s="201"/>
      <c r="W27" s="201"/>
      <c r="X27" s="201"/>
    </row>
    <row r="28" spans="1:24" x14ac:dyDescent="0.3">
      <c r="A28" s="184" t="s">
        <v>330</v>
      </c>
      <c r="B28" s="212">
        <f t="shared" si="0"/>
        <v>23</v>
      </c>
      <c r="C28" s="211">
        <f t="shared" si="1"/>
        <v>0.12126404613112071</v>
      </c>
      <c r="D28" s="206">
        <f t="shared" si="4"/>
        <v>8.9089083327412513E-2</v>
      </c>
      <c r="E28" s="218">
        <f t="shared" si="2"/>
        <v>0.66153846153846152</v>
      </c>
      <c r="F28" s="222">
        <f t="shared" si="3"/>
        <v>-1</v>
      </c>
      <c r="G28" s="219" t="s">
        <v>175</v>
      </c>
      <c r="H28" s="1076">
        <v>168.478191616667</v>
      </c>
      <c r="I28" s="1076"/>
      <c r="J28" s="207">
        <v>1.01781519822457E-3</v>
      </c>
      <c r="K28" s="208">
        <v>7.9613745977106701E-2</v>
      </c>
      <c r="L28" s="41">
        <v>17</v>
      </c>
      <c r="M28" s="246"/>
      <c r="N28" s="241">
        <v>1.9228406855560399E-4</v>
      </c>
      <c r="O28" s="242">
        <v>9.4753373503058107E-3</v>
      </c>
      <c r="P28" s="41">
        <f t="shared" si="5"/>
        <v>30</v>
      </c>
      <c r="Q28" s="201"/>
      <c r="R28" s="201"/>
      <c r="S28" s="201"/>
      <c r="T28" s="201"/>
      <c r="U28" s="201"/>
      <c r="V28" s="201"/>
      <c r="W28" s="201"/>
      <c r="X28" s="201"/>
    </row>
    <row r="29" spans="1:24" x14ac:dyDescent="0.3">
      <c r="A29" s="184" t="s">
        <v>107</v>
      </c>
      <c r="B29" s="212">
        <f t="shared" si="0"/>
        <v>59</v>
      </c>
      <c r="C29" s="211">
        <f t="shared" si="1"/>
        <v>3.1875220010644119E-3</v>
      </c>
      <c r="D29" s="206">
        <f t="shared" si="4"/>
        <v>2.3417774865744831E-3</v>
      </c>
      <c r="E29" s="218">
        <f t="shared" si="2"/>
        <v>0.1076923076923077</v>
      </c>
      <c r="F29" s="222">
        <f t="shared" si="3"/>
        <v>1</v>
      </c>
      <c r="G29" s="220" t="s">
        <v>174</v>
      </c>
      <c r="H29" s="1079">
        <v>60.283484667666698</v>
      </c>
      <c r="I29" s="1079"/>
      <c r="J29" s="207">
        <v>2.2584100131351499E-5</v>
      </c>
      <c r="K29" s="208">
        <v>1.7665336635917001E-3</v>
      </c>
      <c r="L29" s="41">
        <v>35</v>
      </c>
      <c r="M29" s="246"/>
      <c r="N29" s="241">
        <v>1.16734865055796E-5</v>
      </c>
      <c r="O29" s="242">
        <v>5.7524382298278296E-4</v>
      </c>
      <c r="P29" s="41">
        <f t="shared" si="5"/>
        <v>61</v>
      </c>
      <c r="Q29" s="201"/>
      <c r="R29" s="201"/>
      <c r="S29" s="201"/>
      <c r="T29" s="201"/>
      <c r="U29" s="201"/>
      <c r="V29" s="201"/>
      <c r="W29" s="201"/>
      <c r="X29" s="201"/>
    </row>
    <row r="30" spans="1:24" x14ac:dyDescent="0.3">
      <c r="A30" s="184" t="s">
        <v>100</v>
      </c>
      <c r="B30" s="212">
        <f t="shared" si="0"/>
        <v>53</v>
      </c>
      <c r="C30" s="211">
        <f t="shared" si="1"/>
        <v>5.0032049867716052E-3</v>
      </c>
      <c r="D30" s="206">
        <f t="shared" si="4"/>
        <v>3.675705703310115E-3</v>
      </c>
      <c r="E30" s="218">
        <f t="shared" si="2"/>
        <v>0.2</v>
      </c>
      <c r="F30" s="222">
        <f t="shared" si="3"/>
        <v>1</v>
      </c>
      <c r="G30" s="219" t="s">
        <v>174</v>
      </c>
      <c r="H30" s="1079">
        <v>93.719700000000003</v>
      </c>
      <c r="I30" s="1079"/>
      <c r="J30" s="207">
        <v>3.5448502743258201E-5</v>
      </c>
      <c r="K30" s="208">
        <v>2.7727902841236901E-3</v>
      </c>
      <c r="L30" s="41">
        <v>32</v>
      </c>
      <c r="M30" s="246"/>
      <c r="N30" s="241">
        <v>1.8322962438604001E-5</v>
      </c>
      <c r="O30" s="242">
        <v>9.0291541918642495E-4</v>
      </c>
      <c r="P30" s="41">
        <f t="shared" si="5"/>
        <v>55</v>
      </c>
      <c r="Q30" s="201"/>
      <c r="R30" s="201"/>
      <c r="S30" s="201"/>
      <c r="T30" s="201"/>
      <c r="U30" s="201"/>
      <c r="V30" s="201"/>
      <c r="W30" s="201"/>
      <c r="X30" s="201"/>
    </row>
    <row r="31" spans="1:24" x14ac:dyDescent="0.3">
      <c r="A31" s="184" t="s">
        <v>101</v>
      </c>
      <c r="B31" s="212">
        <f t="shared" si="0"/>
        <v>31</v>
      </c>
      <c r="C31" s="211">
        <f t="shared" si="1"/>
        <v>7.2558416798008923E-2</v>
      </c>
      <c r="D31" s="206">
        <f t="shared" si="4"/>
        <v>5.3306507958949E-2</v>
      </c>
      <c r="E31" s="218">
        <f t="shared" si="2"/>
        <v>0.53846153846153844</v>
      </c>
      <c r="F31" s="222">
        <f t="shared" si="3"/>
        <v>0</v>
      </c>
      <c r="G31" s="219" t="s">
        <v>101</v>
      </c>
      <c r="H31" s="1079">
        <v>1551.3333333333301</v>
      </c>
      <c r="I31" s="1079"/>
      <c r="J31" s="207">
        <v>2.01460354793063E-4</v>
      </c>
      <c r="K31" s="208">
        <v>1.5758276688077E-2</v>
      </c>
      <c r="L31" s="41">
        <v>28</v>
      </c>
      <c r="M31" s="246"/>
      <c r="N31" s="241">
        <v>7.6197040895826303E-4</v>
      </c>
      <c r="O31" s="242">
        <v>3.7548231270872E-2</v>
      </c>
      <c r="P31" s="41">
        <f t="shared" si="5"/>
        <v>25</v>
      </c>
      <c r="Q31" s="201"/>
      <c r="R31" s="201"/>
      <c r="S31" s="201"/>
      <c r="T31" s="201"/>
      <c r="U31" s="201"/>
      <c r="V31" s="201"/>
      <c r="W31" s="201"/>
      <c r="X31" s="201"/>
    </row>
    <row r="32" spans="1:24" x14ac:dyDescent="0.3">
      <c r="A32" s="184" t="s">
        <v>108</v>
      </c>
      <c r="B32" s="212">
        <f t="shared" si="0"/>
        <v>54</v>
      </c>
      <c r="C32" s="211">
        <f t="shared" si="1"/>
        <v>4.4523801708314832E-3</v>
      </c>
      <c r="D32" s="206">
        <f t="shared" si="4"/>
        <v>3.2710311151553139E-3</v>
      </c>
      <c r="E32" s="218">
        <f t="shared" si="2"/>
        <v>0.18461538461538463</v>
      </c>
      <c r="F32" s="222">
        <f t="shared" si="3"/>
        <v>1</v>
      </c>
      <c r="G32" s="220" t="s">
        <v>175</v>
      </c>
      <c r="H32" s="1076">
        <v>9.8778593333333298</v>
      </c>
      <c r="I32" s="1076"/>
      <c r="J32" s="207">
        <v>3.73705178965078E-5</v>
      </c>
      <c r="K32" s="208">
        <v>2.9231307648336399E-3</v>
      </c>
      <c r="L32" s="41">
        <v>37</v>
      </c>
      <c r="M32" s="246"/>
      <c r="N32" s="241">
        <v>7.0599802770729301E-6</v>
      </c>
      <c r="O32" s="242">
        <v>3.4790035032167401E-4</v>
      </c>
      <c r="P32" s="41">
        <f t="shared" si="5"/>
        <v>63</v>
      </c>
      <c r="Q32" s="201"/>
      <c r="R32" s="201"/>
      <c r="S32" s="201"/>
      <c r="T32" s="201"/>
      <c r="U32" s="201"/>
      <c r="V32" s="201"/>
      <c r="W32" s="201"/>
      <c r="X32" s="201"/>
    </row>
    <row r="33" spans="1:24" x14ac:dyDescent="0.3">
      <c r="A33" s="184" t="s">
        <v>258</v>
      </c>
      <c r="B33" s="212">
        <f t="shared" si="0"/>
        <v>45</v>
      </c>
      <c r="C33" s="211">
        <f t="shared" si="1"/>
        <v>1.0586486128951285E-2</v>
      </c>
      <c r="D33" s="206">
        <f t="shared" si="4"/>
        <v>7.7775760827478602E-3</v>
      </c>
      <c r="E33" s="218">
        <f t="shared" si="2"/>
        <v>0.32307692307692309</v>
      </c>
      <c r="F33" s="222">
        <f t="shared" si="3"/>
        <v>1</v>
      </c>
      <c r="G33" s="219" t="s">
        <v>174</v>
      </c>
      <c r="H33" s="1076">
        <v>466.20666666666699</v>
      </c>
      <c r="I33" s="1076"/>
      <c r="J33" s="207">
        <v>7.5006937268373895E-5</v>
      </c>
      <c r="K33" s="208">
        <v>5.8670604060753299E-3</v>
      </c>
      <c r="L33" s="41">
        <v>31</v>
      </c>
      <c r="M33" s="246"/>
      <c r="N33" s="241">
        <v>3.8770305876022498E-5</v>
      </c>
      <c r="O33" s="242">
        <v>1.9105156766725301E-3</v>
      </c>
      <c r="P33" s="41">
        <f t="shared" si="5"/>
        <v>51</v>
      </c>
      <c r="Q33" s="201"/>
      <c r="R33" s="201"/>
      <c r="S33" s="201"/>
      <c r="T33" s="201"/>
      <c r="U33" s="201"/>
      <c r="V33" s="201"/>
      <c r="W33" s="201"/>
      <c r="X33" s="201"/>
    </row>
    <row r="34" spans="1:24" x14ac:dyDescent="0.3">
      <c r="A34" s="184" t="s">
        <v>245</v>
      </c>
      <c r="B34" s="212">
        <f t="shared" si="0"/>
        <v>63</v>
      </c>
      <c r="C34" s="211">
        <f t="shared" si="1"/>
        <v>1.2299500017344841E-3</v>
      </c>
      <c r="D34" s="206">
        <f t="shared" si="4"/>
        <v>9.0360763712760302E-4</v>
      </c>
      <c r="E34" s="218">
        <f t="shared" si="2"/>
        <v>4.6153846153846156E-2</v>
      </c>
      <c r="F34" s="222">
        <f t="shared" si="3"/>
        <v>1</v>
      </c>
      <c r="G34" s="219" t="s">
        <v>174</v>
      </c>
      <c r="H34" s="1081">
        <v>27.668519000666699</v>
      </c>
      <c r="I34" s="1081"/>
      <c r="J34" s="207">
        <v>8.7143913003430002E-6</v>
      </c>
      <c r="K34" s="208">
        <v>6.8164175239358003E-4</v>
      </c>
      <c r="L34" s="41">
        <v>49</v>
      </c>
      <c r="M34" s="246"/>
      <c r="N34" s="241">
        <v>4.5043782420923199E-6</v>
      </c>
      <c r="O34" s="242">
        <v>2.2196588473402299E-4</v>
      </c>
      <c r="P34" s="41">
        <f t="shared" si="5"/>
        <v>65</v>
      </c>
      <c r="Q34" s="201"/>
      <c r="R34" s="201"/>
      <c r="S34" s="201"/>
      <c r="T34" s="201"/>
      <c r="U34" s="201"/>
      <c r="V34" s="201"/>
      <c r="W34" s="201"/>
      <c r="X34" s="201"/>
    </row>
    <row r="35" spans="1:24" x14ac:dyDescent="0.3">
      <c r="A35" s="184" t="s">
        <v>347</v>
      </c>
      <c r="B35" s="212">
        <f t="shared" ref="B35" si="11">RANK(C35,C$6:C$70,0)</f>
        <v>16</v>
      </c>
      <c r="C35" s="211">
        <f t="shared" ref="C35" si="12">D35/MAX($D$6:$D$70)*10</f>
        <v>0.45563456025429744</v>
      </c>
      <c r="D35" s="206">
        <f t="shared" ref="D35" si="13">K35+O35</f>
        <v>0.33474114216387407</v>
      </c>
      <c r="E35" s="218">
        <f t="shared" ref="E35" si="14">_xlfn.RANK.EQ(C35,$C$6:$C$70,1)/COUNT($C$6:$C$70)</f>
        <v>0.76923076923076927</v>
      </c>
      <c r="F35" s="222">
        <f t="shared" ref="F35" si="15">IF(E35&gt;0.66,-1,IF(E35&lt;0.335,1,0))</f>
        <v>-1</v>
      </c>
      <c r="G35" s="219"/>
      <c r="H35" s="1081">
        <v>167.1</v>
      </c>
      <c r="I35" s="1081"/>
      <c r="J35" s="207">
        <v>4.1467024076759203E-3</v>
      </c>
      <c r="K35" s="208">
        <v>0.32435604489227399</v>
      </c>
      <c r="L35" s="41"/>
      <c r="M35" s="246"/>
      <c r="N35" s="241">
        <v>2.1074592723229301E-4</v>
      </c>
      <c r="O35" s="242">
        <v>1.0385097271600099E-2</v>
      </c>
      <c r="P35" s="41"/>
      <c r="Q35" s="201"/>
      <c r="R35" s="201"/>
      <c r="S35" s="201"/>
      <c r="T35" s="201"/>
      <c r="U35" s="201"/>
      <c r="V35" s="201"/>
      <c r="W35" s="201"/>
      <c r="X35" s="201"/>
    </row>
    <row r="36" spans="1:24" x14ac:dyDescent="0.3">
      <c r="A36" s="87" t="s">
        <v>89</v>
      </c>
      <c r="B36" s="212">
        <f t="shared" si="0"/>
        <v>4</v>
      </c>
      <c r="C36" s="211">
        <f t="shared" si="1"/>
        <v>3.1075548616793864</v>
      </c>
      <c r="D36" s="206">
        <f t="shared" si="4"/>
        <v>2.2830280107700549</v>
      </c>
      <c r="E36" s="218">
        <f t="shared" si="2"/>
        <v>0.9538461538461539</v>
      </c>
      <c r="F36" s="222">
        <f t="shared" si="3"/>
        <v>-1</v>
      </c>
      <c r="G36" s="219" t="s">
        <v>88</v>
      </c>
      <c r="H36" s="1076">
        <v>5560.2533333333304</v>
      </c>
      <c r="I36" s="1076"/>
      <c r="J36" s="207">
        <v>2.7579798892019499E-2</v>
      </c>
      <c r="K36" s="208">
        <v>2.1572984043852501</v>
      </c>
      <c r="L36" s="41">
        <v>4</v>
      </c>
      <c r="M36" s="246"/>
      <c r="N36" s="241">
        <v>2.5514448045255902E-3</v>
      </c>
      <c r="O36" s="242">
        <v>0.12572960638480499</v>
      </c>
      <c r="P36" s="41">
        <f t="shared" si="5"/>
        <v>10</v>
      </c>
      <c r="Q36" s="201"/>
      <c r="R36" s="201"/>
      <c r="S36" s="201"/>
      <c r="T36" s="201"/>
      <c r="U36" s="201"/>
      <c r="V36" s="201"/>
      <c r="W36" s="201"/>
      <c r="X36" s="201"/>
    </row>
    <row r="37" spans="1:24" x14ac:dyDescent="0.3">
      <c r="A37" s="88" t="s">
        <v>97</v>
      </c>
      <c r="B37" s="212">
        <f t="shared" si="0"/>
        <v>8</v>
      </c>
      <c r="C37" s="211">
        <f t="shared" si="1"/>
        <v>1.8471475797303629</v>
      </c>
      <c r="D37" s="206">
        <f t="shared" si="4"/>
        <v>1.3570443169172339</v>
      </c>
      <c r="E37" s="218">
        <f t="shared" si="2"/>
        <v>0.89230769230769236</v>
      </c>
      <c r="F37" s="222">
        <f t="shared" si="3"/>
        <v>-1</v>
      </c>
      <c r="G37" s="219" t="s">
        <v>173</v>
      </c>
      <c r="H37" s="1076">
        <v>2499.6666666666702</v>
      </c>
      <c r="I37" s="1076"/>
      <c r="J37" s="207">
        <v>1.5815656695639099E-2</v>
      </c>
      <c r="K37" s="208">
        <v>1.23710441426314</v>
      </c>
      <c r="L37" s="41">
        <v>5</v>
      </c>
      <c r="M37" s="246"/>
      <c r="N37" s="241">
        <v>2.4339537065398401E-3</v>
      </c>
      <c r="O37" s="242">
        <v>0.119939902654094</v>
      </c>
      <c r="P37" s="41">
        <f t="shared" si="5"/>
        <v>13</v>
      </c>
      <c r="Q37" s="201"/>
      <c r="R37" s="201"/>
      <c r="S37" s="201"/>
      <c r="T37" s="201"/>
      <c r="U37" s="201"/>
      <c r="V37" s="201"/>
      <c r="W37" s="201"/>
      <c r="X37" s="201"/>
    </row>
    <row r="38" spans="1:24" x14ac:dyDescent="0.3">
      <c r="A38" s="87" t="s">
        <v>86</v>
      </c>
      <c r="B38" s="212">
        <f t="shared" si="0"/>
        <v>19</v>
      </c>
      <c r="C38" s="211">
        <f t="shared" si="1"/>
        <v>0.22360138713276501</v>
      </c>
      <c r="D38" s="206">
        <f t="shared" si="4"/>
        <v>0.1642732800524922</v>
      </c>
      <c r="E38" s="218">
        <f t="shared" si="2"/>
        <v>0.72307692307692306</v>
      </c>
      <c r="F38" s="222">
        <f t="shared" si="3"/>
        <v>-1</v>
      </c>
      <c r="G38" s="219" t="s">
        <v>86</v>
      </c>
      <c r="H38" s="1076">
        <v>4117.3333333333303</v>
      </c>
      <c r="I38" s="1076"/>
      <c r="J38" s="207">
        <v>2.0082284939186801E-4</v>
      </c>
      <c r="K38" s="208">
        <v>1.57084108645382E-2</v>
      </c>
      <c r="L38" s="41">
        <v>27</v>
      </c>
      <c r="M38" s="246"/>
      <c r="N38" s="241">
        <v>3.0148433175277902E-3</v>
      </c>
      <c r="O38" s="242">
        <v>0.148564869187954</v>
      </c>
      <c r="P38" s="41">
        <f t="shared" si="5"/>
        <v>8</v>
      </c>
      <c r="Q38" s="201"/>
      <c r="R38" s="201"/>
      <c r="S38" s="201"/>
      <c r="T38" s="201"/>
      <c r="U38" s="201"/>
      <c r="V38" s="201"/>
      <c r="W38" s="201"/>
      <c r="X38" s="201"/>
    </row>
    <row r="39" spans="1:24" x14ac:dyDescent="0.3">
      <c r="A39" s="184" t="s">
        <v>109</v>
      </c>
      <c r="B39" s="212">
        <f t="shared" si="0"/>
        <v>41</v>
      </c>
      <c r="C39" s="211">
        <f t="shared" si="1"/>
        <v>1.3982455419938708E-2</v>
      </c>
      <c r="D39" s="206">
        <f t="shared" si="4"/>
        <v>1.0272493585459071E-2</v>
      </c>
      <c r="E39" s="218">
        <f t="shared" si="2"/>
        <v>0.38461538461538464</v>
      </c>
      <c r="F39" s="222">
        <f t="shared" si="3"/>
        <v>0</v>
      </c>
      <c r="G39" s="220" t="s">
        <v>174</v>
      </c>
      <c r="H39" s="1076">
        <v>224.957734319</v>
      </c>
      <c r="I39" s="1076"/>
      <c r="J39" s="207">
        <v>9.9067919587882505E-5</v>
      </c>
      <c r="K39" s="208">
        <v>7.7491161443728699E-3</v>
      </c>
      <c r="L39" s="41">
        <v>24</v>
      </c>
      <c r="M39" s="246"/>
      <c r="N39" s="241">
        <v>5.1207177426545603E-5</v>
      </c>
      <c r="O39" s="242">
        <v>2.5233774410861999E-3</v>
      </c>
      <c r="P39" s="41">
        <f t="shared" si="5"/>
        <v>47</v>
      </c>
      <c r="Q39" s="201"/>
      <c r="R39" s="201"/>
      <c r="S39" s="201"/>
      <c r="T39" s="201"/>
      <c r="U39" s="201"/>
      <c r="V39" s="201"/>
      <c r="W39" s="201"/>
      <c r="X39" s="201"/>
    </row>
    <row r="40" spans="1:24" x14ac:dyDescent="0.3">
      <c r="A40" s="87" t="s">
        <v>93</v>
      </c>
      <c r="B40" s="212">
        <f t="shared" ref="B40:B70" si="16">RANK(C40,C$6:C$70,0)</f>
        <v>17</v>
      </c>
      <c r="C40" s="211">
        <f t="shared" ref="C40:C70" si="17">D40/MAX($D$6:$D$70)*10</f>
        <v>0.3890122365528314</v>
      </c>
      <c r="D40" s="206">
        <f t="shared" ref="D40:D70" si="18">K40+O40</f>
        <v>0.28579570502013901</v>
      </c>
      <c r="E40" s="218">
        <f t="shared" ref="E40:E70" si="19">_xlfn.RANK.EQ(C40,$C$6:$C$70,1)/COUNT($C$6:$C$70)</f>
        <v>0.7384615384615385</v>
      </c>
      <c r="F40" s="222">
        <f t="shared" ref="F40:F70" si="20">IF(E40&gt;0.66,-1,IF(E40&lt;0.335,1,0))</f>
        <v>-1</v>
      </c>
      <c r="G40" s="219" t="s">
        <v>172</v>
      </c>
      <c r="H40" s="1076">
        <v>3200</v>
      </c>
      <c r="I40" s="1076"/>
      <c r="J40" s="207">
        <v>2.0924624770714598E-3</v>
      </c>
      <c r="K40" s="208">
        <v>0.16367291076689</v>
      </c>
      <c r="L40" s="41">
        <v>13</v>
      </c>
      <c r="M40" s="246"/>
      <c r="N40" s="241">
        <v>2.47825136712792E-3</v>
      </c>
      <c r="O40" s="242">
        <v>0.122122794253249</v>
      </c>
      <c r="P40" s="41">
        <f t="shared" si="5"/>
        <v>11</v>
      </c>
      <c r="Q40" s="201"/>
      <c r="R40" s="201"/>
      <c r="S40" s="201"/>
      <c r="T40" s="201"/>
      <c r="U40" s="201"/>
      <c r="V40" s="201"/>
      <c r="W40" s="201"/>
      <c r="X40" s="201"/>
    </row>
    <row r="41" spans="1:24" x14ac:dyDescent="0.3">
      <c r="A41" s="87" t="s">
        <v>259</v>
      </c>
      <c r="B41" s="212">
        <f t="shared" si="16"/>
        <v>29</v>
      </c>
      <c r="C41" s="211">
        <f t="shared" si="17"/>
        <v>7.7253027256928508E-2</v>
      </c>
      <c r="D41" s="206">
        <f t="shared" si="18"/>
        <v>5.6755498452901301E-2</v>
      </c>
      <c r="E41" s="218">
        <f t="shared" si="19"/>
        <v>0.56923076923076921</v>
      </c>
      <c r="F41" s="222">
        <f t="shared" si="20"/>
        <v>0</v>
      </c>
      <c r="G41" s="219" t="s">
        <v>177</v>
      </c>
      <c r="H41" s="1076">
        <v>3456.4833333333299</v>
      </c>
      <c r="I41" s="1076"/>
      <c r="J41" s="207">
        <v>1.4816468880144901E-4</v>
      </c>
      <c r="K41" s="208">
        <v>1.15894770657698E-2</v>
      </c>
      <c r="L41" s="41">
        <v>33</v>
      </c>
      <c r="M41" s="246"/>
      <c r="N41" s="241">
        <v>9.1655906610088004E-4</v>
      </c>
      <c r="O41" s="242">
        <v>4.5166021387131501E-2</v>
      </c>
      <c r="P41" s="41">
        <f t="shared" si="5"/>
        <v>20</v>
      </c>
      <c r="Q41" s="201"/>
      <c r="R41" s="201"/>
      <c r="S41" s="201"/>
      <c r="T41" s="201"/>
      <c r="U41" s="201"/>
      <c r="V41" s="201"/>
      <c r="W41" s="201"/>
      <c r="X41" s="201"/>
    </row>
    <row r="42" spans="1:24" x14ac:dyDescent="0.3">
      <c r="A42" s="184" t="s">
        <v>110</v>
      </c>
      <c r="B42" s="212">
        <f t="shared" si="16"/>
        <v>36</v>
      </c>
      <c r="C42" s="211">
        <f t="shared" si="17"/>
        <v>4.7135862511440869E-2</v>
      </c>
      <c r="D42" s="206">
        <f t="shared" si="18"/>
        <v>3.4629314433814909E-2</v>
      </c>
      <c r="E42" s="218">
        <f t="shared" si="19"/>
        <v>0.46153846153846156</v>
      </c>
      <c r="F42" s="222">
        <f t="shared" si="20"/>
        <v>0</v>
      </c>
      <c r="G42" s="219" t="s">
        <v>176</v>
      </c>
      <c r="H42" s="1076">
        <v>4801</v>
      </c>
      <c r="I42" s="1076"/>
      <c r="J42" s="207">
        <v>1.9075626278588799E-5</v>
      </c>
      <c r="K42" s="208">
        <v>1.4921000074934101E-3</v>
      </c>
      <c r="L42" s="41">
        <v>40</v>
      </c>
      <c r="M42" s="246"/>
      <c r="N42" s="241">
        <v>6.72457156397383E-4</v>
      </c>
      <c r="O42" s="242">
        <v>3.3137214426321497E-2</v>
      </c>
      <c r="P42" s="41">
        <f t="shared" si="5"/>
        <v>26</v>
      </c>
      <c r="Q42" s="201"/>
      <c r="R42" s="201"/>
      <c r="S42" s="201"/>
      <c r="T42" s="201"/>
      <c r="U42" s="201"/>
      <c r="V42" s="201"/>
      <c r="W42" s="201"/>
      <c r="X42" s="201"/>
    </row>
    <row r="43" spans="1:24" x14ac:dyDescent="0.3">
      <c r="A43" s="184" t="s">
        <v>249</v>
      </c>
      <c r="B43" s="212">
        <f t="shared" si="16"/>
        <v>1</v>
      </c>
      <c r="C43" s="211">
        <f t="shared" si="17"/>
        <v>10</v>
      </c>
      <c r="D43" s="206">
        <f t="shared" si="18"/>
        <v>7.3467021899534863</v>
      </c>
      <c r="E43" s="218">
        <f t="shared" si="19"/>
        <v>1</v>
      </c>
      <c r="F43" s="222">
        <f t="shared" si="20"/>
        <v>-1</v>
      </c>
      <c r="G43" s="219" t="s">
        <v>178</v>
      </c>
      <c r="H43" s="1076">
        <v>2486</v>
      </c>
      <c r="I43" s="1076"/>
      <c r="J43" s="207">
        <v>8.9791110705540106E-2</v>
      </c>
      <c r="K43" s="208">
        <v>7.02348195545009</v>
      </c>
      <c r="L43" s="41">
        <v>1</v>
      </c>
      <c r="M43" s="246"/>
      <c r="N43" s="241">
        <v>6.5591439578458503E-3</v>
      </c>
      <c r="O43" s="242">
        <v>0.32322023450339599</v>
      </c>
      <c r="P43" s="41">
        <f t="shared" ref="P43:P70" si="21">RANK(O43,O$6:O$70,0)</f>
        <v>4</v>
      </c>
      <c r="Q43" s="201"/>
      <c r="R43" s="201"/>
      <c r="S43" s="201"/>
      <c r="T43" s="201"/>
      <c r="U43" s="201"/>
      <c r="V43" s="201"/>
      <c r="W43" s="201"/>
      <c r="X43" s="201"/>
    </row>
    <row r="44" spans="1:24" x14ac:dyDescent="0.3">
      <c r="A44" s="87" t="s">
        <v>7</v>
      </c>
      <c r="B44" s="212">
        <f t="shared" si="16"/>
        <v>11</v>
      </c>
      <c r="C44" s="211">
        <f t="shared" si="17"/>
        <v>0.82440673531856967</v>
      </c>
      <c r="D44" s="206">
        <f t="shared" si="18"/>
        <v>0.60566707677773401</v>
      </c>
      <c r="E44" s="218">
        <f t="shared" si="19"/>
        <v>0.84615384615384615</v>
      </c>
      <c r="F44" s="222">
        <f t="shared" si="20"/>
        <v>-1</v>
      </c>
      <c r="G44" s="219" t="s">
        <v>7</v>
      </c>
      <c r="H44" s="1076">
        <v>3056.6666666666702</v>
      </c>
      <c r="I44" s="1076"/>
      <c r="J44" s="207">
        <v>6.3523877501704797E-3</v>
      </c>
      <c r="K44" s="208">
        <v>0.496885275020791</v>
      </c>
      <c r="L44" s="41">
        <v>11</v>
      </c>
      <c r="M44" s="246"/>
      <c r="N44" s="241">
        <v>2.2075211312618001E-3</v>
      </c>
      <c r="O44" s="242">
        <v>0.10878180175694301</v>
      </c>
      <c r="P44" s="41">
        <f t="shared" si="21"/>
        <v>15</v>
      </c>
      <c r="Q44" s="201"/>
      <c r="R44" s="201"/>
      <c r="S44" s="201"/>
      <c r="T44" s="201"/>
      <c r="U44" s="201"/>
      <c r="V44" s="201"/>
      <c r="W44" s="201"/>
      <c r="X44" s="201"/>
    </row>
    <row r="45" spans="1:24" x14ac:dyDescent="0.3">
      <c r="A45" s="184" t="s">
        <v>111</v>
      </c>
      <c r="B45" s="212">
        <f t="shared" si="16"/>
        <v>47</v>
      </c>
      <c r="C45" s="211">
        <f t="shared" si="17"/>
        <v>7.5317250772981899E-3</v>
      </c>
      <c r="D45" s="206">
        <f t="shared" si="18"/>
        <v>5.5333341119514204E-3</v>
      </c>
      <c r="E45" s="218">
        <f t="shared" si="19"/>
        <v>0.29230769230769232</v>
      </c>
      <c r="F45" s="222">
        <f t="shared" si="20"/>
        <v>1</v>
      </c>
      <c r="G45" s="220" t="s">
        <v>174</v>
      </c>
      <c r="H45" s="1076">
        <v>12.758006</v>
      </c>
      <c r="I45" s="1076"/>
      <c r="J45" s="207">
        <v>5.3363469570002297E-5</v>
      </c>
      <c r="K45" s="208">
        <v>4.1741032342748003E-3</v>
      </c>
      <c r="L45" s="41">
        <v>45</v>
      </c>
      <c r="M45" s="246"/>
      <c r="N45" s="241">
        <v>2.7583022493402801E-5</v>
      </c>
      <c r="O45" s="242">
        <v>1.3592308776766201E-3</v>
      </c>
      <c r="P45" s="41">
        <f t="shared" si="21"/>
        <v>53</v>
      </c>
      <c r="Q45" s="201"/>
      <c r="R45" s="201"/>
      <c r="S45" s="201"/>
      <c r="T45" s="201"/>
      <c r="U45" s="201"/>
      <c r="V45" s="201"/>
      <c r="W45" s="201"/>
      <c r="X45" s="201"/>
    </row>
    <row r="46" spans="1:24" x14ac:dyDescent="0.3">
      <c r="A46" s="184" t="s">
        <v>112</v>
      </c>
      <c r="B46" s="212">
        <f t="shared" si="16"/>
        <v>48</v>
      </c>
      <c r="C46" s="211">
        <f t="shared" si="17"/>
        <v>7.1610915882623456E-3</v>
      </c>
      <c r="D46" s="206">
        <f t="shared" si="18"/>
        <v>5.2610407253944466E-3</v>
      </c>
      <c r="E46" s="218">
        <f t="shared" si="19"/>
        <v>0.27692307692307694</v>
      </c>
      <c r="F46" s="222">
        <f t="shared" si="20"/>
        <v>1</v>
      </c>
      <c r="G46" s="220" t="s">
        <v>171</v>
      </c>
      <c r="H46" s="1076">
        <v>55.678323333333303</v>
      </c>
      <c r="I46" s="1076"/>
      <c r="J46" s="209">
        <v>4.5562605262416103E-6</v>
      </c>
      <c r="K46" s="210">
        <v>3.56391777971547E-4</v>
      </c>
      <c r="L46" s="41">
        <v>50</v>
      </c>
      <c r="M46" s="246"/>
      <c r="N46" s="241">
        <v>9.9530583406299498E-5</v>
      </c>
      <c r="O46" s="242">
        <v>4.9046489474228998E-3</v>
      </c>
      <c r="P46" s="41">
        <f t="shared" si="21"/>
        <v>36</v>
      </c>
      <c r="Q46" s="201"/>
      <c r="R46" s="201"/>
      <c r="S46" s="201"/>
      <c r="T46" s="201"/>
      <c r="U46" s="201"/>
      <c r="V46" s="201"/>
      <c r="W46" s="201"/>
      <c r="X46" s="201"/>
    </row>
    <row r="47" spans="1:24" x14ac:dyDescent="0.3">
      <c r="A47" s="184" t="s">
        <v>352</v>
      </c>
      <c r="B47" s="212">
        <f t="shared" ref="B47" si="22">RANK(C47,C$6:C$70,0)</f>
        <v>42</v>
      </c>
      <c r="C47" s="211">
        <f t="shared" ref="C47" si="23">D47/MAX($D$6:$D$70)*10</f>
        <v>1.1775190583908888E-2</v>
      </c>
      <c r="D47" s="206">
        <f t="shared" ref="D47" si="24">K47+O47</f>
        <v>8.6508818449923097E-3</v>
      </c>
      <c r="E47" s="218">
        <f t="shared" ref="E47" si="25">_xlfn.RANK.EQ(C47,$C$6:$C$70,1)/COUNT($C$6:$C$70)</f>
        <v>0.36923076923076925</v>
      </c>
      <c r="F47" s="222">
        <f t="shared" ref="F47" si="26">IF(E47&gt;0.66,-1,IF(E47&lt;0.335,1,0))</f>
        <v>0</v>
      </c>
      <c r="G47" s="220"/>
      <c r="H47" s="1076">
        <v>270.40213598933298</v>
      </c>
      <c r="I47" s="1076"/>
      <c r="J47" s="209">
        <v>8.3429097312565494E-5</v>
      </c>
      <c r="K47" s="210">
        <v>6.5258437603683602E-3</v>
      </c>
      <c r="L47" s="41"/>
      <c r="M47" s="246"/>
      <c r="N47" s="241">
        <v>4.3123632820726302E-5</v>
      </c>
      <c r="O47" s="242">
        <v>2.1250380846239499E-3</v>
      </c>
      <c r="P47" s="41"/>
      <c r="Q47" s="201"/>
      <c r="R47" s="201"/>
      <c r="S47" s="201"/>
      <c r="T47" s="201"/>
      <c r="U47" s="201"/>
      <c r="V47" s="201"/>
      <c r="W47" s="201"/>
      <c r="X47" s="201"/>
    </row>
    <row r="48" spans="1:24" x14ac:dyDescent="0.3">
      <c r="A48" s="184" t="s">
        <v>11</v>
      </c>
      <c r="B48" s="212">
        <f t="shared" si="16"/>
        <v>22</v>
      </c>
      <c r="C48" s="211">
        <f t="shared" si="17"/>
        <v>0.15734715058812349</v>
      </c>
      <c r="D48" s="206">
        <f t="shared" si="18"/>
        <v>0.11559826558087077</v>
      </c>
      <c r="E48" s="218">
        <f t="shared" si="19"/>
        <v>0.67692307692307696</v>
      </c>
      <c r="F48" s="222">
        <f t="shared" si="20"/>
        <v>-1</v>
      </c>
      <c r="G48" s="219" t="s">
        <v>176</v>
      </c>
      <c r="H48" s="1076">
        <v>3191.5916666666699</v>
      </c>
      <c r="I48" s="1076"/>
      <c r="J48" s="207">
        <v>6.3677533001360801E-5</v>
      </c>
      <c r="K48" s="208">
        <v>4.9808717197997697E-3</v>
      </c>
      <c r="L48" s="41">
        <v>41</v>
      </c>
      <c r="M48" s="246"/>
      <c r="N48" s="241">
        <v>2.2447710047957198E-3</v>
      </c>
      <c r="O48" s="242">
        <v>0.110617393861071</v>
      </c>
      <c r="P48" s="41">
        <f t="shared" si="21"/>
        <v>14</v>
      </c>
      <c r="Q48" s="201"/>
      <c r="R48" s="201"/>
      <c r="S48" s="201"/>
      <c r="T48" s="201"/>
      <c r="U48" s="201"/>
      <c r="V48" s="201"/>
      <c r="W48" s="201"/>
      <c r="X48" s="201"/>
    </row>
    <row r="49" spans="1:24" x14ac:dyDescent="0.3">
      <c r="A49" s="184" t="s">
        <v>20</v>
      </c>
      <c r="B49" s="212">
        <f t="shared" si="16"/>
        <v>64</v>
      </c>
      <c r="C49" s="211">
        <f t="shared" si="17"/>
        <v>1.1567650638929026E-3</v>
      </c>
      <c r="D49" s="206">
        <f t="shared" si="18"/>
        <v>8.4984084281636719E-4</v>
      </c>
      <c r="E49" s="218">
        <f t="shared" si="19"/>
        <v>3.0769230769230771E-2</v>
      </c>
      <c r="F49" s="222">
        <f t="shared" si="20"/>
        <v>1</v>
      </c>
      <c r="G49" s="220" t="s">
        <v>176</v>
      </c>
      <c r="H49" s="1076">
        <v>66.7</v>
      </c>
      <c r="I49" s="1076"/>
      <c r="J49" s="207">
        <v>4.6813650743302102E-7</v>
      </c>
      <c r="K49" s="208">
        <v>3.6617748536664197E-5</v>
      </c>
      <c r="L49" s="41">
        <v>47</v>
      </c>
      <c r="M49" s="246"/>
      <c r="N49" s="241">
        <v>1.6502826171823E-5</v>
      </c>
      <c r="O49" s="242">
        <v>8.1322309427970304E-4</v>
      </c>
      <c r="P49" s="41">
        <f t="shared" si="21"/>
        <v>58</v>
      </c>
      <c r="Q49" s="201"/>
      <c r="R49" s="201"/>
      <c r="S49" s="201"/>
      <c r="T49" s="201"/>
      <c r="U49" s="201"/>
      <c r="V49" s="201"/>
      <c r="W49" s="201"/>
      <c r="X49" s="201"/>
    </row>
    <row r="50" spans="1:24" x14ac:dyDescent="0.3">
      <c r="A50" s="184" t="s">
        <v>353</v>
      </c>
      <c r="B50" s="212">
        <f t="shared" ref="B50:B51" si="27">RANK(C50,C$6:C$70,0)</f>
        <v>38</v>
      </c>
      <c r="C50" s="211">
        <f t="shared" ref="C50:C51" si="28">D50/MAX($D$6:$D$70)*10</f>
        <v>2.9224690392085289E-2</v>
      </c>
      <c r="D50" s="206">
        <f t="shared" ref="D50:D51" si="29">K50+O50</f>
        <v>2.147050969042456E-2</v>
      </c>
      <c r="E50" s="218">
        <f t="shared" ref="E50:E51" si="30">_xlfn.RANK.EQ(C50,$C$6:$C$70,1)/COUNT($C$6:$C$70)</f>
        <v>0.43076923076923079</v>
      </c>
      <c r="F50" s="222">
        <f t="shared" ref="F50:F51" si="31">IF(E50&gt;0.66,-1,IF(E50&lt;0.335,1,0))</f>
        <v>0</v>
      </c>
      <c r="G50" s="220"/>
      <c r="H50" s="1076">
        <v>15.0183973326667</v>
      </c>
      <c r="I50" s="1076"/>
      <c r="J50" s="207">
        <v>2.4529392671187E-4</v>
      </c>
      <c r="K50" s="208">
        <v>1.91869490699598E-2</v>
      </c>
      <c r="L50" s="41"/>
      <c r="M50" s="246"/>
      <c r="N50" s="241">
        <v>4.6340548168678303E-5</v>
      </c>
      <c r="O50" s="242">
        <v>2.2835606204647599E-3</v>
      </c>
      <c r="P50" s="41"/>
      <c r="Q50" s="201"/>
      <c r="R50" s="201"/>
      <c r="S50" s="201"/>
      <c r="T50" s="201"/>
      <c r="U50" s="201"/>
      <c r="V50" s="201"/>
      <c r="W50" s="201"/>
      <c r="X50" s="201"/>
    </row>
    <row r="51" spans="1:24" x14ac:dyDescent="0.3">
      <c r="A51" s="184" t="s">
        <v>369</v>
      </c>
      <c r="B51" s="212">
        <f t="shared" si="27"/>
        <v>57</v>
      </c>
      <c r="C51" s="211">
        <f t="shared" si="28"/>
        <v>3.498106962235641E-3</v>
      </c>
      <c r="D51" s="206">
        <f t="shared" si="29"/>
        <v>2.569955008014812E-3</v>
      </c>
      <c r="E51" s="218">
        <f t="shared" si="30"/>
        <v>0.13846153846153847</v>
      </c>
      <c r="F51" s="222">
        <f t="shared" si="31"/>
        <v>1</v>
      </c>
      <c r="G51" s="220"/>
      <c r="H51" s="1076">
        <v>47.528138331999997</v>
      </c>
      <c r="I51" s="1076"/>
      <c r="J51" s="207">
        <v>2.47846439581991E-5</v>
      </c>
      <c r="K51" s="208">
        <v>1.93866072314802E-3</v>
      </c>
      <c r="L51" s="41"/>
      <c r="M51" s="246"/>
      <c r="N51" s="241">
        <v>1.2810924726196699E-5</v>
      </c>
      <c r="O51" s="242">
        <v>6.3129428486679196E-4</v>
      </c>
      <c r="P51" s="41"/>
      <c r="Q51" s="201"/>
      <c r="R51" s="201"/>
      <c r="S51" s="201"/>
      <c r="T51" s="201"/>
      <c r="U51" s="201"/>
      <c r="V51" s="201"/>
      <c r="W51" s="201"/>
      <c r="X51" s="201"/>
    </row>
    <row r="52" spans="1:24" x14ac:dyDescent="0.3">
      <c r="A52" s="184" t="s">
        <v>326</v>
      </c>
      <c r="B52" s="212">
        <f t="shared" si="16"/>
        <v>32</v>
      </c>
      <c r="C52" s="211">
        <f t="shared" si="17"/>
        <v>5.9215432375127754E-2</v>
      </c>
      <c r="D52" s="206">
        <f t="shared" si="18"/>
        <v>4.3503814670939368E-2</v>
      </c>
      <c r="E52" s="218">
        <f t="shared" si="19"/>
        <v>0.52307692307692311</v>
      </c>
      <c r="F52" s="222">
        <f t="shared" si="20"/>
        <v>0</v>
      </c>
      <c r="G52" s="219" t="s">
        <v>171</v>
      </c>
      <c r="H52" s="1076">
        <v>443.32</v>
      </c>
      <c r="I52" s="1076"/>
      <c r="J52" s="209">
        <v>3.7675951180033901E-5</v>
      </c>
      <c r="K52" s="210">
        <v>2.9470218286436699E-3</v>
      </c>
      <c r="L52" s="41">
        <v>50</v>
      </c>
      <c r="M52" s="246"/>
      <c r="N52" s="241">
        <v>8.2302348158946903E-4</v>
      </c>
      <c r="O52" s="242">
        <v>4.05567928422957E-2</v>
      </c>
      <c r="P52" s="41">
        <f t="shared" si="21"/>
        <v>22</v>
      </c>
      <c r="Q52" s="201"/>
      <c r="R52" s="201"/>
      <c r="S52" s="201"/>
      <c r="T52" s="201"/>
      <c r="U52" s="201"/>
      <c r="V52" s="201"/>
      <c r="W52" s="201"/>
      <c r="X52" s="201"/>
    </row>
    <row r="53" spans="1:24" x14ac:dyDescent="0.3">
      <c r="A53" s="88" t="s">
        <v>91</v>
      </c>
      <c r="B53" s="212">
        <f t="shared" si="16"/>
        <v>2</v>
      </c>
      <c r="C53" s="211">
        <f t="shared" si="17"/>
        <v>9.6179283626671275</v>
      </c>
      <c r="D53" s="206">
        <f t="shared" si="18"/>
        <v>7.0660055364822334</v>
      </c>
      <c r="E53" s="218">
        <f t="shared" si="19"/>
        <v>0.98461538461538467</v>
      </c>
      <c r="F53" s="222">
        <f t="shared" si="20"/>
        <v>-1</v>
      </c>
      <c r="G53" s="219" t="s">
        <v>85</v>
      </c>
      <c r="H53" s="1076">
        <v>8488.6666666666697</v>
      </c>
      <c r="I53" s="1076"/>
      <c r="J53" s="207">
        <v>8.5250123283671098E-2</v>
      </c>
      <c r="K53" s="208">
        <v>6.6682848433215396</v>
      </c>
      <c r="L53" s="41">
        <v>2</v>
      </c>
      <c r="M53" s="246"/>
      <c r="N53" s="241">
        <v>8.0709900030340506E-3</v>
      </c>
      <c r="O53" s="242">
        <v>0.39772069316069403</v>
      </c>
      <c r="P53" s="41">
        <f t="shared" si="21"/>
        <v>3</v>
      </c>
      <c r="Q53" s="201"/>
      <c r="R53" s="201"/>
      <c r="S53" s="201"/>
      <c r="T53" s="201"/>
      <c r="U53" s="201"/>
      <c r="V53" s="201"/>
      <c r="W53" s="201"/>
      <c r="X53" s="201"/>
    </row>
    <row r="54" spans="1:24" x14ac:dyDescent="0.3">
      <c r="A54" s="184" t="s">
        <v>15</v>
      </c>
      <c r="B54" s="212">
        <f t="shared" si="16"/>
        <v>46</v>
      </c>
      <c r="C54" s="211">
        <f t="shared" si="17"/>
        <v>1.0298563822329361E-2</v>
      </c>
      <c r="D54" s="206">
        <f t="shared" si="18"/>
        <v>7.5660481386882854E-3</v>
      </c>
      <c r="E54" s="218">
        <f t="shared" si="19"/>
        <v>0.30769230769230771</v>
      </c>
      <c r="F54" s="222">
        <f t="shared" si="20"/>
        <v>1</v>
      </c>
      <c r="G54" s="220" t="s">
        <v>176</v>
      </c>
      <c r="H54" s="1076">
        <v>773.2</v>
      </c>
      <c r="I54" s="1076"/>
      <c r="J54" s="207">
        <v>4.1677725666580802E-6</v>
      </c>
      <c r="K54" s="208">
        <v>3.2600415772044599E-4</v>
      </c>
      <c r="L54" s="41">
        <v>46</v>
      </c>
      <c r="M54" s="246"/>
      <c r="N54" s="241">
        <v>1.4692301305104199E-4</v>
      </c>
      <c r="O54" s="242">
        <v>7.2400439809678398E-3</v>
      </c>
      <c r="P54" s="41">
        <f t="shared" si="21"/>
        <v>35</v>
      </c>
      <c r="Q54" s="201"/>
      <c r="R54" s="201"/>
      <c r="S54" s="201"/>
      <c r="T54" s="201"/>
      <c r="U54" s="201"/>
      <c r="V54" s="201"/>
      <c r="W54" s="201"/>
      <c r="X54" s="201"/>
    </row>
    <row r="55" spans="1:24" x14ac:dyDescent="0.3">
      <c r="A55" s="184" t="s">
        <v>158</v>
      </c>
      <c r="B55" s="212">
        <f t="shared" si="16"/>
        <v>55</v>
      </c>
      <c r="C55" s="211">
        <f t="shared" si="17"/>
        <v>3.9049786516020726E-3</v>
      </c>
      <c r="D55" s="206">
        <f t="shared" si="18"/>
        <v>2.8688715211446559E-3</v>
      </c>
      <c r="E55" s="218">
        <f t="shared" si="19"/>
        <v>0.16923076923076924</v>
      </c>
      <c r="F55" s="222">
        <f t="shared" si="20"/>
        <v>1</v>
      </c>
      <c r="G55" s="219" t="s">
        <v>171</v>
      </c>
      <c r="H55" s="1076">
        <v>441.33333333333297</v>
      </c>
      <c r="I55" s="1076"/>
      <c r="J55" s="209">
        <v>2.4845513937111901E-6</v>
      </c>
      <c r="K55" s="210">
        <v>1.94342198732176E-4</v>
      </c>
      <c r="L55" s="41">
        <v>50</v>
      </c>
      <c r="M55" s="246"/>
      <c r="N55" s="241">
        <v>5.4274519267447199E-5</v>
      </c>
      <c r="O55" s="242">
        <v>2.6745293224124801E-3</v>
      </c>
      <c r="P55" s="41">
        <f t="shared" si="21"/>
        <v>44</v>
      </c>
      <c r="Q55" s="201"/>
      <c r="R55" s="201"/>
      <c r="S55" s="201"/>
      <c r="T55" s="201"/>
      <c r="U55" s="201"/>
      <c r="V55" s="201"/>
      <c r="W55" s="201"/>
      <c r="X55" s="201"/>
    </row>
    <row r="56" spans="1:24" x14ac:dyDescent="0.3">
      <c r="A56" s="184" t="s">
        <v>113</v>
      </c>
      <c r="B56" s="212">
        <f t="shared" si="16"/>
        <v>61</v>
      </c>
      <c r="C56" s="211">
        <f t="shared" si="17"/>
        <v>1.6532634917292119E-3</v>
      </c>
      <c r="D56" s="206">
        <f t="shared" si="18"/>
        <v>1.2146034515257149E-3</v>
      </c>
      <c r="E56" s="218">
        <f t="shared" si="19"/>
        <v>7.6923076923076927E-2</v>
      </c>
      <c r="F56" s="222">
        <f t="shared" si="20"/>
        <v>1</v>
      </c>
      <c r="G56" s="220" t="s">
        <v>171</v>
      </c>
      <c r="H56" s="1076">
        <v>18.805823665666701</v>
      </c>
      <c r="I56" s="1076"/>
      <c r="J56" s="209">
        <v>1.05189259123413E-6</v>
      </c>
      <c r="K56" s="210">
        <v>8.2279287732974805E-5</v>
      </c>
      <c r="L56" s="41">
        <v>50</v>
      </c>
      <c r="M56" s="246"/>
      <c r="N56" s="241">
        <v>2.2978379459055699E-5</v>
      </c>
      <c r="O56" s="242">
        <v>1.1323241637927401E-3</v>
      </c>
      <c r="P56" s="41">
        <f t="shared" si="21"/>
        <v>54</v>
      </c>
      <c r="Q56" s="201"/>
      <c r="R56" s="201"/>
      <c r="S56" s="201"/>
      <c r="T56" s="201"/>
      <c r="U56" s="201"/>
      <c r="V56" s="201"/>
      <c r="W56" s="201"/>
      <c r="X56" s="201"/>
    </row>
    <row r="57" spans="1:24" x14ac:dyDescent="0.3">
      <c r="A57" s="87" t="s">
        <v>87</v>
      </c>
      <c r="B57" s="212">
        <f t="shared" si="16"/>
        <v>5</v>
      </c>
      <c r="C57" s="211">
        <f t="shared" si="17"/>
        <v>2.057822240133742</v>
      </c>
      <c r="D57" s="206">
        <f t="shared" si="18"/>
        <v>1.5118207158125552</v>
      </c>
      <c r="E57" s="218">
        <f t="shared" si="19"/>
        <v>0.93846153846153846</v>
      </c>
      <c r="F57" s="222">
        <f t="shared" si="20"/>
        <v>-1</v>
      </c>
      <c r="G57" s="219" t="s">
        <v>159</v>
      </c>
      <c r="H57" s="1076">
        <v>3089.3333333333298</v>
      </c>
      <c r="I57" s="1076"/>
      <c r="J57" s="207">
        <v>1.2987158354317199E-2</v>
      </c>
      <c r="K57" s="208">
        <v>1.01585860379041</v>
      </c>
      <c r="L57" s="41">
        <v>7</v>
      </c>
      <c r="M57" s="246"/>
      <c r="N57" s="241">
        <v>1.00646139787277E-2</v>
      </c>
      <c r="O57" s="242">
        <v>0.49596211202214502</v>
      </c>
      <c r="P57" s="41">
        <f t="shared" si="21"/>
        <v>2</v>
      </c>
      <c r="Q57" s="201"/>
      <c r="R57" s="201"/>
      <c r="S57" s="201"/>
      <c r="T57" s="201"/>
      <c r="U57" s="201"/>
      <c r="V57" s="201"/>
      <c r="W57" s="201"/>
      <c r="X57" s="201"/>
    </row>
    <row r="58" spans="1:24" x14ac:dyDescent="0.3">
      <c r="A58" s="87" t="s">
        <v>355</v>
      </c>
      <c r="B58" s="212">
        <f t="shared" ref="B58" si="32">RANK(C58,C$6:C$70,0)</f>
        <v>27</v>
      </c>
      <c r="C58" s="211">
        <f t="shared" ref="C58" si="33">D58/MAX($D$6:$D$70)*10</f>
        <v>9.7251819564774453E-2</v>
      </c>
      <c r="D58" s="206">
        <f t="shared" ref="D58" si="34">K58+O58</f>
        <v>7.1448015577348978E-2</v>
      </c>
      <c r="E58" s="218">
        <f t="shared" ref="E58" si="35">_xlfn.RANK.EQ(C58,$C$6:$C$70,1)/COUNT($C$6:$C$70)</f>
        <v>0.6</v>
      </c>
      <c r="F58" s="222">
        <f t="shared" ref="F58" si="36">IF(E58&gt;0.66,-1,IF(E58&lt;0.335,1,0))</f>
        <v>0</v>
      </c>
      <c r="G58" s="219"/>
      <c r="H58" s="1076">
        <v>159.938656662667</v>
      </c>
      <c r="I58" s="1076"/>
      <c r="J58" s="207">
        <v>8.1627146022318197E-4</v>
      </c>
      <c r="K58" s="208">
        <v>6.3848947034716705E-2</v>
      </c>
      <c r="L58" s="41"/>
      <c r="M58" s="246"/>
      <c r="N58" s="241">
        <v>1.54208738178919E-4</v>
      </c>
      <c r="O58" s="242">
        <v>7.5990685426322799E-3</v>
      </c>
      <c r="P58" s="41"/>
      <c r="Q58" s="201"/>
      <c r="R58" s="201"/>
      <c r="S58" s="201"/>
      <c r="T58" s="201"/>
      <c r="U58" s="201"/>
      <c r="V58" s="201"/>
      <c r="W58" s="201"/>
      <c r="X58" s="201"/>
    </row>
    <row r="59" spans="1:24" x14ac:dyDescent="0.3">
      <c r="A59" s="184" t="s">
        <v>114</v>
      </c>
      <c r="B59" s="212">
        <f t="shared" si="16"/>
        <v>44</v>
      </c>
      <c r="C59" s="211">
        <f t="shared" si="17"/>
        <v>1.0924216156941956E-2</v>
      </c>
      <c r="D59" s="206">
        <f t="shared" si="18"/>
        <v>8.0256962763730726E-3</v>
      </c>
      <c r="E59" s="218">
        <f t="shared" si="19"/>
        <v>0.33846153846153848</v>
      </c>
      <c r="F59" s="222">
        <f t="shared" si="20"/>
        <v>0</v>
      </c>
      <c r="G59" s="220" t="s">
        <v>175</v>
      </c>
      <c r="H59" s="1076">
        <v>39.568280666</v>
      </c>
      <c r="I59" s="1076"/>
      <c r="J59" s="207">
        <v>9.1691095489287498E-5</v>
      </c>
      <c r="K59" s="208">
        <v>7.1720992154374504E-3</v>
      </c>
      <c r="L59" s="41">
        <v>25</v>
      </c>
      <c r="M59" s="246"/>
      <c r="N59" s="241">
        <v>1.7322139541396898E-5</v>
      </c>
      <c r="O59" s="242">
        <v>8.5359706093562199E-4</v>
      </c>
      <c r="P59" s="41">
        <f t="shared" si="21"/>
        <v>57</v>
      </c>
      <c r="Q59" s="201"/>
      <c r="R59" s="201"/>
      <c r="S59" s="201"/>
      <c r="T59" s="201"/>
      <c r="U59" s="201"/>
      <c r="V59" s="201"/>
      <c r="W59" s="201"/>
      <c r="X59" s="201"/>
    </row>
    <row r="60" spans="1:24" x14ac:dyDescent="0.3">
      <c r="A60" s="184" t="s">
        <v>160</v>
      </c>
      <c r="B60" s="212">
        <f t="shared" si="16"/>
        <v>21</v>
      </c>
      <c r="C60" s="211">
        <f t="shared" si="17"/>
        <v>0.17912079271846668</v>
      </c>
      <c r="D60" s="206">
        <f t="shared" si="18"/>
        <v>0.13159471201309636</v>
      </c>
      <c r="E60" s="218">
        <f t="shared" si="19"/>
        <v>0.69230769230769229</v>
      </c>
      <c r="F60" s="222">
        <f t="shared" si="20"/>
        <v>-1</v>
      </c>
      <c r="G60" s="219" t="s">
        <v>19</v>
      </c>
      <c r="H60" s="1076">
        <v>2846.9946666666701</v>
      </c>
      <c r="I60" s="1076"/>
      <c r="J60" s="209">
        <v>1.98737064005316E-5</v>
      </c>
      <c r="K60" s="210">
        <v>1.55452602373738E-3</v>
      </c>
      <c r="L60" s="41">
        <v>50</v>
      </c>
      <c r="M60" s="246"/>
      <c r="N60" s="241">
        <v>2.6389198730696799E-3</v>
      </c>
      <c r="O60" s="242">
        <v>0.13004018598935899</v>
      </c>
      <c r="P60" s="41">
        <f t="shared" si="21"/>
        <v>9</v>
      </c>
      <c r="Q60" s="201"/>
      <c r="R60" s="201"/>
      <c r="S60" s="201"/>
      <c r="T60" s="201"/>
      <c r="U60" s="201"/>
      <c r="V60" s="201"/>
      <c r="W60" s="201"/>
      <c r="X60" s="201"/>
    </row>
    <row r="61" spans="1:24" x14ac:dyDescent="0.3">
      <c r="A61" s="184" t="s">
        <v>115</v>
      </c>
      <c r="B61" s="212">
        <f t="shared" si="16"/>
        <v>40</v>
      </c>
      <c r="C61" s="211">
        <f t="shared" si="17"/>
        <v>2.2391852868937377E-2</v>
      </c>
      <c r="D61" s="206">
        <f t="shared" si="18"/>
        <v>1.6450627450933848E-2</v>
      </c>
      <c r="E61" s="218">
        <f t="shared" si="19"/>
        <v>0.4</v>
      </c>
      <c r="F61" s="222">
        <f t="shared" si="20"/>
        <v>0</v>
      </c>
      <c r="G61" s="220" t="s">
        <v>175</v>
      </c>
      <c r="H61" s="1076">
        <v>11.2751963333333</v>
      </c>
      <c r="I61" s="1076"/>
      <c r="J61" s="207">
        <v>1.8794332610153601E-4</v>
      </c>
      <c r="K61" s="208">
        <v>1.4700971500956899E-2</v>
      </c>
      <c r="L61" s="41">
        <v>36</v>
      </c>
      <c r="M61" s="246"/>
      <c r="N61" s="241">
        <v>3.5505961655627003E-5</v>
      </c>
      <c r="O61" s="242">
        <v>1.7496559499769501E-3</v>
      </c>
      <c r="P61" s="41">
        <f t="shared" si="21"/>
        <v>52</v>
      </c>
      <c r="Q61" s="201"/>
      <c r="R61" s="201"/>
      <c r="S61" s="201"/>
      <c r="T61" s="201"/>
      <c r="U61" s="201"/>
      <c r="V61" s="201"/>
      <c r="W61" s="201"/>
      <c r="X61" s="201"/>
    </row>
    <row r="62" spans="1:24" x14ac:dyDescent="0.3">
      <c r="A62" s="87" t="s">
        <v>18</v>
      </c>
      <c r="B62" s="212">
        <f t="shared" si="16"/>
        <v>58</v>
      </c>
      <c r="C62" s="211">
        <f t="shared" si="17"/>
        <v>3.3772336388074014E-3</v>
      </c>
      <c r="D62" s="206">
        <f t="shared" si="18"/>
        <v>2.481152977021092E-3</v>
      </c>
      <c r="E62" s="218">
        <f t="shared" si="19"/>
        <v>0.12307692307692308</v>
      </c>
      <c r="F62" s="222">
        <f t="shared" si="20"/>
        <v>1</v>
      </c>
      <c r="G62" s="219" t="s">
        <v>176</v>
      </c>
      <c r="H62" s="1079">
        <v>1050.06666666667</v>
      </c>
      <c r="I62" s="1079"/>
      <c r="J62" s="207">
        <v>1.3667480198061901E-6</v>
      </c>
      <c r="K62" s="208">
        <v>1.06907353961082E-4</v>
      </c>
      <c r="L62" s="41">
        <v>43</v>
      </c>
      <c r="M62" s="246"/>
      <c r="N62" s="241">
        <v>4.8180828953554802E-5</v>
      </c>
      <c r="O62" s="242">
        <v>2.3742456230600099E-3</v>
      </c>
      <c r="P62" s="41">
        <f t="shared" si="21"/>
        <v>48</v>
      </c>
      <c r="Q62" s="201"/>
      <c r="R62" s="201"/>
      <c r="S62" s="201"/>
      <c r="T62" s="201"/>
      <c r="U62" s="201"/>
      <c r="V62" s="201"/>
      <c r="W62" s="201"/>
      <c r="X62" s="201"/>
    </row>
    <row r="63" spans="1:24" x14ac:dyDescent="0.3">
      <c r="A63" s="184" t="s">
        <v>116</v>
      </c>
      <c r="B63" s="212">
        <f t="shared" si="16"/>
        <v>34</v>
      </c>
      <c r="C63" s="211">
        <f t="shared" si="17"/>
        <v>4.9622026303617769E-2</v>
      </c>
      <c r="D63" s="206">
        <f t="shared" si="18"/>
        <v>3.6455824931471821E-2</v>
      </c>
      <c r="E63" s="218">
        <f t="shared" si="19"/>
        <v>0.49230769230769234</v>
      </c>
      <c r="F63" s="222">
        <f t="shared" si="20"/>
        <v>0</v>
      </c>
      <c r="G63" s="220" t="s">
        <v>175</v>
      </c>
      <c r="H63" s="1076">
        <v>62.584782666000002</v>
      </c>
      <c r="I63" s="1076"/>
      <c r="J63" s="207">
        <v>4.1649651442366001E-4</v>
      </c>
      <c r="K63" s="208">
        <v>3.2578456047341699E-2</v>
      </c>
      <c r="L63" s="41">
        <v>21</v>
      </c>
      <c r="M63" s="246"/>
      <c r="N63" s="241">
        <v>7.8683875493612996E-5</v>
      </c>
      <c r="O63" s="242">
        <v>3.8773688841301202E-3</v>
      </c>
      <c r="P63" s="41">
        <f t="shared" si="21"/>
        <v>41</v>
      </c>
      <c r="Q63" s="201"/>
      <c r="R63" s="201"/>
      <c r="S63" s="201"/>
      <c r="T63" s="201"/>
      <c r="U63" s="201"/>
      <c r="V63" s="201"/>
      <c r="W63" s="201"/>
      <c r="X63" s="201"/>
    </row>
    <row r="64" spans="1:24" x14ac:dyDescent="0.3">
      <c r="A64" s="184" t="s">
        <v>356</v>
      </c>
      <c r="B64" s="212">
        <f t="shared" ref="B64" si="37">RANK(C64,C$6:C$70,0)</f>
        <v>26</v>
      </c>
      <c r="C64" s="211">
        <f t="shared" ref="C64" si="38">D64/MAX($D$6:$D$70)*10</f>
        <v>0.10799061828458381</v>
      </c>
      <c r="D64" s="206">
        <f t="shared" ref="D64" si="39">K64+O64</f>
        <v>7.9337491184578279E-2</v>
      </c>
      <c r="E64" s="218">
        <f t="shared" ref="E64" si="40">_xlfn.RANK.EQ(C64,$C$6:$C$70,1)/COUNT($C$6:$C$70)</f>
        <v>0.61538461538461542</v>
      </c>
      <c r="F64" s="222">
        <f t="shared" ref="F64" si="41">IF(E64&gt;0.66,-1,IF(E64&lt;0.335,1,0))</f>
        <v>0</v>
      </c>
      <c r="G64" s="220"/>
      <c r="H64" s="1076">
        <v>64.012442666666701</v>
      </c>
      <c r="I64" s="1076"/>
      <c r="J64" s="207">
        <v>9.0640627673654504E-4</v>
      </c>
      <c r="K64" s="208">
        <v>7.0899313739895997E-2</v>
      </c>
      <c r="L64" s="41"/>
      <c r="M64" s="246"/>
      <c r="N64" s="241">
        <v>1.7123686791006699E-4</v>
      </c>
      <c r="O64" s="242">
        <v>8.4381774446822804E-3</v>
      </c>
      <c r="P64" s="41"/>
      <c r="Q64" s="201"/>
      <c r="R64" s="201"/>
      <c r="S64" s="201"/>
      <c r="T64" s="201"/>
      <c r="U64" s="201"/>
      <c r="V64" s="201"/>
      <c r="W64" s="201"/>
      <c r="X64" s="201"/>
    </row>
    <row r="65" spans="1:24" x14ac:dyDescent="0.3">
      <c r="A65" s="184" t="s">
        <v>246</v>
      </c>
      <c r="B65" s="212">
        <f t="shared" si="16"/>
        <v>60</v>
      </c>
      <c r="C65" s="211">
        <f t="shared" si="17"/>
        <v>3.0852075001502346E-3</v>
      </c>
      <c r="D65" s="206">
        <f t="shared" si="18"/>
        <v>2.266610069781465E-3</v>
      </c>
      <c r="E65" s="218">
        <f t="shared" si="19"/>
        <v>9.2307692307692313E-2</v>
      </c>
      <c r="F65" s="222">
        <f t="shared" si="20"/>
        <v>1</v>
      </c>
      <c r="G65" s="220" t="s">
        <v>174</v>
      </c>
      <c r="H65" s="1076">
        <v>13.445981668</v>
      </c>
      <c r="I65" s="1076"/>
      <c r="J65" s="207">
        <v>2.1859185626365101E-5</v>
      </c>
      <c r="K65" s="208">
        <v>1.7098306792426899E-3</v>
      </c>
      <c r="L65" s="41">
        <v>44</v>
      </c>
      <c r="M65" s="246"/>
      <c r="N65" s="241">
        <v>1.12987857363464E-5</v>
      </c>
      <c r="O65" s="242">
        <v>5.5677939053877501E-4</v>
      </c>
      <c r="P65" s="41">
        <f t="shared" si="21"/>
        <v>62</v>
      </c>
      <c r="Q65" s="201"/>
      <c r="R65" s="201"/>
      <c r="S65" s="201"/>
      <c r="T65" s="201"/>
      <c r="U65" s="201"/>
      <c r="V65" s="201"/>
      <c r="W65" s="201"/>
      <c r="X65" s="201"/>
    </row>
    <row r="66" spans="1:24" x14ac:dyDescent="0.3">
      <c r="A66" s="184" t="s">
        <v>272</v>
      </c>
      <c r="B66" s="212">
        <f t="shared" si="16"/>
        <v>14</v>
      </c>
      <c r="C66" s="211">
        <f t="shared" si="17"/>
        <v>0.52711269938717764</v>
      </c>
      <c r="D66" s="206">
        <f t="shared" si="18"/>
        <v>0.38725400229400719</v>
      </c>
      <c r="E66" s="218">
        <f t="shared" si="19"/>
        <v>0.8</v>
      </c>
      <c r="F66" s="222">
        <f t="shared" si="20"/>
        <v>-1</v>
      </c>
      <c r="G66" s="219" t="s">
        <v>175</v>
      </c>
      <c r="H66" s="1081">
        <v>278.99544801433302</v>
      </c>
      <c r="I66" s="1081"/>
      <c r="J66" s="207">
        <v>4.42425709623228E-3</v>
      </c>
      <c r="K66" s="208">
        <v>0.34606643839791801</v>
      </c>
      <c r="L66" s="41">
        <v>38</v>
      </c>
      <c r="M66" s="246"/>
      <c r="N66" s="241">
        <v>8.3582378832964101E-4</v>
      </c>
      <c r="O66" s="242">
        <v>4.1187563896089199E-2</v>
      </c>
      <c r="P66" s="41">
        <f t="shared" si="21"/>
        <v>21</v>
      </c>
      <c r="Q66" s="201"/>
      <c r="R66" s="201"/>
      <c r="S66" s="201"/>
      <c r="T66" s="201"/>
      <c r="U66" s="201"/>
      <c r="V66" s="201"/>
      <c r="W66" s="201"/>
      <c r="X66" s="201"/>
    </row>
    <row r="67" spans="1:24" x14ac:dyDescent="0.3">
      <c r="A67" s="87" t="s">
        <v>98</v>
      </c>
      <c r="B67" s="212">
        <f t="shared" si="16"/>
        <v>12</v>
      </c>
      <c r="C67" s="211">
        <f t="shared" si="17"/>
        <v>0.71195379111194868</v>
      </c>
      <c r="D67" s="206">
        <f t="shared" si="18"/>
        <v>0.52305124763078403</v>
      </c>
      <c r="E67" s="218">
        <f t="shared" si="19"/>
        <v>0.83076923076923082</v>
      </c>
      <c r="F67" s="222">
        <f t="shared" si="20"/>
        <v>-1</v>
      </c>
      <c r="G67" s="219" t="s">
        <v>12</v>
      </c>
      <c r="H67" s="1076">
        <v>12442</v>
      </c>
      <c r="I67" s="1076"/>
      <c r="J67" s="207">
        <v>3.4256803445802198E-3</v>
      </c>
      <c r="K67" s="208">
        <v>0.26795752827027502</v>
      </c>
      <c r="L67" s="41">
        <v>13</v>
      </c>
      <c r="M67" s="246"/>
      <c r="N67" s="241">
        <v>5.1766450531745096E-3</v>
      </c>
      <c r="O67" s="242">
        <v>0.25509371936050901</v>
      </c>
      <c r="P67" s="41">
        <f t="shared" si="21"/>
        <v>6</v>
      </c>
      <c r="Q67" s="201"/>
      <c r="R67" s="201"/>
      <c r="S67" s="201"/>
      <c r="T67" s="201"/>
      <c r="U67" s="201"/>
      <c r="V67" s="201"/>
      <c r="W67" s="201"/>
      <c r="X67" s="201"/>
    </row>
    <row r="68" spans="1:24" x14ac:dyDescent="0.3">
      <c r="A68" s="87" t="s">
        <v>161</v>
      </c>
      <c r="B68" s="212">
        <f t="shared" si="16"/>
        <v>24</v>
      </c>
      <c r="C68" s="211">
        <f t="shared" si="17"/>
        <v>0.1177147814975929</v>
      </c>
      <c r="D68" s="206">
        <f t="shared" si="18"/>
        <v>8.6481544301826196E-2</v>
      </c>
      <c r="E68" s="218">
        <f t="shared" si="19"/>
        <v>0.64615384615384619</v>
      </c>
      <c r="F68" s="222">
        <f t="shared" si="20"/>
        <v>0</v>
      </c>
      <c r="G68" s="219" t="s">
        <v>161</v>
      </c>
      <c r="H68" s="1076">
        <v>74.400000000000006</v>
      </c>
      <c r="I68" s="1076"/>
      <c r="J68" s="207">
        <v>1.0577221858514201E-3</v>
      </c>
      <c r="K68" s="208">
        <v>8.2735280005265602E-2</v>
      </c>
      <c r="L68" s="41">
        <v>18</v>
      </c>
      <c r="M68" s="246"/>
      <c r="N68" s="241">
        <v>7.6023355601584095E-5</v>
      </c>
      <c r="O68" s="242">
        <v>3.7462642965605999E-3</v>
      </c>
      <c r="P68" s="41">
        <f t="shared" si="21"/>
        <v>42</v>
      </c>
      <c r="Q68" s="201"/>
      <c r="R68" s="201"/>
      <c r="S68" s="201"/>
      <c r="T68" s="201"/>
      <c r="U68" s="201"/>
      <c r="V68" s="201"/>
      <c r="W68" s="201"/>
      <c r="X68" s="201"/>
    </row>
    <row r="69" spans="1:24" x14ac:dyDescent="0.3">
      <c r="A69" s="1001" t="s">
        <v>359</v>
      </c>
      <c r="B69" s="212">
        <f t="shared" ref="B69" si="42">RANK(C69,C$6:C$70,0)</f>
        <v>56</v>
      </c>
      <c r="C69" s="211">
        <f t="shared" ref="C69" si="43">D69/MAX($D$6:$D$70)*10</f>
        <v>3.7165118479342602E-3</v>
      </c>
      <c r="D69" s="206">
        <f t="shared" ref="D69" si="44">K69+O69</f>
        <v>2.730410573220671E-3</v>
      </c>
      <c r="E69" s="218">
        <f t="shared" ref="E69" si="45">_xlfn.RANK.EQ(C69,$C$6:$C$70,1)/COUNT($C$6:$C$70)</f>
        <v>0.15384615384615385</v>
      </c>
      <c r="F69" s="222">
        <f t="shared" ref="F69" si="46">IF(E69&gt;0.66,-1,IF(E69&lt;0.335,1,0))</f>
        <v>1</v>
      </c>
      <c r="G69" s="1019"/>
      <c r="H69" s="1077">
        <v>193.26331865133301</v>
      </c>
      <c r="I69" s="1077"/>
      <c r="J69" s="1020">
        <v>2.3646389687024098E-6</v>
      </c>
      <c r="K69" s="1021">
        <v>1.84962620434661E-4</v>
      </c>
      <c r="L69" s="160"/>
      <c r="M69" s="246"/>
      <c r="N69" s="1022">
        <v>5.1655056760847798E-5</v>
      </c>
      <c r="O69" s="1023">
        <v>2.54544795278601E-3</v>
      </c>
      <c r="P69" s="160"/>
      <c r="Q69" s="201"/>
      <c r="R69" s="201"/>
      <c r="S69" s="201"/>
      <c r="T69" s="201"/>
      <c r="U69" s="201"/>
      <c r="V69" s="201"/>
      <c r="W69" s="201"/>
      <c r="X69" s="201"/>
    </row>
    <row r="70" spans="1:24" ht="19.5" thickBot="1" x14ac:dyDescent="0.35">
      <c r="A70" s="152" t="s">
        <v>162</v>
      </c>
      <c r="B70" s="247">
        <f t="shared" si="16"/>
        <v>6</v>
      </c>
      <c r="C70" s="248">
        <f t="shared" si="17"/>
        <v>2.005827963374843</v>
      </c>
      <c r="D70" s="249">
        <f t="shared" si="18"/>
        <v>1.47362206911959</v>
      </c>
      <c r="E70" s="250">
        <f t="shared" si="19"/>
        <v>0.92307692307692313</v>
      </c>
      <c r="F70" s="251">
        <f t="shared" si="20"/>
        <v>-1</v>
      </c>
      <c r="G70" s="252" t="s">
        <v>75</v>
      </c>
      <c r="H70" s="1078">
        <v>7532.0927879999999</v>
      </c>
      <c r="I70" s="1078"/>
      <c r="J70" s="253">
        <v>1.54320103944282E-2</v>
      </c>
      <c r="K70" s="254">
        <v>1.20709550967719</v>
      </c>
      <c r="L70" s="75">
        <v>6</v>
      </c>
      <c r="M70" s="255"/>
      <c r="N70" s="256">
        <v>5.4086529411069301E-3</v>
      </c>
      <c r="O70" s="257">
        <v>0.2665265594424</v>
      </c>
      <c r="P70" s="75">
        <f t="shared" si="21"/>
        <v>5</v>
      </c>
      <c r="Q70" s="201"/>
      <c r="R70" s="201"/>
      <c r="S70" s="201"/>
      <c r="T70" s="201"/>
      <c r="U70" s="201"/>
      <c r="V70" s="201"/>
      <c r="W70" s="201"/>
      <c r="X70" s="201"/>
    </row>
    <row r="71" spans="1:24" s="191" customFormat="1" x14ac:dyDescent="0.3">
      <c r="B71" s="53"/>
      <c r="F71" s="200"/>
      <c r="L71" s="136"/>
      <c r="M71" s="165"/>
      <c r="Q71" s="136"/>
      <c r="R71" s="136"/>
      <c r="S71" s="136"/>
      <c r="T71" s="136"/>
      <c r="U71" s="136"/>
    </row>
    <row r="72" spans="1:24" s="191" customFormat="1" x14ac:dyDescent="0.3">
      <c r="B72" s="53"/>
      <c r="F72" s="200"/>
      <c r="L72" s="136"/>
      <c r="M72" s="165"/>
      <c r="Q72" s="136"/>
      <c r="R72" s="136"/>
      <c r="S72" s="136"/>
      <c r="T72" s="136"/>
      <c r="U72" s="136"/>
    </row>
    <row r="73" spans="1:24" s="191" customFormat="1" x14ac:dyDescent="0.3">
      <c r="B73" s="53"/>
      <c r="F73" s="200"/>
      <c r="L73" s="136"/>
      <c r="M73" s="165"/>
      <c r="Q73" s="136"/>
      <c r="R73" s="136"/>
      <c r="S73" s="136"/>
      <c r="T73" s="136"/>
      <c r="U73" s="136"/>
    </row>
    <row r="74" spans="1:24" s="191" customFormat="1" x14ac:dyDescent="0.3">
      <c r="B74" s="53"/>
      <c r="F74" s="200"/>
      <c r="L74" s="136"/>
      <c r="M74" s="165"/>
      <c r="Q74" s="136"/>
      <c r="R74" s="136"/>
      <c r="S74" s="136"/>
      <c r="T74" s="136"/>
      <c r="U74" s="136"/>
    </row>
    <row r="75" spans="1:24" s="191" customFormat="1" x14ac:dyDescent="0.3">
      <c r="B75" s="53"/>
      <c r="F75" s="200"/>
      <c r="L75" s="136"/>
      <c r="M75" s="165"/>
      <c r="Q75" s="136"/>
      <c r="R75" s="136"/>
      <c r="S75" s="136"/>
      <c r="T75" s="136"/>
      <c r="U75" s="136"/>
    </row>
    <row r="76" spans="1:24" s="191" customFormat="1" x14ac:dyDescent="0.3">
      <c r="B76" s="53"/>
      <c r="F76" s="200"/>
      <c r="L76" s="136"/>
      <c r="M76" s="165"/>
      <c r="Q76" s="136"/>
      <c r="R76" s="136"/>
      <c r="S76" s="136"/>
      <c r="T76" s="136"/>
      <c r="U76" s="136"/>
    </row>
    <row r="77" spans="1:24" s="191" customFormat="1" x14ac:dyDescent="0.3">
      <c r="B77" s="53"/>
      <c r="F77" s="200"/>
      <c r="L77" s="136"/>
      <c r="M77" s="165"/>
      <c r="Q77" s="136"/>
      <c r="R77" s="136"/>
      <c r="S77" s="136"/>
      <c r="T77" s="136"/>
      <c r="U77" s="136"/>
    </row>
    <row r="78" spans="1:24" s="191" customFormat="1" x14ac:dyDescent="0.3">
      <c r="B78" s="53"/>
      <c r="F78" s="200"/>
      <c r="L78" s="136"/>
      <c r="M78" s="165"/>
      <c r="Q78" s="136"/>
      <c r="R78" s="136"/>
      <c r="S78" s="136"/>
      <c r="T78" s="136"/>
      <c r="U78" s="136"/>
    </row>
    <row r="79" spans="1:24" s="191" customFormat="1" x14ac:dyDescent="0.3">
      <c r="B79" s="53"/>
      <c r="F79" s="200"/>
      <c r="L79" s="136"/>
      <c r="M79" s="165"/>
      <c r="Q79" s="136"/>
      <c r="R79" s="136"/>
      <c r="S79" s="136"/>
      <c r="T79" s="136"/>
      <c r="U79" s="136"/>
    </row>
    <row r="80" spans="1:24" s="191" customFormat="1" x14ac:dyDescent="0.3">
      <c r="B80" s="53"/>
      <c r="F80" s="200"/>
      <c r="L80" s="136"/>
      <c r="M80" s="165"/>
      <c r="Q80" s="136"/>
      <c r="R80" s="136"/>
      <c r="S80" s="136"/>
      <c r="T80" s="136"/>
      <c r="U80" s="136"/>
    </row>
    <row r="81" spans="2:21" s="191" customFormat="1" x14ac:dyDescent="0.3">
      <c r="B81" s="53"/>
      <c r="F81" s="200"/>
      <c r="L81" s="136"/>
      <c r="M81" s="165"/>
      <c r="Q81" s="136"/>
      <c r="R81" s="136"/>
      <c r="S81" s="136"/>
      <c r="T81" s="136"/>
      <c r="U81" s="136"/>
    </row>
    <row r="82" spans="2:21" s="191" customFormat="1" x14ac:dyDescent="0.3">
      <c r="B82" s="53"/>
      <c r="F82" s="200"/>
      <c r="L82" s="136"/>
      <c r="M82" s="165"/>
      <c r="Q82" s="136"/>
      <c r="R82" s="136"/>
      <c r="S82" s="136"/>
      <c r="T82" s="136"/>
      <c r="U82" s="136"/>
    </row>
    <row r="83" spans="2:21" s="191" customFormat="1" x14ac:dyDescent="0.3">
      <c r="B83" s="53"/>
      <c r="F83" s="200"/>
      <c r="L83" s="136"/>
      <c r="M83" s="165"/>
      <c r="Q83" s="136"/>
      <c r="R83" s="136"/>
      <c r="S83" s="136"/>
      <c r="T83" s="136"/>
      <c r="U83" s="136"/>
    </row>
    <row r="84" spans="2:21" s="191" customFormat="1" x14ac:dyDescent="0.3">
      <c r="B84" s="53"/>
      <c r="F84" s="200"/>
      <c r="L84" s="136"/>
      <c r="M84" s="165"/>
      <c r="Q84" s="136"/>
      <c r="R84" s="136"/>
      <c r="S84" s="136"/>
      <c r="T84" s="136"/>
      <c r="U84" s="136"/>
    </row>
    <row r="85" spans="2:21" s="191" customFormat="1" x14ac:dyDescent="0.3">
      <c r="B85" s="53"/>
      <c r="F85" s="200"/>
      <c r="L85" s="136"/>
      <c r="M85" s="165"/>
      <c r="Q85" s="136"/>
      <c r="R85" s="136"/>
      <c r="S85" s="136"/>
      <c r="T85" s="136"/>
      <c r="U85" s="136"/>
    </row>
    <row r="86" spans="2:21" s="191" customFormat="1" x14ac:dyDescent="0.3">
      <c r="B86" s="53"/>
      <c r="F86" s="200"/>
      <c r="L86" s="136"/>
      <c r="M86" s="165"/>
      <c r="Q86" s="136"/>
      <c r="R86" s="136"/>
      <c r="S86" s="136"/>
      <c r="T86" s="136"/>
      <c r="U86" s="136"/>
    </row>
    <row r="87" spans="2:21" s="191" customFormat="1" x14ac:dyDescent="0.3">
      <c r="B87" s="53"/>
      <c r="F87" s="200"/>
      <c r="L87" s="136"/>
      <c r="M87" s="165"/>
      <c r="Q87" s="136"/>
      <c r="R87" s="136"/>
      <c r="S87" s="136"/>
      <c r="T87" s="136"/>
      <c r="U87" s="136"/>
    </row>
    <row r="88" spans="2:21" s="191" customFormat="1" x14ac:dyDescent="0.3">
      <c r="B88" s="53"/>
      <c r="F88" s="200"/>
      <c r="L88" s="136"/>
      <c r="M88" s="165"/>
      <c r="Q88" s="136"/>
      <c r="R88" s="136"/>
      <c r="S88" s="136"/>
      <c r="T88" s="136"/>
      <c r="U88" s="136"/>
    </row>
    <row r="89" spans="2:21" s="191" customFormat="1" x14ac:dyDescent="0.3">
      <c r="B89" s="53"/>
      <c r="F89" s="200"/>
      <c r="L89" s="136"/>
      <c r="M89" s="165"/>
      <c r="Q89" s="136"/>
      <c r="R89" s="136"/>
      <c r="S89" s="136"/>
      <c r="T89" s="136"/>
      <c r="U89" s="136"/>
    </row>
    <row r="90" spans="2:21" s="191" customFormat="1" x14ac:dyDescent="0.3">
      <c r="B90" s="53"/>
      <c r="F90" s="200"/>
      <c r="L90" s="136"/>
      <c r="M90" s="165"/>
      <c r="Q90" s="136"/>
      <c r="R90" s="136"/>
      <c r="S90" s="136"/>
      <c r="T90" s="136"/>
      <c r="U90" s="136"/>
    </row>
    <row r="91" spans="2:21" s="191" customFormat="1" x14ac:dyDescent="0.3">
      <c r="B91" s="53"/>
      <c r="F91" s="200"/>
      <c r="L91" s="136"/>
      <c r="M91" s="165"/>
      <c r="Q91" s="136"/>
      <c r="R91" s="136"/>
      <c r="S91" s="136"/>
      <c r="T91" s="136"/>
      <c r="U91" s="136"/>
    </row>
    <row r="92" spans="2:21" s="191" customFormat="1" x14ac:dyDescent="0.3">
      <c r="B92" s="53"/>
      <c r="F92" s="200"/>
      <c r="L92" s="136"/>
      <c r="M92" s="165"/>
      <c r="Q92" s="136"/>
      <c r="R92" s="136"/>
      <c r="S92" s="136"/>
      <c r="T92" s="136"/>
      <c r="U92" s="136"/>
    </row>
    <row r="93" spans="2:21" s="191" customFormat="1" x14ac:dyDescent="0.3">
      <c r="B93" s="53"/>
      <c r="F93" s="200"/>
      <c r="L93" s="136"/>
      <c r="M93" s="165"/>
      <c r="Q93" s="136"/>
      <c r="R93" s="136"/>
      <c r="S93" s="136"/>
      <c r="T93" s="136"/>
      <c r="U93" s="136"/>
    </row>
    <row r="94" spans="2:21" s="191" customFormat="1" x14ac:dyDescent="0.3">
      <c r="B94" s="53"/>
      <c r="F94" s="200"/>
      <c r="L94" s="136"/>
      <c r="M94" s="165"/>
      <c r="Q94" s="136"/>
      <c r="R94" s="136"/>
      <c r="S94" s="136"/>
      <c r="T94" s="136"/>
      <c r="U94" s="136"/>
    </row>
    <row r="95" spans="2:21" s="191" customFormat="1" x14ac:dyDescent="0.3">
      <c r="B95" s="53"/>
      <c r="F95" s="200"/>
      <c r="L95" s="136"/>
      <c r="M95" s="165"/>
      <c r="Q95" s="136"/>
      <c r="R95" s="136"/>
      <c r="S95" s="136"/>
      <c r="T95" s="136"/>
      <c r="U95" s="136"/>
    </row>
    <row r="96" spans="2:21" s="191" customFormat="1" x14ac:dyDescent="0.3">
      <c r="B96" s="53"/>
      <c r="F96" s="200"/>
      <c r="L96" s="136"/>
      <c r="M96" s="165"/>
      <c r="Q96" s="136"/>
      <c r="R96" s="136"/>
      <c r="S96" s="136"/>
      <c r="T96" s="136"/>
      <c r="U96" s="136"/>
    </row>
    <row r="97" spans="2:21" s="191" customFormat="1" x14ac:dyDescent="0.3">
      <c r="B97" s="53"/>
      <c r="F97" s="200"/>
      <c r="L97" s="136"/>
      <c r="M97" s="165"/>
      <c r="Q97" s="136"/>
      <c r="R97" s="136"/>
      <c r="S97" s="136"/>
      <c r="T97" s="136"/>
      <c r="U97" s="136"/>
    </row>
    <row r="98" spans="2:21" s="191" customFormat="1" x14ac:dyDescent="0.3">
      <c r="B98" s="53"/>
      <c r="F98" s="200"/>
      <c r="L98" s="136"/>
      <c r="M98" s="165"/>
      <c r="Q98" s="136"/>
      <c r="R98" s="136"/>
      <c r="S98" s="136"/>
      <c r="T98" s="136"/>
      <c r="U98" s="136"/>
    </row>
    <row r="99" spans="2:21" s="191" customFormat="1" x14ac:dyDescent="0.3">
      <c r="B99" s="53"/>
      <c r="F99" s="200"/>
      <c r="L99" s="136"/>
      <c r="M99" s="165"/>
      <c r="Q99" s="136"/>
      <c r="R99" s="136"/>
      <c r="S99" s="136"/>
      <c r="T99" s="136"/>
      <c r="U99" s="136"/>
    </row>
    <row r="100" spans="2:21" s="191" customFormat="1" x14ac:dyDescent="0.3">
      <c r="B100" s="53"/>
      <c r="F100" s="200"/>
      <c r="L100" s="136"/>
      <c r="M100" s="165"/>
      <c r="Q100" s="136"/>
      <c r="R100" s="136"/>
      <c r="S100" s="136"/>
      <c r="T100" s="136"/>
      <c r="U100" s="136"/>
    </row>
    <row r="101" spans="2:21" s="191" customFormat="1" x14ac:dyDescent="0.3">
      <c r="B101" s="53"/>
      <c r="F101" s="200"/>
      <c r="L101" s="136"/>
      <c r="M101" s="165"/>
      <c r="Q101" s="136"/>
      <c r="R101" s="136"/>
      <c r="S101" s="136"/>
      <c r="T101" s="136"/>
      <c r="U101" s="136"/>
    </row>
    <row r="102" spans="2:21" s="191" customFormat="1" x14ac:dyDescent="0.3">
      <c r="B102" s="53"/>
      <c r="F102" s="200"/>
      <c r="L102" s="136"/>
      <c r="M102" s="165"/>
      <c r="Q102" s="136"/>
      <c r="R102" s="136"/>
      <c r="S102" s="136"/>
      <c r="T102" s="136"/>
      <c r="U102" s="136"/>
    </row>
    <row r="103" spans="2:21" s="191" customFormat="1" x14ac:dyDescent="0.3">
      <c r="B103" s="53"/>
      <c r="F103" s="200"/>
      <c r="L103" s="136"/>
      <c r="M103" s="165"/>
      <c r="Q103" s="136"/>
      <c r="R103" s="136"/>
      <c r="S103" s="136"/>
      <c r="T103" s="136"/>
      <c r="U103" s="136"/>
    </row>
    <row r="104" spans="2:21" s="191" customFormat="1" x14ac:dyDescent="0.3">
      <c r="B104" s="53"/>
      <c r="F104" s="200"/>
      <c r="L104" s="136"/>
      <c r="M104" s="165"/>
      <c r="Q104" s="136"/>
      <c r="R104" s="136"/>
      <c r="S104" s="136"/>
      <c r="T104" s="136"/>
      <c r="U104" s="136"/>
    </row>
    <row r="105" spans="2:21" s="191" customFormat="1" x14ac:dyDescent="0.3">
      <c r="B105" s="53"/>
      <c r="F105" s="200"/>
      <c r="L105" s="136"/>
      <c r="M105" s="165"/>
      <c r="Q105" s="136"/>
      <c r="R105" s="136"/>
      <c r="S105" s="136"/>
      <c r="T105" s="136"/>
      <c r="U105" s="136"/>
    </row>
    <row r="106" spans="2:21" s="191" customFormat="1" x14ac:dyDescent="0.3">
      <c r="B106" s="53"/>
      <c r="F106" s="200"/>
      <c r="L106" s="136"/>
      <c r="M106" s="165"/>
      <c r="Q106" s="136"/>
      <c r="R106" s="136"/>
      <c r="S106" s="136"/>
      <c r="T106" s="136"/>
      <c r="U106" s="136"/>
    </row>
    <row r="107" spans="2:21" s="191" customFormat="1" x14ac:dyDescent="0.3">
      <c r="B107" s="53"/>
      <c r="F107" s="200"/>
      <c r="L107" s="136"/>
      <c r="M107" s="165"/>
      <c r="Q107" s="136"/>
      <c r="R107" s="136"/>
      <c r="S107" s="136"/>
      <c r="T107" s="136"/>
      <c r="U107" s="136"/>
    </row>
    <row r="108" spans="2:21" s="191" customFormat="1" x14ac:dyDescent="0.3">
      <c r="B108" s="53"/>
      <c r="F108" s="200"/>
      <c r="L108" s="136"/>
      <c r="M108" s="165"/>
      <c r="Q108" s="136"/>
      <c r="R108" s="136"/>
      <c r="S108" s="136"/>
      <c r="T108" s="136"/>
      <c r="U108" s="136"/>
    </row>
    <row r="109" spans="2:21" s="191" customFormat="1" x14ac:dyDescent="0.3">
      <c r="B109" s="53"/>
      <c r="F109" s="200"/>
      <c r="L109" s="136"/>
      <c r="M109" s="165"/>
      <c r="Q109" s="136"/>
      <c r="R109" s="136"/>
      <c r="S109" s="136"/>
      <c r="T109" s="136"/>
      <c r="U109" s="136"/>
    </row>
    <row r="110" spans="2:21" s="191" customFormat="1" x14ac:dyDescent="0.3">
      <c r="B110" s="53"/>
      <c r="F110" s="200"/>
      <c r="L110" s="136"/>
      <c r="M110" s="165"/>
      <c r="Q110" s="136"/>
      <c r="R110" s="136"/>
      <c r="S110" s="136"/>
      <c r="T110" s="136"/>
      <c r="U110" s="136"/>
    </row>
    <row r="111" spans="2:21" s="191" customFormat="1" x14ac:dyDescent="0.3">
      <c r="B111" s="53"/>
      <c r="F111" s="200"/>
      <c r="L111" s="136"/>
      <c r="M111" s="165"/>
      <c r="Q111" s="136"/>
      <c r="R111" s="136"/>
      <c r="S111" s="136"/>
      <c r="T111" s="136"/>
      <c r="U111" s="136"/>
    </row>
    <row r="112" spans="2:21" s="191" customFormat="1" x14ac:dyDescent="0.3">
      <c r="B112" s="53"/>
      <c r="F112" s="200"/>
      <c r="L112" s="136"/>
      <c r="M112" s="165"/>
      <c r="Q112" s="136"/>
      <c r="R112" s="136"/>
      <c r="S112" s="136"/>
      <c r="T112" s="136"/>
      <c r="U112" s="136"/>
    </row>
    <row r="113" spans="2:21" s="191" customFormat="1" x14ac:dyDescent="0.3">
      <c r="B113" s="53"/>
      <c r="F113" s="200"/>
      <c r="L113" s="136"/>
      <c r="M113" s="165"/>
      <c r="Q113" s="136"/>
      <c r="R113" s="136"/>
      <c r="S113" s="136"/>
      <c r="T113" s="136"/>
      <c r="U113" s="136"/>
    </row>
    <row r="114" spans="2:21" s="191" customFormat="1" x14ac:dyDescent="0.3">
      <c r="B114" s="53"/>
      <c r="F114" s="200"/>
      <c r="L114" s="136"/>
      <c r="M114" s="165"/>
      <c r="Q114" s="136"/>
      <c r="R114" s="136"/>
      <c r="S114" s="136"/>
      <c r="T114" s="136"/>
      <c r="U114" s="136"/>
    </row>
    <row r="115" spans="2:21" s="191" customFormat="1" x14ac:dyDescent="0.3">
      <c r="B115" s="53"/>
      <c r="F115" s="200"/>
      <c r="L115" s="136"/>
      <c r="M115" s="165"/>
      <c r="Q115" s="136"/>
      <c r="R115" s="136"/>
      <c r="S115" s="136"/>
      <c r="T115" s="136"/>
      <c r="U115" s="136"/>
    </row>
    <row r="116" spans="2:21" s="191" customFormat="1" x14ac:dyDescent="0.3">
      <c r="B116" s="53"/>
      <c r="F116" s="200"/>
      <c r="L116" s="136"/>
      <c r="M116" s="165"/>
      <c r="Q116" s="136"/>
      <c r="R116" s="136"/>
      <c r="S116" s="136"/>
      <c r="T116" s="136"/>
      <c r="U116" s="136"/>
    </row>
    <row r="117" spans="2:21" s="191" customFormat="1" x14ac:dyDescent="0.3">
      <c r="B117" s="53"/>
      <c r="F117" s="200"/>
      <c r="L117" s="136"/>
      <c r="M117" s="165"/>
      <c r="Q117" s="136"/>
      <c r="R117" s="136"/>
      <c r="S117" s="136"/>
      <c r="T117" s="136"/>
      <c r="U117" s="136"/>
    </row>
    <row r="118" spans="2:21" s="191" customFormat="1" x14ac:dyDescent="0.3">
      <c r="B118" s="53"/>
      <c r="F118" s="200"/>
      <c r="L118" s="136"/>
      <c r="M118" s="165"/>
      <c r="Q118" s="136"/>
      <c r="R118" s="136"/>
      <c r="S118" s="136"/>
      <c r="T118" s="136"/>
      <c r="U118" s="136"/>
    </row>
    <row r="119" spans="2:21" s="191" customFormat="1" x14ac:dyDescent="0.3">
      <c r="B119" s="53"/>
      <c r="F119" s="200"/>
      <c r="L119" s="136"/>
      <c r="M119" s="165"/>
      <c r="Q119" s="136"/>
      <c r="R119" s="136"/>
      <c r="S119" s="136"/>
      <c r="T119" s="136"/>
      <c r="U119" s="136"/>
    </row>
    <row r="120" spans="2:21" s="191" customFormat="1" x14ac:dyDescent="0.3">
      <c r="B120" s="53"/>
      <c r="F120" s="200"/>
      <c r="L120" s="136"/>
      <c r="M120" s="165"/>
      <c r="Q120" s="136"/>
      <c r="R120" s="136"/>
      <c r="S120" s="136"/>
      <c r="T120" s="136"/>
      <c r="U120" s="136"/>
    </row>
    <row r="121" spans="2:21" s="191" customFormat="1" x14ac:dyDescent="0.3">
      <c r="B121" s="53"/>
      <c r="F121" s="200"/>
      <c r="L121" s="136"/>
      <c r="M121" s="165"/>
      <c r="Q121" s="136"/>
      <c r="R121" s="136"/>
      <c r="S121" s="136"/>
      <c r="T121" s="136"/>
      <c r="U121" s="136"/>
    </row>
    <row r="122" spans="2:21" s="191" customFormat="1" x14ac:dyDescent="0.3">
      <c r="B122" s="53"/>
      <c r="F122" s="200"/>
      <c r="L122" s="136"/>
      <c r="M122" s="165"/>
      <c r="Q122" s="136"/>
      <c r="R122" s="136"/>
      <c r="S122" s="136"/>
      <c r="T122" s="136"/>
      <c r="U122" s="136"/>
    </row>
    <row r="123" spans="2:21" s="191" customFormat="1" x14ac:dyDescent="0.3">
      <c r="B123" s="53"/>
      <c r="F123" s="200"/>
      <c r="L123" s="136"/>
      <c r="M123" s="165"/>
      <c r="Q123" s="136"/>
      <c r="R123" s="136"/>
      <c r="S123" s="136"/>
      <c r="T123" s="136"/>
      <c r="U123" s="136"/>
    </row>
    <row r="124" spans="2:21" s="191" customFormat="1" x14ac:dyDescent="0.3">
      <c r="B124" s="53"/>
      <c r="F124" s="200"/>
      <c r="L124" s="136"/>
      <c r="M124" s="165"/>
      <c r="Q124" s="136"/>
      <c r="R124" s="136"/>
      <c r="S124" s="136"/>
      <c r="T124" s="136"/>
      <c r="U124" s="136"/>
    </row>
    <row r="125" spans="2:21" s="191" customFormat="1" x14ac:dyDescent="0.3">
      <c r="B125" s="53"/>
      <c r="F125" s="200"/>
      <c r="L125" s="136"/>
      <c r="M125" s="165"/>
      <c r="Q125" s="136"/>
      <c r="R125" s="136"/>
      <c r="S125" s="136"/>
      <c r="T125" s="136"/>
      <c r="U125" s="136"/>
    </row>
    <row r="126" spans="2:21" s="191" customFormat="1" x14ac:dyDescent="0.3">
      <c r="B126" s="53"/>
      <c r="F126" s="200"/>
      <c r="L126" s="136"/>
      <c r="M126" s="165"/>
      <c r="Q126" s="136"/>
      <c r="R126" s="136"/>
      <c r="S126" s="136"/>
      <c r="T126" s="136"/>
      <c r="U126" s="136"/>
    </row>
    <row r="127" spans="2:21" s="191" customFormat="1" x14ac:dyDescent="0.3">
      <c r="B127" s="53"/>
      <c r="F127" s="200"/>
      <c r="L127" s="136"/>
      <c r="M127" s="165"/>
      <c r="Q127" s="136"/>
      <c r="R127" s="136"/>
      <c r="S127" s="136"/>
      <c r="T127" s="136"/>
      <c r="U127" s="136"/>
    </row>
    <row r="128" spans="2:21" s="191" customFormat="1" x14ac:dyDescent="0.3">
      <c r="B128" s="53"/>
      <c r="F128" s="200"/>
      <c r="L128" s="136"/>
      <c r="M128" s="165"/>
      <c r="Q128" s="136"/>
      <c r="R128" s="136"/>
      <c r="S128" s="136"/>
      <c r="T128" s="136"/>
      <c r="U128" s="136"/>
    </row>
    <row r="129" spans="2:21" s="191" customFormat="1" x14ac:dyDescent="0.3">
      <c r="B129" s="53"/>
      <c r="F129" s="200"/>
      <c r="L129" s="136"/>
      <c r="M129" s="165"/>
      <c r="Q129" s="136"/>
      <c r="R129" s="136"/>
      <c r="S129" s="136"/>
      <c r="T129" s="136"/>
      <c r="U129" s="136"/>
    </row>
    <row r="130" spans="2:21" s="191" customFormat="1" x14ac:dyDescent="0.3">
      <c r="B130" s="53"/>
      <c r="F130" s="200"/>
      <c r="L130" s="136"/>
      <c r="M130" s="165"/>
      <c r="Q130" s="136"/>
      <c r="R130" s="136"/>
      <c r="S130" s="136"/>
      <c r="T130" s="136"/>
      <c r="U130" s="136"/>
    </row>
    <row r="131" spans="2:21" s="191" customFormat="1" x14ac:dyDescent="0.3">
      <c r="B131" s="53"/>
      <c r="F131" s="200"/>
      <c r="L131" s="136"/>
      <c r="M131" s="165"/>
      <c r="Q131" s="136"/>
      <c r="R131" s="136"/>
      <c r="S131" s="136"/>
      <c r="T131" s="136"/>
      <c r="U131" s="136"/>
    </row>
    <row r="132" spans="2:21" s="191" customFormat="1" x14ac:dyDescent="0.3">
      <c r="B132" s="53"/>
      <c r="F132" s="200"/>
      <c r="L132" s="136"/>
      <c r="M132" s="165"/>
      <c r="Q132" s="136"/>
      <c r="R132" s="136"/>
      <c r="S132" s="136"/>
      <c r="T132" s="136"/>
      <c r="U132" s="136"/>
    </row>
    <row r="133" spans="2:21" s="191" customFormat="1" x14ac:dyDescent="0.3">
      <c r="B133" s="53"/>
      <c r="F133" s="200"/>
      <c r="L133" s="136"/>
      <c r="M133" s="165"/>
      <c r="Q133" s="136"/>
      <c r="R133" s="136"/>
      <c r="S133" s="136"/>
      <c r="T133" s="136"/>
      <c r="U133" s="136"/>
    </row>
    <row r="134" spans="2:21" s="191" customFormat="1" x14ac:dyDescent="0.3">
      <c r="B134" s="53"/>
      <c r="F134" s="200"/>
      <c r="L134" s="136"/>
      <c r="M134" s="165"/>
      <c r="Q134" s="136"/>
      <c r="R134" s="136"/>
      <c r="S134" s="136"/>
      <c r="T134" s="136"/>
      <c r="U134" s="136"/>
    </row>
    <row r="135" spans="2:21" s="191" customFormat="1" x14ac:dyDescent="0.3">
      <c r="B135" s="53"/>
      <c r="F135" s="200"/>
      <c r="L135" s="136"/>
      <c r="M135" s="165"/>
      <c r="Q135" s="136"/>
      <c r="R135" s="136"/>
      <c r="S135" s="136"/>
      <c r="T135" s="136"/>
      <c r="U135" s="136"/>
    </row>
    <row r="136" spans="2:21" s="191" customFormat="1" x14ac:dyDescent="0.3">
      <c r="B136" s="53"/>
      <c r="F136" s="200"/>
      <c r="L136" s="136"/>
      <c r="M136" s="165"/>
      <c r="Q136" s="136"/>
      <c r="R136" s="136"/>
      <c r="S136" s="136"/>
      <c r="T136" s="136"/>
      <c r="U136" s="136"/>
    </row>
    <row r="137" spans="2:21" s="191" customFormat="1" x14ac:dyDescent="0.3">
      <c r="B137" s="53"/>
      <c r="F137" s="200"/>
      <c r="L137" s="136"/>
      <c r="M137" s="165"/>
      <c r="Q137" s="136"/>
      <c r="R137" s="136"/>
      <c r="S137" s="136"/>
      <c r="T137" s="136"/>
      <c r="U137" s="136"/>
    </row>
    <row r="138" spans="2:21" s="191" customFormat="1" x14ac:dyDescent="0.3">
      <c r="B138" s="53"/>
      <c r="F138" s="200"/>
      <c r="L138" s="136"/>
      <c r="M138" s="165"/>
      <c r="Q138" s="136"/>
      <c r="R138" s="136"/>
      <c r="S138" s="136"/>
      <c r="T138" s="136"/>
      <c r="U138" s="136"/>
    </row>
    <row r="139" spans="2:21" s="191" customFormat="1" x14ac:dyDescent="0.3">
      <c r="B139" s="53"/>
      <c r="F139" s="200"/>
      <c r="L139" s="136"/>
      <c r="M139" s="165"/>
      <c r="Q139" s="136"/>
      <c r="R139" s="136"/>
      <c r="S139" s="136"/>
      <c r="T139" s="136"/>
      <c r="U139" s="136"/>
    </row>
    <row r="140" spans="2:21" s="191" customFormat="1" x14ac:dyDescent="0.3">
      <c r="B140" s="53"/>
      <c r="F140" s="200"/>
      <c r="L140" s="136"/>
      <c r="M140" s="165"/>
      <c r="Q140" s="136"/>
      <c r="R140" s="136"/>
      <c r="S140" s="136"/>
      <c r="T140" s="136"/>
      <c r="U140" s="136"/>
    </row>
    <row r="141" spans="2:21" s="191" customFormat="1" x14ac:dyDescent="0.3">
      <c r="B141" s="53"/>
      <c r="F141" s="200"/>
      <c r="L141" s="136"/>
      <c r="M141" s="165"/>
      <c r="Q141" s="136"/>
      <c r="R141" s="136"/>
      <c r="S141" s="136"/>
      <c r="T141" s="136"/>
      <c r="U141" s="136"/>
    </row>
    <row r="142" spans="2:21" s="191" customFormat="1" x14ac:dyDescent="0.3">
      <c r="B142" s="53"/>
      <c r="F142" s="200"/>
      <c r="L142" s="136"/>
      <c r="M142" s="165"/>
      <c r="Q142" s="136"/>
      <c r="R142" s="136"/>
      <c r="S142" s="136"/>
      <c r="T142" s="136"/>
      <c r="U142" s="136"/>
    </row>
    <row r="143" spans="2:21" s="191" customFormat="1" x14ac:dyDescent="0.3">
      <c r="B143" s="53"/>
      <c r="F143" s="200"/>
      <c r="L143" s="136"/>
      <c r="M143" s="165"/>
      <c r="Q143" s="136"/>
      <c r="R143" s="136"/>
      <c r="S143" s="136"/>
      <c r="T143" s="136"/>
      <c r="U143" s="136"/>
    </row>
    <row r="144" spans="2:21" s="191" customFormat="1" x14ac:dyDescent="0.3">
      <c r="B144" s="53"/>
      <c r="F144" s="200"/>
      <c r="L144" s="136"/>
      <c r="M144" s="165"/>
      <c r="Q144" s="136"/>
      <c r="R144" s="136"/>
      <c r="S144" s="136"/>
      <c r="T144" s="136"/>
      <c r="U144" s="136"/>
    </row>
    <row r="145" spans="2:21" s="191" customFormat="1" x14ac:dyDescent="0.3">
      <c r="B145" s="53"/>
      <c r="F145" s="200"/>
      <c r="L145" s="136"/>
      <c r="M145" s="165"/>
      <c r="Q145" s="136"/>
      <c r="R145" s="136"/>
      <c r="S145" s="136"/>
      <c r="T145" s="136"/>
      <c r="U145" s="136"/>
    </row>
    <row r="146" spans="2:21" s="191" customFormat="1" x14ac:dyDescent="0.3">
      <c r="B146" s="53"/>
      <c r="F146" s="200"/>
      <c r="L146" s="136"/>
      <c r="M146" s="165"/>
      <c r="Q146" s="136"/>
      <c r="R146" s="136"/>
      <c r="S146" s="136"/>
      <c r="T146" s="136"/>
      <c r="U146" s="136"/>
    </row>
    <row r="147" spans="2:21" s="191" customFormat="1" x14ac:dyDescent="0.3">
      <c r="B147" s="53"/>
      <c r="F147" s="200"/>
      <c r="L147" s="136"/>
      <c r="M147" s="165"/>
      <c r="Q147" s="136"/>
      <c r="R147" s="136"/>
      <c r="S147" s="136"/>
      <c r="T147" s="136"/>
      <c r="U147" s="136"/>
    </row>
    <row r="148" spans="2:21" s="191" customFormat="1" x14ac:dyDescent="0.3">
      <c r="B148" s="53"/>
      <c r="F148" s="200"/>
      <c r="L148" s="136"/>
      <c r="M148" s="165"/>
      <c r="Q148" s="136"/>
      <c r="R148" s="136"/>
      <c r="S148" s="136"/>
      <c r="T148" s="136"/>
      <c r="U148" s="136"/>
    </row>
    <row r="149" spans="2:21" s="191" customFormat="1" x14ac:dyDescent="0.3">
      <c r="B149" s="53"/>
      <c r="F149" s="200"/>
      <c r="L149" s="136"/>
      <c r="M149" s="165"/>
      <c r="Q149" s="136"/>
      <c r="R149" s="136"/>
      <c r="S149" s="136"/>
      <c r="T149" s="136"/>
      <c r="U149" s="136"/>
    </row>
    <row r="150" spans="2:21" s="191" customFormat="1" x14ac:dyDescent="0.3">
      <c r="B150" s="53"/>
      <c r="F150" s="200"/>
      <c r="L150" s="136"/>
      <c r="M150" s="165"/>
      <c r="Q150" s="136"/>
      <c r="R150" s="136"/>
      <c r="S150" s="136"/>
      <c r="T150" s="136"/>
      <c r="U150" s="136"/>
    </row>
    <row r="151" spans="2:21" s="191" customFormat="1" x14ac:dyDescent="0.3">
      <c r="B151" s="53"/>
      <c r="F151" s="200"/>
      <c r="L151" s="136"/>
      <c r="M151" s="165"/>
      <c r="Q151" s="136"/>
      <c r="R151" s="136"/>
      <c r="S151" s="136"/>
      <c r="T151" s="136"/>
      <c r="U151" s="136"/>
    </row>
    <row r="152" spans="2:21" s="191" customFormat="1" x14ac:dyDescent="0.3">
      <c r="B152" s="53"/>
      <c r="F152" s="200"/>
      <c r="L152" s="136"/>
      <c r="M152" s="165"/>
      <c r="Q152" s="136"/>
      <c r="R152" s="136"/>
      <c r="S152" s="136"/>
      <c r="T152" s="136"/>
      <c r="U152" s="136"/>
    </row>
    <row r="153" spans="2:21" s="191" customFormat="1" x14ac:dyDescent="0.3">
      <c r="B153" s="53"/>
      <c r="F153" s="200"/>
      <c r="L153" s="136"/>
      <c r="M153" s="165"/>
      <c r="Q153" s="136"/>
      <c r="R153" s="136"/>
      <c r="S153" s="136"/>
      <c r="T153" s="136"/>
      <c r="U153" s="136"/>
    </row>
    <row r="154" spans="2:21" s="191" customFormat="1" x14ac:dyDescent="0.3">
      <c r="B154" s="53"/>
      <c r="F154" s="200"/>
      <c r="L154" s="136"/>
      <c r="M154" s="165"/>
      <c r="Q154" s="136"/>
      <c r="R154" s="136"/>
      <c r="S154" s="136"/>
      <c r="T154" s="136"/>
      <c r="U154" s="136"/>
    </row>
    <row r="155" spans="2:21" s="191" customFormat="1" x14ac:dyDescent="0.3">
      <c r="B155" s="53"/>
      <c r="F155" s="200"/>
      <c r="L155" s="136"/>
      <c r="M155" s="165"/>
      <c r="Q155" s="136"/>
      <c r="R155" s="136"/>
      <c r="S155" s="136"/>
      <c r="T155" s="136"/>
      <c r="U155" s="136"/>
    </row>
    <row r="156" spans="2:21" s="191" customFormat="1" x14ac:dyDescent="0.3">
      <c r="B156" s="53"/>
      <c r="F156" s="200"/>
      <c r="L156" s="136"/>
      <c r="M156" s="165"/>
      <c r="Q156" s="136"/>
      <c r="R156" s="136"/>
      <c r="S156" s="136"/>
      <c r="T156" s="136"/>
      <c r="U156" s="136"/>
    </row>
    <row r="157" spans="2:21" s="191" customFormat="1" x14ac:dyDescent="0.3">
      <c r="B157" s="53"/>
      <c r="F157" s="200"/>
      <c r="L157" s="136"/>
      <c r="M157" s="165"/>
      <c r="Q157" s="136"/>
      <c r="R157" s="136"/>
      <c r="S157" s="136"/>
      <c r="T157" s="136"/>
      <c r="U157" s="136"/>
    </row>
    <row r="158" spans="2:21" s="191" customFormat="1" x14ac:dyDescent="0.3">
      <c r="B158" s="53"/>
      <c r="F158" s="200"/>
      <c r="L158" s="136"/>
      <c r="M158" s="165"/>
      <c r="Q158" s="136"/>
      <c r="R158" s="136"/>
      <c r="S158" s="136"/>
      <c r="T158" s="136"/>
      <c r="U158" s="136"/>
    </row>
    <row r="159" spans="2:21" s="191" customFormat="1" x14ac:dyDescent="0.3">
      <c r="B159" s="53"/>
      <c r="F159" s="200"/>
      <c r="L159" s="136"/>
      <c r="M159" s="165"/>
      <c r="Q159" s="136"/>
      <c r="R159" s="136"/>
      <c r="S159" s="136"/>
      <c r="T159" s="136"/>
      <c r="U159" s="136"/>
    </row>
    <row r="160" spans="2:21" s="191" customFormat="1" x14ac:dyDescent="0.3">
      <c r="B160" s="53"/>
      <c r="F160" s="200"/>
      <c r="L160" s="136"/>
      <c r="M160" s="165"/>
      <c r="Q160" s="136"/>
      <c r="R160" s="136"/>
      <c r="S160" s="136"/>
      <c r="T160" s="136"/>
      <c r="U160" s="136"/>
    </row>
    <row r="161" spans="2:21" s="191" customFormat="1" x14ac:dyDescent="0.3">
      <c r="B161" s="53"/>
      <c r="F161" s="200"/>
      <c r="L161" s="136"/>
      <c r="M161" s="165"/>
      <c r="Q161" s="136"/>
      <c r="R161" s="136"/>
      <c r="S161" s="136"/>
      <c r="T161" s="136"/>
      <c r="U161" s="136"/>
    </row>
    <row r="162" spans="2:21" s="191" customFormat="1" x14ac:dyDescent="0.3">
      <c r="B162" s="53"/>
      <c r="F162" s="200"/>
      <c r="L162" s="136"/>
      <c r="M162" s="165"/>
      <c r="Q162" s="136"/>
      <c r="R162" s="136"/>
      <c r="S162" s="136"/>
      <c r="T162" s="136"/>
      <c r="U162" s="136"/>
    </row>
    <row r="163" spans="2:21" s="191" customFormat="1" x14ac:dyDescent="0.3">
      <c r="B163" s="53"/>
      <c r="F163" s="200"/>
      <c r="L163" s="136"/>
      <c r="M163" s="165"/>
      <c r="Q163" s="136"/>
      <c r="R163" s="136"/>
      <c r="S163" s="136"/>
      <c r="T163" s="136"/>
      <c r="U163" s="136"/>
    </row>
    <row r="164" spans="2:21" s="191" customFormat="1" x14ac:dyDescent="0.3">
      <c r="B164" s="53"/>
      <c r="F164" s="200"/>
      <c r="L164" s="136"/>
      <c r="M164" s="165"/>
      <c r="Q164" s="136"/>
      <c r="R164" s="136"/>
      <c r="S164" s="136"/>
      <c r="T164" s="136"/>
      <c r="U164" s="136"/>
    </row>
    <row r="165" spans="2:21" s="191" customFormat="1" x14ac:dyDescent="0.3">
      <c r="B165" s="53"/>
      <c r="F165" s="200"/>
      <c r="L165" s="136"/>
      <c r="M165" s="165"/>
      <c r="Q165" s="136"/>
      <c r="R165" s="136"/>
      <c r="S165" s="136"/>
      <c r="T165" s="136"/>
      <c r="U165" s="136"/>
    </row>
    <row r="166" spans="2:21" s="191" customFormat="1" x14ac:dyDescent="0.3">
      <c r="B166" s="53"/>
      <c r="F166" s="200"/>
      <c r="L166" s="136"/>
      <c r="M166" s="165"/>
      <c r="Q166" s="136"/>
      <c r="R166" s="136"/>
      <c r="S166" s="136"/>
      <c r="T166" s="136"/>
      <c r="U166" s="136"/>
    </row>
    <row r="167" spans="2:21" s="191" customFormat="1" x14ac:dyDescent="0.3">
      <c r="B167" s="53"/>
      <c r="F167" s="200"/>
      <c r="L167" s="136"/>
      <c r="M167" s="165"/>
      <c r="Q167" s="136"/>
      <c r="R167" s="136"/>
      <c r="S167" s="136"/>
      <c r="T167" s="136"/>
      <c r="U167" s="136"/>
    </row>
    <row r="168" spans="2:21" s="191" customFormat="1" x14ac:dyDescent="0.3">
      <c r="B168" s="53"/>
      <c r="F168" s="200"/>
      <c r="L168" s="136"/>
      <c r="M168" s="165"/>
      <c r="Q168" s="136"/>
      <c r="R168" s="136"/>
      <c r="S168" s="136"/>
      <c r="T168" s="136"/>
      <c r="U168" s="136"/>
    </row>
    <row r="169" spans="2:21" s="191" customFormat="1" x14ac:dyDescent="0.3">
      <c r="B169" s="53"/>
      <c r="F169" s="200"/>
      <c r="L169" s="136"/>
      <c r="M169" s="165"/>
      <c r="Q169" s="136"/>
      <c r="R169" s="136"/>
      <c r="S169" s="136"/>
      <c r="T169" s="136"/>
      <c r="U169" s="136"/>
    </row>
    <row r="170" spans="2:21" s="191" customFormat="1" x14ac:dyDescent="0.3">
      <c r="B170" s="53"/>
      <c r="F170" s="200"/>
      <c r="L170" s="136"/>
      <c r="M170" s="165"/>
      <c r="Q170" s="136"/>
      <c r="R170" s="136"/>
      <c r="S170" s="136"/>
      <c r="T170" s="136"/>
      <c r="U170" s="136"/>
    </row>
    <row r="171" spans="2:21" s="191" customFormat="1" x14ac:dyDescent="0.3">
      <c r="B171" s="53"/>
      <c r="F171" s="200"/>
      <c r="L171" s="136"/>
      <c r="M171" s="165"/>
      <c r="Q171" s="136"/>
      <c r="R171" s="136"/>
      <c r="S171" s="136"/>
      <c r="T171" s="136"/>
      <c r="U171" s="136"/>
    </row>
    <row r="172" spans="2:21" s="191" customFormat="1" x14ac:dyDescent="0.3">
      <c r="B172" s="53"/>
      <c r="F172" s="200"/>
      <c r="L172" s="136"/>
      <c r="M172" s="165"/>
      <c r="Q172" s="136"/>
      <c r="R172" s="136"/>
      <c r="S172" s="136"/>
      <c r="T172" s="136"/>
      <c r="U172" s="136"/>
    </row>
    <row r="173" spans="2:21" s="191" customFormat="1" x14ac:dyDescent="0.3">
      <c r="B173" s="53"/>
      <c r="F173" s="200"/>
      <c r="L173" s="136"/>
      <c r="M173" s="165"/>
      <c r="Q173" s="136"/>
      <c r="R173" s="136"/>
      <c r="S173" s="136"/>
      <c r="T173" s="136"/>
      <c r="U173" s="136"/>
    </row>
    <row r="174" spans="2:21" s="191" customFormat="1" x14ac:dyDescent="0.3">
      <c r="B174" s="53"/>
      <c r="F174" s="200"/>
      <c r="L174" s="136"/>
      <c r="M174" s="165"/>
      <c r="Q174" s="136"/>
      <c r="R174" s="136"/>
      <c r="S174" s="136"/>
      <c r="T174" s="136"/>
      <c r="U174" s="136"/>
    </row>
    <row r="175" spans="2:21" s="191" customFormat="1" x14ac:dyDescent="0.3">
      <c r="B175" s="53"/>
      <c r="F175" s="200"/>
      <c r="L175" s="136"/>
      <c r="M175" s="165"/>
      <c r="Q175" s="136"/>
      <c r="R175" s="136"/>
      <c r="S175" s="136"/>
      <c r="T175" s="136"/>
      <c r="U175" s="136"/>
    </row>
    <row r="176" spans="2:21" s="191" customFormat="1" x14ac:dyDescent="0.3">
      <c r="B176" s="53"/>
      <c r="F176" s="200"/>
      <c r="L176" s="136"/>
      <c r="M176" s="165"/>
      <c r="Q176" s="136"/>
      <c r="R176" s="136"/>
      <c r="S176" s="136"/>
      <c r="T176" s="136"/>
      <c r="U176" s="136"/>
    </row>
    <row r="177" spans="2:21" s="191" customFormat="1" x14ac:dyDescent="0.3">
      <c r="B177" s="53"/>
      <c r="F177" s="200"/>
      <c r="L177" s="136"/>
      <c r="M177" s="165"/>
      <c r="Q177" s="136"/>
      <c r="R177" s="136"/>
      <c r="S177" s="136"/>
      <c r="T177" s="136"/>
      <c r="U177" s="136"/>
    </row>
    <row r="178" spans="2:21" s="191" customFormat="1" x14ac:dyDescent="0.3">
      <c r="B178" s="53"/>
      <c r="F178" s="200"/>
      <c r="L178" s="136"/>
      <c r="M178" s="165"/>
      <c r="Q178" s="136"/>
      <c r="R178" s="136"/>
      <c r="S178" s="136"/>
      <c r="T178" s="136"/>
      <c r="U178" s="136"/>
    </row>
    <row r="179" spans="2:21" s="191" customFormat="1" x14ac:dyDescent="0.3">
      <c r="B179" s="53"/>
      <c r="F179" s="200"/>
      <c r="L179" s="136"/>
      <c r="M179" s="165"/>
      <c r="Q179" s="136"/>
      <c r="R179" s="136"/>
      <c r="S179" s="136"/>
      <c r="T179" s="136"/>
      <c r="U179" s="136"/>
    </row>
    <row r="180" spans="2:21" s="191" customFormat="1" x14ac:dyDescent="0.3">
      <c r="B180" s="53"/>
      <c r="F180" s="200"/>
      <c r="L180" s="136"/>
      <c r="M180" s="165"/>
      <c r="Q180" s="136"/>
      <c r="R180" s="136"/>
      <c r="S180" s="136"/>
      <c r="T180" s="136"/>
      <c r="U180" s="136"/>
    </row>
    <row r="181" spans="2:21" s="191" customFormat="1" x14ac:dyDescent="0.3">
      <c r="B181" s="53"/>
      <c r="F181" s="200"/>
      <c r="L181" s="136"/>
      <c r="M181" s="165"/>
      <c r="Q181" s="136"/>
      <c r="R181" s="136"/>
      <c r="S181" s="136"/>
      <c r="T181" s="136"/>
      <c r="U181" s="136"/>
    </row>
    <row r="182" spans="2:21" s="191" customFormat="1" x14ac:dyDescent="0.3">
      <c r="B182" s="53"/>
      <c r="F182" s="200"/>
      <c r="L182" s="136"/>
      <c r="M182" s="165"/>
      <c r="Q182" s="136"/>
      <c r="R182" s="136"/>
      <c r="S182" s="136"/>
      <c r="T182" s="136"/>
      <c r="U182" s="136"/>
    </row>
    <row r="183" spans="2:21" s="191" customFormat="1" x14ac:dyDescent="0.3">
      <c r="B183" s="53"/>
      <c r="F183" s="200"/>
      <c r="L183" s="136"/>
      <c r="M183" s="165"/>
      <c r="Q183" s="136"/>
      <c r="R183" s="136"/>
      <c r="S183" s="136"/>
      <c r="T183" s="136"/>
      <c r="U183" s="136"/>
    </row>
    <row r="184" spans="2:21" s="191" customFormat="1" x14ac:dyDescent="0.3">
      <c r="B184" s="53"/>
      <c r="F184" s="200"/>
      <c r="L184" s="136"/>
      <c r="M184" s="165"/>
      <c r="Q184" s="136"/>
      <c r="R184" s="136"/>
      <c r="S184" s="136"/>
      <c r="T184" s="136"/>
      <c r="U184" s="136"/>
    </row>
    <row r="185" spans="2:21" s="191" customFormat="1" x14ac:dyDescent="0.3">
      <c r="B185" s="53"/>
      <c r="F185" s="200"/>
      <c r="L185" s="136"/>
      <c r="M185" s="165"/>
      <c r="Q185" s="136"/>
      <c r="R185" s="136"/>
      <c r="S185" s="136"/>
      <c r="T185" s="136"/>
      <c r="U185" s="136"/>
    </row>
    <row r="186" spans="2:21" s="191" customFormat="1" x14ac:dyDescent="0.3">
      <c r="B186" s="53"/>
      <c r="F186" s="200"/>
      <c r="L186" s="136"/>
      <c r="M186" s="165"/>
      <c r="Q186" s="136"/>
      <c r="R186" s="136"/>
      <c r="S186" s="136"/>
      <c r="T186" s="136"/>
      <c r="U186" s="136"/>
    </row>
    <row r="187" spans="2:21" s="191" customFormat="1" x14ac:dyDescent="0.3">
      <c r="B187" s="53"/>
      <c r="F187" s="200"/>
      <c r="L187" s="136"/>
      <c r="M187" s="165"/>
      <c r="Q187" s="136"/>
      <c r="R187" s="136"/>
      <c r="S187" s="136"/>
      <c r="T187" s="136"/>
      <c r="U187" s="136"/>
    </row>
    <row r="188" spans="2:21" s="191" customFormat="1" x14ac:dyDescent="0.3">
      <c r="B188" s="53"/>
      <c r="F188" s="200"/>
      <c r="L188" s="136"/>
      <c r="M188" s="165"/>
      <c r="Q188" s="136"/>
      <c r="R188" s="136"/>
      <c r="S188" s="136"/>
      <c r="T188" s="136"/>
      <c r="U188" s="136"/>
    </row>
    <row r="189" spans="2:21" s="191" customFormat="1" x14ac:dyDescent="0.3">
      <c r="B189" s="53"/>
      <c r="F189" s="200"/>
      <c r="L189" s="136"/>
      <c r="M189" s="165"/>
      <c r="Q189" s="136"/>
      <c r="R189" s="136"/>
      <c r="S189" s="136"/>
      <c r="T189" s="136"/>
      <c r="U189" s="136"/>
    </row>
    <row r="190" spans="2:21" s="191" customFormat="1" x14ac:dyDescent="0.3">
      <c r="B190" s="53"/>
      <c r="F190" s="200"/>
      <c r="L190" s="136"/>
      <c r="M190" s="165"/>
      <c r="Q190" s="136"/>
      <c r="R190" s="136"/>
      <c r="S190" s="136"/>
      <c r="T190" s="136"/>
      <c r="U190" s="136"/>
    </row>
    <row r="191" spans="2:21" s="191" customFormat="1" x14ac:dyDescent="0.3">
      <c r="B191" s="53"/>
      <c r="F191" s="200"/>
      <c r="L191" s="136"/>
      <c r="M191" s="165"/>
      <c r="Q191" s="136"/>
      <c r="R191" s="136"/>
      <c r="S191" s="136"/>
      <c r="T191" s="136"/>
      <c r="U191" s="136"/>
    </row>
    <row r="192" spans="2:21" s="191" customFormat="1" x14ac:dyDescent="0.3">
      <c r="B192" s="53"/>
      <c r="F192" s="200"/>
      <c r="L192" s="136"/>
      <c r="M192" s="165"/>
      <c r="Q192" s="136"/>
      <c r="R192" s="136"/>
      <c r="S192" s="136"/>
      <c r="T192" s="136"/>
      <c r="U192" s="136"/>
    </row>
    <row r="193" spans="2:21" s="191" customFormat="1" x14ac:dyDescent="0.3">
      <c r="B193" s="53"/>
      <c r="F193" s="200"/>
      <c r="L193" s="136"/>
      <c r="M193" s="165"/>
      <c r="Q193" s="136"/>
      <c r="R193" s="136"/>
      <c r="S193" s="136"/>
      <c r="T193" s="136"/>
      <c r="U193" s="136"/>
    </row>
    <row r="194" spans="2:21" s="191" customFormat="1" x14ac:dyDescent="0.3">
      <c r="B194" s="53"/>
      <c r="F194" s="200"/>
      <c r="L194" s="136"/>
      <c r="M194" s="165"/>
      <c r="Q194" s="136"/>
      <c r="R194" s="136"/>
      <c r="S194" s="136"/>
      <c r="T194" s="136"/>
      <c r="U194" s="136"/>
    </row>
    <row r="195" spans="2:21" s="191" customFormat="1" x14ac:dyDescent="0.3">
      <c r="B195" s="53"/>
      <c r="F195" s="200"/>
      <c r="L195" s="136"/>
      <c r="M195" s="165"/>
      <c r="Q195" s="136"/>
      <c r="R195" s="136"/>
      <c r="S195" s="136"/>
      <c r="T195" s="136"/>
      <c r="U195" s="136"/>
    </row>
    <row r="196" spans="2:21" s="191" customFormat="1" x14ac:dyDescent="0.3">
      <c r="B196" s="53"/>
      <c r="F196" s="200"/>
      <c r="L196" s="136"/>
      <c r="M196" s="165"/>
      <c r="Q196" s="136"/>
      <c r="R196" s="136"/>
      <c r="S196" s="136"/>
      <c r="T196" s="136"/>
      <c r="U196" s="136"/>
    </row>
    <row r="197" spans="2:21" s="191" customFormat="1" x14ac:dyDescent="0.3">
      <c r="B197" s="53"/>
      <c r="F197" s="200"/>
      <c r="L197" s="136"/>
      <c r="M197" s="165"/>
      <c r="Q197" s="136"/>
      <c r="R197" s="136"/>
      <c r="S197" s="136"/>
      <c r="T197" s="136"/>
      <c r="U197" s="136"/>
    </row>
    <row r="198" spans="2:21" s="191" customFormat="1" x14ac:dyDescent="0.3">
      <c r="B198" s="53"/>
      <c r="F198" s="200"/>
      <c r="L198" s="136"/>
      <c r="M198" s="165"/>
      <c r="Q198" s="136"/>
      <c r="R198" s="136"/>
      <c r="S198" s="136"/>
      <c r="T198" s="136"/>
      <c r="U198" s="136"/>
    </row>
    <row r="199" spans="2:21" s="191" customFormat="1" x14ac:dyDescent="0.3">
      <c r="B199" s="53"/>
      <c r="F199" s="200"/>
      <c r="L199" s="136"/>
      <c r="M199" s="165"/>
      <c r="Q199" s="136"/>
      <c r="R199" s="136"/>
      <c r="S199" s="136"/>
      <c r="T199" s="136"/>
      <c r="U199" s="136"/>
    </row>
    <row r="200" spans="2:21" s="191" customFormat="1" x14ac:dyDescent="0.3">
      <c r="B200" s="53"/>
      <c r="F200" s="200"/>
      <c r="L200" s="136"/>
      <c r="M200" s="165"/>
      <c r="Q200" s="136"/>
      <c r="R200" s="136"/>
      <c r="S200" s="136"/>
      <c r="T200" s="136"/>
      <c r="U200" s="136"/>
    </row>
    <row r="201" spans="2:21" s="191" customFormat="1" x14ac:dyDescent="0.3">
      <c r="B201" s="53"/>
      <c r="F201" s="200"/>
      <c r="L201" s="136"/>
      <c r="M201" s="165"/>
      <c r="Q201" s="136"/>
      <c r="R201" s="136"/>
      <c r="S201" s="136"/>
      <c r="T201" s="136"/>
      <c r="U201" s="136"/>
    </row>
    <row r="202" spans="2:21" s="191" customFormat="1" x14ac:dyDescent="0.3">
      <c r="B202" s="53"/>
      <c r="F202" s="200"/>
      <c r="L202" s="136"/>
      <c r="M202" s="165"/>
      <c r="Q202" s="136"/>
      <c r="R202" s="136"/>
      <c r="S202" s="136"/>
      <c r="T202" s="136"/>
      <c r="U202" s="136"/>
    </row>
    <row r="203" spans="2:21" s="191" customFormat="1" x14ac:dyDescent="0.3">
      <c r="B203" s="53"/>
      <c r="F203" s="200"/>
      <c r="L203" s="136"/>
      <c r="M203" s="165"/>
      <c r="Q203" s="136"/>
      <c r="R203" s="136"/>
      <c r="S203" s="136"/>
      <c r="T203" s="136"/>
      <c r="U203" s="136"/>
    </row>
    <row r="204" spans="2:21" s="191" customFormat="1" x14ac:dyDescent="0.3">
      <c r="B204" s="53"/>
      <c r="F204" s="200"/>
      <c r="L204" s="136"/>
      <c r="M204" s="165"/>
      <c r="Q204" s="136"/>
      <c r="R204" s="136"/>
      <c r="S204" s="136"/>
      <c r="T204" s="136"/>
      <c r="U204" s="136"/>
    </row>
    <row r="205" spans="2:21" s="191" customFormat="1" x14ac:dyDescent="0.3">
      <c r="B205" s="53"/>
      <c r="F205" s="200"/>
      <c r="L205" s="136"/>
      <c r="M205" s="165"/>
      <c r="Q205" s="136"/>
      <c r="R205" s="136"/>
      <c r="S205" s="136"/>
      <c r="T205" s="136"/>
      <c r="U205" s="136"/>
    </row>
    <row r="206" spans="2:21" s="191" customFormat="1" x14ac:dyDescent="0.3">
      <c r="B206" s="53"/>
      <c r="F206" s="200"/>
      <c r="L206" s="136"/>
      <c r="M206" s="165"/>
      <c r="Q206" s="136"/>
      <c r="R206" s="136"/>
      <c r="S206" s="136"/>
      <c r="T206" s="136"/>
      <c r="U206" s="136"/>
    </row>
    <row r="207" spans="2:21" s="191" customFormat="1" x14ac:dyDescent="0.3">
      <c r="B207" s="53"/>
      <c r="F207" s="200"/>
      <c r="L207" s="136"/>
      <c r="M207" s="165"/>
      <c r="Q207" s="136"/>
      <c r="R207" s="136"/>
      <c r="S207" s="136"/>
      <c r="T207" s="136"/>
      <c r="U207" s="136"/>
    </row>
    <row r="208" spans="2:21" s="191" customFormat="1" x14ac:dyDescent="0.3">
      <c r="B208" s="53"/>
      <c r="F208" s="200"/>
      <c r="L208" s="136"/>
      <c r="M208" s="165"/>
      <c r="Q208" s="136"/>
      <c r="R208" s="136"/>
      <c r="S208" s="136"/>
      <c r="T208" s="136"/>
      <c r="U208" s="136"/>
    </row>
    <row r="209" spans="2:21" s="191" customFormat="1" x14ac:dyDescent="0.3">
      <c r="B209" s="53"/>
      <c r="F209" s="200"/>
      <c r="L209" s="136"/>
      <c r="M209" s="165"/>
      <c r="Q209" s="136"/>
      <c r="R209" s="136"/>
      <c r="S209" s="136"/>
      <c r="T209" s="136"/>
      <c r="U209" s="136"/>
    </row>
    <row r="210" spans="2:21" s="191" customFormat="1" x14ac:dyDescent="0.3">
      <c r="B210" s="53"/>
      <c r="F210" s="200"/>
      <c r="L210" s="136"/>
      <c r="M210" s="165"/>
      <c r="Q210" s="136"/>
      <c r="R210" s="136"/>
      <c r="S210" s="136"/>
      <c r="T210" s="136"/>
      <c r="U210" s="136"/>
    </row>
    <row r="211" spans="2:21" s="191" customFormat="1" x14ac:dyDescent="0.3">
      <c r="B211" s="53"/>
      <c r="F211" s="200"/>
      <c r="L211" s="136"/>
      <c r="M211" s="165"/>
      <c r="Q211" s="136"/>
      <c r="R211" s="136"/>
      <c r="S211" s="136"/>
      <c r="T211" s="136"/>
      <c r="U211" s="136"/>
    </row>
    <row r="212" spans="2:21" s="191" customFormat="1" x14ac:dyDescent="0.3">
      <c r="B212" s="53"/>
      <c r="F212" s="200"/>
      <c r="L212" s="136"/>
      <c r="M212" s="165"/>
      <c r="Q212" s="136"/>
      <c r="R212" s="136"/>
      <c r="S212" s="136"/>
      <c r="T212" s="136"/>
      <c r="U212" s="136"/>
    </row>
    <row r="213" spans="2:21" s="191" customFormat="1" x14ac:dyDescent="0.3">
      <c r="B213" s="53"/>
      <c r="F213" s="200"/>
      <c r="L213" s="136"/>
      <c r="M213" s="165"/>
      <c r="Q213" s="136"/>
      <c r="R213" s="136"/>
      <c r="S213" s="136"/>
      <c r="T213" s="136"/>
      <c r="U213" s="136"/>
    </row>
    <row r="214" spans="2:21" s="191" customFormat="1" x14ac:dyDescent="0.3">
      <c r="B214" s="53"/>
      <c r="F214" s="200"/>
      <c r="L214" s="136"/>
      <c r="M214" s="165"/>
      <c r="Q214" s="136"/>
      <c r="R214" s="136"/>
      <c r="S214" s="136"/>
      <c r="T214" s="136"/>
      <c r="U214" s="136"/>
    </row>
    <row r="215" spans="2:21" s="191" customFormat="1" x14ac:dyDescent="0.3">
      <c r="B215" s="53"/>
      <c r="F215" s="200"/>
      <c r="L215" s="136"/>
      <c r="M215" s="165"/>
      <c r="Q215" s="136"/>
      <c r="R215" s="136"/>
      <c r="S215" s="136"/>
      <c r="T215" s="136"/>
      <c r="U215" s="136"/>
    </row>
    <row r="216" spans="2:21" s="191" customFormat="1" x14ac:dyDescent="0.3">
      <c r="B216" s="53"/>
      <c r="F216" s="200"/>
      <c r="L216" s="136"/>
      <c r="M216" s="165"/>
      <c r="Q216" s="136"/>
      <c r="R216" s="136"/>
      <c r="S216" s="136"/>
      <c r="T216" s="136"/>
      <c r="U216" s="136"/>
    </row>
    <row r="217" spans="2:21" s="191" customFormat="1" x14ac:dyDescent="0.3">
      <c r="B217" s="53"/>
      <c r="F217" s="200"/>
      <c r="L217" s="136"/>
      <c r="M217" s="165"/>
      <c r="Q217" s="136"/>
      <c r="R217" s="136"/>
      <c r="S217" s="136"/>
      <c r="T217" s="136"/>
      <c r="U217" s="136"/>
    </row>
    <row r="218" spans="2:21" s="191" customFormat="1" x14ac:dyDescent="0.3">
      <c r="B218" s="53"/>
      <c r="F218" s="200"/>
      <c r="L218" s="136"/>
      <c r="M218" s="165"/>
      <c r="Q218" s="136"/>
      <c r="R218" s="136"/>
      <c r="S218" s="136"/>
      <c r="T218" s="136"/>
      <c r="U218" s="136"/>
    </row>
    <row r="219" spans="2:21" s="191" customFormat="1" x14ac:dyDescent="0.3">
      <c r="B219" s="53"/>
      <c r="F219" s="200"/>
      <c r="L219" s="136"/>
      <c r="M219" s="165"/>
      <c r="Q219" s="136"/>
      <c r="R219" s="136"/>
      <c r="S219" s="136"/>
      <c r="T219" s="136"/>
      <c r="U219" s="136"/>
    </row>
    <row r="220" spans="2:21" s="191" customFormat="1" x14ac:dyDescent="0.3">
      <c r="B220" s="53"/>
      <c r="F220" s="200"/>
      <c r="L220" s="136"/>
      <c r="M220" s="165"/>
      <c r="Q220" s="136"/>
      <c r="R220" s="136"/>
      <c r="S220" s="136"/>
      <c r="T220" s="136"/>
      <c r="U220" s="136"/>
    </row>
    <row r="221" spans="2:21" s="191" customFormat="1" x14ac:dyDescent="0.3">
      <c r="B221" s="53"/>
      <c r="F221" s="200"/>
      <c r="L221" s="136"/>
      <c r="M221" s="165"/>
      <c r="Q221" s="136"/>
      <c r="R221" s="136"/>
      <c r="S221" s="136"/>
      <c r="T221" s="136"/>
      <c r="U221" s="136"/>
    </row>
    <row r="222" spans="2:21" s="191" customFormat="1" x14ac:dyDescent="0.3">
      <c r="B222" s="53"/>
      <c r="F222" s="200"/>
      <c r="L222" s="136"/>
      <c r="M222" s="165"/>
      <c r="Q222" s="136"/>
      <c r="R222" s="136"/>
      <c r="S222" s="136"/>
      <c r="T222" s="136"/>
      <c r="U222" s="136"/>
    </row>
    <row r="223" spans="2:21" s="191" customFormat="1" x14ac:dyDescent="0.3">
      <c r="B223" s="53"/>
      <c r="F223" s="200"/>
      <c r="L223" s="136"/>
      <c r="M223" s="165"/>
      <c r="Q223" s="136"/>
      <c r="R223" s="136"/>
      <c r="S223" s="136"/>
      <c r="T223" s="136"/>
      <c r="U223" s="136"/>
    </row>
    <row r="224" spans="2:21" s="191" customFormat="1" x14ac:dyDescent="0.3">
      <c r="B224" s="53"/>
      <c r="F224" s="200"/>
      <c r="L224" s="136"/>
      <c r="M224" s="165"/>
      <c r="Q224" s="136"/>
      <c r="R224" s="136"/>
      <c r="S224" s="136"/>
      <c r="T224" s="136"/>
      <c r="U224" s="136"/>
    </row>
    <row r="225" spans="2:21" s="191" customFormat="1" x14ac:dyDescent="0.3">
      <c r="B225" s="53"/>
      <c r="F225" s="200"/>
      <c r="L225" s="136"/>
      <c r="M225" s="165"/>
      <c r="Q225" s="136"/>
      <c r="R225" s="136"/>
      <c r="S225" s="136"/>
      <c r="T225" s="136"/>
      <c r="U225" s="136"/>
    </row>
    <row r="226" spans="2:21" s="191" customFormat="1" x14ac:dyDescent="0.3">
      <c r="B226" s="53"/>
      <c r="F226" s="200"/>
      <c r="L226" s="136"/>
      <c r="M226" s="165"/>
      <c r="Q226" s="136"/>
      <c r="R226" s="136"/>
      <c r="S226" s="136"/>
      <c r="T226" s="136"/>
      <c r="U226" s="136"/>
    </row>
    <row r="227" spans="2:21" s="191" customFormat="1" x14ac:dyDescent="0.3">
      <c r="B227" s="53"/>
      <c r="F227" s="200"/>
      <c r="L227" s="136"/>
      <c r="M227" s="165"/>
      <c r="Q227" s="136"/>
      <c r="R227" s="136"/>
      <c r="S227" s="136"/>
      <c r="T227" s="136"/>
      <c r="U227" s="136"/>
    </row>
    <row r="228" spans="2:21" s="191" customFormat="1" x14ac:dyDescent="0.3">
      <c r="B228" s="53"/>
      <c r="F228" s="200"/>
      <c r="L228" s="136"/>
      <c r="M228" s="165"/>
      <c r="Q228" s="136"/>
      <c r="R228" s="136"/>
      <c r="S228" s="136"/>
      <c r="T228" s="136"/>
      <c r="U228" s="136"/>
    </row>
    <row r="229" spans="2:21" s="191" customFormat="1" x14ac:dyDescent="0.3">
      <c r="B229" s="53"/>
      <c r="F229" s="200"/>
      <c r="L229" s="136"/>
      <c r="M229" s="165"/>
      <c r="Q229" s="136"/>
      <c r="R229" s="136"/>
      <c r="S229" s="136"/>
      <c r="T229" s="136"/>
      <c r="U229" s="136"/>
    </row>
    <row r="230" spans="2:21" s="191" customFormat="1" x14ac:dyDescent="0.3">
      <c r="B230" s="53"/>
      <c r="F230" s="200"/>
      <c r="L230" s="136"/>
      <c r="M230" s="165"/>
      <c r="Q230" s="136"/>
      <c r="R230" s="136"/>
      <c r="S230" s="136"/>
      <c r="T230" s="136"/>
      <c r="U230" s="136"/>
    </row>
    <row r="231" spans="2:21" s="191" customFormat="1" x14ac:dyDescent="0.3">
      <c r="B231" s="53"/>
      <c r="F231" s="200"/>
      <c r="L231" s="136"/>
      <c r="M231" s="165"/>
      <c r="Q231" s="136"/>
      <c r="R231" s="136"/>
      <c r="S231" s="136"/>
      <c r="T231" s="136"/>
      <c r="U231" s="136"/>
    </row>
    <row r="232" spans="2:21" s="191" customFormat="1" x14ac:dyDescent="0.3">
      <c r="B232" s="53"/>
      <c r="F232" s="200"/>
      <c r="L232" s="136"/>
      <c r="M232" s="165"/>
      <c r="Q232" s="136"/>
      <c r="R232" s="136"/>
      <c r="S232" s="136"/>
      <c r="T232" s="136"/>
      <c r="U232" s="136"/>
    </row>
    <row r="233" spans="2:21" s="191" customFormat="1" x14ac:dyDescent="0.3">
      <c r="B233" s="53"/>
      <c r="F233" s="200"/>
      <c r="L233" s="136"/>
      <c r="M233" s="165"/>
      <c r="Q233" s="136"/>
      <c r="R233" s="136"/>
      <c r="S233" s="136"/>
      <c r="T233" s="136"/>
      <c r="U233" s="136"/>
    </row>
    <row r="234" spans="2:21" s="191" customFormat="1" x14ac:dyDescent="0.3">
      <c r="B234" s="53"/>
      <c r="F234" s="200"/>
      <c r="L234" s="136"/>
      <c r="M234" s="165"/>
      <c r="Q234" s="136"/>
      <c r="R234" s="136"/>
      <c r="S234" s="136"/>
      <c r="T234" s="136"/>
      <c r="U234" s="136"/>
    </row>
    <row r="235" spans="2:21" s="191" customFormat="1" x14ac:dyDescent="0.3">
      <c r="B235" s="53"/>
      <c r="F235" s="200"/>
      <c r="L235" s="136"/>
      <c r="M235" s="165"/>
      <c r="Q235" s="136"/>
      <c r="R235" s="136"/>
      <c r="S235" s="136"/>
      <c r="T235" s="136"/>
      <c r="U235" s="136"/>
    </row>
    <row r="236" spans="2:21" s="191" customFormat="1" x14ac:dyDescent="0.3">
      <c r="B236" s="53"/>
      <c r="F236" s="200"/>
      <c r="L236" s="136"/>
      <c r="M236" s="165"/>
      <c r="Q236" s="136"/>
      <c r="R236" s="136"/>
      <c r="S236" s="136"/>
      <c r="T236" s="136"/>
      <c r="U236" s="136"/>
    </row>
    <row r="237" spans="2:21" s="191" customFormat="1" x14ac:dyDescent="0.3">
      <c r="B237" s="53"/>
      <c r="F237" s="200"/>
      <c r="L237" s="136"/>
      <c r="M237" s="165"/>
      <c r="Q237" s="136"/>
      <c r="R237" s="136"/>
      <c r="S237" s="136"/>
      <c r="T237" s="136"/>
      <c r="U237" s="136"/>
    </row>
    <row r="238" spans="2:21" s="191" customFormat="1" x14ac:dyDescent="0.3">
      <c r="B238" s="53"/>
      <c r="F238" s="200"/>
      <c r="L238" s="136"/>
      <c r="M238" s="165"/>
      <c r="Q238" s="136"/>
      <c r="R238" s="136"/>
      <c r="S238" s="136"/>
      <c r="T238" s="136"/>
      <c r="U238" s="136"/>
    </row>
    <row r="239" spans="2:21" s="191" customFormat="1" x14ac:dyDescent="0.3">
      <c r="B239" s="53"/>
      <c r="F239" s="200"/>
      <c r="L239" s="136"/>
      <c r="M239" s="165"/>
      <c r="Q239" s="136"/>
      <c r="R239" s="136"/>
      <c r="S239" s="136"/>
      <c r="T239" s="136"/>
      <c r="U239" s="136"/>
    </row>
    <row r="240" spans="2:21" s="191" customFormat="1" x14ac:dyDescent="0.3">
      <c r="B240" s="53"/>
      <c r="F240" s="200"/>
      <c r="L240" s="136"/>
      <c r="M240" s="165"/>
      <c r="Q240" s="136"/>
      <c r="R240" s="136"/>
      <c r="S240" s="136"/>
      <c r="T240" s="136"/>
      <c r="U240" s="136"/>
    </row>
    <row r="241" spans="2:21" s="191" customFormat="1" x14ac:dyDescent="0.3">
      <c r="B241" s="53"/>
      <c r="F241" s="200"/>
      <c r="L241" s="136"/>
      <c r="M241" s="165"/>
      <c r="Q241" s="136"/>
      <c r="R241" s="136"/>
      <c r="S241" s="136"/>
      <c r="T241" s="136"/>
      <c r="U241" s="136"/>
    </row>
    <row r="242" spans="2:21" s="191" customFormat="1" x14ac:dyDescent="0.3">
      <c r="B242" s="53"/>
      <c r="F242" s="200"/>
      <c r="L242" s="136"/>
      <c r="M242" s="165"/>
      <c r="Q242" s="136"/>
      <c r="R242" s="136"/>
      <c r="S242" s="136"/>
      <c r="T242" s="136"/>
      <c r="U242" s="136"/>
    </row>
    <row r="243" spans="2:21" s="191" customFormat="1" x14ac:dyDescent="0.3">
      <c r="B243" s="53"/>
      <c r="F243" s="200"/>
      <c r="L243" s="136"/>
      <c r="M243" s="165"/>
      <c r="Q243" s="136"/>
      <c r="R243" s="136"/>
      <c r="S243" s="136"/>
      <c r="T243" s="136"/>
      <c r="U243" s="136"/>
    </row>
    <row r="244" spans="2:21" s="191" customFormat="1" x14ac:dyDescent="0.3">
      <c r="B244" s="53"/>
      <c r="F244" s="200"/>
      <c r="L244" s="136"/>
      <c r="M244" s="165"/>
      <c r="Q244" s="136"/>
      <c r="R244" s="136"/>
      <c r="S244" s="136"/>
      <c r="T244" s="136"/>
      <c r="U244" s="136"/>
    </row>
    <row r="245" spans="2:21" s="191" customFormat="1" x14ac:dyDescent="0.3">
      <c r="B245" s="53"/>
      <c r="F245" s="200"/>
      <c r="L245" s="136"/>
      <c r="M245" s="165"/>
      <c r="Q245" s="136"/>
      <c r="R245" s="136"/>
      <c r="S245" s="136"/>
      <c r="T245" s="136"/>
      <c r="U245" s="136"/>
    </row>
    <row r="246" spans="2:21" s="191" customFormat="1" x14ac:dyDescent="0.3">
      <c r="B246" s="53"/>
      <c r="F246" s="200"/>
      <c r="L246" s="136"/>
      <c r="M246" s="165"/>
      <c r="Q246" s="136"/>
      <c r="R246" s="136"/>
      <c r="S246" s="136"/>
      <c r="T246" s="136"/>
      <c r="U246" s="136"/>
    </row>
    <row r="247" spans="2:21" s="191" customFormat="1" x14ac:dyDescent="0.3">
      <c r="B247" s="53"/>
      <c r="F247" s="200"/>
      <c r="L247" s="136"/>
      <c r="M247" s="165"/>
      <c r="Q247" s="136"/>
      <c r="R247" s="136"/>
      <c r="S247" s="136"/>
      <c r="T247" s="136"/>
      <c r="U247" s="136"/>
    </row>
    <row r="248" spans="2:21" s="191" customFormat="1" x14ac:dyDescent="0.3">
      <c r="B248" s="53"/>
      <c r="F248" s="200"/>
      <c r="L248" s="136"/>
      <c r="M248" s="165"/>
      <c r="Q248" s="136"/>
      <c r="R248" s="136"/>
      <c r="S248" s="136"/>
      <c r="T248" s="136"/>
      <c r="U248" s="136"/>
    </row>
    <row r="249" spans="2:21" s="191" customFormat="1" x14ac:dyDescent="0.3">
      <c r="B249" s="53"/>
      <c r="F249" s="200"/>
      <c r="L249" s="136"/>
      <c r="M249" s="165"/>
      <c r="Q249" s="136"/>
      <c r="R249" s="136"/>
      <c r="S249" s="136"/>
      <c r="T249" s="136"/>
      <c r="U249" s="136"/>
    </row>
    <row r="250" spans="2:21" s="191" customFormat="1" x14ac:dyDescent="0.3">
      <c r="B250" s="53"/>
      <c r="F250" s="200"/>
      <c r="L250" s="136"/>
      <c r="M250" s="165"/>
      <c r="Q250" s="136"/>
      <c r="R250" s="136"/>
      <c r="S250" s="136"/>
      <c r="T250" s="136"/>
      <c r="U250" s="136"/>
    </row>
    <row r="251" spans="2:21" s="191" customFormat="1" x14ac:dyDescent="0.3">
      <c r="B251" s="53"/>
      <c r="F251" s="200"/>
      <c r="L251" s="136"/>
      <c r="M251" s="165"/>
      <c r="Q251" s="136"/>
      <c r="R251" s="136"/>
      <c r="S251" s="136"/>
      <c r="T251" s="136"/>
      <c r="U251" s="136"/>
    </row>
    <row r="252" spans="2:21" s="191" customFormat="1" x14ac:dyDescent="0.3">
      <c r="B252" s="53"/>
      <c r="F252" s="200"/>
      <c r="L252" s="136"/>
      <c r="M252" s="165"/>
      <c r="Q252" s="136"/>
      <c r="R252" s="136"/>
      <c r="S252" s="136"/>
      <c r="T252" s="136"/>
      <c r="U252" s="136"/>
    </row>
    <row r="253" spans="2:21" s="191" customFormat="1" x14ac:dyDescent="0.3">
      <c r="B253" s="53"/>
      <c r="F253" s="200"/>
      <c r="L253" s="136"/>
      <c r="M253" s="165"/>
      <c r="Q253" s="136"/>
      <c r="R253" s="136"/>
      <c r="S253" s="136"/>
      <c r="T253" s="136"/>
      <c r="U253" s="136"/>
    </row>
    <row r="254" spans="2:21" s="191" customFormat="1" x14ac:dyDescent="0.3">
      <c r="B254" s="53"/>
      <c r="F254" s="200"/>
      <c r="L254" s="136"/>
      <c r="M254" s="165"/>
      <c r="Q254" s="136"/>
      <c r="R254" s="136"/>
      <c r="S254" s="136"/>
      <c r="T254" s="136"/>
      <c r="U254" s="136"/>
    </row>
    <row r="255" spans="2:21" s="191" customFormat="1" x14ac:dyDescent="0.3">
      <c r="B255" s="53"/>
      <c r="F255" s="200"/>
      <c r="L255" s="136"/>
      <c r="M255" s="165"/>
      <c r="Q255" s="136"/>
      <c r="R255" s="136"/>
      <c r="S255" s="136"/>
      <c r="T255" s="136"/>
      <c r="U255" s="136"/>
    </row>
    <row r="256" spans="2:21" s="191" customFormat="1" x14ac:dyDescent="0.3">
      <c r="B256" s="53"/>
      <c r="F256" s="200"/>
      <c r="L256" s="136"/>
      <c r="M256" s="165"/>
      <c r="Q256" s="136"/>
      <c r="R256" s="136"/>
      <c r="S256" s="136"/>
      <c r="T256" s="136"/>
      <c r="U256" s="136"/>
    </row>
    <row r="257" spans="2:21" s="191" customFormat="1" x14ac:dyDescent="0.3">
      <c r="B257" s="53"/>
      <c r="F257" s="200"/>
      <c r="L257" s="136"/>
      <c r="M257" s="165"/>
      <c r="Q257" s="136"/>
      <c r="R257" s="136"/>
      <c r="S257" s="136"/>
      <c r="T257" s="136"/>
      <c r="U257" s="136"/>
    </row>
    <row r="258" spans="2:21" s="191" customFormat="1" x14ac:dyDescent="0.3">
      <c r="B258" s="53"/>
      <c r="F258" s="200"/>
      <c r="L258" s="136"/>
      <c r="M258" s="165"/>
      <c r="Q258" s="136"/>
      <c r="R258" s="136"/>
      <c r="S258" s="136"/>
      <c r="T258" s="136"/>
      <c r="U258" s="136"/>
    </row>
    <row r="259" spans="2:21" s="191" customFormat="1" x14ac:dyDescent="0.3">
      <c r="B259" s="53"/>
      <c r="F259" s="200"/>
      <c r="L259" s="136"/>
      <c r="M259" s="165"/>
      <c r="Q259" s="136"/>
      <c r="R259" s="136"/>
      <c r="S259" s="136"/>
      <c r="T259" s="136"/>
      <c r="U259" s="136"/>
    </row>
    <row r="260" spans="2:21" s="191" customFormat="1" x14ac:dyDescent="0.3">
      <c r="B260" s="53"/>
      <c r="F260" s="200"/>
      <c r="L260" s="136"/>
      <c r="M260" s="165"/>
      <c r="Q260" s="136"/>
      <c r="R260" s="136"/>
      <c r="S260" s="136"/>
      <c r="T260" s="136"/>
      <c r="U260" s="136"/>
    </row>
    <row r="261" spans="2:21" s="191" customFormat="1" x14ac:dyDescent="0.3">
      <c r="B261" s="53"/>
      <c r="F261" s="200"/>
      <c r="L261" s="136"/>
      <c r="M261" s="165"/>
      <c r="Q261" s="136"/>
      <c r="R261" s="136"/>
      <c r="S261" s="136"/>
      <c r="T261" s="136"/>
      <c r="U261" s="136"/>
    </row>
    <row r="262" spans="2:21" s="191" customFormat="1" x14ac:dyDescent="0.3">
      <c r="B262" s="53"/>
      <c r="F262" s="200"/>
      <c r="L262" s="136"/>
      <c r="M262" s="165"/>
      <c r="Q262" s="136"/>
      <c r="R262" s="136"/>
      <c r="S262" s="136"/>
      <c r="T262" s="136"/>
      <c r="U262" s="136"/>
    </row>
    <row r="263" spans="2:21" s="191" customFormat="1" x14ac:dyDescent="0.3">
      <c r="B263" s="53"/>
      <c r="F263" s="200"/>
      <c r="L263" s="136"/>
      <c r="M263" s="165"/>
      <c r="Q263" s="136"/>
      <c r="R263" s="136"/>
      <c r="S263" s="136"/>
      <c r="T263" s="136"/>
      <c r="U263" s="136"/>
    </row>
    <row r="264" spans="2:21" s="191" customFormat="1" x14ac:dyDescent="0.3">
      <c r="B264" s="53"/>
      <c r="F264" s="200"/>
      <c r="L264" s="136"/>
      <c r="M264" s="165"/>
      <c r="Q264" s="136"/>
      <c r="R264" s="136"/>
      <c r="S264" s="136"/>
      <c r="T264" s="136"/>
      <c r="U264" s="136"/>
    </row>
    <row r="265" spans="2:21" s="191" customFormat="1" x14ac:dyDescent="0.3">
      <c r="B265" s="53"/>
      <c r="F265" s="200"/>
      <c r="L265" s="136"/>
      <c r="M265" s="165"/>
      <c r="Q265" s="136"/>
      <c r="R265" s="136"/>
      <c r="S265" s="136"/>
      <c r="T265" s="136"/>
      <c r="U265" s="136"/>
    </row>
    <row r="266" spans="2:21" s="191" customFormat="1" x14ac:dyDescent="0.3">
      <c r="B266" s="53"/>
      <c r="F266" s="200"/>
      <c r="L266" s="136"/>
      <c r="M266" s="165"/>
      <c r="Q266" s="136"/>
      <c r="R266" s="136"/>
      <c r="S266" s="136"/>
      <c r="T266" s="136"/>
      <c r="U266" s="136"/>
    </row>
    <row r="267" spans="2:21" s="191" customFormat="1" x14ac:dyDescent="0.3">
      <c r="B267" s="53"/>
      <c r="F267" s="200"/>
      <c r="L267" s="136"/>
      <c r="M267" s="165"/>
      <c r="Q267" s="136"/>
      <c r="R267" s="136"/>
      <c r="S267" s="136"/>
      <c r="T267" s="136"/>
      <c r="U267" s="136"/>
    </row>
    <row r="268" spans="2:21" s="191" customFormat="1" x14ac:dyDescent="0.3">
      <c r="B268" s="53"/>
      <c r="F268" s="200"/>
      <c r="L268" s="136"/>
      <c r="M268" s="165"/>
      <c r="Q268" s="136"/>
      <c r="R268" s="136"/>
      <c r="S268" s="136"/>
      <c r="T268" s="136"/>
      <c r="U268" s="136"/>
    </row>
    <row r="269" spans="2:21" s="191" customFormat="1" x14ac:dyDescent="0.3">
      <c r="B269" s="53"/>
      <c r="F269" s="200"/>
      <c r="L269" s="136"/>
      <c r="M269" s="165"/>
      <c r="Q269" s="136"/>
      <c r="R269" s="136"/>
      <c r="S269" s="136"/>
      <c r="T269" s="136"/>
      <c r="U269" s="136"/>
    </row>
    <row r="270" spans="2:21" s="191" customFormat="1" x14ac:dyDescent="0.3">
      <c r="B270" s="53"/>
      <c r="F270" s="200"/>
      <c r="L270" s="136"/>
      <c r="M270" s="165"/>
      <c r="Q270" s="136"/>
      <c r="R270" s="136"/>
      <c r="S270" s="136"/>
      <c r="T270" s="136"/>
      <c r="U270" s="136"/>
    </row>
    <row r="271" spans="2:21" s="191" customFormat="1" x14ac:dyDescent="0.3">
      <c r="B271" s="53"/>
      <c r="F271" s="200"/>
      <c r="L271" s="136"/>
      <c r="M271" s="165"/>
      <c r="Q271" s="136"/>
      <c r="R271" s="136"/>
      <c r="S271" s="136"/>
      <c r="T271" s="136"/>
      <c r="U271" s="136"/>
    </row>
    <row r="272" spans="2:21" s="191" customFormat="1" x14ac:dyDescent="0.3">
      <c r="B272" s="53"/>
      <c r="F272" s="200"/>
      <c r="L272" s="136"/>
      <c r="M272" s="165"/>
      <c r="Q272" s="136"/>
      <c r="R272" s="136"/>
      <c r="S272" s="136"/>
      <c r="T272" s="136"/>
      <c r="U272" s="136"/>
    </row>
    <row r="273" spans="2:21" s="191" customFormat="1" x14ac:dyDescent="0.3">
      <c r="B273" s="53"/>
      <c r="F273" s="200"/>
      <c r="L273" s="136"/>
      <c r="M273" s="165"/>
      <c r="Q273" s="136"/>
      <c r="R273" s="136"/>
      <c r="S273" s="136"/>
      <c r="T273" s="136"/>
      <c r="U273" s="136"/>
    </row>
    <row r="274" spans="2:21" s="191" customFormat="1" x14ac:dyDescent="0.3">
      <c r="B274" s="53"/>
      <c r="F274" s="200"/>
      <c r="L274" s="136"/>
      <c r="M274" s="165"/>
      <c r="Q274" s="136"/>
      <c r="R274" s="136"/>
      <c r="S274" s="136"/>
      <c r="T274" s="136"/>
      <c r="U274" s="136"/>
    </row>
    <row r="275" spans="2:21" s="191" customFormat="1" x14ac:dyDescent="0.3">
      <c r="B275" s="53"/>
      <c r="F275" s="200"/>
      <c r="L275" s="136"/>
      <c r="M275" s="165"/>
      <c r="Q275" s="136"/>
      <c r="R275" s="136"/>
      <c r="S275" s="136"/>
      <c r="T275" s="136"/>
      <c r="U275" s="136"/>
    </row>
    <row r="276" spans="2:21" s="191" customFormat="1" x14ac:dyDescent="0.3">
      <c r="B276" s="53"/>
      <c r="F276" s="200"/>
      <c r="L276" s="136"/>
      <c r="M276" s="165"/>
      <c r="Q276" s="136"/>
      <c r="R276" s="136"/>
      <c r="S276" s="136"/>
      <c r="T276" s="136"/>
      <c r="U276" s="136"/>
    </row>
    <row r="277" spans="2:21" s="191" customFormat="1" x14ac:dyDescent="0.3">
      <c r="B277" s="53"/>
      <c r="F277" s="200"/>
      <c r="L277" s="136"/>
      <c r="M277" s="165"/>
      <c r="Q277" s="136"/>
      <c r="R277" s="136"/>
      <c r="S277" s="136"/>
      <c r="T277" s="136"/>
      <c r="U277" s="136"/>
    </row>
    <row r="278" spans="2:21" s="191" customFormat="1" x14ac:dyDescent="0.3">
      <c r="B278" s="53"/>
      <c r="F278" s="200"/>
      <c r="L278" s="136"/>
      <c r="M278" s="165"/>
      <c r="Q278" s="136"/>
      <c r="R278" s="136"/>
      <c r="S278" s="136"/>
      <c r="T278" s="136"/>
      <c r="U278" s="136"/>
    </row>
    <row r="279" spans="2:21" s="191" customFormat="1" x14ac:dyDescent="0.3">
      <c r="B279" s="53"/>
      <c r="F279" s="200"/>
      <c r="L279" s="136"/>
      <c r="M279" s="165"/>
      <c r="Q279" s="136"/>
      <c r="R279" s="136"/>
      <c r="S279" s="136"/>
      <c r="T279" s="136"/>
      <c r="U279" s="136"/>
    </row>
    <row r="280" spans="2:21" s="191" customFormat="1" x14ac:dyDescent="0.3">
      <c r="B280" s="53"/>
      <c r="F280" s="200"/>
      <c r="L280" s="136"/>
      <c r="M280" s="165"/>
      <c r="Q280" s="136"/>
      <c r="R280" s="136"/>
      <c r="S280" s="136"/>
      <c r="T280" s="136"/>
      <c r="U280" s="136"/>
    </row>
    <row r="281" spans="2:21" s="191" customFormat="1" x14ac:dyDescent="0.3">
      <c r="B281" s="53"/>
      <c r="F281" s="200"/>
      <c r="L281" s="136"/>
      <c r="M281" s="165"/>
      <c r="Q281" s="136"/>
      <c r="R281" s="136"/>
      <c r="S281" s="136"/>
      <c r="T281" s="136"/>
      <c r="U281" s="136"/>
    </row>
    <row r="282" spans="2:21" s="191" customFormat="1" x14ac:dyDescent="0.3">
      <c r="B282" s="53"/>
      <c r="F282" s="200"/>
      <c r="L282" s="136"/>
      <c r="M282" s="165"/>
      <c r="Q282" s="136"/>
      <c r="R282" s="136"/>
      <c r="S282" s="136"/>
      <c r="T282" s="136"/>
      <c r="U282" s="136"/>
    </row>
    <row r="283" spans="2:21" s="191" customFormat="1" x14ac:dyDescent="0.3">
      <c r="B283" s="53"/>
      <c r="F283" s="200"/>
      <c r="L283" s="136"/>
      <c r="M283" s="165"/>
      <c r="Q283" s="136"/>
      <c r="R283" s="136"/>
      <c r="S283" s="136"/>
      <c r="T283" s="136"/>
      <c r="U283" s="136"/>
    </row>
    <row r="284" spans="2:21" s="191" customFormat="1" x14ac:dyDescent="0.3">
      <c r="B284" s="53"/>
      <c r="F284" s="200"/>
      <c r="L284" s="136"/>
      <c r="M284" s="165"/>
      <c r="Q284" s="136"/>
      <c r="R284" s="136"/>
      <c r="S284" s="136"/>
      <c r="T284" s="136"/>
      <c r="U284" s="136"/>
    </row>
    <row r="285" spans="2:21" s="191" customFormat="1" x14ac:dyDescent="0.3">
      <c r="B285" s="53"/>
      <c r="F285" s="200"/>
      <c r="L285" s="136"/>
      <c r="M285" s="165"/>
      <c r="Q285" s="136"/>
      <c r="R285" s="136"/>
      <c r="S285" s="136"/>
      <c r="T285" s="136"/>
      <c r="U285" s="136"/>
    </row>
    <row r="286" spans="2:21" s="191" customFormat="1" x14ac:dyDescent="0.3">
      <c r="B286" s="53"/>
      <c r="F286" s="200"/>
      <c r="L286" s="136"/>
      <c r="M286" s="165"/>
      <c r="Q286" s="136"/>
      <c r="R286" s="136"/>
      <c r="S286" s="136"/>
      <c r="T286" s="136"/>
      <c r="U286" s="136"/>
    </row>
    <row r="287" spans="2:21" s="191" customFormat="1" x14ac:dyDescent="0.3">
      <c r="B287" s="53"/>
      <c r="F287" s="200"/>
      <c r="L287" s="136"/>
      <c r="M287" s="165"/>
      <c r="Q287" s="136"/>
      <c r="R287" s="136"/>
      <c r="S287" s="136"/>
      <c r="T287" s="136"/>
      <c r="U287" s="136"/>
    </row>
    <row r="288" spans="2:21" s="191" customFormat="1" x14ac:dyDescent="0.3">
      <c r="B288" s="53"/>
      <c r="F288" s="200"/>
      <c r="L288" s="136"/>
      <c r="M288" s="165"/>
      <c r="Q288" s="136"/>
      <c r="R288" s="136"/>
      <c r="S288" s="136"/>
      <c r="T288" s="136"/>
      <c r="U288" s="136"/>
    </row>
    <row r="289" spans="2:21" s="191" customFormat="1" x14ac:dyDescent="0.3">
      <c r="B289" s="53"/>
      <c r="F289" s="200"/>
      <c r="L289" s="136"/>
      <c r="M289" s="165"/>
      <c r="Q289" s="136"/>
      <c r="R289" s="136"/>
      <c r="S289" s="136"/>
      <c r="T289" s="136"/>
      <c r="U289" s="136"/>
    </row>
    <row r="290" spans="2:21" s="191" customFormat="1" x14ac:dyDescent="0.3">
      <c r="B290" s="53"/>
      <c r="F290" s="200"/>
      <c r="L290" s="136"/>
      <c r="M290" s="165"/>
      <c r="Q290" s="136"/>
      <c r="R290" s="136"/>
      <c r="S290" s="136"/>
      <c r="T290" s="136"/>
      <c r="U290" s="136"/>
    </row>
    <row r="291" spans="2:21" s="191" customFormat="1" x14ac:dyDescent="0.3">
      <c r="B291" s="53"/>
      <c r="F291" s="200"/>
      <c r="L291" s="136"/>
      <c r="M291" s="165"/>
      <c r="Q291" s="136"/>
      <c r="R291" s="136"/>
      <c r="S291" s="136"/>
      <c r="T291" s="136"/>
      <c r="U291" s="136"/>
    </row>
    <row r="292" spans="2:21" s="191" customFormat="1" x14ac:dyDescent="0.3">
      <c r="B292" s="53"/>
      <c r="F292" s="200"/>
      <c r="L292" s="136"/>
      <c r="M292" s="165"/>
      <c r="Q292" s="136"/>
      <c r="R292" s="136"/>
      <c r="S292" s="136"/>
      <c r="T292" s="136"/>
      <c r="U292" s="136"/>
    </row>
    <row r="293" spans="2:21" s="191" customFormat="1" x14ac:dyDescent="0.3">
      <c r="B293" s="53"/>
      <c r="F293" s="200"/>
      <c r="L293" s="136"/>
      <c r="M293" s="165"/>
      <c r="Q293" s="136"/>
      <c r="R293" s="136"/>
      <c r="S293" s="136"/>
      <c r="T293" s="136"/>
      <c r="U293" s="136"/>
    </row>
    <row r="294" spans="2:21" s="191" customFormat="1" x14ac:dyDescent="0.3">
      <c r="B294" s="53"/>
      <c r="F294" s="200"/>
      <c r="L294" s="136"/>
      <c r="M294" s="165"/>
      <c r="Q294" s="136"/>
      <c r="R294" s="136"/>
      <c r="S294" s="136"/>
      <c r="T294" s="136"/>
      <c r="U294" s="136"/>
    </row>
    <row r="295" spans="2:21" s="191" customFormat="1" x14ac:dyDescent="0.3">
      <c r="B295" s="53"/>
      <c r="F295" s="200"/>
      <c r="L295" s="136"/>
      <c r="M295" s="165"/>
      <c r="Q295" s="136"/>
      <c r="R295" s="136"/>
      <c r="S295" s="136"/>
      <c r="T295" s="136"/>
      <c r="U295" s="136"/>
    </row>
    <row r="296" spans="2:21" s="191" customFormat="1" x14ac:dyDescent="0.3">
      <c r="B296" s="53"/>
      <c r="F296" s="200"/>
      <c r="L296" s="136"/>
      <c r="M296" s="165"/>
      <c r="Q296" s="136"/>
      <c r="R296" s="136"/>
      <c r="S296" s="136"/>
      <c r="T296" s="136"/>
      <c r="U296" s="136"/>
    </row>
    <row r="297" spans="2:21" s="191" customFormat="1" x14ac:dyDescent="0.3">
      <c r="B297" s="53"/>
      <c r="F297" s="200"/>
      <c r="L297" s="136"/>
      <c r="M297" s="165"/>
      <c r="Q297" s="136"/>
      <c r="R297" s="136"/>
      <c r="S297" s="136"/>
      <c r="T297" s="136"/>
      <c r="U297" s="136"/>
    </row>
    <row r="298" spans="2:21" s="191" customFormat="1" x14ac:dyDescent="0.3">
      <c r="B298" s="53"/>
      <c r="F298" s="200"/>
      <c r="L298" s="136"/>
      <c r="M298" s="165"/>
      <c r="Q298" s="136"/>
      <c r="R298" s="136"/>
      <c r="S298" s="136"/>
      <c r="T298" s="136"/>
      <c r="U298" s="136"/>
    </row>
    <row r="299" spans="2:21" s="191" customFormat="1" x14ac:dyDescent="0.3">
      <c r="B299" s="53"/>
      <c r="F299" s="200"/>
      <c r="L299" s="136"/>
      <c r="M299" s="165"/>
      <c r="Q299" s="136"/>
      <c r="R299" s="136"/>
      <c r="S299" s="136"/>
      <c r="T299" s="136"/>
      <c r="U299" s="136"/>
    </row>
    <row r="300" spans="2:21" s="191" customFormat="1" x14ac:dyDescent="0.3">
      <c r="B300" s="53"/>
      <c r="F300" s="200"/>
      <c r="L300" s="136"/>
      <c r="M300" s="165"/>
      <c r="Q300" s="136"/>
      <c r="R300" s="136"/>
      <c r="S300" s="136"/>
      <c r="T300" s="136"/>
      <c r="U300" s="136"/>
    </row>
    <row r="301" spans="2:21" s="191" customFormat="1" x14ac:dyDescent="0.3">
      <c r="B301" s="53"/>
      <c r="F301" s="200"/>
      <c r="L301" s="136"/>
      <c r="M301" s="165"/>
      <c r="Q301" s="136"/>
      <c r="R301" s="136"/>
      <c r="S301" s="136"/>
      <c r="T301" s="136"/>
      <c r="U301" s="136"/>
    </row>
    <row r="302" spans="2:21" s="191" customFormat="1" x14ac:dyDescent="0.3">
      <c r="B302" s="53"/>
      <c r="F302" s="200"/>
      <c r="L302" s="136"/>
      <c r="M302" s="165"/>
      <c r="Q302" s="136"/>
      <c r="R302" s="136"/>
      <c r="S302" s="136"/>
      <c r="T302" s="136"/>
      <c r="U302" s="136"/>
    </row>
    <row r="303" spans="2:21" s="191" customFormat="1" x14ac:dyDescent="0.3">
      <c r="B303" s="53"/>
      <c r="F303" s="200"/>
      <c r="L303" s="136"/>
      <c r="M303" s="165"/>
      <c r="Q303" s="136"/>
      <c r="R303" s="136"/>
      <c r="S303" s="136"/>
      <c r="T303" s="136"/>
      <c r="U303" s="136"/>
    </row>
    <row r="304" spans="2:21" s="191" customFormat="1" x14ac:dyDescent="0.3">
      <c r="B304" s="53"/>
      <c r="F304" s="200"/>
      <c r="L304" s="136"/>
      <c r="M304" s="165"/>
      <c r="Q304" s="136"/>
      <c r="R304" s="136"/>
      <c r="S304" s="136"/>
      <c r="T304" s="136"/>
      <c r="U304" s="136"/>
    </row>
    <row r="305" spans="2:21" s="191" customFormat="1" x14ac:dyDescent="0.3">
      <c r="B305" s="53"/>
      <c r="F305" s="200"/>
      <c r="L305" s="136"/>
      <c r="M305" s="165"/>
      <c r="Q305" s="136"/>
      <c r="R305" s="136"/>
      <c r="S305" s="136"/>
      <c r="T305" s="136"/>
      <c r="U305" s="136"/>
    </row>
    <row r="306" spans="2:21" s="191" customFormat="1" x14ac:dyDescent="0.3">
      <c r="B306" s="53"/>
      <c r="F306" s="200"/>
      <c r="L306" s="136"/>
      <c r="M306" s="165"/>
      <c r="Q306" s="136"/>
      <c r="R306" s="136"/>
      <c r="S306" s="136"/>
      <c r="T306" s="136"/>
      <c r="U306" s="136"/>
    </row>
    <row r="307" spans="2:21" s="191" customFormat="1" x14ac:dyDescent="0.3">
      <c r="B307" s="53"/>
      <c r="F307" s="200"/>
      <c r="L307" s="136"/>
      <c r="M307" s="165"/>
      <c r="Q307" s="136"/>
      <c r="R307" s="136"/>
      <c r="S307" s="136"/>
      <c r="T307" s="136"/>
      <c r="U307" s="136"/>
    </row>
    <row r="308" spans="2:21" s="191" customFormat="1" x14ac:dyDescent="0.3">
      <c r="B308" s="53"/>
      <c r="F308" s="200"/>
      <c r="L308" s="136"/>
      <c r="M308" s="165"/>
      <c r="Q308" s="136"/>
      <c r="R308" s="136"/>
      <c r="S308" s="136"/>
      <c r="T308" s="136"/>
      <c r="U308" s="136"/>
    </row>
    <row r="309" spans="2:21" s="191" customFormat="1" x14ac:dyDescent="0.3">
      <c r="B309" s="53"/>
      <c r="F309" s="200"/>
      <c r="L309" s="136"/>
      <c r="M309" s="165"/>
      <c r="Q309" s="136"/>
      <c r="R309" s="136"/>
      <c r="S309" s="136"/>
      <c r="T309" s="136"/>
      <c r="U309" s="136"/>
    </row>
    <row r="310" spans="2:21" s="191" customFormat="1" x14ac:dyDescent="0.3">
      <c r="B310" s="53"/>
      <c r="F310" s="200"/>
      <c r="L310" s="136"/>
      <c r="M310" s="165"/>
      <c r="Q310" s="136"/>
      <c r="R310" s="136"/>
      <c r="S310" s="136"/>
      <c r="T310" s="136"/>
      <c r="U310" s="136"/>
    </row>
    <row r="311" spans="2:21" s="191" customFormat="1" x14ac:dyDescent="0.3">
      <c r="B311" s="53"/>
      <c r="F311" s="200"/>
      <c r="L311" s="136"/>
      <c r="M311" s="165"/>
      <c r="Q311" s="136"/>
      <c r="R311" s="136"/>
      <c r="S311" s="136"/>
      <c r="T311" s="136"/>
      <c r="U311" s="136"/>
    </row>
    <row r="312" spans="2:21" s="191" customFormat="1" x14ac:dyDescent="0.3">
      <c r="B312" s="53"/>
      <c r="F312" s="200"/>
      <c r="L312" s="136"/>
      <c r="M312" s="165"/>
      <c r="Q312" s="136"/>
      <c r="R312" s="136"/>
      <c r="S312" s="136"/>
      <c r="T312" s="136"/>
      <c r="U312" s="136"/>
    </row>
    <row r="313" spans="2:21" s="191" customFormat="1" x14ac:dyDescent="0.3">
      <c r="B313" s="53"/>
      <c r="F313" s="200"/>
      <c r="L313" s="136"/>
      <c r="M313" s="165"/>
      <c r="Q313" s="136"/>
      <c r="R313" s="136"/>
      <c r="S313" s="136"/>
      <c r="T313" s="136"/>
      <c r="U313" s="136"/>
    </row>
    <row r="314" spans="2:21" s="191" customFormat="1" x14ac:dyDescent="0.3">
      <c r="B314" s="53"/>
      <c r="F314" s="200"/>
      <c r="L314" s="136"/>
      <c r="M314" s="165"/>
      <c r="Q314" s="136"/>
      <c r="R314" s="136"/>
      <c r="S314" s="136"/>
      <c r="T314" s="136"/>
      <c r="U314" s="136"/>
    </row>
    <row r="315" spans="2:21" s="191" customFormat="1" x14ac:dyDescent="0.3">
      <c r="B315" s="53"/>
      <c r="F315" s="200"/>
      <c r="L315" s="136"/>
      <c r="M315" s="165"/>
      <c r="Q315" s="136"/>
      <c r="R315" s="136"/>
      <c r="S315" s="136"/>
      <c r="T315" s="136"/>
      <c r="U315" s="136"/>
    </row>
    <row r="316" spans="2:21" s="191" customFormat="1" x14ac:dyDescent="0.3">
      <c r="B316" s="53"/>
      <c r="F316" s="200"/>
      <c r="L316" s="136"/>
      <c r="M316" s="165"/>
      <c r="Q316" s="136"/>
      <c r="R316" s="136"/>
      <c r="S316" s="136"/>
      <c r="T316" s="136"/>
      <c r="U316" s="136"/>
    </row>
    <row r="317" spans="2:21" s="191" customFormat="1" x14ac:dyDescent="0.3">
      <c r="B317" s="53"/>
      <c r="F317" s="200"/>
      <c r="L317" s="136"/>
      <c r="M317" s="165"/>
      <c r="Q317" s="136"/>
      <c r="R317" s="136"/>
      <c r="S317" s="136"/>
      <c r="T317" s="136"/>
      <c r="U317" s="136"/>
    </row>
    <row r="318" spans="2:21" s="191" customFormat="1" x14ac:dyDescent="0.3">
      <c r="B318" s="53"/>
      <c r="F318" s="200"/>
      <c r="L318" s="136"/>
      <c r="M318" s="165"/>
      <c r="Q318" s="136"/>
      <c r="R318" s="136"/>
      <c r="S318" s="136"/>
      <c r="T318" s="136"/>
      <c r="U318" s="136"/>
    </row>
    <row r="319" spans="2:21" s="191" customFormat="1" x14ac:dyDescent="0.3">
      <c r="B319" s="53"/>
      <c r="F319" s="200"/>
      <c r="L319" s="136"/>
      <c r="M319" s="165"/>
      <c r="Q319" s="136"/>
      <c r="R319" s="136"/>
      <c r="S319" s="136"/>
      <c r="T319" s="136"/>
      <c r="U319" s="136"/>
    </row>
    <row r="320" spans="2:21" s="191" customFormat="1" x14ac:dyDescent="0.3">
      <c r="B320" s="53"/>
      <c r="F320" s="200"/>
      <c r="L320" s="136"/>
      <c r="M320" s="165"/>
      <c r="Q320" s="136"/>
      <c r="R320" s="136"/>
      <c r="S320" s="136"/>
      <c r="T320" s="136"/>
      <c r="U320" s="136"/>
    </row>
    <row r="321" spans="2:21" s="191" customFormat="1" x14ac:dyDescent="0.3">
      <c r="B321" s="53"/>
      <c r="F321" s="200"/>
      <c r="L321" s="136"/>
      <c r="M321" s="165"/>
      <c r="Q321" s="136"/>
      <c r="R321" s="136"/>
      <c r="S321" s="136"/>
      <c r="T321" s="136"/>
      <c r="U321" s="136"/>
    </row>
    <row r="322" spans="2:21" s="191" customFormat="1" x14ac:dyDescent="0.3">
      <c r="B322" s="53"/>
      <c r="F322" s="200"/>
      <c r="L322" s="136"/>
      <c r="M322" s="165"/>
      <c r="Q322" s="136"/>
      <c r="R322" s="136"/>
      <c r="S322" s="136"/>
      <c r="T322" s="136"/>
      <c r="U322" s="136"/>
    </row>
    <row r="323" spans="2:21" s="191" customFormat="1" x14ac:dyDescent="0.3">
      <c r="B323" s="53"/>
      <c r="F323" s="200"/>
      <c r="L323" s="136"/>
      <c r="M323" s="165"/>
      <c r="Q323" s="136"/>
      <c r="R323" s="136"/>
      <c r="S323" s="136"/>
      <c r="T323" s="136"/>
      <c r="U323" s="136"/>
    </row>
    <row r="324" spans="2:21" s="191" customFormat="1" x14ac:dyDescent="0.3">
      <c r="B324" s="53"/>
      <c r="F324" s="200"/>
      <c r="L324" s="136"/>
      <c r="M324" s="165"/>
      <c r="Q324" s="136"/>
      <c r="R324" s="136"/>
      <c r="S324" s="136"/>
      <c r="T324" s="136"/>
      <c r="U324" s="136"/>
    </row>
    <row r="325" spans="2:21" s="191" customFormat="1" x14ac:dyDescent="0.3">
      <c r="B325" s="53"/>
      <c r="F325" s="200"/>
      <c r="L325" s="136"/>
      <c r="M325" s="165"/>
      <c r="Q325" s="136"/>
      <c r="R325" s="136"/>
      <c r="S325" s="136"/>
      <c r="T325" s="136"/>
      <c r="U325" s="136"/>
    </row>
    <row r="326" spans="2:21" s="191" customFormat="1" x14ac:dyDescent="0.3">
      <c r="B326" s="53"/>
      <c r="F326" s="200"/>
      <c r="L326" s="136"/>
      <c r="M326" s="165"/>
      <c r="Q326" s="136"/>
      <c r="R326" s="136"/>
      <c r="S326" s="136"/>
      <c r="T326" s="136"/>
      <c r="U326" s="136"/>
    </row>
    <row r="327" spans="2:21" s="191" customFormat="1" x14ac:dyDescent="0.3">
      <c r="B327" s="53"/>
      <c r="F327" s="200"/>
      <c r="L327" s="136"/>
      <c r="M327" s="165"/>
      <c r="Q327" s="136"/>
      <c r="R327" s="136"/>
      <c r="S327" s="136"/>
      <c r="T327" s="136"/>
      <c r="U327" s="136"/>
    </row>
    <row r="328" spans="2:21" s="191" customFormat="1" x14ac:dyDescent="0.3">
      <c r="B328" s="53"/>
      <c r="F328" s="200"/>
      <c r="L328" s="136"/>
      <c r="M328" s="165"/>
      <c r="Q328" s="136"/>
      <c r="R328" s="136"/>
      <c r="S328" s="136"/>
      <c r="T328" s="136"/>
      <c r="U328" s="136"/>
    </row>
    <row r="329" spans="2:21" s="191" customFormat="1" x14ac:dyDescent="0.3">
      <c r="B329" s="53"/>
      <c r="F329" s="200"/>
      <c r="L329" s="136"/>
      <c r="M329" s="165"/>
      <c r="Q329" s="136"/>
      <c r="R329" s="136"/>
      <c r="S329" s="136"/>
      <c r="T329" s="136"/>
      <c r="U329" s="136"/>
    </row>
    <row r="330" spans="2:21" s="191" customFormat="1" x14ac:dyDescent="0.3">
      <c r="B330" s="53"/>
      <c r="F330" s="200"/>
      <c r="L330" s="136"/>
      <c r="M330" s="165"/>
      <c r="Q330" s="136"/>
      <c r="R330" s="136"/>
      <c r="S330" s="136"/>
      <c r="T330" s="136"/>
      <c r="U330" s="136"/>
    </row>
    <row r="331" spans="2:21" s="191" customFormat="1" x14ac:dyDescent="0.3">
      <c r="B331" s="53"/>
      <c r="F331" s="200"/>
      <c r="L331" s="136"/>
      <c r="M331" s="165"/>
      <c r="Q331" s="136"/>
      <c r="R331" s="136"/>
      <c r="S331" s="136"/>
      <c r="T331" s="136"/>
      <c r="U331" s="136"/>
    </row>
    <row r="332" spans="2:21" s="191" customFormat="1" x14ac:dyDescent="0.3">
      <c r="B332" s="53"/>
      <c r="F332" s="200"/>
      <c r="L332" s="136"/>
      <c r="M332" s="165"/>
      <c r="Q332" s="136"/>
      <c r="R332" s="136"/>
      <c r="S332" s="136"/>
      <c r="T332" s="136"/>
      <c r="U332" s="136"/>
    </row>
    <row r="333" spans="2:21" s="191" customFormat="1" x14ac:dyDescent="0.3">
      <c r="B333" s="53"/>
      <c r="F333" s="200"/>
      <c r="L333" s="136"/>
      <c r="M333" s="165"/>
      <c r="Q333" s="136"/>
      <c r="R333" s="136"/>
      <c r="S333" s="136"/>
      <c r="T333" s="136"/>
      <c r="U333" s="136"/>
    </row>
    <row r="334" spans="2:21" s="191" customFormat="1" x14ac:dyDescent="0.3">
      <c r="B334" s="53"/>
      <c r="F334" s="200"/>
      <c r="L334" s="136"/>
      <c r="M334" s="165"/>
      <c r="Q334" s="136"/>
      <c r="R334" s="136"/>
      <c r="S334" s="136"/>
      <c r="T334" s="136"/>
      <c r="U334" s="136"/>
    </row>
    <row r="335" spans="2:21" s="191" customFormat="1" x14ac:dyDescent="0.3">
      <c r="B335" s="53"/>
      <c r="F335" s="200"/>
      <c r="L335" s="136"/>
      <c r="M335" s="165"/>
      <c r="Q335" s="136"/>
      <c r="R335" s="136"/>
      <c r="S335" s="136"/>
      <c r="T335" s="136"/>
      <c r="U335" s="136"/>
    </row>
    <row r="336" spans="2:21" s="191" customFormat="1" x14ac:dyDescent="0.3">
      <c r="B336" s="53"/>
      <c r="F336" s="200"/>
      <c r="L336" s="136"/>
      <c r="M336" s="165"/>
      <c r="Q336" s="136"/>
      <c r="R336" s="136"/>
      <c r="S336" s="136"/>
      <c r="T336" s="136"/>
      <c r="U336" s="136"/>
    </row>
    <row r="337" spans="2:21" s="191" customFormat="1" x14ac:dyDescent="0.3">
      <c r="B337" s="53"/>
      <c r="F337" s="200"/>
      <c r="L337" s="136"/>
      <c r="M337" s="165"/>
      <c r="Q337" s="136"/>
      <c r="R337" s="136"/>
      <c r="S337" s="136"/>
      <c r="T337" s="136"/>
      <c r="U337" s="136"/>
    </row>
    <row r="338" spans="2:21" s="191" customFormat="1" x14ac:dyDescent="0.3">
      <c r="B338" s="53"/>
      <c r="F338" s="200"/>
      <c r="L338" s="136"/>
      <c r="M338" s="165"/>
      <c r="Q338" s="136"/>
      <c r="R338" s="136"/>
      <c r="S338" s="136"/>
      <c r="T338" s="136"/>
      <c r="U338" s="136"/>
    </row>
    <row r="339" spans="2:21" s="191" customFormat="1" x14ac:dyDescent="0.3">
      <c r="B339" s="53"/>
      <c r="F339" s="200"/>
      <c r="L339" s="136"/>
      <c r="M339" s="165"/>
      <c r="Q339" s="136"/>
      <c r="R339" s="136"/>
      <c r="S339" s="136"/>
      <c r="T339" s="136"/>
      <c r="U339" s="136"/>
    </row>
    <row r="340" spans="2:21" s="191" customFormat="1" x14ac:dyDescent="0.3">
      <c r="B340" s="53"/>
      <c r="F340" s="200"/>
      <c r="L340" s="136"/>
      <c r="M340" s="165"/>
      <c r="Q340" s="136"/>
      <c r="R340" s="136"/>
      <c r="S340" s="136"/>
      <c r="T340" s="136"/>
      <c r="U340" s="136"/>
    </row>
    <row r="341" spans="2:21" s="191" customFormat="1" x14ac:dyDescent="0.3">
      <c r="B341" s="53"/>
      <c r="F341" s="200"/>
      <c r="L341" s="136"/>
      <c r="M341" s="165"/>
      <c r="Q341" s="136"/>
      <c r="R341" s="136"/>
      <c r="S341" s="136"/>
      <c r="T341" s="136"/>
      <c r="U341" s="136"/>
    </row>
    <row r="342" spans="2:21" s="191" customFormat="1" x14ac:dyDescent="0.3">
      <c r="B342" s="53"/>
      <c r="F342" s="200"/>
      <c r="L342" s="136"/>
      <c r="M342" s="165"/>
      <c r="Q342" s="136"/>
      <c r="R342" s="136"/>
      <c r="S342" s="136"/>
      <c r="T342" s="136"/>
      <c r="U342" s="136"/>
    </row>
    <row r="343" spans="2:21" s="191" customFormat="1" x14ac:dyDescent="0.3">
      <c r="B343" s="53"/>
      <c r="F343" s="200"/>
      <c r="L343" s="136"/>
      <c r="M343" s="165"/>
      <c r="Q343" s="136"/>
      <c r="R343" s="136"/>
      <c r="S343" s="136"/>
      <c r="T343" s="136"/>
      <c r="U343" s="136"/>
    </row>
  </sheetData>
  <sortState ref="A7:AB63">
    <sortCondition ref="B7:B63"/>
  </sortState>
  <mergeCells count="1">
    <mergeCell ref="N4:P4"/>
  </mergeCells>
  <conditionalFormatting sqref="B6:B70">
    <cfRule type="colorScale" priority="182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L6:M70">
    <cfRule type="colorScale" priority="1824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P6:P70">
    <cfRule type="colorScale" priority="1826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6:C70">
    <cfRule type="colorScale" priority="182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O82"/>
  <sheetViews>
    <sheetView zoomScaleNormal="100" workbookViewId="0">
      <pane xSplit="1" ySplit="6" topLeftCell="D7" activePane="bottomRight" state="frozen"/>
      <selection activeCell="A22" sqref="A22"/>
      <selection pane="topRight" activeCell="A22" sqref="A22"/>
      <selection pane="bottomLeft" activeCell="A22" sqref="A22"/>
      <selection pane="bottomRight" activeCell="E9" sqref="E9"/>
    </sheetView>
  </sheetViews>
  <sheetFormatPr defaultColWidth="8.85546875" defaultRowHeight="18.75" x14ac:dyDescent="0.3"/>
  <cols>
    <col min="1" max="1" width="39.140625" style="2" customWidth="1"/>
    <col min="2" max="2" width="8.85546875" style="1"/>
    <col min="3" max="3" width="9.28515625" style="2" customWidth="1"/>
    <col min="4" max="4" width="16.28515625" style="3" customWidth="1"/>
    <col min="5" max="5" width="16.28515625" style="3" bestFit="1" customWidth="1"/>
    <col min="6" max="6" width="15.28515625" style="3" customWidth="1"/>
    <col min="7" max="7" width="17" style="3" customWidth="1"/>
    <col min="8" max="8" width="15.7109375" style="3" bestFit="1" customWidth="1"/>
    <col min="9" max="9" width="116" style="1" customWidth="1"/>
    <col min="10" max="16384" width="8.85546875" style="1"/>
  </cols>
  <sheetData>
    <row r="1" spans="1:15" ht="21" x14ac:dyDescent="0.35">
      <c r="A1" s="1179" t="s">
        <v>134</v>
      </c>
      <c r="B1" s="31"/>
      <c r="C1" s="344"/>
      <c r="D1" s="1179"/>
      <c r="E1" s="1179"/>
      <c r="F1" s="1179"/>
      <c r="G1" s="1179"/>
      <c r="H1" s="30"/>
      <c r="I1" s="31"/>
      <c r="J1" s="31"/>
      <c r="K1" s="31"/>
      <c r="L1" s="31"/>
      <c r="M1" s="31"/>
      <c r="N1" s="31"/>
      <c r="O1" s="31"/>
    </row>
    <row r="2" spans="1:15" ht="21" x14ac:dyDescent="0.35">
      <c r="A2" s="102"/>
      <c r="B2" s="412"/>
      <c r="C2" s="344"/>
      <c r="D2" s="34"/>
      <c r="E2" s="30"/>
      <c r="F2" s="34"/>
      <c r="G2" s="190" t="s">
        <v>76</v>
      </c>
      <c r="H2" s="34"/>
      <c r="I2" s="412"/>
      <c r="J2" s="31"/>
      <c r="K2" s="31"/>
      <c r="L2" s="31"/>
      <c r="M2" s="31"/>
      <c r="N2" s="31"/>
      <c r="O2" s="31"/>
    </row>
    <row r="3" spans="1:15" ht="21" x14ac:dyDescent="0.35">
      <c r="A3" s="102"/>
      <c r="B3" s="506"/>
      <c r="C3" s="967"/>
      <c r="D3" s="406"/>
      <c r="E3" s="190" t="s">
        <v>275</v>
      </c>
      <c r="F3" s="190" t="s">
        <v>51</v>
      </c>
      <c r="G3" s="190" t="s">
        <v>130</v>
      </c>
      <c r="H3" s="190" t="s">
        <v>77</v>
      </c>
      <c r="I3" s="506"/>
      <c r="J3" s="31"/>
      <c r="K3" s="31"/>
      <c r="L3" s="31"/>
      <c r="M3" s="31"/>
      <c r="N3" s="31"/>
      <c r="O3" s="31"/>
    </row>
    <row r="4" spans="1:15" x14ac:dyDescent="0.3">
      <c r="A4" s="89"/>
      <c r="B4" s="506"/>
      <c r="C4" s="967"/>
      <c r="D4" s="406" t="s">
        <v>274</v>
      </c>
      <c r="E4" s="190" t="s">
        <v>276</v>
      </c>
      <c r="F4" s="190" t="s">
        <v>128</v>
      </c>
      <c r="G4" s="190" t="s">
        <v>131</v>
      </c>
      <c r="H4" s="190" t="s">
        <v>126</v>
      </c>
      <c r="I4" s="506"/>
      <c r="J4" s="31"/>
      <c r="K4" s="31"/>
      <c r="L4" s="31"/>
      <c r="M4" s="31"/>
      <c r="N4" s="31"/>
      <c r="O4" s="31"/>
    </row>
    <row r="5" spans="1:15" x14ac:dyDescent="0.3">
      <c r="A5" s="89"/>
      <c r="B5" s="506"/>
      <c r="C5" s="33" t="s">
        <v>54</v>
      </c>
      <c r="D5" s="648" t="s">
        <v>273</v>
      </c>
      <c r="E5" s="190" t="s">
        <v>117</v>
      </c>
      <c r="F5" s="190" t="s">
        <v>129</v>
      </c>
      <c r="G5" s="190" t="s">
        <v>132</v>
      </c>
      <c r="H5" s="190" t="s">
        <v>127</v>
      </c>
      <c r="I5" s="506"/>
      <c r="J5" s="31"/>
      <c r="K5" s="31"/>
      <c r="L5" s="31"/>
      <c r="M5" s="31"/>
      <c r="N5" s="31"/>
      <c r="O5" s="31"/>
    </row>
    <row r="6" spans="1:15" ht="19.5" thickBot="1" x14ac:dyDescent="0.35">
      <c r="A6" s="413" t="s">
        <v>4</v>
      </c>
      <c r="B6" s="877" t="s">
        <v>3</v>
      </c>
      <c r="C6" s="71" t="s">
        <v>2</v>
      </c>
      <c r="D6" s="36" t="s">
        <v>57</v>
      </c>
      <c r="E6" s="37" t="s">
        <v>77</v>
      </c>
      <c r="F6" s="37" t="s">
        <v>130</v>
      </c>
      <c r="G6" s="37" t="s">
        <v>133</v>
      </c>
      <c r="H6" s="37" t="s">
        <v>78</v>
      </c>
      <c r="I6" s="37" t="s">
        <v>234</v>
      </c>
      <c r="J6" s="31"/>
      <c r="K6" s="31"/>
      <c r="L6" s="31"/>
      <c r="M6" s="31"/>
      <c r="N6" s="31"/>
      <c r="O6" s="31"/>
    </row>
    <row r="7" spans="1:15" x14ac:dyDescent="0.3">
      <c r="A7" s="151" t="s">
        <v>10</v>
      </c>
      <c r="B7" s="212">
        <f>RANK(C7,C$7:C$71,0)</f>
        <v>27</v>
      </c>
      <c r="C7" s="651">
        <f>SUM(E7:H7)</f>
        <v>0</v>
      </c>
      <c r="D7" s="128">
        <v>2007</v>
      </c>
      <c r="E7" s="129"/>
      <c r="F7" s="129"/>
      <c r="G7" s="129"/>
      <c r="H7" s="322"/>
      <c r="I7" s="1180"/>
      <c r="J7" s="31"/>
      <c r="K7" s="31"/>
      <c r="L7" s="31"/>
      <c r="M7" s="31"/>
      <c r="N7" s="31"/>
      <c r="O7" s="31"/>
    </row>
    <row r="8" spans="1:15" x14ac:dyDescent="0.3">
      <c r="A8" s="184" t="s">
        <v>156</v>
      </c>
      <c r="B8" s="212">
        <f>RANK(C8,C$7:C$71,0)</f>
        <v>27</v>
      </c>
      <c r="C8" s="651">
        <f>SUM(E8:H8)</f>
        <v>0</v>
      </c>
      <c r="D8" s="128">
        <v>2013</v>
      </c>
      <c r="E8" s="131"/>
      <c r="F8" s="131"/>
      <c r="G8" s="131"/>
      <c r="H8" s="325"/>
      <c r="I8" s="1181" t="s">
        <v>394</v>
      </c>
      <c r="J8" s="31"/>
      <c r="K8" s="31"/>
      <c r="L8" s="31"/>
      <c r="M8" s="31"/>
      <c r="N8" s="31"/>
      <c r="O8" s="31"/>
    </row>
    <row r="9" spans="1:15" x14ac:dyDescent="0.3">
      <c r="A9" s="184" t="s">
        <v>102</v>
      </c>
      <c r="B9" s="212">
        <f>RANK(C9,C$7:C$71,0)</f>
        <v>2</v>
      </c>
      <c r="C9" s="651">
        <f>SUM(E9:H9)</f>
        <v>5</v>
      </c>
      <c r="D9" s="936"/>
      <c r="E9" s="337">
        <v>3</v>
      </c>
      <c r="F9" s="131"/>
      <c r="G9" s="131">
        <v>2</v>
      </c>
      <c r="H9" s="325"/>
      <c r="I9" s="1" t="s">
        <v>392</v>
      </c>
      <c r="J9" s="31"/>
      <c r="K9" s="31"/>
      <c r="L9" s="31"/>
      <c r="M9" s="31"/>
      <c r="N9" s="31"/>
      <c r="O9" s="31"/>
    </row>
    <row r="10" spans="1:15" x14ac:dyDescent="0.3">
      <c r="A10" s="184" t="s">
        <v>103</v>
      </c>
      <c r="B10" s="212">
        <f>RANK(C10,C$7:C$71,0)</f>
        <v>27</v>
      </c>
      <c r="C10" s="651">
        <f>SUM(E10:H10)</f>
        <v>0</v>
      </c>
      <c r="D10" s="130">
        <v>2019</v>
      </c>
      <c r="E10" s="337"/>
      <c r="F10" s="131"/>
      <c r="G10" s="131"/>
      <c r="H10" s="325"/>
      <c r="I10" s="1181"/>
      <c r="J10" s="31"/>
      <c r="K10" s="31"/>
      <c r="L10" s="31"/>
      <c r="M10" s="31"/>
      <c r="N10" s="31"/>
      <c r="O10" s="31"/>
    </row>
    <row r="11" spans="1:15" x14ac:dyDescent="0.3">
      <c r="A11" s="87" t="s">
        <v>5</v>
      </c>
      <c r="B11" s="212">
        <f>RANK(C11,C$7:C$71,0)</f>
        <v>27</v>
      </c>
      <c r="C11" s="651">
        <f>SUM(E11:H11)</f>
        <v>0</v>
      </c>
      <c r="D11" s="128">
        <v>2015</v>
      </c>
      <c r="E11" s="131"/>
      <c r="F11" s="131"/>
      <c r="G11" s="131"/>
      <c r="H11" s="325"/>
      <c r="I11" s="1181" t="s">
        <v>395</v>
      </c>
      <c r="J11" s="31"/>
      <c r="K11" s="31"/>
      <c r="L11" s="31"/>
      <c r="M11" s="31"/>
      <c r="N11" s="31"/>
      <c r="O11" s="31"/>
    </row>
    <row r="12" spans="1:15" x14ac:dyDescent="0.3">
      <c r="A12" s="184" t="s">
        <v>157</v>
      </c>
      <c r="B12" s="212">
        <f>RANK(C12,C$7:C$71,0)</f>
        <v>27</v>
      </c>
      <c r="C12" s="651">
        <f>SUM(E12:H12)</f>
        <v>0</v>
      </c>
      <c r="D12" s="130">
        <v>2017</v>
      </c>
      <c r="E12" s="131"/>
      <c r="F12" s="131"/>
      <c r="G12" s="131"/>
      <c r="H12" s="325"/>
      <c r="I12" s="1181"/>
      <c r="J12" s="31"/>
      <c r="K12" s="31"/>
      <c r="L12" s="31"/>
      <c r="M12" s="31"/>
      <c r="N12" s="31"/>
      <c r="O12" s="31"/>
    </row>
    <row r="13" spans="1:15" x14ac:dyDescent="0.3">
      <c r="A13" s="184" t="s">
        <v>247</v>
      </c>
      <c r="B13" s="212">
        <f>RANK(C13,C$7:C$71,0)</f>
        <v>27</v>
      </c>
      <c r="C13" s="651">
        <f>SUM(E13:H13)</f>
        <v>0</v>
      </c>
      <c r="D13" s="130">
        <v>2017</v>
      </c>
      <c r="E13" s="131"/>
      <c r="F13" s="131"/>
      <c r="G13" s="131"/>
      <c r="H13" s="325"/>
      <c r="I13" s="1181"/>
      <c r="J13" s="31"/>
      <c r="K13" s="31"/>
      <c r="L13" s="31"/>
      <c r="M13" s="31"/>
      <c r="N13" s="31"/>
      <c r="O13" s="31"/>
    </row>
    <row r="14" spans="1:15" x14ac:dyDescent="0.3">
      <c r="A14" s="87" t="s">
        <v>94</v>
      </c>
      <c r="B14" s="212">
        <f>RANK(C14,C$7:C$71,0)</f>
        <v>27</v>
      </c>
      <c r="C14" s="651">
        <f>SUM(E14:H14)</f>
        <v>0</v>
      </c>
      <c r="D14" s="128">
        <v>2017</v>
      </c>
      <c r="E14" s="131"/>
      <c r="F14" s="131"/>
      <c r="G14" s="131"/>
      <c r="H14" s="325"/>
      <c r="I14" s="1181"/>
      <c r="J14" s="31"/>
      <c r="K14" s="31"/>
      <c r="L14" s="31"/>
      <c r="M14" s="31"/>
      <c r="N14" s="31"/>
      <c r="O14" s="31"/>
    </row>
    <row r="15" spans="1:15" x14ac:dyDescent="0.3">
      <c r="A15" s="184" t="s">
        <v>104</v>
      </c>
      <c r="B15" s="212">
        <f>RANK(C15,C$7:C$71,0)</f>
        <v>2</v>
      </c>
      <c r="C15" s="651">
        <f>SUM(E15:H15)</f>
        <v>5</v>
      </c>
      <c r="D15" s="128">
        <v>2013</v>
      </c>
      <c r="E15" s="337">
        <v>3</v>
      </c>
      <c r="F15" s="131">
        <v>1</v>
      </c>
      <c r="G15" s="131">
        <v>1</v>
      </c>
      <c r="H15" s="325"/>
      <c r="I15" s="1181" t="s">
        <v>393</v>
      </c>
      <c r="J15" s="31"/>
      <c r="K15" s="31"/>
      <c r="L15" s="31"/>
      <c r="M15" s="31"/>
      <c r="N15" s="31"/>
      <c r="O15" s="31"/>
    </row>
    <row r="16" spans="1:15" x14ac:dyDescent="0.3">
      <c r="A16" s="184" t="s">
        <v>9</v>
      </c>
      <c r="B16" s="212">
        <f>RANK(C16,C$7:C$71,0)</f>
        <v>27</v>
      </c>
      <c r="C16" s="651">
        <f>SUM(E16:H16)</f>
        <v>0</v>
      </c>
      <c r="D16" s="128">
        <v>2019</v>
      </c>
      <c r="E16" s="131"/>
      <c r="F16" s="131"/>
      <c r="G16" s="131"/>
      <c r="H16" s="325"/>
      <c r="I16" s="1181"/>
      <c r="J16" s="31"/>
      <c r="K16" s="31"/>
      <c r="L16" s="31"/>
      <c r="M16" s="31"/>
      <c r="N16" s="31"/>
      <c r="O16" s="31"/>
    </row>
    <row r="17" spans="1:15" x14ac:dyDescent="0.3">
      <c r="A17" s="87" t="s">
        <v>90</v>
      </c>
      <c r="B17" s="212">
        <f>RANK(C17,C$7:C$71,0)</f>
        <v>27</v>
      </c>
      <c r="C17" s="651">
        <f>SUM(E17:H17)</f>
        <v>0</v>
      </c>
      <c r="D17" s="130">
        <v>2017</v>
      </c>
      <c r="E17" s="131"/>
      <c r="F17" s="131"/>
      <c r="G17" s="131"/>
      <c r="H17" s="325"/>
      <c r="I17" s="1181"/>
      <c r="J17" s="31"/>
      <c r="K17" s="31"/>
      <c r="L17" s="31"/>
      <c r="M17" s="31"/>
      <c r="N17" s="31"/>
      <c r="O17" s="31"/>
    </row>
    <row r="18" spans="1:15" x14ac:dyDescent="0.3">
      <c r="A18" s="87" t="s">
        <v>14</v>
      </c>
      <c r="B18" s="212">
        <f>RANK(C18,C$7:C$71,0)</f>
        <v>27</v>
      </c>
      <c r="C18" s="651">
        <f>SUM(E18:H18)</f>
        <v>0</v>
      </c>
      <c r="D18" s="132">
        <v>2015</v>
      </c>
      <c r="E18" s="131"/>
      <c r="F18" s="131"/>
      <c r="G18" s="131"/>
      <c r="H18" s="325"/>
      <c r="I18" s="1181" t="s">
        <v>409</v>
      </c>
      <c r="J18" s="31"/>
      <c r="K18" s="31"/>
      <c r="L18" s="31"/>
      <c r="M18" s="31"/>
      <c r="N18" s="31"/>
      <c r="O18" s="31"/>
    </row>
    <row r="19" spans="1:15" x14ac:dyDescent="0.3">
      <c r="A19" s="87" t="s">
        <v>96</v>
      </c>
      <c r="B19" s="212">
        <f>RANK(C19,C$7:C$71,0)</f>
        <v>27</v>
      </c>
      <c r="C19" s="651">
        <f>SUM(E19:H19)</f>
        <v>0</v>
      </c>
      <c r="D19" s="966">
        <v>2015</v>
      </c>
      <c r="E19" s="131"/>
      <c r="F19" s="131"/>
      <c r="G19" s="131"/>
      <c r="H19" s="325"/>
      <c r="I19" s="1181" t="s">
        <v>410</v>
      </c>
      <c r="J19" s="31"/>
      <c r="K19" s="31"/>
      <c r="L19" s="31"/>
      <c r="M19" s="31"/>
      <c r="N19" s="31"/>
      <c r="O19" s="31"/>
    </row>
    <row r="20" spans="1:15" x14ac:dyDescent="0.3">
      <c r="A20" s="184" t="s">
        <v>99</v>
      </c>
      <c r="B20" s="212">
        <f>RANK(C20,C$7:C$71,0)</f>
        <v>27</v>
      </c>
      <c r="C20" s="651">
        <f>SUM(E20:H20)</f>
        <v>0</v>
      </c>
      <c r="D20" s="965">
        <v>2015</v>
      </c>
      <c r="E20" s="131"/>
      <c r="F20" s="131"/>
      <c r="G20" s="131"/>
      <c r="H20" s="325"/>
      <c r="I20" s="1181"/>
      <c r="J20" s="31"/>
      <c r="K20" s="31"/>
      <c r="L20" s="31"/>
      <c r="M20" s="31"/>
      <c r="N20" s="31"/>
      <c r="O20" s="31"/>
    </row>
    <row r="21" spans="1:15" x14ac:dyDescent="0.3">
      <c r="A21" s="184" t="s">
        <v>105</v>
      </c>
      <c r="B21" s="212">
        <f>RANK(C21,C$7:C$71,0)</f>
        <v>27</v>
      </c>
      <c r="C21" s="651">
        <f>SUM(E21:H21)</f>
        <v>0</v>
      </c>
      <c r="D21" s="130">
        <v>2021</v>
      </c>
      <c r="E21" s="337"/>
      <c r="F21" s="131"/>
      <c r="G21" s="131"/>
      <c r="H21" s="325"/>
      <c r="I21" s="1181"/>
      <c r="J21" s="31"/>
      <c r="K21" s="31"/>
      <c r="L21" s="31"/>
      <c r="M21" s="31"/>
      <c r="N21" s="31"/>
      <c r="O21" s="31"/>
    </row>
    <row r="22" spans="1:15" x14ac:dyDescent="0.3">
      <c r="A22" s="87" t="s">
        <v>92</v>
      </c>
      <c r="B22" s="212">
        <f>RANK(C22,C$7:C$71,0)</f>
        <v>27</v>
      </c>
      <c r="C22" s="651">
        <f>SUM(E22:H22)</f>
        <v>0</v>
      </c>
      <c r="D22" s="130">
        <v>2019</v>
      </c>
      <c r="E22" s="131"/>
      <c r="F22" s="131"/>
      <c r="G22" s="131"/>
      <c r="H22" s="325"/>
      <c r="I22" s="1181"/>
      <c r="J22" s="31"/>
      <c r="K22" s="31"/>
      <c r="L22" s="31"/>
      <c r="M22" s="31"/>
      <c r="N22" s="31"/>
      <c r="O22" s="31"/>
    </row>
    <row r="23" spans="1:15" x14ac:dyDescent="0.3">
      <c r="A23" s="87" t="s">
        <v>22</v>
      </c>
      <c r="B23" s="212">
        <f>RANK(C23,C$7:C$71,0)</f>
        <v>27</v>
      </c>
      <c r="C23" s="651">
        <f>SUM(E23:H23)</f>
        <v>0</v>
      </c>
      <c r="D23" s="936"/>
      <c r="E23" s="131"/>
      <c r="F23" s="131"/>
      <c r="G23" s="131"/>
      <c r="H23" s="325"/>
      <c r="I23" s="1181" t="s">
        <v>411</v>
      </c>
      <c r="J23" s="31"/>
      <c r="K23" s="31"/>
      <c r="L23" s="31"/>
      <c r="M23" s="31"/>
      <c r="N23" s="31"/>
      <c r="O23" s="31"/>
    </row>
    <row r="24" spans="1:15" x14ac:dyDescent="0.3">
      <c r="A24" s="87" t="s">
        <v>13</v>
      </c>
      <c r="B24" s="212">
        <f>RANK(C24,C$7:C$71,0)</f>
        <v>27</v>
      </c>
      <c r="C24" s="651">
        <f>SUM(E24:H24)</f>
        <v>0</v>
      </c>
      <c r="D24" s="130">
        <v>2017</v>
      </c>
      <c r="E24" s="131"/>
      <c r="F24" s="131"/>
      <c r="G24" s="131"/>
      <c r="H24" s="325"/>
      <c r="I24" s="1181"/>
      <c r="J24" s="31"/>
      <c r="K24" s="31"/>
      <c r="L24" s="31"/>
      <c r="M24" s="31"/>
      <c r="N24" s="31"/>
      <c r="O24" s="31"/>
    </row>
    <row r="25" spans="1:15" x14ac:dyDescent="0.3">
      <c r="A25" s="87" t="s">
        <v>6</v>
      </c>
      <c r="B25" s="212">
        <f>RANK(C25,C$7:C$71,0)</f>
        <v>27</v>
      </c>
      <c r="C25" s="650">
        <f>SUM(E25:H25)</f>
        <v>0</v>
      </c>
      <c r="D25" s="128">
        <v>2021</v>
      </c>
      <c r="E25" s="131"/>
      <c r="F25" s="131"/>
      <c r="G25" s="131"/>
      <c r="H25" s="325"/>
      <c r="I25" s="1181"/>
      <c r="J25" s="31"/>
      <c r="K25" s="31"/>
      <c r="L25" s="31"/>
      <c r="M25" s="31"/>
      <c r="N25" s="31"/>
      <c r="O25" s="31"/>
    </row>
    <row r="26" spans="1:15" x14ac:dyDescent="0.3">
      <c r="A26" s="87" t="s">
        <v>16</v>
      </c>
      <c r="B26" s="212">
        <f>RANK(C26,C$7:C$71,0)</f>
        <v>2</v>
      </c>
      <c r="C26" s="650">
        <f>SUM(E26:H26)</f>
        <v>5</v>
      </c>
      <c r="D26" s="130">
        <v>2013</v>
      </c>
      <c r="E26" s="131"/>
      <c r="F26" s="131">
        <v>2</v>
      </c>
      <c r="G26" s="131">
        <v>3</v>
      </c>
      <c r="H26" s="325"/>
      <c r="I26" s="1181" t="s">
        <v>396</v>
      </c>
      <c r="J26" s="31"/>
      <c r="K26" s="31"/>
      <c r="L26" s="31"/>
      <c r="M26" s="31"/>
      <c r="N26" s="31"/>
      <c r="O26" s="31"/>
    </row>
    <row r="27" spans="1:15" x14ac:dyDescent="0.3">
      <c r="A27" s="184" t="s">
        <v>106</v>
      </c>
      <c r="B27" s="212">
        <f>RANK(C27,C$7:C$71,0)</f>
        <v>7</v>
      </c>
      <c r="C27" s="649">
        <f>SUM(E27:H27)</f>
        <v>4</v>
      </c>
      <c r="D27" s="936"/>
      <c r="E27" s="337">
        <v>3</v>
      </c>
      <c r="F27" s="131"/>
      <c r="G27" s="131">
        <v>1</v>
      </c>
      <c r="H27" s="325"/>
      <c r="I27" s="1181" t="s">
        <v>412</v>
      </c>
      <c r="J27" s="31"/>
      <c r="K27" s="31"/>
      <c r="L27" s="31"/>
      <c r="M27" s="31"/>
      <c r="N27" s="31"/>
      <c r="O27" s="31"/>
    </row>
    <row r="28" spans="1:15" x14ac:dyDescent="0.3">
      <c r="A28" s="184" t="s">
        <v>23</v>
      </c>
      <c r="B28" s="212">
        <f>RANK(C28,C$7:C$71,0)</f>
        <v>19</v>
      </c>
      <c r="C28" s="649">
        <f>SUM(E28:H28)</f>
        <v>2</v>
      </c>
      <c r="D28" s="936"/>
      <c r="E28" s="131"/>
      <c r="F28" s="131">
        <v>1</v>
      </c>
      <c r="G28" s="131">
        <v>1</v>
      </c>
      <c r="H28" s="325"/>
      <c r="I28" s="1181" t="s">
        <v>413</v>
      </c>
      <c r="J28" s="31"/>
      <c r="K28" s="31"/>
      <c r="L28" s="31"/>
      <c r="M28" s="31"/>
      <c r="N28" s="31"/>
      <c r="O28" s="31"/>
    </row>
    <row r="29" spans="1:15" x14ac:dyDescent="0.3">
      <c r="A29" s="184" t="s">
        <v>330</v>
      </c>
      <c r="B29" s="212">
        <f>RANK(C29,C$7:C$71,0)</f>
        <v>27</v>
      </c>
      <c r="C29" s="651">
        <f>SUM(E29:H29)</f>
        <v>0</v>
      </c>
      <c r="D29" s="130">
        <v>2019</v>
      </c>
      <c r="E29" s="131"/>
      <c r="F29" s="131"/>
      <c r="G29" s="131"/>
      <c r="H29" s="325"/>
      <c r="I29" s="1181"/>
      <c r="J29" s="31"/>
      <c r="K29" s="31"/>
      <c r="L29" s="31"/>
      <c r="M29" s="31"/>
      <c r="N29" s="31"/>
      <c r="O29" s="31"/>
    </row>
    <row r="30" spans="1:15" x14ac:dyDescent="0.3">
      <c r="A30" s="184" t="s">
        <v>107</v>
      </c>
      <c r="B30" s="212">
        <f>RANK(C30,C$7:C$71,0)</f>
        <v>7</v>
      </c>
      <c r="C30" s="649">
        <f>SUM(E30:H30)</f>
        <v>4</v>
      </c>
      <c r="D30" s="936"/>
      <c r="E30" s="337">
        <v>3</v>
      </c>
      <c r="F30" s="131"/>
      <c r="G30" s="131">
        <v>1</v>
      </c>
      <c r="H30" s="325"/>
      <c r="I30" s="1181" t="s">
        <v>414</v>
      </c>
      <c r="J30" s="31"/>
      <c r="K30" s="31"/>
      <c r="L30" s="31"/>
      <c r="M30" s="31"/>
      <c r="N30" s="31"/>
      <c r="O30" s="31"/>
    </row>
    <row r="31" spans="1:15" x14ac:dyDescent="0.3">
      <c r="A31" s="184" t="s">
        <v>100</v>
      </c>
      <c r="B31" s="212">
        <f>RANK(C31,C$7:C$71,0)</f>
        <v>27</v>
      </c>
      <c r="C31" s="651">
        <f>SUM(E31:H31)</f>
        <v>0</v>
      </c>
      <c r="D31" s="128">
        <v>2011</v>
      </c>
      <c r="E31" s="131"/>
      <c r="F31" s="131"/>
      <c r="G31" s="131"/>
      <c r="H31" s="325"/>
      <c r="I31" s="1181" t="s">
        <v>408</v>
      </c>
      <c r="J31" s="31"/>
      <c r="K31" s="31"/>
      <c r="L31" s="31"/>
      <c r="M31" s="31"/>
      <c r="N31" s="31"/>
      <c r="O31" s="31"/>
    </row>
    <row r="32" spans="1:15" x14ac:dyDescent="0.3">
      <c r="A32" s="184" t="s">
        <v>101</v>
      </c>
      <c r="B32" s="212">
        <f>RANK(C32,C$7:C$71,0)</f>
        <v>19</v>
      </c>
      <c r="C32" s="391">
        <f>SUM(E32:H32)</f>
        <v>2</v>
      </c>
      <c r="D32" s="130">
        <v>2009</v>
      </c>
      <c r="E32" s="131"/>
      <c r="F32" s="131">
        <v>1</v>
      </c>
      <c r="G32" s="131">
        <v>1</v>
      </c>
      <c r="H32" s="325"/>
      <c r="I32" s="1181" t="s">
        <v>397</v>
      </c>
      <c r="J32" s="31"/>
      <c r="K32" s="31"/>
      <c r="L32" s="31"/>
      <c r="M32" s="31"/>
      <c r="N32" s="31"/>
      <c r="O32" s="31"/>
    </row>
    <row r="33" spans="1:15" x14ac:dyDescent="0.3">
      <c r="A33" s="184" t="s">
        <v>108</v>
      </c>
      <c r="B33" s="212">
        <f>RANK(C33,C$7:C$71,0)</f>
        <v>7</v>
      </c>
      <c r="C33" s="649">
        <f>SUM(E33:H33)</f>
        <v>4</v>
      </c>
      <c r="D33" s="936"/>
      <c r="E33" s="337">
        <v>3</v>
      </c>
      <c r="F33" s="131"/>
      <c r="G33" s="131">
        <v>1</v>
      </c>
      <c r="H33" s="325"/>
      <c r="I33" s="1181" t="s">
        <v>415</v>
      </c>
      <c r="J33" s="31"/>
      <c r="K33" s="31"/>
      <c r="L33" s="31"/>
      <c r="M33" s="31"/>
      <c r="N33" s="31"/>
      <c r="O33" s="31"/>
    </row>
    <row r="34" spans="1:15" x14ac:dyDescent="0.3">
      <c r="A34" s="184" t="s">
        <v>258</v>
      </c>
      <c r="B34" s="212">
        <f>RANK(C34,C$7:C$71,0)</f>
        <v>27</v>
      </c>
      <c r="C34" s="651">
        <f>SUM(E34:H34)</f>
        <v>0</v>
      </c>
      <c r="D34" s="132">
        <v>2015</v>
      </c>
      <c r="E34" s="131"/>
      <c r="F34" s="131"/>
      <c r="G34" s="131"/>
      <c r="H34" s="325"/>
      <c r="I34" s="1181" t="s">
        <v>398</v>
      </c>
      <c r="J34" s="31"/>
      <c r="K34" s="31"/>
      <c r="L34" s="31"/>
      <c r="M34" s="31"/>
      <c r="N34" s="31"/>
      <c r="O34" s="31"/>
    </row>
    <row r="35" spans="1:15" x14ac:dyDescent="0.3">
      <c r="A35" s="184" t="s">
        <v>245</v>
      </c>
      <c r="B35" s="212">
        <f>RANK(C35,C$7:C$71,0)</f>
        <v>7</v>
      </c>
      <c r="C35" s="649">
        <f>SUM(E35:H35)</f>
        <v>4</v>
      </c>
      <c r="D35" s="936"/>
      <c r="E35" s="337">
        <v>3</v>
      </c>
      <c r="F35" s="131"/>
      <c r="G35" s="131">
        <v>1</v>
      </c>
      <c r="H35" s="325"/>
      <c r="I35" s="1181" t="s">
        <v>416</v>
      </c>
      <c r="J35" s="31"/>
      <c r="K35" s="31"/>
      <c r="L35" s="31"/>
      <c r="M35" s="31"/>
      <c r="N35" s="31"/>
      <c r="O35" s="31"/>
    </row>
    <row r="36" spans="1:15" x14ac:dyDescent="0.3">
      <c r="A36" s="184" t="s">
        <v>347</v>
      </c>
      <c r="B36" s="212">
        <f>RANK(C36,C$7:C$71,0)</f>
        <v>27</v>
      </c>
      <c r="C36" s="649">
        <f>SUM(E36:H36)</f>
        <v>0</v>
      </c>
      <c r="D36" s="936"/>
      <c r="E36" s="337"/>
      <c r="F36" s="131"/>
      <c r="G36" s="131"/>
      <c r="H36" s="325"/>
      <c r="I36" s="1181" t="s">
        <v>417</v>
      </c>
      <c r="J36" s="31"/>
      <c r="K36" s="31"/>
      <c r="L36" s="31"/>
      <c r="M36" s="31"/>
      <c r="N36" s="31"/>
      <c r="O36" s="31"/>
    </row>
    <row r="37" spans="1:15" x14ac:dyDescent="0.3">
      <c r="A37" s="87" t="s">
        <v>89</v>
      </c>
      <c r="B37" s="212">
        <f>RANK(C37,C$7:C$71,0)</f>
        <v>13</v>
      </c>
      <c r="C37" s="650">
        <f>SUM(E37:H37)</f>
        <v>3</v>
      </c>
      <c r="D37" s="130">
        <v>2021</v>
      </c>
      <c r="E37" s="131"/>
      <c r="F37" s="131"/>
      <c r="G37" s="131">
        <v>3</v>
      </c>
      <c r="H37" s="325"/>
      <c r="I37" s="1181"/>
      <c r="J37" s="31"/>
      <c r="K37" s="31"/>
      <c r="L37" s="31"/>
      <c r="M37" s="31"/>
      <c r="N37" s="31"/>
      <c r="O37" s="31"/>
    </row>
    <row r="38" spans="1:15" x14ac:dyDescent="0.3">
      <c r="A38" s="88" t="s">
        <v>97</v>
      </c>
      <c r="B38" s="212">
        <f>RANK(C38,C$7:C$71,0)</f>
        <v>27</v>
      </c>
      <c r="C38" s="651">
        <f>SUM(E38:H38)</f>
        <v>0</v>
      </c>
      <c r="D38" s="130">
        <v>2019</v>
      </c>
      <c r="E38" s="131"/>
      <c r="F38" s="131"/>
      <c r="G38" s="131"/>
      <c r="H38" s="325"/>
      <c r="I38" s="1181"/>
      <c r="J38" s="31"/>
      <c r="K38" s="31"/>
      <c r="L38" s="31"/>
      <c r="M38" s="31"/>
      <c r="N38" s="31"/>
      <c r="O38" s="31"/>
    </row>
    <row r="39" spans="1:15" x14ac:dyDescent="0.3">
      <c r="A39" s="87" t="s">
        <v>86</v>
      </c>
      <c r="B39" s="212">
        <f>RANK(C39,C$7:C$71,0)</f>
        <v>19</v>
      </c>
      <c r="C39" s="650">
        <f>SUM(E39:H39)</f>
        <v>2</v>
      </c>
      <c r="D39" s="130">
        <v>2013</v>
      </c>
      <c r="E39" s="131"/>
      <c r="F39" s="131"/>
      <c r="G39" s="131">
        <v>2</v>
      </c>
      <c r="H39" s="325"/>
      <c r="I39" s="1181" t="s">
        <v>401</v>
      </c>
      <c r="J39" s="31"/>
      <c r="K39" s="31"/>
      <c r="L39" s="31"/>
      <c r="M39" s="31"/>
      <c r="N39" s="31"/>
      <c r="O39" s="31"/>
    </row>
    <row r="40" spans="1:15" x14ac:dyDescent="0.3">
      <c r="A40" s="184" t="s">
        <v>109</v>
      </c>
      <c r="B40" s="212">
        <f>RANK(C40,C$7:C$71,0)</f>
        <v>13</v>
      </c>
      <c r="C40" s="649">
        <f>SUM(E40:H40)</f>
        <v>3</v>
      </c>
      <c r="D40" s="936"/>
      <c r="E40" s="337">
        <v>3</v>
      </c>
      <c r="F40" s="131"/>
      <c r="G40" s="131"/>
      <c r="H40" s="325"/>
      <c r="I40" s="1181" t="s">
        <v>418</v>
      </c>
      <c r="J40" s="31"/>
      <c r="K40" s="31"/>
      <c r="L40" s="31"/>
      <c r="M40" s="31"/>
      <c r="N40" s="31"/>
      <c r="O40" s="31"/>
    </row>
    <row r="41" spans="1:15" x14ac:dyDescent="0.3">
      <c r="A41" s="87" t="s">
        <v>93</v>
      </c>
      <c r="B41" s="212">
        <f>RANK(C41,C$7:C$71,0)</f>
        <v>13</v>
      </c>
      <c r="C41" s="649">
        <f>SUM(E41:H41)</f>
        <v>3</v>
      </c>
      <c r="D41" s="936"/>
      <c r="E41" s="337"/>
      <c r="F41" s="131">
        <v>1</v>
      </c>
      <c r="G41" s="131">
        <v>2</v>
      </c>
      <c r="H41" s="325"/>
      <c r="I41" s="1181" t="s">
        <v>419</v>
      </c>
      <c r="J41" s="31"/>
      <c r="K41" s="31"/>
      <c r="L41" s="31"/>
      <c r="M41" s="31"/>
      <c r="N41" s="31"/>
      <c r="O41" s="31"/>
    </row>
    <row r="42" spans="1:15" x14ac:dyDescent="0.3">
      <c r="A42" s="87" t="s">
        <v>259</v>
      </c>
      <c r="B42" s="212">
        <f>RANK(C42,C$7:C$71,0)</f>
        <v>27</v>
      </c>
      <c r="C42" s="651">
        <f>SUM(E42:H42)</f>
        <v>0</v>
      </c>
      <c r="D42" s="130">
        <v>2017</v>
      </c>
      <c r="E42" s="131"/>
      <c r="F42" s="131"/>
      <c r="G42" s="131"/>
      <c r="H42" s="325"/>
      <c r="I42" s="1181"/>
      <c r="J42" s="31"/>
      <c r="K42" s="31"/>
      <c r="L42" s="31"/>
      <c r="M42" s="31"/>
      <c r="N42" s="31"/>
      <c r="O42" s="31"/>
    </row>
    <row r="43" spans="1:15" x14ac:dyDescent="0.3">
      <c r="A43" s="184" t="s">
        <v>110</v>
      </c>
      <c r="B43" s="212">
        <f>RANK(C43,C$7:C$71,0)</f>
        <v>27</v>
      </c>
      <c r="C43" s="651">
        <f>SUM(E43:H43)</f>
        <v>0</v>
      </c>
      <c r="D43" s="936"/>
      <c r="E43" s="131"/>
      <c r="F43" s="131"/>
      <c r="G43" s="131"/>
      <c r="H43" s="325"/>
      <c r="I43" s="1181" t="s">
        <v>420</v>
      </c>
      <c r="J43" s="31"/>
      <c r="K43" s="31"/>
      <c r="L43" s="31"/>
      <c r="M43" s="31"/>
      <c r="N43" s="31"/>
      <c r="O43" s="31"/>
    </row>
    <row r="44" spans="1:15" x14ac:dyDescent="0.3">
      <c r="A44" s="184" t="s">
        <v>249</v>
      </c>
      <c r="B44" s="212">
        <f>RANK(C44,C$7:C$71,0)</f>
        <v>27</v>
      </c>
      <c r="C44" s="649">
        <f>SUM(E44:H44)</f>
        <v>0</v>
      </c>
      <c r="D44" s="130">
        <v>2021</v>
      </c>
      <c r="E44" s="131"/>
      <c r="F44" s="131"/>
      <c r="G44" s="131"/>
      <c r="H44" s="325"/>
      <c r="I44" s="1181"/>
      <c r="J44" s="31"/>
      <c r="K44" s="31"/>
      <c r="L44" s="31"/>
      <c r="M44" s="31"/>
      <c r="N44" s="31"/>
      <c r="O44" s="31"/>
    </row>
    <row r="45" spans="1:15" x14ac:dyDescent="0.3">
      <c r="A45" s="87" t="s">
        <v>7</v>
      </c>
      <c r="B45" s="212">
        <f>RANK(C45,C$7:C$71,0)</f>
        <v>13</v>
      </c>
      <c r="C45" s="649">
        <f>SUM(E45:H45)</f>
        <v>3</v>
      </c>
      <c r="D45" s="132">
        <v>2013</v>
      </c>
      <c r="E45" s="131"/>
      <c r="F45" s="131"/>
      <c r="G45" s="131">
        <v>3</v>
      </c>
      <c r="H45" s="325"/>
      <c r="I45" s="1181" t="s">
        <v>277</v>
      </c>
      <c r="J45" s="31"/>
      <c r="K45" s="31"/>
      <c r="L45" s="31"/>
      <c r="M45" s="31"/>
      <c r="N45" s="31"/>
      <c r="O45" s="31"/>
    </row>
    <row r="46" spans="1:15" x14ac:dyDescent="0.3">
      <c r="A46" s="184" t="s">
        <v>111</v>
      </c>
      <c r="B46" s="212">
        <f>RANK(C46,C$7:C$71,0)</f>
        <v>19</v>
      </c>
      <c r="C46" s="649">
        <f>SUM(E46:H46)</f>
        <v>2</v>
      </c>
      <c r="D46" s="130">
        <v>2021</v>
      </c>
      <c r="E46" s="337"/>
      <c r="F46" s="131"/>
      <c r="G46" s="131">
        <v>2</v>
      </c>
      <c r="H46" s="325"/>
      <c r="I46" s="1181"/>
      <c r="J46" s="31"/>
      <c r="K46" s="31"/>
      <c r="L46" s="31"/>
      <c r="M46" s="31"/>
      <c r="N46" s="31"/>
      <c r="O46" s="31"/>
    </row>
    <row r="47" spans="1:15" x14ac:dyDescent="0.3">
      <c r="A47" s="184" t="s">
        <v>112</v>
      </c>
      <c r="B47" s="212">
        <f>RANK(C47,C$7:C$71,0)</f>
        <v>2</v>
      </c>
      <c r="C47" s="649">
        <f>SUM(E47:H47)</f>
        <v>5</v>
      </c>
      <c r="D47" s="936"/>
      <c r="E47" s="337">
        <v>3</v>
      </c>
      <c r="F47" s="131">
        <v>1</v>
      </c>
      <c r="G47" s="131">
        <v>1</v>
      </c>
      <c r="H47" s="325"/>
      <c r="I47" s="1181" t="s">
        <v>399</v>
      </c>
      <c r="J47" s="31"/>
      <c r="K47" s="31"/>
      <c r="L47" s="31"/>
      <c r="M47" s="31"/>
      <c r="N47" s="31"/>
      <c r="O47" s="31"/>
    </row>
    <row r="48" spans="1:15" x14ac:dyDescent="0.3">
      <c r="A48" s="184" t="s">
        <v>352</v>
      </c>
      <c r="B48" s="212">
        <f>RANK(C48,C$7:C$71,0)</f>
        <v>27</v>
      </c>
      <c r="C48" s="649">
        <f>SUM(E48:H48)</f>
        <v>0</v>
      </c>
      <c r="D48" s="936"/>
      <c r="E48" s="337"/>
      <c r="F48" s="131"/>
      <c r="G48" s="131"/>
      <c r="H48" s="325"/>
      <c r="I48" s="1181"/>
      <c r="J48" s="31"/>
      <c r="K48" s="31"/>
      <c r="L48" s="31"/>
      <c r="M48" s="31"/>
      <c r="N48" s="31"/>
      <c r="O48" s="31"/>
    </row>
    <row r="49" spans="1:15" x14ac:dyDescent="0.3">
      <c r="A49" s="184" t="s">
        <v>365</v>
      </c>
      <c r="B49" s="212">
        <f>RANK(C49,C$7:C$71,0)</f>
        <v>13</v>
      </c>
      <c r="C49" s="649">
        <f>SUM(E49:H49)</f>
        <v>3</v>
      </c>
      <c r="D49" s="130">
        <v>2013</v>
      </c>
      <c r="E49" s="131"/>
      <c r="F49" s="131">
        <v>2</v>
      </c>
      <c r="G49" s="131">
        <v>1</v>
      </c>
      <c r="H49" s="325"/>
      <c r="I49" s="1181" t="s">
        <v>400</v>
      </c>
      <c r="J49" s="31"/>
      <c r="K49" s="31"/>
      <c r="L49" s="31"/>
      <c r="M49" s="31"/>
      <c r="N49" s="31"/>
      <c r="O49" s="31"/>
    </row>
    <row r="50" spans="1:15" x14ac:dyDescent="0.3">
      <c r="A50" s="184" t="s">
        <v>366</v>
      </c>
      <c r="B50" s="212">
        <f>RANK(C50,C$7:C$71,0)</f>
        <v>27</v>
      </c>
      <c r="C50" s="651">
        <f>SUM(E50:H50)</f>
        <v>0</v>
      </c>
      <c r="D50" s="936"/>
      <c r="E50" s="131"/>
      <c r="F50" s="131"/>
      <c r="G50" s="131"/>
      <c r="H50" s="325"/>
      <c r="I50" s="1181" t="s">
        <v>421</v>
      </c>
      <c r="J50" s="31"/>
      <c r="K50" s="31"/>
      <c r="L50" s="31"/>
      <c r="M50" s="31"/>
      <c r="N50" s="31"/>
      <c r="O50" s="31"/>
    </row>
    <row r="51" spans="1:15" x14ac:dyDescent="0.3">
      <c r="A51" s="184" t="s">
        <v>353</v>
      </c>
      <c r="B51" s="212">
        <f>RANK(C51,C$7:C$71,0)</f>
        <v>27</v>
      </c>
      <c r="C51" s="651">
        <f>SUM(E51:H51)</f>
        <v>0</v>
      </c>
      <c r="D51" s="936"/>
      <c r="E51" s="131"/>
      <c r="F51" s="131"/>
      <c r="G51" s="131"/>
      <c r="H51" s="325"/>
      <c r="I51" s="1181" t="s">
        <v>422</v>
      </c>
      <c r="J51" s="31"/>
      <c r="K51" s="31"/>
      <c r="L51" s="31"/>
      <c r="M51" s="31"/>
      <c r="N51" s="31"/>
      <c r="O51" s="31"/>
    </row>
    <row r="52" spans="1:15" x14ac:dyDescent="0.3">
      <c r="A52" s="184" t="s">
        <v>369</v>
      </c>
      <c r="B52" s="212">
        <f>RANK(C52,C$7:C$71,0)</f>
        <v>27</v>
      </c>
      <c r="C52" s="651">
        <f>SUM(E52:H52)</f>
        <v>0</v>
      </c>
      <c r="D52" s="936"/>
      <c r="E52" s="131"/>
      <c r="F52" s="131"/>
      <c r="G52" s="131"/>
      <c r="H52" s="325"/>
      <c r="I52" s="1181" t="s">
        <v>423</v>
      </c>
      <c r="J52" s="31"/>
      <c r="K52" s="31"/>
      <c r="L52" s="31"/>
      <c r="M52" s="31"/>
      <c r="N52" s="31"/>
      <c r="O52" s="31"/>
    </row>
    <row r="53" spans="1:15" x14ac:dyDescent="0.3">
      <c r="A53" s="184" t="s">
        <v>331</v>
      </c>
      <c r="B53" s="212">
        <f>RANK(C53,C$7:C$71,0)</f>
        <v>27</v>
      </c>
      <c r="C53" s="651">
        <f>SUM(E53:H53)</f>
        <v>0</v>
      </c>
      <c r="D53" s="130">
        <v>2013</v>
      </c>
      <c r="E53" s="131"/>
      <c r="F53" s="131"/>
      <c r="G53" s="131"/>
      <c r="H53" s="325"/>
      <c r="I53" s="1181" t="s">
        <v>403</v>
      </c>
      <c r="J53" s="31"/>
      <c r="K53" s="31"/>
      <c r="L53" s="31"/>
      <c r="M53" s="31"/>
      <c r="N53" s="31"/>
      <c r="O53" s="31"/>
    </row>
    <row r="54" spans="1:15" x14ac:dyDescent="0.3">
      <c r="A54" s="88" t="s">
        <v>91</v>
      </c>
      <c r="B54" s="212">
        <f>RANK(C54,C$7:C$71,0)</f>
        <v>27</v>
      </c>
      <c r="C54" s="651">
        <f>SUM(E54:H54)</f>
        <v>0</v>
      </c>
      <c r="D54" s="132">
        <v>2019</v>
      </c>
      <c r="E54" s="131"/>
      <c r="F54" s="131"/>
      <c r="G54" s="131"/>
      <c r="H54" s="325"/>
      <c r="I54" s="1181"/>
      <c r="J54" s="31"/>
      <c r="K54" s="31"/>
      <c r="L54" s="31"/>
      <c r="M54" s="31"/>
      <c r="N54" s="31"/>
      <c r="O54" s="31"/>
    </row>
    <row r="55" spans="1:15" x14ac:dyDescent="0.3">
      <c r="A55" s="184" t="s">
        <v>367</v>
      </c>
      <c r="B55" s="212">
        <f>RANK(C55,C$7:C$71,0)</f>
        <v>25</v>
      </c>
      <c r="C55" s="649">
        <f>SUM(E55:H55)</f>
        <v>1</v>
      </c>
      <c r="D55" s="936"/>
      <c r="E55" s="131"/>
      <c r="F55" s="131"/>
      <c r="G55" s="131">
        <v>1</v>
      </c>
      <c r="H55" s="325"/>
      <c r="I55" s="1181" t="s">
        <v>424</v>
      </c>
      <c r="J55" s="31"/>
      <c r="K55" s="31"/>
      <c r="L55" s="31"/>
      <c r="M55" s="31"/>
      <c r="N55" s="31"/>
      <c r="O55" s="31"/>
    </row>
    <row r="56" spans="1:15" x14ac:dyDescent="0.3">
      <c r="A56" s="184" t="s">
        <v>158</v>
      </c>
      <c r="B56" s="212">
        <f>RANK(C56,C$7:C$71,0)</f>
        <v>19</v>
      </c>
      <c r="C56" s="649">
        <f>SUM(E56:H56)</f>
        <v>2</v>
      </c>
      <c r="D56" s="936"/>
      <c r="E56" s="131"/>
      <c r="F56" s="131">
        <v>1</v>
      </c>
      <c r="G56" s="131">
        <v>1</v>
      </c>
      <c r="H56" s="325"/>
      <c r="I56" s="1181" t="s">
        <v>404</v>
      </c>
      <c r="J56" s="31"/>
      <c r="K56" s="31"/>
      <c r="L56" s="31"/>
      <c r="M56" s="31"/>
      <c r="N56" s="31"/>
      <c r="O56" s="31"/>
    </row>
    <row r="57" spans="1:15" x14ac:dyDescent="0.3">
      <c r="A57" s="184" t="s">
        <v>113</v>
      </c>
      <c r="B57" s="212">
        <f>RANK(C57,C$7:C$71,0)</f>
        <v>2</v>
      </c>
      <c r="C57" s="649">
        <f>SUM(E57:H57)</f>
        <v>5</v>
      </c>
      <c r="D57" s="936"/>
      <c r="E57" s="337">
        <v>3</v>
      </c>
      <c r="F57" s="131"/>
      <c r="G57" s="131">
        <v>2</v>
      </c>
      <c r="H57" s="325"/>
      <c r="I57" s="1181" t="s">
        <v>425</v>
      </c>
      <c r="J57" s="31"/>
      <c r="K57" s="31"/>
      <c r="L57" s="31"/>
      <c r="M57" s="31"/>
      <c r="N57" s="31"/>
      <c r="O57" s="31"/>
    </row>
    <row r="58" spans="1:15" x14ac:dyDescent="0.3">
      <c r="A58" s="87" t="s">
        <v>87</v>
      </c>
      <c r="B58" s="212">
        <f>RANK(C58,C$7:C$71,0)</f>
        <v>19</v>
      </c>
      <c r="C58" s="649">
        <f>SUM(E58:H58)</f>
        <v>2</v>
      </c>
      <c r="D58" s="130">
        <v>2013</v>
      </c>
      <c r="E58" s="131"/>
      <c r="F58" s="131"/>
      <c r="G58" s="131">
        <v>2</v>
      </c>
      <c r="H58" s="325"/>
      <c r="I58" s="1181" t="s">
        <v>402</v>
      </c>
      <c r="J58" s="31"/>
      <c r="K58" s="31"/>
      <c r="L58" s="31"/>
      <c r="M58" s="31"/>
      <c r="N58" s="31"/>
      <c r="O58" s="31"/>
    </row>
    <row r="59" spans="1:15" x14ac:dyDescent="0.3">
      <c r="A59" s="87" t="s">
        <v>355</v>
      </c>
      <c r="B59" s="212">
        <f>RANK(C59,C$7:C$71,0)</f>
        <v>27</v>
      </c>
      <c r="C59" s="649">
        <f>SUM(E59:H59)</f>
        <v>0</v>
      </c>
      <c r="D59" s="936"/>
      <c r="E59" s="131"/>
      <c r="F59" s="131"/>
      <c r="G59" s="131"/>
      <c r="H59" s="325"/>
      <c r="I59" s="1181" t="s">
        <v>426</v>
      </c>
      <c r="J59" s="31"/>
      <c r="K59" s="31"/>
      <c r="L59" s="31"/>
      <c r="M59" s="31"/>
      <c r="N59" s="31"/>
      <c r="O59" s="31"/>
    </row>
    <row r="60" spans="1:15" x14ac:dyDescent="0.3">
      <c r="A60" s="184" t="s">
        <v>114</v>
      </c>
      <c r="B60" s="212">
        <f>RANK(C60,C$7:C$71,0)</f>
        <v>13</v>
      </c>
      <c r="C60" s="649">
        <v>3</v>
      </c>
      <c r="D60" s="936"/>
      <c r="E60" s="337">
        <v>3</v>
      </c>
      <c r="F60" s="131"/>
      <c r="G60" s="131"/>
      <c r="H60" s="325"/>
      <c r="I60" s="1181" t="s">
        <v>427</v>
      </c>
      <c r="J60" s="31"/>
      <c r="K60" s="31"/>
      <c r="L60" s="31"/>
      <c r="M60" s="31"/>
      <c r="N60" s="31"/>
      <c r="O60" s="31"/>
    </row>
    <row r="61" spans="1:15" x14ac:dyDescent="0.3">
      <c r="A61" s="184" t="s">
        <v>160</v>
      </c>
      <c r="B61" s="212">
        <f>RANK(C61,C$7:C$71,0)</f>
        <v>1</v>
      </c>
      <c r="C61" s="391">
        <f>SUM(E61:H61)</f>
        <v>8</v>
      </c>
      <c r="D61" s="130">
        <v>2009</v>
      </c>
      <c r="E61" s="131">
        <v>5</v>
      </c>
      <c r="F61" s="131">
        <v>1</v>
      </c>
      <c r="G61" s="131">
        <v>2</v>
      </c>
      <c r="H61" s="325"/>
      <c r="I61" s="1181" t="s">
        <v>405</v>
      </c>
      <c r="J61" s="31"/>
      <c r="K61" s="31"/>
      <c r="L61" s="31"/>
      <c r="M61" s="31"/>
      <c r="N61" s="31"/>
      <c r="O61" s="31"/>
    </row>
    <row r="62" spans="1:15" x14ac:dyDescent="0.3">
      <c r="A62" s="184" t="s">
        <v>115</v>
      </c>
      <c r="B62" s="212">
        <f>RANK(C62,C$7:C$71,0)</f>
        <v>27</v>
      </c>
      <c r="C62" s="649">
        <f>SUM(E62:H62)</f>
        <v>0</v>
      </c>
      <c r="D62" s="130">
        <v>2021</v>
      </c>
      <c r="E62" s="337"/>
      <c r="F62" s="131"/>
      <c r="G62" s="131"/>
      <c r="H62" s="325"/>
      <c r="I62" s="1181"/>
      <c r="J62" s="31"/>
      <c r="K62" s="31"/>
      <c r="L62" s="31"/>
      <c r="M62" s="31"/>
      <c r="N62" s="31"/>
      <c r="O62" s="31"/>
    </row>
    <row r="63" spans="1:15" x14ac:dyDescent="0.3">
      <c r="A63" s="87" t="s">
        <v>18</v>
      </c>
      <c r="B63" s="212">
        <f>RANK(C63,C$7:C$71,0)</f>
        <v>25</v>
      </c>
      <c r="C63" s="649">
        <f>SUM(E63:H63)</f>
        <v>1</v>
      </c>
      <c r="D63" s="130">
        <v>2005</v>
      </c>
      <c r="E63" s="131"/>
      <c r="F63" s="131"/>
      <c r="G63" s="131">
        <v>1</v>
      </c>
      <c r="H63" s="325"/>
      <c r="I63" s="1181" t="s">
        <v>406</v>
      </c>
      <c r="J63" s="31"/>
      <c r="K63" s="31"/>
      <c r="L63" s="31"/>
      <c r="M63" s="31"/>
      <c r="N63" s="31"/>
      <c r="O63" s="31"/>
    </row>
    <row r="64" spans="1:15" x14ac:dyDescent="0.3">
      <c r="A64" s="184" t="s">
        <v>116</v>
      </c>
      <c r="B64" s="212">
        <f>RANK(C64,C$7:C$71,0)</f>
        <v>7</v>
      </c>
      <c r="C64" s="649">
        <f>SUM(E64:H64)</f>
        <v>4</v>
      </c>
      <c r="D64" s="936"/>
      <c r="E64" s="337">
        <v>3</v>
      </c>
      <c r="F64" s="131"/>
      <c r="G64" s="131">
        <v>1</v>
      </c>
      <c r="H64" s="325"/>
      <c r="I64" s="1181" t="s">
        <v>428</v>
      </c>
      <c r="J64" s="31"/>
      <c r="K64" s="31"/>
      <c r="L64" s="31"/>
      <c r="M64" s="31"/>
      <c r="N64" s="31"/>
      <c r="O64" s="31"/>
    </row>
    <row r="65" spans="1:15" x14ac:dyDescent="0.3">
      <c r="A65" s="184" t="s">
        <v>356</v>
      </c>
      <c r="B65" s="212">
        <f>RANK(C65,C$7:C$71,0)</f>
        <v>27</v>
      </c>
      <c r="C65" s="649">
        <f>SUM(E65:H65)</f>
        <v>0</v>
      </c>
      <c r="D65" s="936"/>
      <c r="E65" s="337"/>
      <c r="F65" s="131"/>
      <c r="G65" s="131"/>
      <c r="H65" s="325"/>
      <c r="I65" s="1181"/>
      <c r="J65" s="31"/>
      <c r="K65" s="31"/>
      <c r="L65" s="31"/>
      <c r="M65" s="31"/>
      <c r="N65" s="31"/>
      <c r="O65" s="31"/>
    </row>
    <row r="66" spans="1:15" x14ac:dyDescent="0.3">
      <c r="A66" s="184" t="s">
        <v>246</v>
      </c>
      <c r="B66" s="212">
        <f>RANK(C66,C$7:C$71,0)</f>
        <v>7</v>
      </c>
      <c r="C66" s="649">
        <f>SUM(E66:H66)</f>
        <v>4</v>
      </c>
      <c r="D66" s="936"/>
      <c r="E66" s="337">
        <v>3</v>
      </c>
      <c r="F66" s="131"/>
      <c r="G66" s="131">
        <v>1</v>
      </c>
      <c r="H66" s="325"/>
      <c r="I66" s="1181" t="s">
        <v>429</v>
      </c>
      <c r="J66" s="31"/>
      <c r="K66" s="31"/>
      <c r="L66" s="31"/>
      <c r="M66" s="31"/>
      <c r="N66" s="31"/>
      <c r="O66" s="31"/>
    </row>
    <row r="67" spans="1:15" x14ac:dyDescent="0.3">
      <c r="A67" s="184" t="s">
        <v>272</v>
      </c>
      <c r="B67" s="212">
        <f>RANK(C67,C$7:C$71,0)</f>
        <v>27</v>
      </c>
      <c r="C67" s="391">
        <f>SUM(E67:H67)</f>
        <v>0</v>
      </c>
      <c r="D67" s="130">
        <v>2021</v>
      </c>
      <c r="E67" s="337"/>
      <c r="F67" s="131"/>
      <c r="G67" s="131"/>
      <c r="H67" s="325"/>
      <c r="I67" s="1181"/>
      <c r="J67" s="31"/>
      <c r="K67" s="31"/>
      <c r="L67" s="31"/>
      <c r="M67" s="31"/>
      <c r="N67" s="31"/>
      <c r="O67" s="31"/>
    </row>
    <row r="68" spans="1:15" x14ac:dyDescent="0.3">
      <c r="A68" s="87" t="s">
        <v>98</v>
      </c>
      <c r="B68" s="212">
        <f>RANK(C68,C$7:C$71,0)</f>
        <v>27</v>
      </c>
      <c r="C68" s="651">
        <f>SUM(E68:H68)</f>
        <v>0</v>
      </c>
      <c r="D68" s="132">
        <v>2015</v>
      </c>
      <c r="E68" s="131"/>
      <c r="F68" s="131"/>
      <c r="G68" s="131"/>
      <c r="H68" s="325"/>
      <c r="I68" s="1181"/>
      <c r="J68" s="31"/>
      <c r="K68" s="31"/>
      <c r="L68" s="31"/>
      <c r="M68" s="31"/>
      <c r="N68" s="31"/>
      <c r="O68" s="31"/>
    </row>
    <row r="69" spans="1:15" x14ac:dyDescent="0.3">
      <c r="A69" s="87" t="s">
        <v>161</v>
      </c>
      <c r="B69" s="212">
        <f>RANK(C69,C$7:C$71,0)</f>
        <v>27</v>
      </c>
      <c r="C69" s="651">
        <f>SUM(E69:H69)</f>
        <v>0</v>
      </c>
      <c r="D69" s="130">
        <v>2017</v>
      </c>
      <c r="E69" s="131"/>
      <c r="F69" s="131"/>
      <c r="G69" s="131"/>
      <c r="H69" s="325"/>
      <c r="I69" s="1181" t="s">
        <v>407</v>
      </c>
      <c r="J69" s="31"/>
      <c r="K69" s="31"/>
      <c r="L69" s="31"/>
      <c r="M69" s="31"/>
      <c r="N69" s="31"/>
      <c r="O69" s="31"/>
    </row>
    <row r="70" spans="1:15" x14ac:dyDescent="0.3">
      <c r="A70" s="1001" t="s">
        <v>359</v>
      </c>
      <c r="B70" s="212">
        <f>RANK(C70,C$7:C$71,0)</f>
        <v>27</v>
      </c>
      <c r="C70" s="651">
        <f>SUM(E70:H70)</f>
        <v>0</v>
      </c>
      <c r="D70" s="936"/>
      <c r="E70" s="1024"/>
      <c r="F70" s="1024"/>
      <c r="G70" s="1024"/>
      <c r="H70" s="1025"/>
      <c r="I70" s="1182"/>
      <c r="J70" s="31"/>
      <c r="K70" s="31"/>
      <c r="L70" s="31"/>
      <c r="M70" s="31"/>
      <c r="N70" s="31"/>
      <c r="O70" s="31"/>
    </row>
    <row r="71" spans="1:15" ht="19.5" thickBot="1" x14ac:dyDescent="0.35">
      <c r="A71" s="152" t="s">
        <v>162</v>
      </c>
      <c r="B71" s="212">
        <f>RANK(C71,C$7:C$71,0)</f>
        <v>27</v>
      </c>
      <c r="C71" s="652">
        <f>SUM(E71:H71)</f>
        <v>0</v>
      </c>
      <c r="D71" s="133">
        <v>2017</v>
      </c>
      <c r="E71" s="134"/>
      <c r="F71" s="134"/>
      <c r="G71" s="134"/>
      <c r="H71" s="333"/>
      <c r="I71" s="1183" t="s">
        <v>430</v>
      </c>
      <c r="J71" s="31"/>
      <c r="K71" s="31"/>
      <c r="L71" s="31"/>
      <c r="M71" s="31"/>
      <c r="N71" s="31"/>
      <c r="O71" s="31"/>
    </row>
    <row r="72" spans="1:15" x14ac:dyDescent="0.3">
      <c r="A72" s="344"/>
      <c r="B72" s="31"/>
      <c r="C72" s="344"/>
      <c r="D72" s="30"/>
      <c r="E72" s="30"/>
      <c r="F72" s="30"/>
      <c r="G72" s="30"/>
      <c r="H72" s="30"/>
      <c r="I72" s="31"/>
      <c r="J72" s="31"/>
      <c r="K72" s="31"/>
      <c r="L72" s="31"/>
      <c r="M72" s="31"/>
      <c r="N72" s="31"/>
      <c r="O72" s="31"/>
    </row>
    <row r="73" spans="1:15" x14ac:dyDescent="0.3">
      <c r="A73" s="344"/>
      <c r="B73" s="31"/>
      <c r="C73" s="344"/>
      <c r="D73" s="30"/>
      <c r="E73" s="30"/>
      <c r="F73" s="30"/>
      <c r="G73" s="30"/>
      <c r="H73" s="30"/>
      <c r="I73" s="31"/>
      <c r="J73" s="31"/>
      <c r="K73" s="31"/>
      <c r="L73" s="31"/>
      <c r="M73" s="31"/>
      <c r="N73" s="31"/>
      <c r="O73" s="31"/>
    </row>
    <row r="74" spans="1:15" x14ac:dyDescent="0.3">
      <c r="A74" s="344"/>
      <c r="B74" s="31"/>
      <c r="C74" s="344"/>
      <c r="D74" s="30"/>
      <c r="E74" s="30"/>
      <c r="F74" s="30"/>
      <c r="G74" s="30"/>
      <c r="H74" s="30"/>
      <c r="I74" s="31"/>
      <c r="J74" s="31"/>
      <c r="K74" s="31"/>
      <c r="L74" s="31"/>
      <c r="M74" s="31"/>
      <c r="N74" s="31"/>
      <c r="O74" s="31"/>
    </row>
    <row r="75" spans="1:15" x14ac:dyDescent="0.3">
      <c r="A75" s="344"/>
      <c r="B75" s="31"/>
      <c r="C75" s="344"/>
      <c r="D75" s="30"/>
      <c r="E75" s="30"/>
      <c r="F75" s="30"/>
      <c r="G75" s="30"/>
      <c r="H75" s="30"/>
      <c r="I75" s="31"/>
      <c r="J75" s="31"/>
      <c r="K75" s="31"/>
      <c r="L75" s="31"/>
      <c r="M75" s="31"/>
      <c r="N75" s="31"/>
      <c r="O75" s="31"/>
    </row>
    <row r="76" spans="1:15" x14ac:dyDescent="0.3">
      <c r="A76" s="344"/>
      <c r="B76" s="31"/>
      <c r="C76" s="344"/>
      <c r="D76" s="30"/>
      <c r="E76" s="30"/>
      <c r="F76" s="30"/>
      <c r="G76" s="30"/>
      <c r="H76" s="30"/>
      <c r="I76" s="31"/>
      <c r="J76" s="31"/>
      <c r="K76" s="31"/>
      <c r="L76" s="31"/>
      <c r="M76" s="31"/>
      <c r="N76" s="31"/>
      <c r="O76" s="31"/>
    </row>
    <row r="77" spans="1:15" x14ac:dyDescent="0.3">
      <c r="A77" s="344"/>
      <c r="B77" s="31"/>
      <c r="C77" s="344"/>
      <c r="D77" s="30"/>
      <c r="E77" s="30"/>
      <c r="F77" s="30"/>
      <c r="G77" s="30"/>
      <c r="H77" s="30"/>
      <c r="I77" s="31"/>
      <c r="J77" s="31"/>
      <c r="K77" s="31"/>
      <c r="L77" s="31"/>
      <c r="M77" s="31"/>
      <c r="N77" s="31"/>
      <c r="O77" s="31"/>
    </row>
    <row r="78" spans="1:15" x14ac:dyDescent="0.3">
      <c r="A78" s="344"/>
      <c r="B78" s="31"/>
      <c r="C78" s="344"/>
      <c r="D78" s="30"/>
      <c r="E78" s="30"/>
      <c r="F78" s="30"/>
      <c r="G78" s="30"/>
      <c r="H78" s="30"/>
      <c r="I78" s="31"/>
      <c r="J78" s="31"/>
      <c r="K78" s="31"/>
      <c r="L78" s="31"/>
      <c r="M78" s="31"/>
      <c r="N78" s="31"/>
      <c r="O78" s="31"/>
    </row>
    <row r="79" spans="1:15" x14ac:dyDescent="0.3">
      <c r="A79" s="344"/>
      <c r="B79" s="31"/>
      <c r="C79" s="344"/>
      <c r="D79" s="30"/>
      <c r="E79" s="30"/>
      <c r="F79" s="30"/>
      <c r="G79" s="30"/>
      <c r="H79" s="30"/>
      <c r="I79" s="31"/>
      <c r="J79" s="31"/>
      <c r="K79" s="31"/>
      <c r="L79" s="31"/>
      <c r="M79" s="31"/>
      <c r="N79" s="31"/>
      <c r="O79" s="31"/>
    </row>
    <row r="80" spans="1:15" x14ac:dyDescent="0.3">
      <c r="A80" s="344"/>
      <c r="B80" s="31"/>
      <c r="C80" s="344"/>
      <c r="D80" s="30"/>
      <c r="E80" s="30"/>
      <c r="F80" s="30"/>
      <c r="G80" s="30"/>
      <c r="H80" s="30"/>
      <c r="I80" s="31"/>
      <c r="J80" s="31"/>
      <c r="K80" s="31"/>
      <c r="L80" s="31"/>
      <c r="M80" s="31"/>
      <c r="N80" s="31"/>
      <c r="O80" s="31"/>
    </row>
    <row r="81" spans="1:15" x14ac:dyDescent="0.3">
      <c r="A81" s="344"/>
      <c r="B81" s="31"/>
      <c r="C81" s="344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</row>
    <row r="82" spans="1:15" x14ac:dyDescent="0.3">
      <c r="A82" s="344"/>
      <c r="B82" s="31"/>
      <c r="C82" s="344"/>
      <c r="D82" s="30"/>
      <c r="E82" s="30"/>
      <c r="F82" s="30"/>
      <c r="G82" s="30"/>
      <c r="H82" s="30"/>
      <c r="I82" s="31"/>
      <c r="J82" s="31"/>
      <c r="K82" s="31"/>
      <c r="L82" s="31"/>
      <c r="M82" s="31"/>
      <c r="N82" s="31"/>
      <c r="O82" s="31"/>
    </row>
  </sheetData>
  <conditionalFormatting sqref="B7:B71">
    <cfRule type="colorScale" priority="185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D7:D8 D10:D14 D16:D22 D29 D31:D32 D34 D37:D39 D42 D44:D46 D49 D53:D54 D58 D61:D63 D67:D69 D71 D24:D2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6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7">
    <cfRule type="colorScale" priority="5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8">
    <cfRule type="colorScale" priority="5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0">
    <cfRule type="colorScale" priority="5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3">
    <cfRule type="colorScale" priority="4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35:D36">
    <cfRule type="colorScale" priority="4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0">
    <cfRule type="colorScale" priority="4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1">
    <cfRule type="colorScale" priority="38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3">
    <cfRule type="colorScale" priority="35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47:D48">
    <cfRule type="colorScale" priority="3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0:D52">
    <cfRule type="colorScale" priority="29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5">
    <cfRule type="colorScale" priority="2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6">
    <cfRule type="colorScale" priority="2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7">
    <cfRule type="colorScale" priority="2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0">
    <cfRule type="colorScale" priority="1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4:D65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66">
    <cfRule type="colorScale" priority="1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colorScale" priority="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59">
    <cfRule type="colorScale" priority="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D23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0"/>
  </sheetPr>
  <dimension ref="A1:BL80"/>
  <sheetViews>
    <sheetView tabSelected="1" zoomScale="90" zoomScaleNormal="90" workbookViewId="0">
      <pane xSplit="1" ySplit="6" topLeftCell="B25" activePane="bottomRight" state="frozen"/>
      <selection activeCell="A22" sqref="A22"/>
      <selection pane="topRight" activeCell="A22" sqref="A22"/>
      <selection pane="bottomLeft" activeCell="A22" sqref="A22"/>
      <selection pane="bottomRight" activeCell="F32" sqref="F32"/>
    </sheetView>
  </sheetViews>
  <sheetFormatPr defaultColWidth="8.85546875" defaultRowHeight="18.75" x14ac:dyDescent="0.3"/>
  <cols>
    <col min="1" max="1" width="45.42578125" style="2" customWidth="1"/>
    <col min="2" max="2" width="19.85546875" customWidth="1"/>
    <col min="3" max="3" width="12.140625" style="1" customWidth="1"/>
    <col min="4" max="4" width="12.140625" style="3" customWidth="1"/>
    <col min="5" max="5" width="12.140625" customWidth="1"/>
    <col min="6" max="6" width="12.140625" style="86" customWidth="1"/>
    <col min="7" max="7" width="12.140625" style="65" customWidth="1"/>
    <col min="8" max="9" width="12.140625" style="3" customWidth="1"/>
    <col min="10" max="11" width="12.140625" style="1" customWidth="1"/>
    <col min="12" max="12" width="12.140625" style="2" customWidth="1"/>
    <col min="13" max="13" width="12.140625" style="3" customWidth="1"/>
    <col min="14" max="14" width="12.140625" style="13" customWidth="1"/>
    <col min="15" max="20" width="12.140625" style="1" customWidth="1"/>
    <col min="21" max="22" width="12.140625" customWidth="1"/>
    <col min="23" max="23" width="5" customWidth="1"/>
    <col min="24" max="24" width="37.5703125" style="1" customWidth="1"/>
    <col min="25" max="25" width="11.42578125" style="1" customWidth="1"/>
    <col min="26" max="26" width="8.85546875" style="1"/>
    <col min="27" max="27" width="20.42578125" style="1" customWidth="1"/>
    <col min="28" max="28" width="10.7109375" style="1" customWidth="1"/>
    <col min="29" max="29" width="13.140625" style="1" bestFit="1" customWidth="1"/>
    <col min="30" max="16384" width="8.85546875" style="1"/>
  </cols>
  <sheetData>
    <row r="1" spans="1:64" ht="19.5" thickBot="1" x14ac:dyDescent="0.35">
      <c r="A1" s="349" t="s">
        <v>213</v>
      </c>
      <c r="B1" s="165"/>
      <c r="C1" s="31"/>
      <c r="D1" s="30"/>
      <c r="E1" s="165"/>
      <c r="F1" s="346"/>
      <c r="G1" s="341"/>
      <c r="H1" s="30"/>
      <c r="I1" s="30"/>
      <c r="J1" s="31"/>
      <c r="K1" s="31"/>
      <c r="L1" s="344"/>
      <c r="M1" s="30"/>
      <c r="N1" s="377"/>
      <c r="O1" s="31"/>
      <c r="P1" s="34">
        <v>-2</v>
      </c>
      <c r="Q1" s="34"/>
      <c r="R1" s="340" t="s">
        <v>266</v>
      </c>
      <c r="S1" s="31"/>
      <c r="T1" s="31"/>
      <c r="U1" s="165"/>
      <c r="V1" s="165"/>
      <c r="W1" s="165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64" x14ac:dyDescent="0.3">
      <c r="A2" s="344"/>
      <c r="B2" s="878"/>
      <c r="C2" s="31"/>
      <c r="D2" s="30"/>
      <c r="E2" s="144"/>
      <c r="F2" s="350" t="s">
        <v>214</v>
      </c>
      <c r="G2" s="385"/>
      <c r="H2" s="30"/>
      <c r="I2" s="30"/>
      <c r="J2" s="31"/>
      <c r="K2" s="31"/>
      <c r="L2" s="344"/>
      <c r="M2" s="30"/>
      <c r="N2" s="377"/>
      <c r="O2" s="369" t="s">
        <v>211</v>
      </c>
      <c r="P2" s="367">
        <v>4</v>
      </c>
      <c r="Q2" s="367"/>
      <c r="R2" s="626" t="s">
        <v>243</v>
      </c>
      <c r="S2" s="626"/>
      <c r="T2" s="626"/>
      <c r="U2" s="627"/>
      <c r="V2" s="626"/>
      <c r="W2" s="627"/>
      <c r="X2" s="628"/>
      <c r="Y2" s="628"/>
      <c r="Z2" s="170"/>
      <c r="AA2" s="69"/>
      <c r="AB2" s="31"/>
      <c r="AC2" s="31"/>
      <c r="AD2" s="31"/>
      <c r="AE2" s="31"/>
      <c r="AF2" s="31"/>
      <c r="AG2" s="31"/>
      <c r="AH2" s="31"/>
    </row>
    <row r="3" spans="1:64" x14ac:dyDescent="0.3">
      <c r="A3" s="31"/>
      <c r="B3" s="878"/>
      <c r="C3" s="31"/>
      <c r="D3" s="30"/>
      <c r="E3" s="339"/>
      <c r="F3" s="347"/>
      <c r="G3" s="676" t="s">
        <v>212</v>
      </c>
      <c r="I3" s="30"/>
      <c r="J3" s="69"/>
      <c r="K3" s="69"/>
      <c r="L3" s="89"/>
      <c r="M3" s="30"/>
      <c r="N3" s="377"/>
      <c r="O3" s="386" t="s">
        <v>210</v>
      </c>
      <c r="P3" s="389"/>
      <c r="Q3" s="35" t="s">
        <v>279</v>
      </c>
      <c r="R3" s="396"/>
      <c r="S3" s="598" t="s">
        <v>264</v>
      </c>
      <c r="T3" s="599"/>
      <c r="U3" s="600"/>
      <c r="V3" s="601"/>
      <c r="W3" s="602"/>
      <c r="X3" s="602"/>
      <c r="Y3" s="170"/>
      <c r="Z3" s="170"/>
      <c r="AA3" s="69"/>
      <c r="AB3" s="69"/>
      <c r="AC3" s="31"/>
      <c r="AD3" s="31"/>
      <c r="AE3" s="31"/>
      <c r="AF3" s="31"/>
      <c r="AG3" s="31"/>
      <c r="AH3" s="31"/>
    </row>
    <row r="4" spans="1:64" ht="19.5" thickBot="1" x14ac:dyDescent="0.35">
      <c r="A4" s="344"/>
      <c r="B4" s="879"/>
      <c r="C4" s="31"/>
      <c r="D4" s="30"/>
      <c r="E4" s="144"/>
      <c r="F4" s="347"/>
      <c r="G4" s="676" t="s">
        <v>286</v>
      </c>
      <c r="H4" s="348"/>
      <c r="I4" s="91"/>
      <c r="J4" s="100"/>
      <c r="K4" s="345"/>
      <c r="L4" s="299" t="s">
        <v>203</v>
      </c>
      <c r="M4" s="632"/>
      <c r="N4" s="377"/>
      <c r="O4" s="370">
        <v>2023</v>
      </c>
      <c r="P4" s="635" t="s">
        <v>69</v>
      </c>
      <c r="Q4" s="660" t="s">
        <v>280</v>
      </c>
      <c r="R4" s="386"/>
      <c r="S4" s="603"/>
      <c r="T4" s="594">
        <v>1</v>
      </c>
      <c r="U4" s="1214"/>
      <c r="V4" s="1214"/>
      <c r="W4" s="1215"/>
      <c r="X4" s="1215"/>
      <c r="Y4" s="1215"/>
      <c r="Z4" s="1215"/>
      <c r="AA4" s="1216"/>
      <c r="AB4" s="69"/>
      <c r="AC4" s="31"/>
      <c r="AD4" s="31"/>
      <c r="AE4" s="31"/>
      <c r="AF4" s="31"/>
      <c r="AG4" s="31"/>
      <c r="AH4" s="31"/>
    </row>
    <row r="5" spans="1:64" x14ac:dyDescent="0.3">
      <c r="A5" s="89"/>
      <c r="B5" s="880"/>
      <c r="C5" s="537"/>
      <c r="D5" s="351" t="s">
        <v>208</v>
      </c>
      <c r="E5" s="352"/>
      <c r="F5" s="677"/>
      <c r="G5" s="319">
        <v>20</v>
      </c>
      <c r="H5" s="384" t="s">
        <v>79</v>
      </c>
      <c r="I5" s="378"/>
      <c r="J5" s="379"/>
      <c r="K5" s="380"/>
      <c r="L5" s="336" t="s">
        <v>260</v>
      </c>
      <c r="M5" s="633" t="s">
        <v>209</v>
      </c>
      <c r="N5" s="123"/>
      <c r="O5" s="368"/>
      <c r="P5" s="637" t="s">
        <v>2</v>
      </c>
      <c r="Q5" s="104" t="s">
        <v>281</v>
      </c>
      <c r="R5" s="387"/>
      <c r="S5" s="604"/>
      <c r="T5" s="595" t="s">
        <v>262</v>
      </c>
      <c r="U5" s="881" t="s">
        <v>435</v>
      </c>
      <c r="V5" s="638"/>
      <c r="W5" s="390"/>
      <c r="X5" s="170"/>
      <c r="Y5" s="639"/>
      <c r="Z5" s="533"/>
      <c r="AA5" s="533"/>
      <c r="AB5" s="31"/>
      <c r="AC5" s="31"/>
      <c r="AD5" s="31"/>
      <c r="AE5" s="31"/>
      <c r="AF5" s="31"/>
      <c r="AG5" s="31"/>
      <c r="AH5" s="31"/>
    </row>
    <row r="6" spans="1:64" ht="75.599999999999994" customHeight="1" thickBot="1" x14ac:dyDescent="0.35">
      <c r="A6" s="456" t="s">
        <v>4</v>
      </c>
      <c r="B6" s="877" t="s">
        <v>3</v>
      </c>
      <c r="C6" s="630" t="s">
        <v>80</v>
      </c>
      <c r="D6" s="343" t="s">
        <v>455</v>
      </c>
      <c r="E6" s="498" t="s">
        <v>456</v>
      </c>
      <c r="F6" s="338" t="s">
        <v>81</v>
      </c>
      <c r="G6" s="320">
        <v>0.38</v>
      </c>
      <c r="H6" s="1233" t="s">
        <v>80</v>
      </c>
      <c r="I6" s="381" t="s">
        <v>455</v>
      </c>
      <c r="J6" s="382" t="s">
        <v>456</v>
      </c>
      <c r="K6" s="383" t="s">
        <v>457</v>
      </c>
      <c r="L6" s="342" t="s">
        <v>118</v>
      </c>
      <c r="M6" s="371" t="s">
        <v>82</v>
      </c>
      <c r="N6" s="630" t="s">
        <v>83</v>
      </c>
      <c r="O6" s="371" t="s">
        <v>84</v>
      </c>
      <c r="P6" s="636" t="s">
        <v>267</v>
      </c>
      <c r="Q6" s="656" t="s">
        <v>282</v>
      </c>
      <c r="R6" s="388" t="s">
        <v>261</v>
      </c>
      <c r="S6" s="605"/>
      <c r="T6" s="596" t="s">
        <v>263</v>
      </c>
      <c r="U6" s="593" t="s">
        <v>165</v>
      </c>
      <c r="V6" s="499" t="s">
        <v>222</v>
      </c>
      <c r="W6" s="500"/>
      <c r="X6" s="500"/>
      <c r="Y6" s="501"/>
      <c r="Z6" s="500"/>
      <c r="AA6" s="500"/>
      <c r="AB6" s="500"/>
      <c r="AC6" s="31"/>
      <c r="AD6" s="31"/>
      <c r="AE6" s="31"/>
      <c r="AF6" s="31"/>
      <c r="AG6" s="31"/>
      <c r="AH6" s="31"/>
    </row>
    <row r="7" spans="1:64" x14ac:dyDescent="0.3">
      <c r="A7" s="151" t="s">
        <v>10</v>
      </c>
      <c r="B7" s="198">
        <f t="shared" ref="B7:B38" si="0">RANK(U7,U$7:U$71,0)</f>
        <v>38</v>
      </c>
      <c r="C7" s="1243">
        <v>0.8</v>
      </c>
      <c r="D7" s="969">
        <v>25</v>
      </c>
      <c r="E7" s="970">
        <v>3</v>
      </c>
      <c r="F7" s="1206">
        <v>8.0500000000000007</v>
      </c>
      <c r="G7" s="971">
        <f>(F7*G$5)^G$6</f>
        <v>6.8959456965081376</v>
      </c>
      <c r="H7" s="321">
        <f>IF(C7&gt;0.9,-1,IF(C7&lt;0.3,1,0))</f>
        <v>0</v>
      </c>
      <c r="I7" s="129">
        <v>0</v>
      </c>
      <c r="J7" s="322">
        <v>-1</v>
      </c>
      <c r="K7" s="323">
        <f t="shared" ref="K7:K40" si="1">SUM(H7:J7)</f>
        <v>-1</v>
      </c>
      <c r="L7" s="1236">
        <f>MIN(SUM(G7,K7),10)</f>
        <v>5.8959456965081376</v>
      </c>
      <c r="M7" s="972">
        <f>MAX(MAX(2,ROUND(L7/2,0)*2),4)</f>
        <v>6</v>
      </c>
      <c r="N7" s="611">
        <v>2017</v>
      </c>
      <c r="O7" s="372">
        <f>O$4-N7</f>
        <v>6</v>
      </c>
      <c r="P7" s="973">
        <f>IF(O7=2,-2,MAX(O7-M7,0))</f>
        <v>0</v>
      </c>
      <c r="Q7" s="974"/>
      <c r="R7" s="975">
        <f>IF($O$4-N7 &gt;10, 1, 0)</f>
        <v>0</v>
      </c>
      <c r="S7" s="606"/>
      <c r="T7" s="321">
        <f>IF(M7&gt;0,IF(M7&lt;=O7,1," ")," ")</f>
        <v>1</v>
      </c>
      <c r="U7" s="391">
        <f>SUM(P7:T7)</f>
        <v>1</v>
      </c>
      <c r="V7" s="1218"/>
      <c r="W7" s="31"/>
      <c r="X7" s="976"/>
      <c r="Y7" s="31"/>
      <c r="Z7" s="31"/>
      <c r="AA7" s="30"/>
      <c r="AB7" s="30"/>
      <c r="AC7" s="165"/>
      <c r="AD7" s="31"/>
      <c r="AE7" s="31"/>
      <c r="AF7" s="31"/>
      <c r="AG7" s="31"/>
      <c r="AH7" s="31"/>
      <c r="AI7" s="31"/>
      <c r="AJ7" s="31"/>
      <c r="BD7" s="52"/>
      <c r="BE7" s="52"/>
      <c r="BF7" s="52"/>
      <c r="BG7" s="52"/>
      <c r="BH7" s="52"/>
      <c r="BI7" s="52"/>
      <c r="BJ7" s="52"/>
      <c r="BK7" s="52"/>
      <c r="BL7" s="52"/>
    </row>
    <row r="8" spans="1:64" x14ac:dyDescent="0.3">
      <c r="A8" s="184" t="s">
        <v>156</v>
      </c>
      <c r="B8" s="40">
        <f t="shared" si="0"/>
        <v>38</v>
      </c>
      <c r="C8" s="1203">
        <v>0.5</v>
      </c>
      <c r="D8" s="587">
        <v>41</v>
      </c>
      <c r="E8" s="579">
        <v>51</v>
      </c>
      <c r="F8" s="1207">
        <v>31.13</v>
      </c>
      <c r="G8" s="324">
        <f>(F8*G$5)^G$6</f>
        <v>11.529207728995789</v>
      </c>
      <c r="H8" s="321">
        <f t="shared" ref="H8:H71" si="2">IF(C8&gt;0.9,-1,IF(C8&lt;0.3,1,0))</f>
        <v>0</v>
      </c>
      <c r="I8" s="131">
        <v>-1</v>
      </c>
      <c r="J8" s="325">
        <v>1</v>
      </c>
      <c r="K8" s="326">
        <f t="shared" si="1"/>
        <v>0</v>
      </c>
      <c r="L8" s="1237">
        <f>MIN(SUM(G8,K8),10)</f>
        <v>10</v>
      </c>
      <c r="M8" s="372">
        <f>MAX(MAX(2,ROUND(L8/2,0)*2),4)</f>
        <v>10</v>
      </c>
      <c r="N8" s="612">
        <v>2013</v>
      </c>
      <c r="O8" s="372">
        <f>O$4-N8</f>
        <v>10</v>
      </c>
      <c r="P8" s="127">
        <f>IF(O8=2,-2,MAX(O8-M8,0))</f>
        <v>0</v>
      </c>
      <c r="Q8" s="5"/>
      <c r="R8" s="975">
        <f t="shared" ref="R8:R71" si="3">IF($O$4-N8 &gt;10, 1, 0)</f>
        <v>0</v>
      </c>
      <c r="S8" s="606"/>
      <c r="T8" s="321">
        <f t="shared" ref="T8:T40" si="4">IF(M8&gt;0,IF(M8&lt;=O8,1," ")," ")</f>
        <v>1</v>
      </c>
      <c r="U8" s="391">
        <f>SUM(P8:T8)</f>
        <v>1</v>
      </c>
      <c r="V8" s="1218"/>
      <c r="W8" s="31"/>
      <c r="X8" s="31"/>
      <c r="Y8" s="31"/>
      <c r="Z8" s="31"/>
      <c r="AA8" s="30"/>
      <c r="AB8" s="30"/>
      <c r="AC8" s="31"/>
      <c r="AD8" s="31"/>
      <c r="AE8" s="31"/>
      <c r="AF8" s="31"/>
      <c r="AG8" s="31"/>
      <c r="AH8" s="31"/>
      <c r="AI8" s="31"/>
      <c r="AJ8" s="31"/>
      <c r="AV8" s="52"/>
      <c r="AW8" s="52"/>
      <c r="BD8" s="52"/>
      <c r="BE8" s="52"/>
      <c r="BF8" s="52"/>
      <c r="BG8" s="52"/>
      <c r="BH8" s="52"/>
      <c r="BI8" s="52"/>
      <c r="BJ8" s="52"/>
      <c r="BK8" s="52"/>
      <c r="BL8" s="52"/>
    </row>
    <row r="9" spans="1:64" x14ac:dyDescent="0.3">
      <c r="A9" s="184" t="s">
        <v>102</v>
      </c>
      <c r="B9" s="40">
        <f t="shared" si="0"/>
        <v>26</v>
      </c>
      <c r="C9" s="1202"/>
      <c r="D9" s="588">
        <v>33</v>
      </c>
      <c r="E9" s="579">
        <v>52</v>
      </c>
      <c r="F9" s="1204"/>
      <c r="G9" s="332"/>
      <c r="H9" s="321"/>
      <c r="I9" s="131">
        <v>0</v>
      </c>
      <c r="J9" s="325">
        <v>1</v>
      </c>
      <c r="K9" s="326">
        <f t="shared" si="1"/>
        <v>1</v>
      </c>
      <c r="L9" s="1238"/>
      <c r="M9" s="634"/>
      <c r="N9" s="612"/>
      <c r="O9" s="372"/>
      <c r="P9" s="629">
        <f>P$2</f>
        <v>4</v>
      </c>
      <c r="Q9" s="657">
        <f>-K9</f>
        <v>-1</v>
      </c>
      <c r="R9" s="975"/>
      <c r="S9" s="607"/>
      <c r="T9" s="321" t="str">
        <f t="shared" si="4"/>
        <v xml:space="preserve"> </v>
      </c>
      <c r="U9" s="610">
        <f>SUM(P9:T9)</f>
        <v>3</v>
      </c>
      <c r="V9" s="1218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64" x14ac:dyDescent="0.3">
      <c r="A10" s="184" t="s">
        <v>103</v>
      </c>
      <c r="B10" s="40">
        <f t="shared" si="0"/>
        <v>44</v>
      </c>
      <c r="C10" s="1202">
        <v>0.3</v>
      </c>
      <c r="D10" s="588">
        <v>23</v>
      </c>
      <c r="E10" s="580">
        <v>15</v>
      </c>
      <c r="F10" s="1204">
        <v>4.3</v>
      </c>
      <c r="G10" s="324">
        <f>(F10*G$5)^G$6</f>
        <v>5.4338720936885707</v>
      </c>
      <c r="H10" s="321">
        <f t="shared" si="2"/>
        <v>0</v>
      </c>
      <c r="I10" s="131">
        <v>0</v>
      </c>
      <c r="J10" s="325">
        <v>-1</v>
      </c>
      <c r="K10" s="326">
        <f t="shared" si="1"/>
        <v>-1</v>
      </c>
      <c r="L10" s="1237">
        <f>MIN(SUM(G10,K10),10)</f>
        <v>4.4338720936885707</v>
      </c>
      <c r="M10" s="372">
        <f>MAX(MAX(2,ROUND(L10/2,0)*2),4)</f>
        <v>4</v>
      </c>
      <c r="N10" s="612">
        <v>2019</v>
      </c>
      <c r="O10" s="372">
        <f>O$4-N10</f>
        <v>4</v>
      </c>
      <c r="P10" s="458">
        <f>IF(O10=2,-2,MAX(O10-M10,0))</f>
        <v>0</v>
      </c>
      <c r="Q10" s="409"/>
      <c r="R10" s="975">
        <f t="shared" si="3"/>
        <v>0</v>
      </c>
      <c r="S10" s="606">
        <f t="shared" ref="S10" si="5">IF(O10&lt;6,-1,0)</f>
        <v>-1</v>
      </c>
      <c r="T10" s="321">
        <f t="shared" si="4"/>
        <v>1</v>
      </c>
      <c r="U10" s="391">
        <f>SUM(P10:T10)</f>
        <v>0</v>
      </c>
      <c r="V10" s="1219" t="s">
        <v>217</v>
      </c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BA10" s="1" t="s">
        <v>31</v>
      </c>
    </row>
    <row r="11" spans="1:64" x14ac:dyDescent="0.3">
      <c r="A11" s="87" t="s">
        <v>5</v>
      </c>
      <c r="B11" s="40">
        <f t="shared" si="0"/>
        <v>26</v>
      </c>
      <c r="C11" s="1244">
        <v>0.5</v>
      </c>
      <c r="D11" s="589">
        <v>8</v>
      </c>
      <c r="E11" s="580">
        <v>9</v>
      </c>
      <c r="F11" s="1207">
        <v>8.0101640409999995</v>
      </c>
      <c r="G11" s="324">
        <f>(F11*G$5)^G$6</f>
        <v>6.8829582332900046</v>
      </c>
      <c r="H11" s="321">
        <f t="shared" si="2"/>
        <v>0</v>
      </c>
      <c r="I11" s="131">
        <v>1</v>
      </c>
      <c r="J11" s="325">
        <v>-1</v>
      </c>
      <c r="K11" s="326">
        <f t="shared" si="1"/>
        <v>0</v>
      </c>
      <c r="L11" s="1237">
        <f>MIN(SUM(G11,K11),10)</f>
        <v>6.8829582332900046</v>
      </c>
      <c r="M11" s="372">
        <f>MAX(MAX(2,ROUND(L11/2,0)*2),4)</f>
        <v>6</v>
      </c>
      <c r="N11" s="612">
        <v>2015</v>
      </c>
      <c r="O11" s="372">
        <f>O$4-N11</f>
        <v>8</v>
      </c>
      <c r="P11" s="458">
        <f>IF(O11=2,-2,MAX(O11-M11,0))</f>
        <v>2</v>
      </c>
      <c r="Q11" s="409"/>
      <c r="R11" s="975">
        <f t="shared" si="3"/>
        <v>0</v>
      </c>
      <c r="S11" s="606"/>
      <c r="T11" s="321">
        <f t="shared" si="4"/>
        <v>1</v>
      </c>
      <c r="U11" s="391">
        <f>SUM(P11:T11)</f>
        <v>3</v>
      </c>
      <c r="V11" s="1220"/>
      <c r="W11" s="31"/>
      <c r="X11" s="468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</row>
    <row r="12" spans="1:64" x14ac:dyDescent="0.3">
      <c r="A12" s="184" t="s">
        <v>157</v>
      </c>
      <c r="B12" s="393">
        <f t="shared" si="0"/>
        <v>44</v>
      </c>
      <c r="C12" s="1203">
        <v>0.5</v>
      </c>
      <c r="D12" s="587">
        <v>26</v>
      </c>
      <c r="E12" s="579">
        <v>50</v>
      </c>
      <c r="F12" s="1208">
        <v>30.184000000000001</v>
      </c>
      <c r="G12" s="324">
        <f>(F12*G$5)^G$6</f>
        <v>11.394796654215606</v>
      </c>
      <c r="H12" s="321">
        <f t="shared" si="2"/>
        <v>0</v>
      </c>
      <c r="I12" s="131">
        <v>0</v>
      </c>
      <c r="J12" s="325">
        <v>1</v>
      </c>
      <c r="K12" s="326">
        <f t="shared" si="1"/>
        <v>1</v>
      </c>
      <c r="L12" s="1237">
        <f>MIN(SUM(G12,K12),10)</f>
        <v>10</v>
      </c>
      <c r="M12" s="372">
        <f>MAX(MAX(2,ROUND(L12/2,0)*2),4)</f>
        <v>10</v>
      </c>
      <c r="N12" s="612">
        <v>2017</v>
      </c>
      <c r="O12" s="372">
        <f>O$4-N12</f>
        <v>6</v>
      </c>
      <c r="P12" s="458">
        <f>IF(O12=2,-2,MAX(O12-M12,0))</f>
        <v>0</v>
      </c>
      <c r="Q12" s="409"/>
      <c r="R12" s="975">
        <f t="shared" si="3"/>
        <v>0</v>
      </c>
      <c r="S12" s="606">
        <f>IF(O12&lt;6,-1,0)</f>
        <v>0</v>
      </c>
      <c r="T12" s="321" t="str">
        <f t="shared" si="4"/>
        <v xml:space="preserve"> </v>
      </c>
      <c r="U12" s="391">
        <f>SUM(P12:T12)</f>
        <v>0</v>
      </c>
      <c r="V12" s="395" t="s">
        <v>217</v>
      </c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</row>
    <row r="13" spans="1:64" x14ac:dyDescent="0.3">
      <c r="A13" s="184" t="s">
        <v>247</v>
      </c>
      <c r="B13" s="393">
        <f t="shared" si="0"/>
        <v>44</v>
      </c>
      <c r="C13" s="1203">
        <v>0.5</v>
      </c>
      <c r="D13" s="588">
        <v>30</v>
      </c>
      <c r="E13" s="581">
        <v>25</v>
      </c>
      <c r="F13" s="1208">
        <v>10.57</v>
      </c>
      <c r="G13" s="324">
        <f>(F13*G$5)^G$6</f>
        <v>7.6478593710668585</v>
      </c>
      <c r="H13" s="321">
        <f t="shared" si="2"/>
        <v>0</v>
      </c>
      <c r="I13" s="131">
        <v>0</v>
      </c>
      <c r="J13" s="325">
        <v>0</v>
      </c>
      <c r="K13" s="326">
        <f t="shared" si="1"/>
        <v>0</v>
      </c>
      <c r="L13" s="1237">
        <f>MIN(SUM(G13,K13),10)</f>
        <v>7.6478593710668585</v>
      </c>
      <c r="M13" s="372">
        <f>MAX(MAX(2,ROUND(L13/2,0)*2),4)</f>
        <v>8</v>
      </c>
      <c r="N13" s="612">
        <v>2017</v>
      </c>
      <c r="O13" s="372">
        <f>O$4-N13</f>
        <v>6</v>
      </c>
      <c r="P13" s="458">
        <f>IF(O13=2,-2,MAX(O13-M13,0))</f>
        <v>0</v>
      </c>
      <c r="Q13" s="409"/>
      <c r="R13" s="975">
        <f t="shared" si="3"/>
        <v>0</v>
      </c>
      <c r="S13" s="606">
        <f>IF(O13&lt;6,-1,0)</f>
        <v>0</v>
      </c>
      <c r="T13" s="321" t="str">
        <f t="shared" si="4"/>
        <v xml:space="preserve"> </v>
      </c>
      <c r="U13" s="391">
        <f>SUM(P13:T13)</f>
        <v>0</v>
      </c>
      <c r="V13" s="395" t="s">
        <v>217</v>
      </c>
      <c r="W13" s="69"/>
      <c r="X13" s="69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</row>
    <row r="14" spans="1:64" x14ac:dyDescent="0.3">
      <c r="A14" s="87" t="s">
        <v>94</v>
      </c>
      <c r="B14" s="393">
        <f t="shared" si="0"/>
        <v>26</v>
      </c>
      <c r="C14" s="1203">
        <v>1</v>
      </c>
      <c r="D14" s="589">
        <v>16</v>
      </c>
      <c r="E14" s="580">
        <v>13</v>
      </c>
      <c r="F14" s="1208">
        <v>2.97</v>
      </c>
      <c r="G14" s="332">
        <f>(F14*G$5)^G$6</f>
        <v>4.7210527076906148</v>
      </c>
      <c r="H14" s="321">
        <f t="shared" si="2"/>
        <v>-1</v>
      </c>
      <c r="I14" s="131">
        <v>1</v>
      </c>
      <c r="J14" s="325">
        <v>-1</v>
      </c>
      <c r="K14" s="326">
        <f t="shared" si="1"/>
        <v>-1</v>
      </c>
      <c r="L14" s="1237">
        <f>MIN(SUM(G14,K14),10)</f>
        <v>3.7210527076906148</v>
      </c>
      <c r="M14" s="372">
        <f>MAX(MAX(2,ROUND(L14/2,0)*2),4)</f>
        <v>4</v>
      </c>
      <c r="N14" s="612">
        <v>2017</v>
      </c>
      <c r="O14" s="372">
        <f>O$4-N14</f>
        <v>6</v>
      </c>
      <c r="P14" s="458">
        <f>IF(O14=2,-2,MAX(O14-M14,0))</f>
        <v>2</v>
      </c>
      <c r="Q14" s="409"/>
      <c r="R14" s="975">
        <f t="shared" si="3"/>
        <v>0</v>
      </c>
      <c r="S14" s="606">
        <f>IF(O14&lt;6,-1,0)</f>
        <v>0</v>
      </c>
      <c r="T14" s="321">
        <f t="shared" si="4"/>
        <v>1</v>
      </c>
      <c r="U14" s="391">
        <f>SUM(P14:T14)</f>
        <v>3</v>
      </c>
      <c r="V14" s="395" t="s">
        <v>217</v>
      </c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64" x14ac:dyDescent="0.3">
      <c r="A15" s="184" t="s">
        <v>104</v>
      </c>
      <c r="B15" s="393">
        <f t="shared" si="0"/>
        <v>26</v>
      </c>
      <c r="C15" s="1202"/>
      <c r="D15" s="589">
        <v>18</v>
      </c>
      <c r="E15" s="581">
        <v>39</v>
      </c>
      <c r="F15" s="1205"/>
      <c r="G15" s="332"/>
      <c r="H15" s="321"/>
      <c r="I15" s="131">
        <v>1</v>
      </c>
      <c r="J15" s="325">
        <v>0</v>
      </c>
      <c r="K15" s="326">
        <f t="shared" si="1"/>
        <v>1</v>
      </c>
      <c r="L15" s="1238"/>
      <c r="M15" s="634"/>
      <c r="N15" s="612"/>
      <c r="O15" s="372"/>
      <c r="P15" s="629">
        <f>P$2</f>
        <v>4</v>
      </c>
      <c r="Q15" s="657">
        <f>-K15</f>
        <v>-1</v>
      </c>
      <c r="R15" s="975"/>
      <c r="S15" s="607"/>
      <c r="T15" s="321" t="str">
        <f t="shared" si="4"/>
        <v xml:space="preserve"> </v>
      </c>
      <c r="U15" s="610">
        <f>SUM(P15:T15)</f>
        <v>3</v>
      </c>
      <c r="V15" s="122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V15" s="52"/>
      <c r="AW15" s="52"/>
    </row>
    <row r="16" spans="1:64" x14ac:dyDescent="0.3">
      <c r="A16" s="184" t="s">
        <v>9</v>
      </c>
      <c r="B16" s="393">
        <f t="shared" si="0"/>
        <v>44</v>
      </c>
      <c r="C16" s="1203">
        <v>0.5</v>
      </c>
      <c r="D16" s="589">
        <v>11</v>
      </c>
      <c r="E16" s="580">
        <v>20</v>
      </c>
      <c r="F16" s="1208">
        <v>5.2</v>
      </c>
      <c r="G16" s="324">
        <f>(F16*G$5)^G$6</f>
        <v>5.8408044852337113</v>
      </c>
      <c r="H16" s="321">
        <f t="shared" si="2"/>
        <v>0</v>
      </c>
      <c r="I16" s="131">
        <v>1</v>
      </c>
      <c r="J16" s="325">
        <v>-1</v>
      </c>
      <c r="K16" s="326">
        <f t="shared" si="1"/>
        <v>0</v>
      </c>
      <c r="L16" s="1238">
        <f>MIN(SUM(G16,K16),10)</f>
        <v>5.8408044852337113</v>
      </c>
      <c r="M16" s="372">
        <f>MAX(MAX(2,ROUND(L16/2,0)*2),4)</f>
        <v>6</v>
      </c>
      <c r="N16" s="612">
        <v>2019</v>
      </c>
      <c r="O16" s="372">
        <f t="shared" ref="O16:O26" si="6">O$4-N16</f>
        <v>4</v>
      </c>
      <c r="P16" s="458">
        <f>IF(O16=2,-2,MAX(O16-M16,0))</f>
        <v>0</v>
      </c>
      <c r="Q16" s="409"/>
      <c r="R16" s="975">
        <f t="shared" si="3"/>
        <v>0</v>
      </c>
      <c r="S16" s="606"/>
      <c r="T16" s="321" t="str">
        <f t="shared" si="4"/>
        <v xml:space="preserve"> </v>
      </c>
      <c r="U16" s="391">
        <f>SUM(P16:T16)</f>
        <v>0</v>
      </c>
      <c r="V16" s="1221"/>
      <c r="W16" s="31"/>
      <c r="X16" s="31"/>
      <c r="Y16" s="31"/>
      <c r="Z16" s="31"/>
      <c r="AA16" s="30"/>
      <c r="AB16" s="30"/>
      <c r="AC16" s="31"/>
      <c r="AD16" s="31"/>
      <c r="AE16" s="31"/>
      <c r="AF16" s="31"/>
      <c r="AG16" s="31"/>
      <c r="AH16" s="31"/>
      <c r="AI16" s="31"/>
      <c r="AJ16" s="31"/>
    </row>
    <row r="17" spans="1:64" x14ac:dyDescent="0.3">
      <c r="A17" s="87" t="s">
        <v>90</v>
      </c>
      <c r="B17" s="393">
        <f t="shared" si="0"/>
        <v>38</v>
      </c>
      <c r="C17" s="1203">
        <v>0.6</v>
      </c>
      <c r="D17" s="588">
        <v>40</v>
      </c>
      <c r="E17" s="580">
        <v>17</v>
      </c>
      <c r="F17" s="1208">
        <v>8.2409999999999997</v>
      </c>
      <c r="G17" s="324">
        <f>(F17*G$5)^G$6</f>
        <v>6.9576690270675234</v>
      </c>
      <c r="H17" s="321">
        <f t="shared" si="2"/>
        <v>0</v>
      </c>
      <c r="I17" s="131">
        <v>0</v>
      </c>
      <c r="J17" s="325">
        <v>-1</v>
      </c>
      <c r="K17" s="326">
        <f t="shared" si="1"/>
        <v>-1</v>
      </c>
      <c r="L17" s="1237">
        <f>MIN(SUM(G17,K17),10)</f>
        <v>5.9576690270675234</v>
      </c>
      <c r="M17" s="372">
        <f>MAX(MAX(2,ROUND(L17/2,0)*2),4)</f>
        <v>6</v>
      </c>
      <c r="N17" s="612">
        <v>2017</v>
      </c>
      <c r="O17" s="372">
        <f t="shared" si="6"/>
        <v>6</v>
      </c>
      <c r="P17" s="458">
        <f>IF(O17=2,-2,MAX(O17-M17,0))</f>
        <v>0</v>
      </c>
      <c r="Q17" s="409"/>
      <c r="R17" s="975">
        <f t="shared" si="3"/>
        <v>0</v>
      </c>
      <c r="S17" s="606">
        <f>IF(O17&lt;6,-1,0)</f>
        <v>0</v>
      </c>
      <c r="T17" s="321">
        <f t="shared" si="4"/>
        <v>1</v>
      </c>
      <c r="U17" s="391">
        <f>SUM(P17:T17)</f>
        <v>1</v>
      </c>
      <c r="V17" s="395" t="s">
        <v>217</v>
      </c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1:64" x14ac:dyDescent="0.3">
      <c r="A18" s="87" t="s">
        <v>14</v>
      </c>
      <c r="B18" s="393">
        <f t="shared" si="0"/>
        <v>38</v>
      </c>
      <c r="C18" s="1203">
        <v>0.5</v>
      </c>
      <c r="D18" s="589">
        <v>17</v>
      </c>
      <c r="E18" s="581">
        <v>30</v>
      </c>
      <c r="F18" s="1208">
        <v>10.148</v>
      </c>
      <c r="G18" s="324">
        <f>(F18*G$5)^G$6</f>
        <v>7.5303640541710823</v>
      </c>
      <c r="H18" s="321">
        <f t="shared" si="2"/>
        <v>0</v>
      </c>
      <c r="I18" s="131">
        <v>1</v>
      </c>
      <c r="J18" s="325">
        <v>0</v>
      </c>
      <c r="K18" s="326">
        <f t="shared" si="1"/>
        <v>1</v>
      </c>
      <c r="L18" s="1237">
        <f>MIN(SUM(G18,K18),10)</f>
        <v>8.5303640541710823</v>
      </c>
      <c r="M18" s="372">
        <f>MAX(MAX(2,ROUND(L18/2,0)*2),4)</f>
        <v>8</v>
      </c>
      <c r="N18" s="612">
        <v>2015</v>
      </c>
      <c r="O18" s="372">
        <f t="shared" si="6"/>
        <v>8</v>
      </c>
      <c r="P18" s="458">
        <f>IF(O18=2,-2,MAX(O18-M18,0))</f>
        <v>0</v>
      </c>
      <c r="Q18" s="409"/>
      <c r="R18" s="975">
        <f t="shared" si="3"/>
        <v>0</v>
      </c>
      <c r="S18" s="606"/>
      <c r="T18" s="321">
        <f t="shared" si="4"/>
        <v>1</v>
      </c>
      <c r="U18" s="391">
        <f>SUM(P18:T18)</f>
        <v>1</v>
      </c>
      <c r="V18" s="12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V18" s="52"/>
      <c r="AW18" s="52"/>
    </row>
    <row r="19" spans="1:64" x14ac:dyDescent="0.3">
      <c r="A19" s="87" t="s">
        <v>96</v>
      </c>
      <c r="B19" s="393">
        <f t="shared" si="0"/>
        <v>26</v>
      </c>
      <c r="C19" s="1203">
        <v>1</v>
      </c>
      <c r="D19" s="588">
        <v>13</v>
      </c>
      <c r="E19" s="580">
        <v>10</v>
      </c>
      <c r="F19" s="1208">
        <v>9.1489999999999991</v>
      </c>
      <c r="G19" s="324">
        <f>(F19*G$5)^G$6</f>
        <v>7.23958008752893</v>
      </c>
      <c r="H19" s="321">
        <f t="shared" si="2"/>
        <v>-1</v>
      </c>
      <c r="I19" s="131">
        <v>1</v>
      </c>
      <c r="J19" s="325">
        <v>-1</v>
      </c>
      <c r="K19" s="326">
        <f t="shared" si="1"/>
        <v>-1</v>
      </c>
      <c r="L19" s="1237">
        <f>MIN(SUM(G19,K19),10)</f>
        <v>6.23958008752893</v>
      </c>
      <c r="M19" s="372">
        <f>MAX(MAX(2,ROUND(L19/2,0)*2),4)</f>
        <v>6</v>
      </c>
      <c r="N19" s="612">
        <v>2015</v>
      </c>
      <c r="O19" s="372">
        <f t="shared" si="6"/>
        <v>8</v>
      </c>
      <c r="P19" s="458">
        <f>IF(O19=2,-2,MAX(O19-M19,0))</f>
        <v>2</v>
      </c>
      <c r="Q19" s="409"/>
      <c r="R19" s="975">
        <f t="shared" si="3"/>
        <v>0</v>
      </c>
      <c r="S19" s="606">
        <f t="shared" ref="S19:S22" si="7">IF(O19&lt;6,-1,0)</f>
        <v>0</v>
      </c>
      <c r="T19" s="321">
        <f t="shared" si="4"/>
        <v>1</v>
      </c>
      <c r="U19" s="391">
        <f>SUM(P19:T19)</f>
        <v>3</v>
      </c>
      <c r="V19" s="395" t="s">
        <v>217</v>
      </c>
      <c r="W19" s="165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V19" s="52"/>
      <c r="AW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1:64" x14ac:dyDescent="0.3">
      <c r="A20" s="184" t="s">
        <v>99</v>
      </c>
      <c r="B20" s="393">
        <f t="shared" si="0"/>
        <v>44</v>
      </c>
      <c r="C20" s="1203">
        <v>0.5</v>
      </c>
      <c r="D20" s="588">
        <v>31</v>
      </c>
      <c r="E20" s="581">
        <v>37</v>
      </c>
      <c r="F20" s="1209">
        <v>19.345702809999999</v>
      </c>
      <c r="G20" s="324">
        <f>(F20*G$5)^G$6</f>
        <v>9.62262392457537</v>
      </c>
      <c r="H20" s="321">
        <f t="shared" si="2"/>
        <v>0</v>
      </c>
      <c r="I20" s="131">
        <v>0</v>
      </c>
      <c r="J20" s="325">
        <v>0</v>
      </c>
      <c r="K20" s="326">
        <f t="shared" si="1"/>
        <v>0</v>
      </c>
      <c r="L20" s="1237">
        <f>MIN(SUM(G20,K20),10)</f>
        <v>9.62262392457537</v>
      </c>
      <c r="M20" s="372">
        <f>MAX(MAX(2,ROUND(L20/2,0)*2),4)</f>
        <v>10</v>
      </c>
      <c r="N20" s="612">
        <v>2015</v>
      </c>
      <c r="O20" s="372">
        <f t="shared" si="6"/>
        <v>8</v>
      </c>
      <c r="P20" s="458">
        <f>IF(O20=2,-2,MAX(O20-M20,0))</f>
        <v>0</v>
      </c>
      <c r="Q20" s="409"/>
      <c r="R20" s="975">
        <f t="shared" si="3"/>
        <v>0</v>
      </c>
      <c r="S20" s="606"/>
      <c r="T20" s="321" t="str">
        <f t="shared" si="4"/>
        <v xml:space="preserve"> </v>
      </c>
      <c r="U20" s="391">
        <f>SUM(P20:T20)</f>
        <v>0</v>
      </c>
      <c r="V20" s="1221"/>
      <c r="W20" s="69"/>
      <c r="X20" s="69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</row>
    <row r="21" spans="1:64" x14ac:dyDescent="0.3">
      <c r="A21" s="184" t="s">
        <v>105</v>
      </c>
      <c r="B21" s="393">
        <f t="shared" si="0"/>
        <v>58</v>
      </c>
      <c r="C21" s="1202">
        <v>0.6</v>
      </c>
      <c r="D21" s="589">
        <v>24</v>
      </c>
      <c r="E21" s="581">
        <v>35</v>
      </c>
      <c r="F21" s="1205">
        <v>7.3679416849999999</v>
      </c>
      <c r="G21" s="324">
        <f>(F21*G$5)^G$6</f>
        <v>6.6678058646228653</v>
      </c>
      <c r="H21" s="321">
        <f t="shared" si="2"/>
        <v>0</v>
      </c>
      <c r="I21" s="131">
        <v>0</v>
      </c>
      <c r="J21" s="325">
        <v>0</v>
      </c>
      <c r="K21" s="326">
        <f t="shared" si="1"/>
        <v>0</v>
      </c>
      <c r="L21" s="1238"/>
      <c r="M21" s="634"/>
      <c r="N21" s="612">
        <v>2021</v>
      </c>
      <c r="O21" s="372">
        <f t="shared" si="6"/>
        <v>2</v>
      </c>
      <c r="P21" s="458">
        <f>IF(O21=2,-2,MAX(O21-M21,0))</f>
        <v>-2</v>
      </c>
      <c r="Q21" s="1213"/>
      <c r="R21" s="975">
        <f t="shared" si="3"/>
        <v>0</v>
      </c>
      <c r="S21" s="606"/>
      <c r="T21" s="321" t="str">
        <f t="shared" si="4"/>
        <v xml:space="preserve"> </v>
      </c>
      <c r="U21" s="1217">
        <f>SUM(P21:T21)</f>
        <v>-2</v>
      </c>
      <c r="V21" s="1221"/>
      <c r="W21" s="376"/>
      <c r="X21" s="977"/>
      <c r="Y21" s="121"/>
      <c r="Z21" s="121"/>
      <c r="AA21" s="121"/>
      <c r="AB21" s="121"/>
      <c r="AC21" s="31"/>
      <c r="AD21" s="31"/>
      <c r="AE21" s="31"/>
      <c r="AF21" s="31"/>
      <c r="AG21" s="121"/>
      <c r="AH21" s="121"/>
      <c r="AI21" s="121"/>
      <c r="AJ21" s="121"/>
      <c r="AK21" s="79"/>
      <c r="AL21" s="79"/>
      <c r="AM21" s="79"/>
      <c r="AN21" s="79"/>
      <c r="AO21" s="96"/>
      <c r="AP21" s="96"/>
      <c r="AQ21" s="96"/>
      <c r="AR21" s="96"/>
      <c r="AS21" s="96"/>
      <c r="AT21" s="96"/>
      <c r="AU21" s="96"/>
      <c r="AX21" s="96"/>
      <c r="AY21" s="96"/>
      <c r="AZ21" s="96"/>
      <c r="BA21" s="96"/>
      <c r="BB21" s="96"/>
      <c r="BC21" s="96"/>
    </row>
    <row r="22" spans="1:64" x14ac:dyDescent="0.3">
      <c r="A22" s="87" t="s">
        <v>92</v>
      </c>
      <c r="B22" s="393">
        <f t="shared" si="0"/>
        <v>53</v>
      </c>
      <c r="C22" s="1202"/>
      <c r="D22" s="588">
        <v>62</v>
      </c>
      <c r="E22" s="579">
        <v>62</v>
      </c>
      <c r="F22" s="1205">
        <v>14.2</v>
      </c>
      <c r="G22" s="324">
        <f>(F22*G$5)^G$6</f>
        <v>8.555806801550375</v>
      </c>
      <c r="H22" s="321"/>
      <c r="I22" s="131">
        <v>-1</v>
      </c>
      <c r="J22" s="325">
        <v>1</v>
      </c>
      <c r="K22" s="326">
        <f t="shared" si="1"/>
        <v>0</v>
      </c>
      <c r="L22" s="1237">
        <f>MIN(SUM(G22,K22),10)</f>
        <v>8.555806801550375</v>
      </c>
      <c r="M22" s="372">
        <f>MAX(MAX(2,ROUND(L22/2,0)*2),4)</f>
        <v>8</v>
      </c>
      <c r="N22" s="612">
        <v>2019</v>
      </c>
      <c r="O22" s="372">
        <f t="shared" si="6"/>
        <v>4</v>
      </c>
      <c r="P22" s="458">
        <f>IF(O22=2,-2,MAX(O22-M22,0))</f>
        <v>0</v>
      </c>
      <c r="Q22" s="409"/>
      <c r="R22" s="975">
        <f t="shared" si="3"/>
        <v>0</v>
      </c>
      <c r="S22" s="606">
        <f t="shared" si="7"/>
        <v>-1</v>
      </c>
      <c r="T22" s="321" t="str">
        <f t="shared" si="4"/>
        <v xml:space="preserve"> </v>
      </c>
      <c r="U22" s="391">
        <f>SUM(P22:T22)</f>
        <v>-1</v>
      </c>
      <c r="V22" s="1222" t="s">
        <v>217</v>
      </c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X22" s="79"/>
      <c r="AY22" s="79"/>
      <c r="AZ22" s="79"/>
      <c r="BA22" s="79"/>
      <c r="BB22" s="79"/>
      <c r="BC22" s="79"/>
      <c r="BD22" s="52"/>
      <c r="BE22" s="52"/>
      <c r="BF22" s="52"/>
      <c r="BG22" s="52"/>
      <c r="BH22" s="52"/>
      <c r="BI22" s="52"/>
      <c r="BJ22" s="52"/>
      <c r="BK22" s="52"/>
      <c r="BL22" s="52"/>
    </row>
    <row r="23" spans="1:64" x14ac:dyDescent="0.3">
      <c r="A23" s="87" t="s">
        <v>22</v>
      </c>
      <c r="B23" s="393">
        <f t="shared" si="0"/>
        <v>10</v>
      </c>
      <c r="C23" s="1202"/>
      <c r="D23" s="588">
        <v>59</v>
      </c>
      <c r="E23" s="579">
        <v>65</v>
      </c>
      <c r="F23" s="1205"/>
      <c r="G23" s="324"/>
      <c r="H23" s="321"/>
      <c r="I23" s="131">
        <v>-1</v>
      </c>
      <c r="J23" s="325">
        <v>1</v>
      </c>
      <c r="K23" s="326"/>
      <c r="L23" s="1237"/>
      <c r="M23" s="372"/>
      <c r="N23" s="612"/>
      <c r="O23" s="372"/>
      <c r="P23" s="629">
        <f>P$2</f>
        <v>4</v>
      </c>
      <c r="Q23" s="657">
        <f>-K23</f>
        <v>0</v>
      </c>
      <c r="R23" s="975"/>
      <c r="S23" s="607"/>
      <c r="T23" s="321"/>
      <c r="U23" s="610">
        <f>SUM(P23:T23)</f>
        <v>4</v>
      </c>
      <c r="V23" s="1222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X23" s="79"/>
      <c r="AY23" s="79"/>
      <c r="AZ23" s="79"/>
      <c r="BA23" s="79"/>
      <c r="BB23" s="79"/>
      <c r="BC23" s="79"/>
      <c r="BD23" s="52"/>
      <c r="BE23" s="52"/>
      <c r="BF23" s="52"/>
      <c r="BG23" s="52"/>
      <c r="BH23" s="52"/>
      <c r="BI23" s="52"/>
      <c r="BJ23" s="52"/>
      <c r="BK23" s="52"/>
      <c r="BL23" s="52"/>
    </row>
    <row r="24" spans="1:64" x14ac:dyDescent="0.3">
      <c r="A24" s="87" t="s">
        <v>13</v>
      </c>
      <c r="B24" s="393">
        <f t="shared" si="0"/>
        <v>44</v>
      </c>
      <c r="C24" s="1203">
        <v>0.75</v>
      </c>
      <c r="D24" s="588">
        <v>20</v>
      </c>
      <c r="E24" s="581">
        <v>33</v>
      </c>
      <c r="F24" s="1208">
        <v>9.3610000000000007</v>
      </c>
      <c r="G24" s="324">
        <f>(F24*G$5)^G$6</f>
        <v>7.3028747387080593</v>
      </c>
      <c r="H24" s="321">
        <f t="shared" si="2"/>
        <v>0</v>
      </c>
      <c r="I24" s="131">
        <v>1</v>
      </c>
      <c r="J24" s="325">
        <v>0</v>
      </c>
      <c r="K24" s="326">
        <f t="shared" si="1"/>
        <v>1</v>
      </c>
      <c r="L24" s="1237">
        <f>MIN(SUM(G24,K24),10)</f>
        <v>8.3028747387080593</v>
      </c>
      <c r="M24" s="372">
        <f>MAX(MAX(2,ROUND(L24/2,0)*2),4)</f>
        <v>8</v>
      </c>
      <c r="N24" s="612">
        <v>2017</v>
      </c>
      <c r="O24" s="372">
        <f t="shared" si="6"/>
        <v>6</v>
      </c>
      <c r="P24" s="458">
        <f>IF(O24=2,-2,MAX(O24-M24,0))</f>
        <v>0</v>
      </c>
      <c r="Q24" s="409"/>
      <c r="R24" s="975">
        <f t="shared" si="3"/>
        <v>0</v>
      </c>
      <c r="S24" s="606">
        <f>IF(O24&lt;6,-1,0)</f>
        <v>0</v>
      </c>
      <c r="T24" s="321" t="str">
        <f t="shared" si="4"/>
        <v xml:space="preserve"> </v>
      </c>
      <c r="U24" s="391">
        <f>SUM(P24:T24)</f>
        <v>0</v>
      </c>
      <c r="V24" s="395" t="s">
        <v>217</v>
      </c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O24" s="52"/>
      <c r="AP24" s="52"/>
      <c r="AQ24" s="52"/>
      <c r="AR24" s="52"/>
      <c r="AS24" s="52"/>
      <c r="AT24" s="52"/>
      <c r="AU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</row>
    <row r="25" spans="1:64" x14ac:dyDescent="0.3">
      <c r="A25" s="87" t="s">
        <v>6</v>
      </c>
      <c r="B25" s="393">
        <f t="shared" si="0"/>
        <v>64</v>
      </c>
      <c r="C25" s="1203">
        <v>0.35</v>
      </c>
      <c r="D25" s="589">
        <v>3</v>
      </c>
      <c r="E25" s="580">
        <v>7</v>
      </c>
      <c r="F25" s="1208">
        <v>13.6</v>
      </c>
      <c r="G25" s="324">
        <f>(F25*G$5)^G$6</f>
        <v>8.4165902280188707</v>
      </c>
      <c r="H25" s="321">
        <f t="shared" si="2"/>
        <v>0</v>
      </c>
      <c r="I25" s="131">
        <v>1</v>
      </c>
      <c r="J25" s="325">
        <v>-1</v>
      </c>
      <c r="K25" s="326">
        <f t="shared" si="1"/>
        <v>0</v>
      </c>
      <c r="L25" s="1238">
        <f>MIN(SUM(G25,K25),10)</f>
        <v>8.4165902280188707</v>
      </c>
      <c r="M25" s="372">
        <f>MAX(MAX(2,ROUND(L25/2,0)*2),4)</f>
        <v>8</v>
      </c>
      <c r="N25" s="612">
        <v>2021</v>
      </c>
      <c r="O25" s="372">
        <f t="shared" si="6"/>
        <v>2</v>
      </c>
      <c r="P25" s="458">
        <f>IF(O25=2,-2,MAX(O25-M25,0))</f>
        <v>-2</v>
      </c>
      <c r="Q25" s="409"/>
      <c r="R25" s="975">
        <f t="shared" si="3"/>
        <v>0</v>
      </c>
      <c r="S25" s="606">
        <v>-1</v>
      </c>
      <c r="T25" s="321" t="str">
        <f t="shared" si="4"/>
        <v xml:space="preserve"> </v>
      </c>
      <c r="U25" s="391">
        <f>SUM(P25:T25)</f>
        <v>-3</v>
      </c>
      <c r="V25" s="1222" t="s">
        <v>217</v>
      </c>
      <c r="W25" s="165"/>
      <c r="X25" s="31"/>
      <c r="Y25" s="31"/>
      <c r="Z25" s="31"/>
      <c r="AA25" s="31"/>
      <c r="AB25" s="31"/>
      <c r="AC25" s="31"/>
      <c r="AD25" s="31"/>
      <c r="AE25" s="69"/>
      <c r="AF25" s="31"/>
      <c r="AG25" s="31"/>
      <c r="AH25" s="31"/>
      <c r="AI25" s="31"/>
      <c r="AJ25" s="31"/>
      <c r="AO25" s="52"/>
      <c r="AP25" s="52"/>
      <c r="AQ25" s="52"/>
      <c r="AR25" s="52"/>
      <c r="AS25" s="52"/>
      <c r="AT25" s="52"/>
      <c r="AU25" s="52"/>
      <c r="AX25" s="52"/>
      <c r="AY25" s="52"/>
      <c r="AZ25" s="52"/>
      <c r="BA25" s="52"/>
      <c r="BB25" s="52"/>
      <c r="BC25" s="52"/>
    </row>
    <row r="26" spans="1:64" x14ac:dyDescent="0.3">
      <c r="A26" s="87" t="s">
        <v>16</v>
      </c>
      <c r="B26" s="393">
        <f t="shared" si="0"/>
        <v>3</v>
      </c>
      <c r="C26" s="1203">
        <v>0.8</v>
      </c>
      <c r="D26" s="588">
        <v>27</v>
      </c>
      <c r="E26" s="580">
        <v>28</v>
      </c>
      <c r="F26" s="1208">
        <v>7.14</v>
      </c>
      <c r="G26" s="324">
        <f>(F26*G$5)^G$6</f>
        <v>6.5886542646874489</v>
      </c>
      <c r="H26" s="321">
        <f t="shared" si="2"/>
        <v>0</v>
      </c>
      <c r="I26" s="131">
        <v>0</v>
      </c>
      <c r="J26" s="325">
        <v>0</v>
      </c>
      <c r="K26" s="326">
        <f t="shared" si="1"/>
        <v>0</v>
      </c>
      <c r="L26" s="1237">
        <f>MIN(SUM(G26,K26),10)</f>
        <v>6.5886542646874489</v>
      </c>
      <c r="M26" s="372">
        <f>MAX(MAX(2,ROUND(L26/2,0)*2),4)</f>
        <v>6</v>
      </c>
      <c r="N26" s="612">
        <v>2013</v>
      </c>
      <c r="O26" s="372">
        <f t="shared" si="6"/>
        <v>10</v>
      </c>
      <c r="P26" s="458">
        <f>IF(O26=2,-2,MAX(O26-M26,0))</f>
        <v>4</v>
      </c>
      <c r="Q26" s="409"/>
      <c r="R26" s="975">
        <f t="shared" si="3"/>
        <v>0</v>
      </c>
      <c r="S26" s="606"/>
      <c r="T26" s="321">
        <f t="shared" si="4"/>
        <v>1</v>
      </c>
      <c r="U26" s="391">
        <f>SUM(P26:T26)</f>
        <v>5</v>
      </c>
      <c r="V26" s="1221"/>
      <c r="W26" s="165"/>
      <c r="X26" s="31"/>
      <c r="Y26" s="31"/>
      <c r="Z26" s="31"/>
      <c r="AA26" s="31"/>
      <c r="AB26" s="31"/>
      <c r="AC26" s="31"/>
      <c r="AD26" s="31"/>
      <c r="AE26" s="69"/>
      <c r="AF26" s="31"/>
      <c r="AG26" s="31"/>
      <c r="AH26" s="31"/>
      <c r="AI26" s="31"/>
      <c r="AJ26" s="31"/>
      <c r="AO26" s="52"/>
      <c r="AP26" s="52"/>
      <c r="AQ26" s="52"/>
      <c r="AR26" s="52"/>
      <c r="AS26" s="52"/>
      <c r="AT26" s="52"/>
      <c r="AU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</row>
    <row r="27" spans="1:64" x14ac:dyDescent="0.3">
      <c r="A27" s="184" t="s">
        <v>106</v>
      </c>
      <c r="B27" s="393">
        <f t="shared" si="0"/>
        <v>3</v>
      </c>
      <c r="C27" s="1202"/>
      <c r="D27" s="587">
        <v>61</v>
      </c>
      <c r="E27" s="579">
        <v>43</v>
      </c>
      <c r="F27" s="1205"/>
      <c r="G27" s="332"/>
      <c r="H27" s="321"/>
      <c r="I27" s="131">
        <v>-1</v>
      </c>
      <c r="J27" s="325">
        <v>0</v>
      </c>
      <c r="K27" s="326">
        <f t="shared" si="1"/>
        <v>-1</v>
      </c>
      <c r="L27" s="1238"/>
      <c r="M27" s="634"/>
      <c r="N27" s="612"/>
      <c r="O27" s="373"/>
      <c r="P27" s="629">
        <f>P$2</f>
        <v>4</v>
      </c>
      <c r="Q27" s="657">
        <f>-K27</f>
        <v>1</v>
      </c>
      <c r="R27" s="975"/>
      <c r="S27" s="607"/>
      <c r="T27" s="321" t="str">
        <f t="shared" si="4"/>
        <v xml:space="preserve"> </v>
      </c>
      <c r="U27" s="610">
        <f>SUM(P27:T27)</f>
        <v>5</v>
      </c>
      <c r="V27" s="1221"/>
      <c r="W27" s="165"/>
      <c r="X27" s="31"/>
      <c r="Y27" s="31"/>
      <c r="Z27" s="31"/>
      <c r="AA27" s="31"/>
      <c r="AB27" s="31"/>
      <c r="AC27" s="31"/>
      <c r="AD27" s="31"/>
      <c r="AE27" s="69"/>
      <c r="AF27" s="31"/>
      <c r="AG27" s="31"/>
      <c r="AH27" s="31"/>
      <c r="AI27" s="31"/>
      <c r="AJ27" s="31"/>
      <c r="BD27" s="52"/>
      <c r="BE27" s="52"/>
      <c r="BF27" s="52"/>
      <c r="BG27" s="52"/>
      <c r="BH27" s="52"/>
      <c r="BI27" s="52"/>
      <c r="BJ27" s="52"/>
      <c r="BK27" s="52"/>
      <c r="BL27" s="52"/>
    </row>
    <row r="28" spans="1:64" x14ac:dyDescent="0.3">
      <c r="A28" s="184" t="s">
        <v>368</v>
      </c>
      <c r="B28" s="393">
        <f t="shared" si="0"/>
        <v>10</v>
      </c>
      <c r="C28" s="1202"/>
      <c r="D28" s="587">
        <v>54</v>
      </c>
      <c r="E28" s="579">
        <v>49</v>
      </c>
      <c r="F28" s="1205"/>
      <c r="G28" s="332"/>
      <c r="H28" s="321"/>
      <c r="I28" s="131">
        <v>-1</v>
      </c>
      <c r="J28" s="325">
        <v>1</v>
      </c>
      <c r="K28" s="326">
        <f t="shared" si="1"/>
        <v>0</v>
      </c>
      <c r="L28" s="1238"/>
      <c r="M28" s="634"/>
      <c r="N28" s="612"/>
      <c r="O28" s="373"/>
      <c r="P28" s="629">
        <f>P$2</f>
        <v>4</v>
      </c>
      <c r="Q28" s="657">
        <f>-K28</f>
        <v>0</v>
      </c>
      <c r="R28" s="975"/>
      <c r="S28" s="607"/>
      <c r="T28" s="321" t="str">
        <f t="shared" si="4"/>
        <v xml:space="preserve"> </v>
      </c>
      <c r="U28" s="610">
        <f>SUM(P28:T28)</f>
        <v>4</v>
      </c>
      <c r="V28" s="1221"/>
      <c r="W28" s="69"/>
      <c r="X28" s="69"/>
      <c r="Y28" s="69"/>
      <c r="Z28" s="69"/>
      <c r="AA28" s="69"/>
      <c r="AB28" s="69"/>
      <c r="AC28" s="31"/>
      <c r="AD28" s="31"/>
      <c r="AE28" s="69"/>
      <c r="AF28" s="31"/>
      <c r="AG28" s="69"/>
      <c r="AH28" s="69"/>
      <c r="AI28" s="69"/>
      <c r="AJ28" s="69"/>
      <c r="AK28" s="52"/>
      <c r="AL28" s="52"/>
      <c r="AM28" s="52"/>
      <c r="AN28" s="52"/>
      <c r="AV28" s="79"/>
      <c r="AW28" s="79"/>
    </row>
    <row r="29" spans="1:64" x14ac:dyDescent="0.3">
      <c r="A29" s="184" t="s">
        <v>330</v>
      </c>
      <c r="B29" s="393">
        <f t="shared" si="0"/>
        <v>53</v>
      </c>
      <c r="C29" s="1203">
        <v>0.5</v>
      </c>
      <c r="D29" s="589">
        <v>9</v>
      </c>
      <c r="E29" s="581">
        <v>23</v>
      </c>
      <c r="F29" s="1208">
        <v>11.6</v>
      </c>
      <c r="G29" s="324">
        <f>(F29*G$5)^G$6</f>
        <v>7.9229229828728185</v>
      </c>
      <c r="H29" s="321">
        <f t="shared" si="2"/>
        <v>0</v>
      </c>
      <c r="I29" s="131">
        <v>1</v>
      </c>
      <c r="J29" s="325">
        <v>-1</v>
      </c>
      <c r="K29" s="326">
        <f t="shared" si="1"/>
        <v>0</v>
      </c>
      <c r="L29" s="1238">
        <f>MIN(SUM(G29,K29),10)</f>
        <v>7.9229229828728185</v>
      </c>
      <c r="M29" s="372">
        <f>MAX(MAX(2,ROUND(L29/2,0)*2),4)</f>
        <v>8</v>
      </c>
      <c r="N29" s="612">
        <v>2019</v>
      </c>
      <c r="O29" s="372">
        <f>O$4-N29</f>
        <v>4</v>
      </c>
      <c r="P29" s="458">
        <f>IF(O29=2,-2,MAX(O29-M29,0))</f>
        <v>0</v>
      </c>
      <c r="Q29" s="409"/>
      <c r="R29" s="975">
        <f t="shared" si="3"/>
        <v>0</v>
      </c>
      <c r="S29" s="606">
        <v>-1</v>
      </c>
      <c r="T29" s="321" t="str">
        <f t="shared" si="4"/>
        <v xml:space="preserve"> </v>
      </c>
      <c r="U29" s="391">
        <f>SUM(P29:T29)</f>
        <v>-1</v>
      </c>
      <c r="V29" s="1222" t="s">
        <v>217</v>
      </c>
      <c r="W29" s="69"/>
      <c r="X29" s="69"/>
      <c r="Y29" s="69"/>
      <c r="Z29" s="69"/>
      <c r="AA29" s="69"/>
      <c r="AB29" s="69"/>
      <c r="AC29" s="69"/>
      <c r="AD29" s="31"/>
      <c r="AE29" s="69"/>
      <c r="AF29" s="31"/>
      <c r="AG29" s="69"/>
      <c r="AH29" s="69"/>
      <c r="AI29" s="69"/>
      <c r="AJ29" s="69"/>
      <c r="AK29" s="52"/>
      <c r="AL29" s="52"/>
      <c r="AM29" s="52"/>
      <c r="AN29" s="52"/>
    </row>
    <row r="30" spans="1:64" x14ac:dyDescent="0.3">
      <c r="A30" s="184" t="s">
        <v>107</v>
      </c>
      <c r="B30" s="393">
        <f t="shared" si="0"/>
        <v>36</v>
      </c>
      <c r="C30" s="1202"/>
      <c r="D30" s="588">
        <v>19</v>
      </c>
      <c r="E30" s="579">
        <v>59</v>
      </c>
      <c r="F30" s="1205"/>
      <c r="G30" s="332"/>
      <c r="H30" s="321"/>
      <c r="I30" s="131">
        <v>1</v>
      </c>
      <c r="J30" s="325">
        <v>1</v>
      </c>
      <c r="K30" s="326">
        <f t="shared" si="1"/>
        <v>2</v>
      </c>
      <c r="L30" s="1238"/>
      <c r="M30" s="634"/>
      <c r="N30" s="612"/>
      <c r="O30" s="373"/>
      <c r="P30" s="629">
        <f>P$2</f>
        <v>4</v>
      </c>
      <c r="Q30" s="657">
        <f>-K30</f>
        <v>-2</v>
      </c>
      <c r="R30" s="975"/>
      <c r="S30" s="607"/>
      <c r="T30" s="321" t="str">
        <f t="shared" si="4"/>
        <v xml:space="preserve"> </v>
      </c>
      <c r="U30" s="610">
        <f>SUM(P30:T30)</f>
        <v>2</v>
      </c>
      <c r="V30" s="1221"/>
      <c r="W30" s="69"/>
      <c r="X30" s="69"/>
      <c r="Y30" s="69"/>
      <c r="Z30" s="69"/>
      <c r="AA30" s="69"/>
      <c r="AB30" s="69"/>
      <c r="AC30" s="31"/>
      <c r="AD30" s="31"/>
      <c r="AE30" s="69"/>
      <c r="AF30" s="31"/>
      <c r="AG30" s="69"/>
      <c r="AH30" s="69"/>
      <c r="AI30" s="69"/>
      <c r="AJ30" s="69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X30" s="52"/>
      <c r="AY30" s="52"/>
      <c r="AZ30" s="52"/>
      <c r="BA30" s="52"/>
      <c r="BB30" s="52"/>
      <c r="BC30" s="52"/>
    </row>
    <row r="31" spans="1:64" x14ac:dyDescent="0.3">
      <c r="A31" s="184" t="s">
        <v>100</v>
      </c>
      <c r="B31" s="393">
        <f t="shared" si="0"/>
        <v>10</v>
      </c>
      <c r="C31" s="1203">
        <v>0.7</v>
      </c>
      <c r="D31" s="587">
        <v>44</v>
      </c>
      <c r="E31" s="579">
        <v>53</v>
      </c>
      <c r="F31" s="1208">
        <v>19.216000000000001</v>
      </c>
      <c r="G31" s="324">
        <f>(F31*G$5)^G$6</f>
        <v>9.5980572171383685</v>
      </c>
      <c r="H31" s="321">
        <f t="shared" si="2"/>
        <v>0</v>
      </c>
      <c r="I31" s="131">
        <v>-1</v>
      </c>
      <c r="J31" s="325">
        <v>1</v>
      </c>
      <c r="K31" s="326">
        <f t="shared" si="1"/>
        <v>0</v>
      </c>
      <c r="L31" s="1237">
        <f>MIN(SUM(G31,K31),10)</f>
        <v>9.5980572171383685</v>
      </c>
      <c r="M31" s="372">
        <f>MAX(MAX(2,ROUND(L31/2,0)*2),4)</f>
        <v>10</v>
      </c>
      <c r="N31" s="612">
        <v>2011</v>
      </c>
      <c r="O31" s="372">
        <f>O$4-N31</f>
        <v>12</v>
      </c>
      <c r="P31" s="458">
        <f>IF(O31=2,-2,MAX(O31-M31,0))</f>
        <v>2</v>
      </c>
      <c r="Q31" s="409"/>
      <c r="R31" s="975">
        <f t="shared" si="3"/>
        <v>1</v>
      </c>
      <c r="S31" s="606"/>
      <c r="T31" s="321">
        <f t="shared" si="4"/>
        <v>1</v>
      </c>
      <c r="U31" s="391">
        <f>SUM(P31:T31)</f>
        <v>4</v>
      </c>
      <c r="V31" s="1221"/>
      <c r="W31" s="69"/>
      <c r="X31" s="69"/>
      <c r="Y31" s="69"/>
      <c r="Z31" s="69"/>
      <c r="AA31" s="69"/>
      <c r="AB31" s="69"/>
      <c r="AC31" s="69"/>
      <c r="AD31" s="31"/>
      <c r="AE31" s="69"/>
      <c r="AF31" s="31"/>
      <c r="AG31" s="69"/>
      <c r="AH31" s="69"/>
      <c r="AI31" s="69"/>
      <c r="AJ31" s="69"/>
      <c r="AK31" s="52"/>
      <c r="AL31" s="52"/>
      <c r="AM31" s="52"/>
      <c r="AN31" s="52"/>
    </row>
    <row r="32" spans="1:64" s="79" customFormat="1" x14ac:dyDescent="0.3">
      <c r="A32" s="184" t="s">
        <v>101</v>
      </c>
      <c r="B32" s="393">
        <f t="shared" si="0"/>
        <v>2</v>
      </c>
      <c r="C32" s="1203">
        <v>0.84</v>
      </c>
      <c r="D32" s="587">
        <v>52</v>
      </c>
      <c r="E32" s="581">
        <v>31</v>
      </c>
      <c r="F32" s="1208">
        <v>16.8</v>
      </c>
      <c r="G32" s="324">
        <f>(F32*G$5)^G$6</f>
        <v>9.1202958274997812</v>
      </c>
      <c r="H32" s="321">
        <f t="shared" si="2"/>
        <v>0</v>
      </c>
      <c r="I32" s="131">
        <v>-1</v>
      </c>
      <c r="J32" s="325">
        <v>0</v>
      </c>
      <c r="K32" s="326">
        <f t="shared" si="1"/>
        <v>-1</v>
      </c>
      <c r="L32" s="1238">
        <f>MIN(SUM(G32,K32),10)</f>
        <v>8.1202958274997812</v>
      </c>
      <c r="M32" s="372">
        <f>MAX(MAX(2,ROUND(L32/2,0)*2),4)</f>
        <v>8</v>
      </c>
      <c r="N32" s="612">
        <v>2009</v>
      </c>
      <c r="O32" s="372">
        <f>O$4-N32</f>
        <v>14</v>
      </c>
      <c r="P32" s="458">
        <f>IF(O32=2,-2,MAX(O32-M32,0))</f>
        <v>6</v>
      </c>
      <c r="Q32" s="409"/>
      <c r="R32" s="975">
        <f t="shared" si="3"/>
        <v>1</v>
      </c>
      <c r="S32" s="606"/>
      <c r="T32" s="321">
        <f t="shared" si="4"/>
        <v>1</v>
      </c>
      <c r="U32" s="391">
        <f>SUM(P32:T32)</f>
        <v>8</v>
      </c>
      <c r="V32" s="1221"/>
      <c r="W32" s="69"/>
      <c r="X32" s="69"/>
      <c r="Y32" s="69"/>
      <c r="Z32" s="69"/>
      <c r="AA32" s="69"/>
      <c r="AB32" s="69"/>
      <c r="AC32" s="31"/>
      <c r="AD32" s="31"/>
      <c r="AE32" s="69"/>
      <c r="AF32" s="31"/>
      <c r="AG32" s="69"/>
      <c r="AH32" s="69"/>
      <c r="AI32" s="69"/>
      <c r="AJ32" s="69"/>
      <c r="AK32" s="52"/>
      <c r="AL32" s="52"/>
      <c r="AM32" s="52"/>
      <c r="AN32" s="52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s="79" customFormat="1" x14ac:dyDescent="0.3">
      <c r="A33" s="184" t="s">
        <v>108</v>
      </c>
      <c r="B33" s="393">
        <f t="shared" si="0"/>
        <v>10</v>
      </c>
      <c r="C33" s="1202"/>
      <c r="D33" s="587">
        <v>64</v>
      </c>
      <c r="E33" s="579">
        <v>54</v>
      </c>
      <c r="F33" s="1205"/>
      <c r="G33" s="332"/>
      <c r="H33" s="321"/>
      <c r="I33" s="131">
        <v>-1</v>
      </c>
      <c r="J33" s="325">
        <v>1</v>
      </c>
      <c r="K33" s="326">
        <f t="shared" si="1"/>
        <v>0</v>
      </c>
      <c r="L33" s="1238"/>
      <c r="M33" s="634"/>
      <c r="N33" s="612"/>
      <c r="O33" s="373"/>
      <c r="P33" s="629">
        <f>P$2</f>
        <v>4</v>
      </c>
      <c r="Q33" s="657">
        <f>-K33</f>
        <v>0</v>
      </c>
      <c r="R33" s="975"/>
      <c r="S33" s="607"/>
      <c r="T33" s="321" t="str">
        <f t="shared" si="4"/>
        <v xml:space="preserve"> </v>
      </c>
      <c r="U33" s="610">
        <f>SUM(P33:T33)</f>
        <v>4</v>
      </c>
      <c r="V33" s="1221"/>
      <c r="W33" s="69"/>
      <c r="X33" s="69"/>
      <c r="Y33" s="69"/>
      <c r="Z33" s="69"/>
      <c r="AA33" s="69"/>
      <c r="AB33" s="69"/>
      <c r="AC33" s="69"/>
      <c r="AD33" s="31"/>
      <c r="AE33" s="69"/>
      <c r="AF33" s="31"/>
      <c r="AG33" s="69"/>
      <c r="AH33" s="69"/>
      <c r="AI33" s="69"/>
      <c r="AJ33" s="69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1"/>
      <c r="AW33" s="1"/>
      <c r="AX33" s="52"/>
      <c r="AY33" s="52"/>
      <c r="AZ33" s="52"/>
      <c r="BA33" s="52"/>
      <c r="BB33" s="52"/>
      <c r="BC33" s="52"/>
    </row>
    <row r="34" spans="1:64" x14ac:dyDescent="0.3">
      <c r="A34" s="184" t="s">
        <v>258</v>
      </c>
      <c r="B34" s="393">
        <f t="shared" si="0"/>
        <v>36</v>
      </c>
      <c r="C34" s="1203">
        <v>0.65</v>
      </c>
      <c r="D34" s="589">
        <v>21</v>
      </c>
      <c r="E34" s="581">
        <v>45</v>
      </c>
      <c r="F34" s="1208">
        <v>4.25</v>
      </c>
      <c r="G34" s="324">
        <f>(F34*G$5)^G$6</f>
        <v>5.4097748654134667</v>
      </c>
      <c r="H34" s="321">
        <f t="shared" si="2"/>
        <v>0</v>
      </c>
      <c r="I34" s="131">
        <v>0</v>
      </c>
      <c r="J34" s="325">
        <v>1</v>
      </c>
      <c r="K34" s="326">
        <f t="shared" si="1"/>
        <v>1</v>
      </c>
      <c r="L34" s="1237">
        <f>MIN(SUM(G34,K34),10)</f>
        <v>6.4097748654134667</v>
      </c>
      <c r="M34" s="372">
        <f>MAX(MAX(2,ROUND(L34/2,0)*2),4)</f>
        <v>6</v>
      </c>
      <c r="N34" s="612">
        <v>2015</v>
      </c>
      <c r="O34" s="372">
        <f>O$4-N34</f>
        <v>8</v>
      </c>
      <c r="P34" s="458">
        <f>IF(O34=2,-2,MAX(O34-M34,0))</f>
        <v>2</v>
      </c>
      <c r="Q34" s="409"/>
      <c r="R34" s="975">
        <f t="shared" si="3"/>
        <v>0</v>
      </c>
      <c r="S34" s="606">
        <v>-1</v>
      </c>
      <c r="T34" s="321">
        <f t="shared" si="4"/>
        <v>1</v>
      </c>
      <c r="U34" s="391">
        <f>SUM(P34:T34)</f>
        <v>2</v>
      </c>
      <c r="V34" s="395" t="s">
        <v>217</v>
      </c>
      <c r="W34" s="69"/>
      <c r="X34" s="69"/>
      <c r="Y34" s="69"/>
      <c r="Z34" s="69"/>
      <c r="AA34" s="69"/>
      <c r="AB34" s="69"/>
      <c r="AC34" s="31"/>
      <c r="AD34" s="31"/>
      <c r="AE34" s="69"/>
      <c r="AF34" s="31"/>
      <c r="AG34" s="69"/>
      <c r="AH34" s="69"/>
      <c r="AI34" s="69"/>
      <c r="AJ34" s="69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</row>
    <row r="35" spans="1:64" x14ac:dyDescent="0.3">
      <c r="A35" s="184" t="s">
        <v>245</v>
      </c>
      <c r="B35" s="393">
        <f t="shared" si="0"/>
        <v>10</v>
      </c>
      <c r="C35" s="1202"/>
      <c r="D35" s="587">
        <v>47</v>
      </c>
      <c r="E35" s="579">
        <v>63</v>
      </c>
      <c r="F35" s="1205"/>
      <c r="G35" s="332"/>
      <c r="H35" s="321"/>
      <c r="I35" s="131">
        <v>-1</v>
      </c>
      <c r="J35" s="325">
        <v>1</v>
      </c>
      <c r="K35" s="326">
        <f t="shared" si="1"/>
        <v>0</v>
      </c>
      <c r="L35" s="1238"/>
      <c r="M35" s="634"/>
      <c r="N35" s="612"/>
      <c r="O35" s="373"/>
      <c r="P35" s="629">
        <f>P$2</f>
        <v>4</v>
      </c>
      <c r="Q35" s="657">
        <f>-K35</f>
        <v>0</v>
      </c>
      <c r="R35" s="975"/>
      <c r="S35" s="607"/>
      <c r="T35" s="321" t="str">
        <f t="shared" si="4"/>
        <v xml:space="preserve"> </v>
      </c>
      <c r="U35" s="610">
        <f>SUM(P35:T35)</f>
        <v>4</v>
      </c>
      <c r="V35" s="1221"/>
      <c r="W35" s="69"/>
      <c r="X35" s="69"/>
      <c r="Y35" s="69"/>
      <c r="Z35" s="69"/>
      <c r="AA35" s="69"/>
      <c r="AB35" s="69"/>
      <c r="AC35" s="31"/>
      <c r="AD35" s="31"/>
      <c r="AE35" s="69"/>
      <c r="AF35" s="31"/>
      <c r="AG35" s="69"/>
      <c r="AH35" s="69"/>
      <c r="AI35" s="69"/>
      <c r="AJ35" s="69"/>
      <c r="AK35" s="52"/>
      <c r="AL35" s="52"/>
      <c r="AM35" s="52"/>
      <c r="AN35" s="52"/>
      <c r="AV35" s="52"/>
      <c r="AW35" s="52"/>
      <c r="BD35" s="79"/>
      <c r="BE35" s="79"/>
      <c r="BF35" s="79"/>
      <c r="BG35" s="79"/>
      <c r="BH35" s="79"/>
      <c r="BI35" s="79"/>
      <c r="BJ35" s="79"/>
      <c r="BK35" s="79"/>
      <c r="BL35" s="79"/>
    </row>
    <row r="36" spans="1:64" x14ac:dyDescent="0.3">
      <c r="A36" s="184" t="s">
        <v>347</v>
      </c>
      <c r="B36" s="393">
        <f t="shared" si="0"/>
        <v>10</v>
      </c>
      <c r="C36" s="1202"/>
      <c r="D36" s="587">
        <v>50</v>
      </c>
      <c r="E36" s="579">
        <v>16</v>
      </c>
      <c r="F36" s="1205"/>
      <c r="G36" s="332"/>
      <c r="H36" s="321"/>
      <c r="I36" s="131">
        <v>-1</v>
      </c>
      <c r="J36" s="325">
        <v>-1</v>
      </c>
      <c r="K36" s="326"/>
      <c r="L36" s="1238"/>
      <c r="M36" s="634"/>
      <c r="N36" s="612"/>
      <c r="O36" s="373"/>
      <c r="P36" s="629">
        <f>P$2</f>
        <v>4</v>
      </c>
      <c r="Q36" s="657">
        <f>-K36</f>
        <v>0</v>
      </c>
      <c r="R36" s="975"/>
      <c r="S36" s="607"/>
      <c r="T36" s="321"/>
      <c r="U36" s="610">
        <f>SUM(P36:T36)</f>
        <v>4</v>
      </c>
      <c r="V36" s="1221"/>
      <c r="W36" s="69"/>
      <c r="X36" s="69"/>
      <c r="Y36" s="69"/>
      <c r="Z36" s="69"/>
      <c r="AA36" s="69"/>
      <c r="AB36" s="69"/>
      <c r="AC36" s="31"/>
      <c r="AD36" s="31"/>
      <c r="AE36" s="69"/>
      <c r="AF36" s="31"/>
      <c r="AG36" s="69"/>
      <c r="AH36" s="69"/>
      <c r="AI36" s="69"/>
      <c r="AJ36" s="69"/>
      <c r="AK36" s="52"/>
      <c r="AL36" s="52"/>
      <c r="AM36" s="52"/>
      <c r="AN36" s="52"/>
      <c r="AV36" s="52"/>
      <c r="AW36" s="52"/>
      <c r="BD36" s="79"/>
      <c r="BE36" s="79"/>
      <c r="BF36" s="79"/>
      <c r="BG36" s="79"/>
      <c r="BH36" s="79"/>
      <c r="BI36" s="79"/>
      <c r="BJ36" s="79"/>
      <c r="BK36" s="79"/>
      <c r="BL36" s="79"/>
    </row>
    <row r="37" spans="1:64" x14ac:dyDescent="0.3">
      <c r="A37" s="87" t="s">
        <v>89</v>
      </c>
      <c r="B37" s="393">
        <f t="shared" si="0"/>
        <v>64</v>
      </c>
      <c r="C37" s="1203">
        <v>0.6</v>
      </c>
      <c r="D37" s="589">
        <v>6</v>
      </c>
      <c r="E37" s="580">
        <v>4</v>
      </c>
      <c r="F37" s="1208">
        <v>5.2916658889999999</v>
      </c>
      <c r="G37" s="324">
        <f>(F37*G$5)^G$6</f>
        <v>5.8797182578299605</v>
      </c>
      <c r="H37" s="321">
        <f t="shared" si="2"/>
        <v>0</v>
      </c>
      <c r="I37" s="131">
        <v>1</v>
      </c>
      <c r="J37" s="325">
        <v>-1</v>
      </c>
      <c r="K37" s="326">
        <f t="shared" si="1"/>
        <v>0</v>
      </c>
      <c r="L37" s="1237">
        <f>MIN(SUM(G37,K37),10)</f>
        <v>5.8797182578299605</v>
      </c>
      <c r="M37" s="372">
        <f>MAX(MAX(2,ROUND(L37/2,0)*2),4)</f>
        <v>6</v>
      </c>
      <c r="N37" s="612">
        <v>2021</v>
      </c>
      <c r="O37" s="372">
        <f>O$4-N37</f>
        <v>2</v>
      </c>
      <c r="P37" s="458">
        <f>IF(O37=2,-2,MAX(O37-M37,0))</f>
        <v>-2</v>
      </c>
      <c r="Q37" s="409"/>
      <c r="R37" s="975">
        <f t="shared" si="3"/>
        <v>0</v>
      </c>
      <c r="S37" s="606">
        <f>IF(O37&lt;6,-1,0)</f>
        <v>-1</v>
      </c>
      <c r="T37" s="321" t="str">
        <f t="shared" si="4"/>
        <v xml:space="preserve"> </v>
      </c>
      <c r="U37" s="391">
        <f>SUM(P37:T37)</f>
        <v>-3</v>
      </c>
      <c r="V37" s="395" t="s">
        <v>217</v>
      </c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52"/>
      <c r="AL37" s="52"/>
      <c r="AM37" s="52"/>
      <c r="AN37" s="52"/>
      <c r="AV37" s="52"/>
      <c r="AW37" s="52"/>
    </row>
    <row r="38" spans="1:64" x14ac:dyDescent="0.3">
      <c r="A38" s="88" t="s">
        <v>97</v>
      </c>
      <c r="B38" s="393">
        <f t="shared" si="0"/>
        <v>53</v>
      </c>
      <c r="C38" s="1203">
        <v>0.3</v>
      </c>
      <c r="D38" s="589">
        <v>12</v>
      </c>
      <c r="E38" s="580">
        <v>8</v>
      </c>
      <c r="F38" s="1208">
        <v>10.1</v>
      </c>
      <c r="G38" s="324">
        <f>(F38*G$5)^G$6</f>
        <v>7.5168090918006136</v>
      </c>
      <c r="H38" s="321">
        <f t="shared" si="2"/>
        <v>0</v>
      </c>
      <c r="I38" s="131">
        <v>1</v>
      </c>
      <c r="J38" s="325">
        <v>-1</v>
      </c>
      <c r="K38" s="326">
        <f t="shared" si="1"/>
        <v>0</v>
      </c>
      <c r="L38" s="1238">
        <f>MIN(SUM(G38,K38),10)</f>
        <v>7.5168090918006136</v>
      </c>
      <c r="M38" s="372">
        <f>MAX(MAX(2,ROUND(L38/2,0)*2),4)</f>
        <v>8</v>
      </c>
      <c r="N38" s="612">
        <v>2019</v>
      </c>
      <c r="O38" s="372">
        <f>O$4-N38</f>
        <v>4</v>
      </c>
      <c r="P38" s="458">
        <f>IF(O38=2,-2,MAX(O38-M38,0))</f>
        <v>0</v>
      </c>
      <c r="Q38" s="409"/>
      <c r="R38" s="975">
        <f t="shared" si="3"/>
        <v>0</v>
      </c>
      <c r="S38" s="606">
        <v>-1</v>
      </c>
      <c r="T38" s="321" t="str">
        <f t="shared" si="4"/>
        <v xml:space="preserve"> </v>
      </c>
      <c r="U38" s="391">
        <f>SUM(P38:T38)</f>
        <v>-1</v>
      </c>
      <c r="V38" s="1222" t="s">
        <v>217</v>
      </c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X38" s="52"/>
      <c r="AY38" s="52"/>
      <c r="AZ38" s="52"/>
      <c r="BA38" s="52"/>
      <c r="BB38" s="52"/>
      <c r="BC38" s="52"/>
    </row>
    <row r="39" spans="1:64" x14ac:dyDescent="0.3">
      <c r="A39" s="87" t="s">
        <v>86</v>
      </c>
      <c r="B39" s="393">
        <f t="shared" ref="B39:B71" si="8">RANK(U39,U$7:U$71,0)</f>
        <v>26</v>
      </c>
      <c r="C39" s="1203">
        <v>0.6</v>
      </c>
      <c r="D39" s="588">
        <v>10</v>
      </c>
      <c r="E39" s="580">
        <v>19</v>
      </c>
      <c r="F39" s="1208">
        <v>15.27</v>
      </c>
      <c r="G39" s="324">
        <f>(F39*G$5)^G$6</f>
        <v>8.7952913925753915</v>
      </c>
      <c r="H39" s="321">
        <f t="shared" si="2"/>
        <v>0</v>
      </c>
      <c r="I39" s="131">
        <v>1</v>
      </c>
      <c r="J39" s="325">
        <v>-1</v>
      </c>
      <c r="K39" s="326">
        <f t="shared" si="1"/>
        <v>0</v>
      </c>
      <c r="L39" s="1237">
        <f>MIN(SUM(G39,K39),10)</f>
        <v>8.7952913925753915</v>
      </c>
      <c r="M39" s="372">
        <f>MAX(MAX(2,ROUND(L39/2,0)*2),4)</f>
        <v>8</v>
      </c>
      <c r="N39" s="612">
        <v>2013</v>
      </c>
      <c r="O39" s="372">
        <f>O$4-N39</f>
        <v>10</v>
      </c>
      <c r="P39" s="458">
        <f>IF(O39=2,-2,MAX(O39-M39,0))</f>
        <v>2</v>
      </c>
      <c r="Q39" s="409"/>
      <c r="R39" s="975">
        <f t="shared" si="3"/>
        <v>0</v>
      </c>
      <c r="S39" s="606"/>
      <c r="T39" s="321">
        <f t="shared" si="4"/>
        <v>1</v>
      </c>
      <c r="U39" s="391">
        <f>SUM(P39:T39)</f>
        <v>3</v>
      </c>
      <c r="V39" s="1221"/>
      <c r="W39" s="69"/>
      <c r="X39" s="69"/>
      <c r="Y39" s="69"/>
      <c r="Z39" s="69"/>
      <c r="AA39" s="69"/>
      <c r="AB39" s="69"/>
      <c r="AC39" s="31"/>
      <c r="AD39" s="31"/>
      <c r="AE39" s="31"/>
      <c r="AF39" s="31"/>
      <c r="AG39" s="69"/>
      <c r="AH39" s="69"/>
      <c r="AI39" s="69"/>
      <c r="AJ39" s="69"/>
      <c r="AK39" s="52"/>
      <c r="AL39" s="52"/>
      <c r="AM39" s="52"/>
      <c r="AN39" s="52"/>
    </row>
    <row r="40" spans="1:64" x14ac:dyDescent="0.3">
      <c r="A40" s="184" t="s">
        <v>109</v>
      </c>
      <c r="B40" s="393">
        <f t="shared" si="8"/>
        <v>3</v>
      </c>
      <c r="C40" s="1202"/>
      <c r="D40" s="587">
        <v>49</v>
      </c>
      <c r="E40" s="581">
        <v>41</v>
      </c>
      <c r="F40" s="1205"/>
      <c r="G40" s="332"/>
      <c r="H40" s="321"/>
      <c r="I40" s="131">
        <v>-1</v>
      </c>
      <c r="J40" s="325">
        <v>0</v>
      </c>
      <c r="K40" s="326">
        <f t="shared" si="1"/>
        <v>-1</v>
      </c>
      <c r="L40" s="1238"/>
      <c r="M40" s="634"/>
      <c r="N40" s="612"/>
      <c r="O40" s="373"/>
      <c r="P40" s="629">
        <f>P$2</f>
        <v>4</v>
      </c>
      <c r="Q40" s="657">
        <f>-K40</f>
        <v>1</v>
      </c>
      <c r="R40" s="975"/>
      <c r="S40" s="607"/>
      <c r="T40" s="321" t="str">
        <f t="shared" si="4"/>
        <v xml:space="preserve"> </v>
      </c>
      <c r="U40" s="610">
        <f>SUM(P40:T40)</f>
        <v>5</v>
      </c>
      <c r="V40" s="1221"/>
      <c r="W40" s="69"/>
      <c r="X40" s="69"/>
      <c r="Y40" s="69"/>
      <c r="Z40" s="69"/>
      <c r="AA40" s="69"/>
      <c r="AB40" s="69"/>
      <c r="AC40" s="31"/>
      <c r="AD40" s="31"/>
      <c r="AE40" s="31"/>
      <c r="AF40" s="31"/>
      <c r="AG40" s="69"/>
      <c r="AH40" s="69"/>
      <c r="AI40" s="69"/>
      <c r="AJ40" s="69"/>
      <c r="AK40" s="52"/>
      <c r="AL40" s="52"/>
      <c r="AM40" s="52"/>
      <c r="AN40" s="52"/>
      <c r="AV40" s="96"/>
      <c r="AW40" s="96"/>
    </row>
    <row r="41" spans="1:64" x14ac:dyDescent="0.3">
      <c r="A41" s="87" t="s">
        <v>93</v>
      </c>
      <c r="B41" s="393">
        <f t="shared" si="8"/>
        <v>3</v>
      </c>
      <c r="C41" s="1202"/>
      <c r="D41" s="589">
        <v>29</v>
      </c>
      <c r="E41" s="580">
        <v>17</v>
      </c>
      <c r="F41" s="1205"/>
      <c r="G41" s="332"/>
      <c r="H41" s="321"/>
      <c r="I41" s="131">
        <v>0</v>
      </c>
      <c r="J41" s="325">
        <v>-1</v>
      </c>
      <c r="K41" s="326">
        <f t="shared" ref="K41:K71" si="9">SUM(H41:J41)</f>
        <v>-1</v>
      </c>
      <c r="L41" s="1238"/>
      <c r="M41" s="634"/>
      <c r="N41" s="612"/>
      <c r="O41" s="373"/>
      <c r="P41" s="629">
        <f>P$2</f>
        <v>4</v>
      </c>
      <c r="Q41" s="657">
        <f>-K41</f>
        <v>1</v>
      </c>
      <c r="R41" s="975"/>
      <c r="S41" s="607"/>
      <c r="T41" s="321" t="str">
        <f t="shared" ref="T41:T71" si="10">IF(M41&gt;0,IF(M41&lt;=O41,1," ")," ")</f>
        <v xml:space="preserve"> </v>
      </c>
      <c r="U41" s="610">
        <f>SUM(P41:T41)</f>
        <v>5</v>
      </c>
      <c r="V41" s="1221"/>
      <c r="W41" s="69"/>
      <c r="X41" s="69"/>
      <c r="Y41" s="69"/>
      <c r="Z41" s="69"/>
      <c r="AA41" s="69"/>
      <c r="AB41" s="69"/>
      <c r="AC41" s="31"/>
      <c r="AD41" s="31"/>
      <c r="AE41" s="31"/>
      <c r="AF41" s="31"/>
      <c r="AG41" s="69"/>
      <c r="AH41" s="69"/>
      <c r="AI41" s="69"/>
      <c r="AJ41" s="69"/>
      <c r="AK41" s="52"/>
      <c r="AL41" s="52"/>
      <c r="AM41" s="52"/>
      <c r="AN41" s="52"/>
    </row>
    <row r="42" spans="1:64" s="52" customFormat="1" x14ac:dyDescent="0.3">
      <c r="A42" s="87" t="s">
        <v>259</v>
      </c>
      <c r="B42" s="393">
        <f t="shared" si="8"/>
        <v>44</v>
      </c>
      <c r="C42" s="1203">
        <v>0.7</v>
      </c>
      <c r="D42" s="588">
        <v>22</v>
      </c>
      <c r="E42" s="582">
        <v>29</v>
      </c>
      <c r="F42" s="1208">
        <v>16.32</v>
      </c>
      <c r="G42" s="327">
        <f>(F42*G$5)^G$6</f>
        <v>9.020384645351939</v>
      </c>
      <c r="H42" s="321">
        <f t="shared" si="2"/>
        <v>0</v>
      </c>
      <c r="I42" s="131">
        <v>0</v>
      </c>
      <c r="J42" s="329">
        <v>0</v>
      </c>
      <c r="K42" s="330">
        <f t="shared" si="9"/>
        <v>0</v>
      </c>
      <c r="L42" s="1239">
        <f>MIN(SUM(G42,K42),10)</f>
        <v>9.020384645351939</v>
      </c>
      <c r="M42" s="374">
        <f>MAX(MAX(2,ROUND(L42/2,0)*2),4)</f>
        <v>10</v>
      </c>
      <c r="N42" s="612">
        <v>2017</v>
      </c>
      <c r="O42" s="374">
        <f>O$4-N42</f>
        <v>6</v>
      </c>
      <c r="P42" s="597">
        <f>IF(O42=2,-2,MAX(O42-M42,0))</f>
        <v>0</v>
      </c>
      <c r="Q42" s="658"/>
      <c r="R42" s="975">
        <f t="shared" si="3"/>
        <v>0</v>
      </c>
      <c r="S42" s="608"/>
      <c r="T42" s="321" t="str">
        <f t="shared" si="10"/>
        <v xml:space="preserve"> </v>
      </c>
      <c r="U42" s="391">
        <f>SUM(P42:T42)</f>
        <v>0</v>
      </c>
      <c r="V42" s="1221"/>
      <c r="W42" s="31"/>
      <c r="X42" s="31"/>
      <c r="Y42" s="31"/>
      <c r="Z42" s="31"/>
      <c r="AA42" s="31"/>
      <c r="AB42" s="31"/>
      <c r="AC42" s="69"/>
      <c r="AD42" s="69"/>
      <c r="AE42" s="69"/>
      <c r="AF42" s="69"/>
      <c r="AG42" s="31"/>
      <c r="AH42" s="31"/>
      <c r="AI42" s="31"/>
      <c r="AJ42" s="3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64" s="52" customFormat="1" x14ac:dyDescent="0.3">
      <c r="A43" s="184" t="s">
        <v>110</v>
      </c>
      <c r="B43" s="393">
        <f t="shared" si="8"/>
        <v>10</v>
      </c>
      <c r="C43" s="1202"/>
      <c r="D43" s="589">
        <v>28</v>
      </c>
      <c r="E43" s="581">
        <v>36</v>
      </c>
      <c r="F43" s="1205"/>
      <c r="G43" s="332"/>
      <c r="H43" s="321"/>
      <c r="I43" s="131">
        <v>0</v>
      </c>
      <c r="J43" s="325">
        <v>0</v>
      </c>
      <c r="K43" s="326">
        <f t="shared" si="9"/>
        <v>0</v>
      </c>
      <c r="L43" s="1240"/>
      <c r="M43" s="634"/>
      <c r="N43" s="612"/>
      <c r="O43" s="373"/>
      <c r="P43" s="629">
        <f>P$2</f>
        <v>4</v>
      </c>
      <c r="Q43" s="657">
        <f>-K43</f>
        <v>0</v>
      </c>
      <c r="R43" s="975"/>
      <c r="S43" s="607"/>
      <c r="T43" s="321" t="str">
        <f t="shared" si="10"/>
        <v xml:space="preserve"> </v>
      </c>
      <c r="U43" s="610">
        <f>SUM(P43:T43)</f>
        <v>4</v>
      </c>
      <c r="V43" s="1221"/>
      <c r="W43" s="31"/>
      <c r="X43" s="31"/>
      <c r="Y43" s="31"/>
      <c r="Z43" s="31"/>
      <c r="AA43" s="31"/>
      <c r="AB43" s="31"/>
      <c r="AC43" s="69"/>
      <c r="AD43" s="69"/>
      <c r="AE43" s="69"/>
      <c r="AF43" s="69"/>
      <c r="AG43" s="31"/>
      <c r="AH43" s="31"/>
      <c r="AI43" s="31"/>
      <c r="AJ43" s="31"/>
      <c r="AK43" s="1"/>
      <c r="AL43" s="1"/>
      <c r="AM43" s="1"/>
      <c r="AN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s="52" customFormat="1" x14ac:dyDescent="0.3">
      <c r="A44" s="184" t="s">
        <v>249</v>
      </c>
      <c r="B44" s="393">
        <f t="shared" si="8"/>
        <v>58</v>
      </c>
      <c r="C44" s="1203">
        <v>0.2</v>
      </c>
      <c r="D44" s="588">
        <v>43</v>
      </c>
      <c r="E44" s="583">
        <v>1</v>
      </c>
      <c r="F44" s="1208">
        <v>22.2</v>
      </c>
      <c r="G44" s="327">
        <f>(F44*G$5)^G$6</f>
        <v>10.139242930854076</v>
      </c>
      <c r="H44" s="321">
        <f t="shared" si="2"/>
        <v>1</v>
      </c>
      <c r="I44" s="131">
        <v>-1</v>
      </c>
      <c r="J44" s="329">
        <v>-1</v>
      </c>
      <c r="K44" s="330">
        <f t="shared" si="9"/>
        <v>-1</v>
      </c>
      <c r="L44" s="1239">
        <f>MIN(SUM(G44,K44),10)</f>
        <v>9.1392429308540759</v>
      </c>
      <c r="M44" s="374">
        <f>MAX(MAX(2,ROUND(L44/2,0)*2),4)</f>
        <v>10</v>
      </c>
      <c r="N44" s="612">
        <v>2021</v>
      </c>
      <c r="O44" s="374">
        <f>O$4-N44</f>
        <v>2</v>
      </c>
      <c r="P44" s="597">
        <f>IF(O44=2,-2,MAX(O44-M44,0))</f>
        <v>-2</v>
      </c>
      <c r="Q44" s="658"/>
      <c r="R44" s="975">
        <f t="shared" si="3"/>
        <v>0</v>
      </c>
      <c r="S44" s="608"/>
      <c r="T44" s="321" t="str">
        <f t="shared" si="10"/>
        <v xml:space="preserve"> </v>
      </c>
      <c r="U44" s="391">
        <f>SUM(P44:T44)</f>
        <v>-2</v>
      </c>
      <c r="V44" s="1221"/>
      <c r="W44" s="31"/>
      <c r="X44" s="31"/>
      <c r="Y44" s="31"/>
      <c r="Z44" s="31"/>
      <c r="AA44" s="31"/>
      <c r="AB44" s="31"/>
      <c r="AC44" s="69"/>
      <c r="AD44" s="69"/>
      <c r="AE44" s="69"/>
      <c r="AF44" s="69"/>
      <c r="AG44" s="31"/>
      <c r="AH44" s="31"/>
      <c r="AI44" s="31"/>
      <c r="AJ44" s="3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64" s="52" customFormat="1" x14ac:dyDescent="0.3">
      <c r="A45" s="87" t="s">
        <v>7</v>
      </c>
      <c r="B45" s="393">
        <f t="shared" si="8"/>
        <v>53</v>
      </c>
      <c r="C45" s="1203">
        <v>0.4</v>
      </c>
      <c r="D45" s="589">
        <v>2</v>
      </c>
      <c r="E45" s="580">
        <v>11</v>
      </c>
      <c r="F45" s="1208">
        <v>7</v>
      </c>
      <c r="G45" s="324">
        <f>(F45*G$5)^G$6</f>
        <v>6.5392607282869077</v>
      </c>
      <c r="H45" s="321">
        <f t="shared" si="2"/>
        <v>0</v>
      </c>
      <c r="I45" s="131">
        <v>1</v>
      </c>
      <c r="J45" s="325">
        <v>-1</v>
      </c>
      <c r="K45" s="326">
        <f t="shared" si="9"/>
        <v>0</v>
      </c>
      <c r="L45" s="1237">
        <f>MIN(SUM(G45,K45),10)</f>
        <v>6.5392607282869077</v>
      </c>
      <c r="M45" s="372">
        <f>MAX(MAX(2,ROUND(L45/2,0)*2),4)</f>
        <v>6</v>
      </c>
      <c r="N45" s="612">
        <v>2019</v>
      </c>
      <c r="O45" s="372">
        <f>O$4-N45</f>
        <v>4</v>
      </c>
      <c r="P45" s="458">
        <f>IF(O45=2,-2,MAX(O45-M45,0))</f>
        <v>0</v>
      </c>
      <c r="Q45" s="409"/>
      <c r="R45" s="975">
        <f t="shared" si="3"/>
        <v>0</v>
      </c>
      <c r="S45" s="606">
        <f>IF(O45&lt;6,-1,0)</f>
        <v>-1</v>
      </c>
      <c r="T45" s="321" t="str">
        <f t="shared" si="10"/>
        <v xml:space="preserve"> </v>
      </c>
      <c r="U45" s="391">
        <f>SUM(P45:T45)</f>
        <v>-1</v>
      </c>
      <c r="V45" s="395" t="s">
        <v>217</v>
      </c>
      <c r="W45" s="31"/>
      <c r="X45" s="31"/>
      <c r="Y45" s="31"/>
      <c r="Z45" s="31"/>
      <c r="AA45" s="31"/>
      <c r="AB45" s="31"/>
      <c r="AC45" s="69"/>
      <c r="AD45" s="69"/>
      <c r="AE45" s="69"/>
      <c r="AF45" s="69"/>
      <c r="AG45" s="31"/>
      <c r="AH45" s="31"/>
      <c r="AI45" s="31"/>
      <c r="AJ45" s="3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X45" s="1"/>
      <c r="AY45" s="1"/>
      <c r="AZ45" s="1"/>
      <c r="BA45" s="1"/>
      <c r="BB45" s="1"/>
      <c r="BC45" s="1"/>
    </row>
    <row r="46" spans="1:64" s="52" customFormat="1" x14ac:dyDescent="0.3">
      <c r="A46" s="184" t="s">
        <v>111</v>
      </c>
      <c r="B46" s="393">
        <f t="shared" si="8"/>
        <v>58</v>
      </c>
      <c r="C46" s="1202">
        <v>0.6</v>
      </c>
      <c r="D46" s="588">
        <v>35</v>
      </c>
      <c r="E46" s="579">
        <v>47</v>
      </c>
      <c r="F46" s="1205">
        <v>12.948411549999999</v>
      </c>
      <c r="G46" s="324">
        <f>(F46*G$5)^G$6</f>
        <v>8.261019860447135</v>
      </c>
      <c r="H46" s="321">
        <f t="shared" si="2"/>
        <v>0</v>
      </c>
      <c r="I46" s="131">
        <v>0</v>
      </c>
      <c r="J46" s="325">
        <v>1</v>
      </c>
      <c r="K46" s="326">
        <f t="shared" si="9"/>
        <v>1</v>
      </c>
      <c r="L46" s="1237">
        <f>MIN(SUM(G46,K46),10)</f>
        <v>9.261019860447135</v>
      </c>
      <c r="M46" s="372">
        <f>MAX(MAX(2,ROUND(L46/2,0)*2),4)</f>
        <v>10</v>
      </c>
      <c r="N46" s="612">
        <v>2021</v>
      </c>
      <c r="O46" s="374">
        <f>O$4-N46</f>
        <v>2</v>
      </c>
      <c r="P46" s="458">
        <f>IF(O46=2,-2,MAX(O46-M46,0))</f>
        <v>-2</v>
      </c>
      <c r="Q46" s="1213"/>
      <c r="R46" s="975">
        <f t="shared" si="3"/>
        <v>0</v>
      </c>
      <c r="S46" s="607"/>
      <c r="T46" s="321" t="str">
        <f t="shared" si="10"/>
        <v xml:space="preserve"> </v>
      </c>
      <c r="U46" s="1217">
        <f>SUM(P46:T46)</f>
        <v>-2</v>
      </c>
      <c r="V46" s="392"/>
      <c r="W46" s="31"/>
      <c r="X46" s="31"/>
      <c r="Y46" s="31"/>
      <c r="Z46" s="31"/>
      <c r="AA46" s="31"/>
      <c r="AB46" s="31"/>
      <c r="AC46" s="69"/>
      <c r="AD46" s="69"/>
      <c r="AE46" s="69"/>
      <c r="AF46" s="69"/>
      <c r="AG46" s="31"/>
      <c r="AH46" s="31"/>
      <c r="AI46" s="31"/>
      <c r="AJ46" s="3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X46" s="1"/>
      <c r="AY46" s="1"/>
      <c r="AZ46" s="1"/>
      <c r="BA46" s="1"/>
      <c r="BB46" s="1"/>
      <c r="BC46" s="1"/>
    </row>
    <row r="47" spans="1:64" s="52" customFormat="1" x14ac:dyDescent="0.3">
      <c r="A47" s="184" t="s">
        <v>112</v>
      </c>
      <c r="B47" s="393">
        <f t="shared" si="8"/>
        <v>26</v>
      </c>
      <c r="C47" s="1202"/>
      <c r="D47" s="587">
        <v>34</v>
      </c>
      <c r="E47" s="579">
        <v>48</v>
      </c>
      <c r="F47" s="1205"/>
      <c r="G47" s="332"/>
      <c r="H47" s="321"/>
      <c r="I47" s="131">
        <v>0</v>
      </c>
      <c r="J47" s="325">
        <v>1</v>
      </c>
      <c r="K47" s="326">
        <f t="shared" si="9"/>
        <v>1</v>
      </c>
      <c r="L47" s="1238"/>
      <c r="M47" s="634"/>
      <c r="N47" s="612"/>
      <c r="O47" s="373"/>
      <c r="P47" s="629">
        <f>P$2</f>
        <v>4</v>
      </c>
      <c r="Q47" s="657">
        <f>-K47</f>
        <v>-1</v>
      </c>
      <c r="R47" s="975"/>
      <c r="S47" s="607"/>
      <c r="T47" s="321" t="str">
        <f t="shared" si="10"/>
        <v xml:space="preserve"> </v>
      </c>
      <c r="U47" s="610">
        <f>SUM(P47:T47)</f>
        <v>3</v>
      </c>
      <c r="V47" s="392"/>
      <c r="W47" s="31"/>
      <c r="X47" s="31"/>
      <c r="Y47" s="31"/>
      <c r="Z47" s="31"/>
      <c r="AA47" s="30"/>
      <c r="AB47" s="30"/>
      <c r="AC47" s="69"/>
      <c r="AD47" s="69"/>
      <c r="AE47" s="69"/>
      <c r="AF47" s="69"/>
      <c r="AG47" s="31"/>
      <c r="AH47" s="31"/>
      <c r="AI47" s="31"/>
      <c r="AJ47" s="31"/>
      <c r="AK47" s="1"/>
      <c r="AL47" s="1"/>
      <c r="AM47" s="1"/>
      <c r="AN47" s="1"/>
      <c r="AV47" s="1"/>
      <c r="AW47" s="1"/>
    </row>
    <row r="48" spans="1:64" s="52" customFormat="1" x14ac:dyDescent="0.3">
      <c r="A48" s="184" t="s">
        <v>352</v>
      </c>
      <c r="B48" s="393">
        <f t="shared" si="8"/>
        <v>10</v>
      </c>
      <c r="C48" s="1202"/>
      <c r="D48" s="587">
        <v>51</v>
      </c>
      <c r="E48" s="579">
        <v>42</v>
      </c>
      <c r="F48" s="1205"/>
      <c r="G48" s="332"/>
      <c r="H48" s="321"/>
      <c r="I48" s="131">
        <v>-1</v>
      </c>
      <c r="J48" s="127">
        <v>0</v>
      </c>
      <c r="K48" s="326"/>
      <c r="L48" s="1238"/>
      <c r="M48" s="634"/>
      <c r="N48" s="612"/>
      <c r="O48" s="373"/>
      <c r="P48" s="629">
        <f>P$2</f>
        <v>4</v>
      </c>
      <c r="Q48" s="657">
        <f>-K48</f>
        <v>0</v>
      </c>
      <c r="R48" s="975"/>
      <c r="S48" s="607"/>
      <c r="T48" s="321"/>
      <c r="U48" s="610">
        <f>SUM(P48:T48)</f>
        <v>4</v>
      </c>
      <c r="V48" s="392"/>
      <c r="W48" s="31"/>
      <c r="X48" s="31"/>
      <c r="Y48" s="31"/>
      <c r="Z48" s="31"/>
      <c r="AA48" s="30"/>
      <c r="AB48" s="30"/>
      <c r="AC48" s="69"/>
      <c r="AD48" s="69"/>
      <c r="AE48" s="69"/>
      <c r="AF48" s="69"/>
      <c r="AG48" s="31"/>
      <c r="AH48" s="31"/>
      <c r="AI48" s="31"/>
      <c r="AJ48" s="31"/>
      <c r="AK48" s="1"/>
      <c r="AL48" s="1"/>
      <c r="AM48" s="1"/>
      <c r="AN48" s="1"/>
      <c r="AV48" s="1"/>
      <c r="AW48" s="1"/>
    </row>
    <row r="49" spans="1:64" s="52" customFormat="1" x14ac:dyDescent="0.3">
      <c r="A49" s="184" t="s">
        <v>11</v>
      </c>
      <c r="B49" s="393">
        <f t="shared" si="8"/>
        <v>3</v>
      </c>
      <c r="C49" s="1203">
        <v>0.8</v>
      </c>
      <c r="D49" s="588">
        <v>15</v>
      </c>
      <c r="E49" s="581">
        <v>22</v>
      </c>
      <c r="F49" s="1208">
        <v>7.63</v>
      </c>
      <c r="G49" s="324">
        <f>(F49*G$5)^G$6</f>
        <v>6.7569502726705437</v>
      </c>
      <c r="H49" s="321">
        <f t="shared" si="2"/>
        <v>0</v>
      </c>
      <c r="I49" s="131">
        <v>1</v>
      </c>
      <c r="J49" s="127">
        <v>-1</v>
      </c>
      <c r="K49" s="326">
        <f t="shared" si="9"/>
        <v>0</v>
      </c>
      <c r="L49" s="1237">
        <f>MIN(SUM(G49,K49),10)</f>
        <v>6.7569502726705437</v>
      </c>
      <c r="M49" s="372">
        <f>MAX(MAX(2,ROUND(L49/2,0)*2),4)</f>
        <v>6</v>
      </c>
      <c r="N49" s="612">
        <v>2013</v>
      </c>
      <c r="O49" s="372">
        <f>O$4-N49</f>
        <v>10</v>
      </c>
      <c r="P49" s="458">
        <f>IF(O49=2,-2,MAX(O49-M49,0))</f>
        <v>4</v>
      </c>
      <c r="Q49" s="409"/>
      <c r="R49" s="975">
        <f t="shared" si="3"/>
        <v>0</v>
      </c>
      <c r="S49" s="606"/>
      <c r="T49" s="321">
        <f t="shared" si="10"/>
        <v>1</v>
      </c>
      <c r="U49" s="391">
        <f>SUM(P49:T49)</f>
        <v>5</v>
      </c>
      <c r="V49" s="392"/>
      <c r="W49" s="31"/>
      <c r="X49" s="31"/>
      <c r="Y49" s="31"/>
      <c r="Z49" s="31"/>
      <c r="AA49" s="31"/>
      <c r="AB49" s="31"/>
      <c r="AC49" s="69"/>
      <c r="AD49" s="69"/>
      <c r="AE49" s="69"/>
      <c r="AF49" s="69"/>
      <c r="AG49" s="31"/>
      <c r="AH49" s="31"/>
      <c r="AI49" s="31"/>
      <c r="AJ49" s="31"/>
      <c r="AK49" s="1"/>
      <c r="AL49" s="1"/>
      <c r="AM49" s="1"/>
      <c r="AN49" s="1"/>
      <c r="AV49" s="1"/>
      <c r="AW49" s="1"/>
    </row>
    <row r="50" spans="1:64" s="52" customFormat="1" x14ac:dyDescent="0.3">
      <c r="A50" s="184" t="s">
        <v>20</v>
      </c>
      <c r="B50" s="393">
        <f t="shared" si="8"/>
        <v>10</v>
      </c>
      <c r="C50" s="1202"/>
      <c r="D50" s="587">
        <v>57</v>
      </c>
      <c r="E50" s="579">
        <v>64</v>
      </c>
      <c r="F50" s="1205"/>
      <c r="G50" s="332"/>
      <c r="H50" s="321"/>
      <c r="I50" s="131">
        <v>-1</v>
      </c>
      <c r="J50" s="325">
        <v>1</v>
      </c>
      <c r="K50" s="326">
        <f t="shared" si="9"/>
        <v>0</v>
      </c>
      <c r="L50" s="1238"/>
      <c r="M50" s="634"/>
      <c r="N50" s="612"/>
      <c r="O50" s="373"/>
      <c r="P50" s="629">
        <f>P$2</f>
        <v>4</v>
      </c>
      <c r="Q50" s="657">
        <f>-K50</f>
        <v>0</v>
      </c>
      <c r="R50" s="975"/>
      <c r="S50" s="607"/>
      <c r="T50" s="321" t="str">
        <f t="shared" si="10"/>
        <v xml:space="preserve"> </v>
      </c>
      <c r="U50" s="610">
        <f>SUM(P50:T50)</f>
        <v>4</v>
      </c>
      <c r="V50" s="392"/>
      <c r="W50" s="69"/>
      <c r="X50" s="69"/>
      <c r="Y50" s="31"/>
      <c r="Z50" s="31"/>
      <c r="AA50" s="31"/>
      <c r="AB50" s="31"/>
      <c r="AC50" s="69"/>
      <c r="AD50" s="69"/>
      <c r="AE50" s="69"/>
      <c r="AF50" s="69"/>
      <c r="AG50" s="31"/>
      <c r="AH50" s="31"/>
      <c r="AI50" s="31"/>
      <c r="AJ50" s="3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64" s="52" customFormat="1" x14ac:dyDescent="0.3">
      <c r="A51" s="184" t="s">
        <v>353</v>
      </c>
      <c r="B51" s="393">
        <f t="shared" si="8"/>
        <v>10</v>
      </c>
      <c r="C51" s="1202"/>
      <c r="D51" s="587">
        <v>47</v>
      </c>
      <c r="E51" s="579">
        <v>38</v>
      </c>
      <c r="F51" s="1205"/>
      <c r="G51" s="332"/>
      <c r="H51" s="321"/>
      <c r="I51" s="131">
        <v>-1</v>
      </c>
      <c r="J51" s="325">
        <v>0</v>
      </c>
      <c r="K51" s="326"/>
      <c r="L51" s="1238"/>
      <c r="M51" s="634"/>
      <c r="N51" s="612"/>
      <c r="O51" s="373"/>
      <c r="P51" s="629">
        <f>P$2</f>
        <v>4</v>
      </c>
      <c r="Q51" s="657">
        <f t="shared" ref="Q51:Q52" si="11">-K51</f>
        <v>0</v>
      </c>
      <c r="R51" s="975"/>
      <c r="S51" s="607"/>
      <c r="T51" s="321"/>
      <c r="U51" s="610">
        <f t="shared" ref="U51:U52" si="12">SUM(P51:T51)</f>
        <v>4</v>
      </c>
      <c r="V51" s="392"/>
      <c r="W51" s="69"/>
      <c r="X51" s="69"/>
      <c r="Y51" s="31"/>
      <c r="Z51" s="31"/>
      <c r="AA51" s="31"/>
      <c r="AB51" s="31"/>
      <c r="AC51" s="69"/>
      <c r="AD51" s="69"/>
      <c r="AE51" s="69"/>
      <c r="AF51" s="69"/>
      <c r="AG51" s="31"/>
      <c r="AH51" s="31"/>
      <c r="AI51" s="31"/>
      <c r="AJ51" s="3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64" s="52" customFormat="1" x14ac:dyDescent="0.3">
      <c r="A52" s="184" t="s">
        <v>354</v>
      </c>
      <c r="B52" s="393">
        <f t="shared" si="8"/>
        <v>10</v>
      </c>
      <c r="C52" s="1202"/>
      <c r="D52" s="587">
        <v>57</v>
      </c>
      <c r="E52" s="579">
        <v>57</v>
      </c>
      <c r="F52" s="1205"/>
      <c r="G52" s="332"/>
      <c r="H52" s="321"/>
      <c r="I52" s="131">
        <v>-1</v>
      </c>
      <c r="J52" s="325">
        <v>1</v>
      </c>
      <c r="K52" s="326"/>
      <c r="L52" s="1238"/>
      <c r="M52" s="634"/>
      <c r="N52" s="612"/>
      <c r="O52" s="373"/>
      <c r="P52" s="629">
        <f>P$2</f>
        <v>4</v>
      </c>
      <c r="Q52" s="657">
        <f t="shared" si="11"/>
        <v>0</v>
      </c>
      <c r="R52" s="975"/>
      <c r="S52" s="607"/>
      <c r="T52" s="321"/>
      <c r="U52" s="610">
        <f t="shared" si="12"/>
        <v>4</v>
      </c>
      <c r="V52" s="392"/>
      <c r="W52" s="69"/>
      <c r="X52" s="69"/>
      <c r="Y52" s="31"/>
      <c r="Z52" s="31"/>
      <c r="AA52" s="31"/>
      <c r="AB52" s="31"/>
      <c r="AC52" s="69"/>
      <c r="AD52" s="69"/>
      <c r="AE52" s="69"/>
      <c r="AF52" s="69"/>
      <c r="AG52" s="31"/>
      <c r="AH52" s="31"/>
      <c r="AI52" s="31"/>
      <c r="AJ52" s="3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64" s="52" customFormat="1" x14ac:dyDescent="0.3">
      <c r="A53" s="184" t="s">
        <v>326</v>
      </c>
      <c r="B53" s="393">
        <f t="shared" si="8"/>
        <v>38</v>
      </c>
      <c r="C53" s="1203">
        <v>0.4</v>
      </c>
      <c r="D53" s="588">
        <v>32</v>
      </c>
      <c r="E53" s="579">
        <v>32</v>
      </c>
      <c r="F53" s="1208">
        <v>32.51</v>
      </c>
      <c r="G53" s="324">
        <f>(F53*G$5)^G$6</f>
        <v>11.720815961227053</v>
      </c>
      <c r="H53" s="321">
        <f t="shared" si="2"/>
        <v>0</v>
      </c>
      <c r="I53" s="131">
        <v>0</v>
      </c>
      <c r="J53" s="325">
        <v>0</v>
      </c>
      <c r="K53" s="326">
        <f t="shared" si="9"/>
        <v>0</v>
      </c>
      <c r="L53" s="1237">
        <f>MIN(SUM(G53,K53),10)</f>
        <v>10</v>
      </c>
      <c r="M53" s="372">
        <f>MAX(MAX(2,ROUND(L53/2,0)*2),4)</f>
        <v>10</v>
      </c>
      <c r="N53" s="612">
        <v>2013</v>
      </c>
      <c r="O53" s="372">
        <f>O$4-N53</f>
        <v>10</v>
      </c>
      <c r="P53" s="458">
        <f>IF(O53=2,-2,MAX(O53-M53,0))</f>
        <v>0</v>
      </c>
      <c r="Q53" s="409"/>
      <c r="R53" s="975">
        <f t="shared" si="3"/>
        <v>0</v>
      </c>
      <c r="S53" s="606"/>
      <c r="T53" s="321">
        <f t="shared" si="10"/>
        <v>1</v>
      </c>
      <c r="U53" s="391">
        <f>SUM(P53:T53)</f>
        <v>1</v>
      </c>
      <c r="V53" s="392"/>
      <c r="W53" s="31"/>
      <c r="X53" s="31"/>
      <c r="Y53" s="31"/>
      <c r="Z53" s="31"/>
      <c r="AA53" s="30"/>
      <c r="AB53" s="30"/>
      <c r="AC53" s="69"/>
      <c r="AD53" s="69"/>
      <c r="AE53" s="69"/>
      <c r="AF53" s="69"/>
      <c r="AG53" s="31"/>
      <c r="AH53" s="31"/>
      <c r="AI53" s="31"/>
      <c r="AJ53" s="31"/>
      <c r="AK53" s="1"/>
      <c r="AL53" s="1"/>
      <c r="AM53" s="1"/>
      <c r="AN53" s="1"/>
      <c r="AV53" s="1"/>
      <c r="AW53" s="1"/>
    </row>
    <row r="54" spans="1:64" s="52" customFormat="1" x14ac:dyDescent="0.3">
      <c r="A54" s="88" t="s">
        <v>91</v>
      </c>
      <c r="B54" s="393">
        <f t="shared" si="8"/>
        <v>58</v>
      </c>
      <c r="C54" s="1203">
        <v>1.4</v>
      </c>
      <c r="D54" s="589">
        <v>1</v>
      </c>
      <c r="E54" s="580">
        <v>2</v>
      </c>
      <c r="F54" s="1210">
        <v>9.6999999999999993</v>
      </c>
      <c r="G54" s="324">
        <f>(F54*G$5)^G$6</f>
        <v>7.4022654884467434</v>
      </c>
      <c r="H54" s="321">
        <f t="shared" si="2"/>
        <v>-1</v>
      </c>
      <c r="I54" s="131">
        <v>1</v>
      </c>
      <c r="J54" s="325">
        <v>-1</v>
      </c>
      <c r="K54" s="326">
        <f t="shared" si="9"/>
        <v>-1</v>
      </c>
      <c r="L54" s="1237">
        <f>MIN(SUM(G54,K54),10)</f>
        <v>6.4022654884467434</v>
      </c>
      <c r="M54" s="372">
        <f>MAX(MAX(2,ROUND(L54/2,0)*2),4)</f>
        <v>6</v>
      </c>
      <c r="N54" s="612">
        <v>2021</v>
      </c>
      <c r="O54" s="372">
        <f>O$4-N54</f>
        <v>2</v>
      </c>
      <c r="P54" s="458">
        <f>IF(O54=2,-2,MAX(O54-M54,0))</f>
        <v>-2</v>
      </c>
      <c r="Q54" s="409"/>
      <c r="R54" s="975">
        <f t="shared" si="3"/>
        <v>0</v>
      </c>
      <c r="S54" s="606"/>
      <c r="T54" s="321" t="str">
        <f t="shared" si="10"/>
        <v xml:space="preserve"> </v>
      </c>
      <c r="U54" s="391">
        <f>SUM(P54:T54)</f>
        <v>-2</v>
      </c>
      <c r="V54" s="392"/>
      <c r="W54" s="165"/>
      <c r="X54" s="31"/>
      <c r="Y54" s="31"/>
      <c r="Z54" s="31"/>
      <c r="AA54" s="31"/>
      <c r="AB54" s="31"/>
      <c r="AC54" s="69"/>
      <c r="AD54" s="69"/>
      <c r="AE54" s="69"/>
      <c r="AF54" s="69"/>
      <c r="AG54" s="31"/>
      <c r="AH54" s="31"/>
      <c r="AI54" s="31"/>
      <c r="AJ54" s="3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X54" s="1"/>
      <c r="AY54" s="1"/>
      <c r="AZ54" s="1"/>
      <c r="BA54" s="1"/>
      <c r="BB54" s="1"/>
      <c r="BC54" s="1"/>
    </row>
    <row r="55" spans="1:64" x14ac:dyDescent="0.3">
      <c r="A55" s="184" t="s">
        <v>15</v>
      </c>
      <c r="B55" s="393">
        <f t="shared" si="8"/>
        <v>26</v>
      </c>
      <c r="C55" s="1202"/>
      <c r="D55" s="588">
        <v>38</v>
      </c>
      <c r="E55" s="579">
        <v>46</v>
      </c>
      <c r="F55" s="1205"/>
      <c r="G55" s="332"/>
      <c r="H55" s="321"/>
      <c r="I55" s="131">
        <v>0</v>
      </c>
      <c r="J55" s="325">
        <v>1</v>
      </c>
      <c r="K55" s="326">
        <f t="shared" si="9"/>
        <v>1</v>
      </c>
      <c r="L55" s="1238"/>
      <c r="M55" s="634"/>
      <c r="N55" s="612"/>
      <c r="O55" s="373"/>
      <c r="P55" s="629">
        <f>P$2</f>
        <v>4</v>
      </c>
      <c r="Q55" s="657">
        <f>-K55</f>
        <v>-1</v>
      </c>
      <c r="R55" s="975"/>
      <c r="S55" s="607"/>
      <c r="T55" s="321" t="str">
        <f t="shared" si="10"/>
        <v xml:space="preserve"> </v>
      </c>
      <c r="U55" s="610">
        <f>SUM(P55:T55)</f>
        <v>3</v>
      </c>
      <c r="V55" s="392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64" s="52" customFormat="1" x14ac:dyDescent="0.3">
      <c r="A56" s="184" t="s">
        <v>158</v>
      </c>
      <c r="B56" s="393">
        <f t="shared" si="8"/>
        <v>26</v>
      </c>
      <c r="C56" s="1203">
        <v>0.8</v>
      </c>
      <c r="D56" s="590">
        <v>55</v>
      </c>
      <c r="E56" s="582">
        <v>55</v>
      </c>
      <c r="F56" s="1208">
        <v>13.32</v>
      </c>
      <c r="G56" s="327">
        <f>(F56*G$5)^G$6</f>
        <v>8.3503177889310205</v>
      </c>
      <c r="H56" s="321">
        <f t="shared" si="2"/>
        <v>0</v>
      </c>
      <c r="I56" s="328">
        <v>-1</v>
      </c>
      <c r="J56" s="329">
        <v>1</v>
      </c>
      <c r="K56" s="330">
        <f t="shared" si="9"/>
        <v>0</v>
      </c>
      <c r="L56" s="1239">
        <f>MIN(SUM(G56,K56),10)</f>
        <v>8.3503177889310205</v>
      </c>
      <c r="M56" s="374">
        <f>MAX(MAX(2,ROUND(L56/2,0)*2),4)</f>
        <v>8</v>
      </c>
      <c r="N56" s="612">
        <v>2013</v>
      </c>
      <c r="O56" s="374">
        <f>O$4-N56</f>
        <v>10</v>
      </c>
      <c r="P56" s="597">
        <f>IF(O56=2,-2,MAX(O56-M56,0))</f>
        <v>2</v>
      </c>
      <c r="Q56" s="658"/>
      <c r="R56" s="975">
        <f t="shared" si="3"/>
        <v>0</v>
      </c>
      <c r="S56" s="608"/>
      <c r="T56" s="321">
        <f t="shared" si="10"/>
        <v>1</v>
      </c>
      <c r="U56" s="391">
        <f>SUM(P56:T56)</f>
        <v>3</v>
      </c>
      <c r="V56" s="392"/>
      <c r="W56" s="31"/>
      <c r="X56" s="31"/>
      <c r="Y56" s="31"/>
      <c r="Z56" s="31"/>
      <c r="AA56" s="31"/>
      <c r="AB56" s="31"/>
      <c r="AC56" s="69"/>
      <c r="AD56" s="69"/>
      <c r="AE56" s="69"/>
      <c r="AF56" s="69"/>
      <c r="AG56" s="31"/>
      <c r="AH56" s="31"/>
      <c r="AI56" s="31"/>
      <c r="AJ56" s="31"/>
      <c r="AK56" s="1"/>
      <c r="AL56" s="1"/>
      <c r="AM56" s="1"/>
      <c r="AN56" s="1"/>
      <c r="AV56" s="1"/>
      <c r="AW56" s="1"/>
    </row>
    <row r="57" spans="1:64" s="52" customFormat="1" x14ac:dyDescent="0.3">
      <c r="A57" s="184" t="s">
        <v>113</v>
      </c>
      <c r="B57" s="393">
        <f t="shared" si="8"/>
        <v>10</v>
      </c>
      <c r="C57" s="1202"/>
      <c r="D57" s="587">
        <v>46</v>
      </c>
      <c r="E57" s="579">
        <v>61</v>
      </c>
      <c r="F57" s="1205"/>
      <c r="G57" s="332"/>
      <c r="H57" s="321"/>
      <c r="I57" s="131">
        <v>-1</v>
      </c>
      <c r="J57" s="325">
        <v>1</v>
      </c>
      <c r="K57" s="326">
        <f t="shared" si="9"/>
        <v>0</v>
      </c>
      <c r="L57" s="1238"/>
      <c r="M57" s="634"/>
      <c r="N57" s="612"/>
      <c r="O57" s="373"/>
      <c r="P57" s="629">
        <f>P$2</f>
        <v>4</v>
      </c>
      <c r="Q57" s="657">
        <f>-K57</f>
        <v>0</v>
      </c>
      <c r="R57" s="975"/>
      <c r="S57" s="607"/>
      <c r="T57" s="321" t="str">
        <f t="shared" si="10"/>
        <v xml:space="preserve"> </v>
      </c>
      <c r="U57" s="610">
        <f>SUM(P57:T57)</f>
        <v>4</v>
      </c>
      <c r="V57" s="392"/>
      <c r="W57" s="31"/>
      <c r="X57" s="31"/>
      <c r="Y57" s="31"/>
      <c r="Z57" s="31"/>
      <c r="AA57" s="31"/>
      <c r="AB57" s="31"/>
      <c r="AC57" s="69"/>
      <c r="AD57" s="69"/>
      <c r="AE57" s="69"/>
      <c r="AF57" s="69"/>
      <c r="AG57" s="31"/>
      <c r="AH57" s="31"/>
      <c r="AI57" s="31"/>
      <c r="AJ57" s="3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x14ac:dyDescent="0.3">
      <c r="A58" s="87" t="s">
        <v>87</v>
      </c>
      <c r="B58" s="393">
        <f t="shared" si="8"/>
        <v>38</v>
      </c>
      <c r="C58" s="1203">
        <v>0.5</v>
      </c>
      <c r="D58" s="589">
        <v>5</v>
      </c>
      <c r="E58" s="580">
        <v>5</v>
      </c>
      <c r="F58" s="1208">
        <v>25.4</v>
      </c>
      <c r="G58" s="324">
        <f>(F58*G$5)^G$6</f>
        <v>10.671567375563921</v>
      </c>
      <c r="H58" s="321">
        <f t="shared" si="2"/>
        <v>0</v>
      </c>
      <c r="I58" s="131">
        <v>1</v>
      </c>
      <c r="J58" s="325">
        <v>-1</v>
      </c>
      <c r="K58" s="326">
        <f t="shared" si="9"/>
        <v>0</v>
      </c>
      <c r="L58" s="1237">
        <f>MIN(SUM(G58,K58),10)</f>
        <v>10</v>
      </c>
      <c r="M58" s="372">
        <f>MAX(MAX(2,ROUND(L58/2,0)*2),4)</f>
        <v>10</v>
      </c>
      <c r="N58" s="612">
        <v>2013</v>
      </c>
      <c r="O58" s="372">
        <f>O$4-N58</f>
        <v>10</v>
      </c>
      <c r="P58" s="458">
        <f>IF(O58=2,-2,MAX(O58-M58,0))</f>
        <v>0</v>
      </c>
      <c r="Q58" s="409"/>
      <c r="R58" s="975">
        <f t="shared" si="3"/>
        <v>0</v>
      </c>
      <c r="S58" s="606"/>
      <c r="T58" s="321">
        <f t="shared" si="10"/>
        <v>1</v>
      </c>
      <c r="U58" s="391">
        <f>SUM(P58:T58)</f>
        <v>1</v>
      </c>
      <c r="V58" s="392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52"/>
      <c r="AL58" s="52"/>
      <c r="AM58" s="52"/>
      <c r="AN58" s="52"/>
    </row>
    <row r="59" spans="1:64" x14ac:dyDescent="0.3">
      <c r="A59" s="87" t="s">
        <v>355</v>
      </c>
      <c r="B59" s="393">
        <f t="shared" si="8"/>
        <v>10</v>
      </c>
      <c r="C59" s="1203"/>
      <c r="D59" s="589">
        <v>37</v>
      </c>
      <c r="E59" s="580">
        <v>27</v>
      </c>
      <c r="F59" s="1208"/>
      <c r="G59" s="324"/>
      <c r="H59" s="321"/>
      <c r="I59" s="131">
        <v>0</v>
      </c>
      <c r="J59" s="325">
        <v>0</v>
      </c>
      <c r="K59" s="326"/>
      <c r="L59" s="1237"/>
      <c r="M59" s="372"/>
      <c r="N59" s="612"/>
      <c r="O59" s="372"/>
      <c r="P59" s="629">
        <f>P$2</f>
        <v>4</v>
      </c>
      <c r="Q59" s="657">
        <f>-K59</f>
        <v>0</v>
      </c>
      <c r="R59" s="975"/>
      <c r="S59" s="606"/>
      <c r="T59" s="321"/>
      <c r="U59" s="610">
        <f>SUM(P59:T59)</f>
        <v>4</v>
      </c>
      <c r="V59" s="392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52"/>
      <c r="AL59" s="52"/>
      <c r="AM59" s="52"/>
      <c r="AN59" s="52"/>
    </row>
    <row r="60" spans="1:64" x14ac:dyDescent="0.3">
      <c r="A60" s="184" t="s">
        <v>114</v>
      </c>
      <c r="B60" s="393">
        <f t="shared" si="8"/>
        <v>3</v>
      </c>
      <c r="C60" s="1202"/>
      <c r="D60" s="587">
        <v>56</v>
      </c>
      <c r="E60" s="581">
        <v>44</v>
      </c>
      <c r="F60" s="1205"/>
      <c r="G60" s="332"/>
      <c r="H60" s="321"/>
      <c r="I60" s="131">
        <v>-1</v>
      </c>
      <c r="J60" s="325">
        <v>0</v>
      </c>
      <c r="K60" s="326">
        <f t="shared" si="9"/>
        <v>-1</v>
      </c>
      <c r="L60" s="1238"/>
      <c r="M60" s="634"/>
      <c r="N60" s="612"/>
      <c r="O60" s="373"/>
      <c r="P60" s="629">
        <f>P$2</f>
        <v>4</v>
      </c>
      <c r="Q60" s="657">
        <f>-K60</f>
        <v>1</v>
      </c>
      <c r="R60" s="975"/>
      <c r="S60" s="607"/>
      <c r="T60" s="321" t="str">
        <f t="shared" si="10"/>
        <v xml:space="preserve"> </v>
      </c>
      <c r="U60" s="610">
        <f>SUM(P60:T60)</f>
        <v>5</v>
      </c>
      <c r="V60" s="392"/>
      <c r="W60" s="69"/>
      <c r="X60" s="69"/>
      <c r="Y60" s="69"/>
      <c r="Z60" s="69"/>
      <c r="AA60" s="69"/>
      <c r="AB60" s="69"/>
      <c r="AC60" s="31"/>
      <c r="AD60" s="31"/>
      <c r="AE60" s="31"/>
      <c r="AF60" s="31"/>
      <c r="AG60" s="69"/>
      <c r="AH60" s="69"/>
      <c r="AI60" s="69"/>
      <c r="AJ60" s="69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X60" s="52"/>
      <c r="AY60" s="52"/>
      <c r="AZ60" s="52"/>
      <c r="BA60" s="52"/>
      <c r="BB60" s="52"/>
      <c r="BC60" s="52"/>
    </row>
    <row r="61" spans="1:64" s="52" customFormat="1" x14ac:dyDescent="0.3">
      <c r="A61" s="184" t="s">
        <v>160</v>
      </c>
      <c r="B61" s="393">
        <f t="shared" si="8"/>
        <v>1</v>
      </c>
      <c r="C61" s="1203">
        <v>1</v>
      </c>
      <c r="D61" s="587">
        <v>39</v>
      </c>
      <c r="E61" s="580">
        <v>21</v>
      </c>
      <c r="F61" s="1208">
        <v>15.91</v>
      </c>
      <c r="G61" s="324">
        <f>(F61*G$5)^G$6</f>
        <v>8.9335910207891551</v>
      </c>
      <c r="H61" s="321">
        <f t="shared" si="2"/>
        <v>-1</v>
      </c>
      <c r="I61" s="131">
        <v>0</v>
      </c>
      <c r="J61" s="325">
        <v>-1</v>
      </c>
      <c r="K61" s="326">
        <f t="shared" si="9"/>
        <v>-2</v>
      </c>
      <c r="L61" s="1238">
        <f>MIN(SUM(G61,K61),10)</f>
        <v>6.9335910207891551</v>
      </c>
      <c r="M61" s="372">
        <f>MAX(MAX(2,ROUND(L61/2,0)*2),4)</f>
        <v>6</v>
      </c>
      <c r="N61" s="612">
        <v>2009</v>
      </c>
      <c r="O61" s="372">
        <f>O$4-N61</f>
        <v>14</v>
      </c>
      <c r="P61" s="458">
        <f>IF(O61=2,-2,MAX(O61-M61,0))</f>
        <v>8</v>
      </c>
      <c r="Q61" s="409"/>
      <c r="R61" s="975">
        <f t="shared" si="3"/>
        <v>1</v>
      </c>
      <c r="S61" s="606"/>
      <c r="T61" s="321">
        <f t="shared" si="10"/>
        <v>1</v>
      </c>
      <c r="U61" s="391">
        <f>SUM(P61:T61)</f>
        <v>10</v>
      </c>
      <c r="V61" s="392"/>
      <c r="W61" s="69"/>
      <c r="X61" s="69"/>
      <c r="Y61" s="69"/>
      <c r="Z61" s="69"/>
      <c r="AA61" s="69"/>
      <c r="AB61" s="69"/>
      <c r="AC61" s="31"/>
      <c r="AD61" s="31"/>
      <c r="AE61" s="31"/>
      <c r="AF61" s="31"/>
      <c r="AG61" s="69"/>
      <c r="AH61" s="69"/>
      <c r="AI61" s="69"/>
      <c r="AJ61" s="69"/>
      <c r="AV61" s="1"/>
      <c r="AW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s="52" customFormat="1" x14ac:dyDescent="0.3">
      <c r="A62" s="184" t="s">
        <v>115</v>
      </c>
      <c r="B62" s="393">
        <f t="shared" si="8"/>
        <v>58</v>
      </c>
      <c r="C62" s="1202">
        <v>0.7</v>
      </c>
      <c r="D62" s="587">
        <v>65</v>
      </c>
      <c r="E62" s="579">
        <v>40</v>
      </c>
      <c r="F62" s="1205">
        <v>11.7</v>
      </c>
      <c r="G62" s="324">
        <f>(F62*G$5)^G$6</f>
        <v>7.9488083459185859</v>
      </c>
      <c r="H62" s="321">
        <f t="shared" si="2"/>
        <v>0</v>
      </c>
      <c r="I62" s="131">
        <v>-1</v>
      </c>
      <c r="J62" s="325">
        <v>0</v>
      </c>
      <c r="K62" s="326">
        <f t="shared" si="9"/>
        <v>-1</v>
      </c>
      <c r="L62" s="1238">
        <f>MIN(SUM(G62,K62),10)</f>
        <v>6.9488083459185859</v>
      </c>
      <c r="M62" s="372">
        <f>MAX(MAX(2,ROUND(L62/2,0)*2),4)</f>
        <v>6</v>
      </c>
      <c r="N62" s="612">
        <v>2021</v>
      </c>
      <c r="O62" s="372">
        <f>O$4-N62</f>
        <v>2</v>
      </c>
      <c r="P62" s="458">
        <f>IF(O62=2,-2,MAX(O62-M62,0))</f>
        <v>-2</v>
      </c>
      <c r="Q62" s="1213"/>
      <c r="R62" s="975">
        <f t="shared" si="3"/>
        <v>0</v>
      </c>
      <c r="S62" s="607"/>
      <c r="T62" s="321" t="str">
        <f t="shared" si="10"/>
        <v xml:space="preserve"> </v>
      </c>
      <c r="U62" s="1217">
        <f>SUM(P62:T62)</f>
        <v>-2</v>
      </c>
      <c r="V62" s="392"/>
      <c r="W62" s="69"/>
      <c r="X62" s="69"/>
      <c r="Y62" s="69"/>
      <c r="Z62" s="69"/>
      <c r="AA62" s="69"/>
      <c r="AB62" s="69"/>
      <c r="AC62" s="31"/>
      <c r="AD62" s="31"/>
      <c r="AE62" s="31"/>
      <c r="AF62" s="31"/>
      <c r="AG62" s="69"/>
      <c r="AH62" s="69"/>
      <c r="AI62" s="69"/>
      <c r="AJ62" s="69"/>
      <c r="AO62" s="1"/>
      <c r="AP62" s="1"/>
      <c r="AQ62" s="1"/>
      <c r="AR62" s="1"/>
      <c r="AS62" s="1"/>
      <c r="AT62" s="1"/>
      <c r="AU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s="52" customFormat="1" x14ac:dyDescent="0.3">
      <c r="A63" s="87" t="s">
        <v>18</v>
      </c>
      <c r="B63" s="393">
        <f t="shared" si="8"/>
        <v>10</v>
      </c>
      <c r="C63" s="1203"/>
      <c r="D63" s="587">
        <v>42</v>
      </c>
      <c r="E63" s="581">
        <v>58</v>
      </c>
      <c r="F63" s="1208"/>
      <c r="G63" s="324"/>
      <c r="H63" s="321"/>
      <c r="I63" s="131">
        <v>-1</v>
      </c>
      <c r="J63" s="325">
        <v>1</v>
      </c>
      <c r="K63" s="326">
        <f t="shared" si="9"/>
        <v>0</v>
      </c>
      <c r="L63" s="1238"/>
      <c r="M63" s="372"/>
      <c r="N63" s="612"/>
      <c r="O63" s="372"/>
      <c r="P63" s="629">
        <f>P$2</f>
        <v>4</v>
      </c>
      <c r="Q63" s="657">
        <f>-K63</f>
        <v>0</v>
      </c>
      <c r="R63" s="975"/>
      <c r="S63" s="606"/>
      <c r="T63" s="321" t="str">
        <f t="shared" si="10"/>
        <v xml:space="preserve"> </v>
      </c>
      <c r="U63" s="610">
        <f>SUM(P63:T63)</f>
        <v>4</v>
      </c>
      <c r="V63" s="392"/>
      <c r="W63" s="69"/>
      <c r="X63" s="69"/>
      <c r="Y63" s="69"/>
      <c r="Z63" s="69"/>
      <c r="AA63" s="69"/>
      <c r="AB63" s="69"/>
      <c r="AC63" s="31"/>
      <c r="AD63" s="31"/>
      <c r="AE63" s="31"/>
      <c r="AF63" s="31"/>
      <c r="AG63" s="69"/>
      <c r="AH63" s="69"/>
      <c r="AI63" s="69"/>
      <c r="AJ63" s="69"/>
      <c r="AO63" s="1"/>
      <c r="AP63" s="1"/>
      <c r="AQ63" s="1"/>
      <c r="AR63" s="1"/>
      <c r="AS63" s="1"/>
      <c r="AT63" s="1"/>
      <c r="AU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s="52" customFormat="1" x14ac:dyDescent="0.3">
      <c r="A64" s="184" t="s">
        <v>116</v>
      </c>
      <c r="B64" s="393">
        <f t="shared" si="8"/>
        <v>3</v>
      </c>
      <c r="C64" s="1202"/>
      <c r="D64" s="587">
        <v>45</v>
      </c>
      <c r="E64" s="581">
        <v>34</v>
      </c>
      <c r="F64" s="1205"/>
      <c r="G64" s="332"/>
      <c r="H64" s="321"/>
      <c r="I64" s="131">
        <v>-1</v>
      </c>
      <c r="J64" s="325">
        <v>0</v>
      </c>
      <c r="K64" s="326">
        <f>SUM(H64:J64)</f>
        <v>-1</v>
      </c>
      <c r="L64" s="1238"/>
      <c r="M64" s="634"/>
      <c r="N64" s="612"/>
      <c r="O64" s="373"/>
      <c r="P64" s="629">
        <f>P$2</f>
        <v>4</v>
      </c>
      <c r="Q64" s="657">
        <f>-K64</f>
        <v>1</v>
      </c>
      <c r="R64" s="975"/>
      <c r="S64" s="607"/>
      <c r="T64" s="321" t="str">
        <f>IF(M64&gt;0,IF(M64&lt;=O64,1," ")," ")</f>
        <v xml:space="preserve"> </v>
      </c>
      <c r="U64" s="610">
        <f>SUM(P64:T64)</f>
        <v>5</v>
      </c>
      <c r="V64" s="392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s="52" customFormat="1" x14ac:dyDescent="0.3">
      <c r="A65" s="87" t="s">
        <v>356</v>
      </c>
      <c r="B65" s="393">
        <f t="shared" si="8"/>
        <v>10</v>
      </c>
      <c r="C65" s="1203"/>
      <c r="D65" s="587">
        <v>60</v>
      </c>
      <c r="E65" s="581">
        <v>26</v>
      </c>
      <c r="F65" s="1208"/>
      <c r="G65" s="324"/>
      <c r="H65" s="321"/>
      <c r="I65" s="131">
        <v>-1</v>
      </c>
      <c r="J65" s="325">
        <v>0</v>
      </c>
      <c r="K65" s="326"/>
      <c r="L65" s="1238"/>
      <c r="M65" s="372"/>
      <c r="N65" s="612"/>
      <c r="O65" s="372"/>
      <c r="P65" s="629">
        <f>P$2</f>
        <v>4</v>
      </c>
      <c r="Q65" s="657">
        <f>-K65</f>
        <v>0</v>
      </c>
      <c r="R65" s="975"/>
      <c r="S65" s="606"/>
      <c r="T65" s="321"/>
      <c r="U65" s="610">
        <f>SUM(P65:T65)</f>
        <v>4</v>
      </c>
      <c r="V65" s="392"/>
      <c r="W65" s="69"/>
      <c r="X65" s="69"/>
      <c r="Y65" s="69"/>
      <c r="Z65" s="69"/>
      <c r="AA65" s="69"/>
      <c r="AB65" s="69"/>
      <c r="AC65" s="31"/>
      <c r="AD65" s="31"/>
      <c r="AE65" s="31"/>
      <c r="AF65" s="31"/>
      <c r="AG65" s="69"/>
      <c r="AH65" s="69"/>
      <c r="AI65" s="69"/>
      <c r="AJ65" s="69"/>
      <c r="AO65" s="1"/>
      <c r="AP65" s="1"/>
      <c r="AQ65" s="1"/>
      <c r="AR65" s="1"/>
      <c r="AS65" s="1"/>
      <c r="AT65" s="1"/>
      <c r="AU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x14ac:dyDescent="0.3">
      <c r="A66" s="184" t="s">
        <v>246</v>
      </c>
      <c r="B66" s="393">
        <f t="shared" si="8"/>
        <v>26</v>
      </c>
      <c r="C66" s="1202"/>
      <c r="D66" s="588">
        <v>36</v>
      </c>
      <c r="E66" s="579">
        <v>60</v>
      </c>
      <c r="F66" s="1205"/>
      <c r="G66" s="332"/>
      <c r="H66" s="321"/>
      <c r="I66" s="131">
        <v>0</v>
      </c>
      <c r="J66" s="325">
        <v>1</v>
      </c>
      <c r="K66" s="326">
        <f t="shared" si="9"/>
        <v>1</v>
      </c>
      <c r="L66" s="1238"/>
      <c r="M66" s="634"/>
      <c r="N66" s="612"/>
      <c r="O66" s="373"/>
      <c r="P66" s="629">
        <f>P$2</f>
        <v>4</v>
      </c>
      <c r="Q66" s="657">
        <f>-K66</f>
        <v>-1</v>
      </c>
      <c r="R66" s="975"/>
      <c r="S66" s="607"/>
      <c r="T66" s="321" t="str">
        <f t="shared" si="10"/>
        <v xml:space="preserve"> </v>
      </c>
      <c r="U66" s="610">
        <f>SUM(P66:T66)</f>
        <v>3</v>
      </c>
      <c r="V66" s="392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52"/>
      <c r="AL66" s="52"/>
      <c r="AM66" s="52"/>
      <c r="AN66" s="52"/>
    </row>
    <row r="67" spans="1:64" s="52" customFormat="1" x14ac:dyDescent="0.3">
      <c r="A67" s="184" t="s">
        <v>272</v>
      </c>
      <c r="B67" s="393">
        <f t="shared" si="8"/>
        <v>58</v>
      </c>
      <c r="C67" s="1202">
        <v>0.5</v>
      </c>
      <c r="D67" s="589">
        <v>14</v>
      </c>
      <c r="E67" s="579">
        <v>14</v>
      </c>
      <c r="F67" s="1205">
        <v>7.252882466</v>
      </c>
      <c r="G67" s="324">
        <f>(F67*G$5)^G$6</f>
        <v>6.6280448949531943</v>
      </c>
      <c r="H67" s="321">
        <f t="shared" si="2"/>
        <v>0</v>
      </c>
      <c r="I67" s="131">
        <v>1</v>
      </c>
      <c r="J67" s="325">
        <v>-1</v>
      </c>
      <c r="K67" s="326">
        <f t="shared" si="9"/>
        <v>0</v>
      </c>
      <c r="L67" s="1237">
        <f>MIN(SUM(G67,K67),10)</f>
        <v>6.6280448949531943</v>
      </c>
      <c r="M67" s="372">
        <f>MAX(MAX(2,ROUND(L67/2,0)*2),4)</f>
        <v>6</v>
      </c>
      <c r="N67" s="612">
        <v>2021</v>
      </c>
      <c r="O67" s="372">
        <f>O$4-N67</f>
        <v>2</v>
      </c>
      <c r="P67" s="458">
        <f>IF(O67=2,-2,MAX(O67-M67,0))</f>
        <v>-2</v>
      </c>
      <c r="Q67" s="1213"/>
      <c r="R67" s="975">
        <f t="shared" si="3"/>
        <v>0</v>
      </c>
      <c r="S67" s="607"/>
      <c r="T67" s="321" t="str">
        <f t="shared" si="10"/>
        <v xml:space="preserve"> </v>
      </c>
      <c r="U67" s="1217">
        <f>SUM(P67:T67)</f>
        <v>-2</v>
      </c>
      <c r="V67" s="392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V67" s="1"/>
      <c r="AW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s="52" customFormat="1" x14ac:dyDescent="0.3">
      <c r="A68" s="87" t="s">
        <v>98</v>
      </c>
      <c r="B68" s="393">
        <f t="shared" si="8"/>
        <v>53</v>
      </c>
      <c r="C68" s="1203">
        <v>0.6</v>
      </c>
      <c r="D68" s="589">
        <v>4</v>
      </c>
      <c r="E68" s="580">
        <v>12</v>
      </c>
      <c r="F68" s="1208">
        <v>9.6999999999999993</v>
      </c>
      <c r="G68" s="324">
        <f>(F68*G$5)^G$6</f>
        <v>7.4022654884467434</v>
      </c>
      <c r="H68" s="321">
        <f t="shared" si="2"/>
        <v>0</v>
      </c>
      <c r="I68" s="131">
        <v>1</v>
      </c>
      <c r="J68" s="325">
        <v>-1</v>
      </c>
      <c r="K68" s="326">
        <f t="shared" si="9"/>
        <v>0</v>
      </c>
      <c r="L68" s="1237">
        <f>MIN(SUM(G68,K68),10)</f>
        <v>7.4022654884467434</v>
      </c>
      <c r="M68" s="372">
        <f>MAX(MAX(2,ROUND(L68/2,0)*2),4)</f>
        <v>8</v>
      </c>
      <c r="N68" s="612">
        <v>2019</v>
      </c>
      <c r="O68" s="372">
        <f>O$4-N68</f>
        <v>4</v>
      </c>
      <c r="P68" s="127">
        <f>IF(O68=2,-2,MAX(O68-M68,0))</f>
        <v>0</v>
      </c>
      <c r="Q68" s="5"/>
      <c r="R68" s="975">
        <f t="shared" si="3"/>
        <v>0</v>
      </c>
      <c r="S68" s="606">
        <f>IF(O68&lt;6,-1,0)</f>
        <v>-1</v>
      </c>
      <c r="T68" s="321" t="str">
        <f t="shared" si="10"/>
        <v xml:space="preserve"> </v>
      </c>
      <c r="U68" s="391">
        <f>SUM(P68:T68)</f>
        <v>-1</v>
      </c>
      <c r="V68" s="395" t="s">
        <v>217</v>
      </c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x14ac:dyDescent="0.3">
      <c r="A69" s="87" t="s">
        <v>161</v>
      </c>
      <c r="B69" s="393">
        <f t="shared" si="8"/>
        <v>44</v>
      </c>
      <c r="C69" s="1203">
        <v>0.5</v>
      </c>
      <c r="D69" s="591">
        <v>63</v>
      </c>
      <c r="E69" s="582">
        <v>24</v>
      </c>
      <c r="F69" s="1208">
        <v>21.788933750000002</v>
      </c>
      <c r="G69" s="327">
        <f>(F69*G$5)^G$6</f>
        <v>10.067486829874124</v>
      </c>
      <c r="H69" s="321">
        <f t="shared" si="2"/>
        <v>0</v>
      </c>
      <c r="I69" s="328">
        <v>-1</v>
      </c>
      <c r="J69" s="329">
        <v>0</v>
      </c>
      <c r="K69" s="330">
        <f t="shared" si="9"/>
        <v>-1</v>
      </c>
      <c r="L69" s="1239">
        <f>MIN(SUM(G69,K69),10)</f>
        <v>9.0674868298741238</v>
      </c>
      <c r="M69" s="374">
        <f>MAX(MAX(2,ROUND(L69/2,0)*2),4)</f>
        <v>10</v>
      </c>
      <c r="N69" s="612">
        <v>2017</v>
      </c>
      <c r="O69" s="374">
        <f>O$4-N69</f>
        <v>6</v>
      </c>
      <c r="P69" s="331">
        <f>IF(O69=2,-2,MAX(O69-M69,0))</f>
        <v>0</v>
      </c>
      <c r="Q69" s="659"/>
      <c r="R69" s="975">
        <f t="shared" si="3"/>
        <v>0</v>
      </c>
      <c r="S69" s="608">
        <f>IF(O69&lt;6,-1,0)</f>
        <v>0</v>
      </c>
      <c r="T69" s="321" t="str">
        <f t="shared" si="10"/>
        <v xml:space="preserve"> </v>
      </c>
      <c r="U69" s="391">
        <f>SUM(P69:T69)</f>
        <v>0</v>
      </c>
      <c r="V69" s="395" t="s">
        <v>217</v>
      </c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52"/>
      <c r="AL69" s="52"/>
      <c r="AM69" s="52"/>
      <c r="AN69" s="52"/>
    </row>
    <row r="70" spans="1:64" x14ac:dyDescent="0.3">
      <c r="A70" s="1001" t="s">
        <v>359</v>
      </c>
      <c r="B70" s="393">
        <f t="shared" si="8"/>
        <v>10</v>
      </c>
      <c r="C70" s="1245"/>
      <c r="D70" s="1026">
        <v>53</v>
      </c>
      <c r="E70" s="1027">
        <v>56</v>
      </c>
      <c r="F70" s="1211"/>
      <c r="G70" s="1028"/>
      <c r="H70" s="321"/>
      <c r="I70" s="1029">
        <v>-1</v>
      </c>
      <c r="J70" s="1030">
        <v>1</v>
      </c>
      <c r="K70" s="1031"/>
      <c r="L70" s="1241"/>
      <c r="M70" s="1032"/>
      <c r="N70" s="1033"/>
      <c r="O70" s="1032"/>
      <c r="P70" s="629">
        <f>P$2</f>
        <v>4</v>
      </c>
      <c r="Q70" s="657">
        <f>-K70</f>
        <v>0</v>
      </c>
      <c r="R70" s="975"/>
      <c r="S70" s="1034"/>
      <c r="T70" s="1035"/>
      <c r="U70" s="610">
        <f>SUM(P70:T70)</f>
        <v>4</v>
      </c>
      <c r="V70" s="1036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52"/>
      <c r="AL70" s="52"/>
      <c r="AM70" s="52"/>
      <c r="AN70" s="52"/>
    </row>
    <row r="71" spans="1:64" s="52" customFormat="1" ht="19.5" thickBot="1" x14ac:dyDescent="0.35">
      <c r="A71" s="152" t="s">
        <v>162</v>
      </c>
      <c r="B71" s="664">
        <f t="shared" si="8"/>
        <v>44</v>
      </c>
      <c r="C71" s="968">
        <v>0.37832249000000001</v>
      </c>
      <c r="D71" s="592">
        <v>7</v>
      </c>
      <c r="E71" s="584">
        <v>6</v>
      </c>
      <c r="F71" s="1212">
        <v>14.12</v>
      </c>
      <c r="G71" s="363">
        <f>(F71*G$5)^G$6</f>
        <v>8.5374580574003947</v>
      </c>
      <c r="H71" s="321">
        <f t="shared" si="2"/>
        <v>0</v>
      </c>
      <c r="I71" s="134">
        <v>1</v>
      </c>
      <c r="J71" s="333">
        <v>-1</v>
      </c>
      <c r="K71" s="334">
        <f t="shared" si="9"/>
        <v>0</v>
      </c>
      <c r="L71" s="1242">
        <f>MIN(SUM(G71,K71),10)</f>
        <v>8.5374580574003947</v>
      </c>
      <c r="M71" s="375">
        <f>MAX(MAX(2,ROUND(L71/2,0)*2),4)</f>
        <v>8</v>
      </c>
      <c r="N71" s="631">
        <v>2017</v>
      </c>
      <c r="O71" s="375">
        <f>O$4-N71</f>
        <v>6</v>
      </c>
      <c r="P71" s="365">
        <f>IF(O71=2,-2,MAX(O71-M71,0))</f>
        <v>0</v>
      </c>
      <c r="Q71" s="6"/>
      <c r="R71" s="975">
        <f t="shared" si="3"/>
        <v>0</v>
      </c>
      <c r="S71" s="609">
        <f>IF(O71&lt;6,-1,0)</f>
        <v>0</v>
      </c>
      <c r="T71" s="364" t="str">
        <f t="shared" si="10"/>
        <v xml:space="preserve"> </v>
      </c>
      <c r="U71" s="663">
        <f>SUM(P71:T71)</f>
        <v>0</v>
      </c>
      <c r="V71" s="665" t="s">
        <v>217</v>
      </c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s="52" customFormat="1" x14ac:dyDescent="0.3">
      <c r="A72" s="89"/>
      <c r="B72" s="148"/>
      <c r="C72" s="69"/>
      <c r="D72" s="104"/>
      <c r="E72" s="69"/>
      <c r="F72" s="414"/>
      <c r="G72" s="410"/>
      <c r="H72" s="104"/>
      <c r="I72" s="104"/>
      <c r="J72" s="69"/>
      <c r="K72" s="69"/>
      <c r="L72" s="89"/>
      <c r="M72" s="104"/>
      <c r="N72" s="123"/>
      <c r="O72" s="69"/>
      <c r="P72" s="69"/>
      <c r="Q72" s="69"/>
      <c r="R72" s="69"/>
      <c r="S72" s="69"/>
      <c r="T72" s="69"/>
      <c r="U72" s="148"/>
      <c r="V72" s="148"/>
      <c r="W72" s="148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8"/>
      <c r="AL72" s="8"/>
      <c r="AM72" s="8"/>
      <c r="AN72" s="8"/>
    </row>
    <row r="73" spans="1:64" s="52" customFormat="1" x14ac:dyDescent="0.3">
      <c r="A73" s="89"/>
      <c r="B73" s="148"/>
      <c r="C73" s="69"/>
      <c r="D73" s="104"/>
      <c r="E73" s="69"/>
      <c r="F73" s="414"/>
      <c r="G73" s="410"/>
      <c r="H73" s="104"/>
      <c r="I73" s="104"/>
      <c r="J73" s="69"/>
      <c r="K73" s="69"/>
      <c r="L73" s="89"/>
      <c r="M73" s="104"/>
      <c r="N73" s="123"/>
      <c r="O73" s="69"/>
      <c r="P73" s="69"/>
      <c r="Q73" s="69"/>
      <c r="R73" s="69"/>
      <c r="S73" s="69"/>
      <c r="T73" s="69"/>
      <c r="U73" s="148"/>
      <c r="V73" s="148"/>
      <c r="W73" s="148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8"/>
      <c r="AL73" s="8"/>
      <c r="AM73" s="8"/>
      <c r="AN73" s="8"/>
    </row>
    <row r="74" spans="1:64" s="52" customFormat="1" x14ac:dyDescent="0.3">
      <c r="A74" s="89"/>
      <c r="B74" s="148"/>
      <c r="C74" s="69"/>
      <c r="D74" s="104"/>
      <c r="E74" s="69"/>
      <c r="F74" s="414"/>
      <c r="G74" s="410"/>
      <c r="H74" s="104"/>
      <c r="I74" s="104"/>
      <c r="J74" s="69"/>
      <c r="K74" s="69"/>
      <c r="L74" s="89"/>
      <c r="M74" s="104"/>
      <c r="N74" s="123"/>
      <c r="O74" s="69"/>
      <c r="P74" s="69"/>
      <c r="Q74" s="69"/>
      <c r="R74" s="69"/>
      <c r="S74" s="69"/>
      <c r="T74" s="69"/>
      <c r="U74" s="148"/>
      <c r="V74" s="148"/>
      <c r="W74" s="148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8"/>
      <c r="AL74" s="8"/>
      <c r="AM74" s="8"/>
      <c r="AN74" s="8"/>
    </row>
    <row r="75" spans="1:64" x14ac:dyDescent="0.3">
      <c r="A75" s="344"/>
      <c r="B75" s="165"/>
      <c r="C75" s="31"/>
      <c r="D75" s="30"/>
      <c r="E75" s="165"/>
      <c r="F75" s="346"/>
      <c r="G75" s="341"/>
      <c r="H75" s="30"/>
      <c r="I75" s="30"/>
      <c r="J75" s="31"/>
      <c r="K75" s="31"/>
      <c r="L75" s="344"/>
      <c r="M75" s="30"/>
      <c r="N75" s="377"/>
      <c r="O75" s="31"/>
      <c r="P75" s="31"/>
      <c r="Q75" s="31"/>
      <c r="R75" s="31"/>
      <c r="S75" s="31"/>
      <c r="T75" s="31"/>
      <c r="U75" s="165"/>
      <c r="V75" s="165"/>
      <c r="W75" s="165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 spans="1:64" x14ac:dyDescent="0.3">
      <c r="A76" s="344"/>
      <c r="B76" s="165"/>
      <c r="C76" s="31"/>
      <c r="D76" s="30"/>
      <c r="E76" s="165"/>
      <c r="F76" s="346"/>
      <c r="G76" s="341"/>
      <c r="H76" s="30"/>
      <c r="I76" s="30"/>
      <c r="J76" s="31"/>
      <c r="K76" s="31"/>
      <c r="L76" s="344"/>
      <c r="M76" s="30"/>
      <c r="N76" s="377"/>
      <c r="O76" s="31"/>
      <c r="P76" s="31"/>
      <c r="Q76" s="31"/>
      <c r="R76" s="31"/>
      <c r="S76" s="31"/>
      <c r="T76" s="31"/>
      <c r="U76" s="165"/>
      <c r="V76" s="165"/>
      <c r="W76" s="165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 spans="1:64" x14ac:dyDescent="0.3">
      <c r="A77" s="344"/>
      <c r="B77" s="165"/>
      <c r="C77" s="31"/>
      <c r="D77" s="30"/>
      <c r="E77" s="165"/>
      <c r="F77" s="346"/>
      <c r="G77" s="341"/>
      <c r="H77" s="30"/>
      <c r="I77" s="30"/>
      <c r="J77" s="31"/>
      <c r="K77" s="31"/>
      <c r="L77" s="344"/>
      <c r="M77" s="30"/>
      <c r="N77" s="377"/>
      <c r="O77" s="31"/>
      <c r="P77" s="31"/>
      <c r="Q77" s="31"/>
      <c r="R77" s="31"/>
      <c r="S77" s="31"/>
      <c r="T77" s="31"/>
      <c r="U77" s="165"/>
      <c r="V77" s="165"/>
      <c r="W77" s="165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spans="1:64" x14ac:dyDescent="0.3">
      <c r="A78" s="344"/>
      <c r="B78" s="165"/>
      <c r="C78" s="31"/>
      <c r="D78" s="30"/>
      <c r="E78" s="165"/>
      <c r="F78" s="346"/>
      <c r="G78" s="341"/>
      <c r="H78" s="30"/>
      <c r="I78" s="30"/>
      <c r="J78" s="31"/>
      <c r="K78" s="31"/>
      <c r="L78" s="344"/>
      <c r="M78" s="30"/>
      <c r="N78" s="377"/>
      <c r="O78" s="31"/>
      <c r="P78" s="31"/>
      <c r="Q78" s="31"/>
      <c r="R78" s="31"/>
      <c r="S78" s="31"/>
      <c r="T78" s="31"/>
      <c r="U78" s="165"/>
      <c r="V78" s="165"/>
      <c r="W78" s="165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spans="1:64" x14ac:dyDescent="0.3">
      <c r="A79" s="344"/>
      <c r="B79" s="165"/>
      <c r="C79" s="31"/>
      <c r="D79" s="30"/>
      <c r="E79" s="165"/>
      <c r="F79" s="346"/>
      <c r="G79" s="341"/>
      <c r="H79" s="30"/>
      <c r="I79" s="30"/>
      <c r="J79" s="31"/>
      <c r="K79" s="31"/>
      <c r="L79" s="344"/>
      <c r="M79" s="30"/>
      <c r="N79" s="377"/>
      <c r="O79" s="31"/>
      <c r="P79" s="31"/>
      <c r="Q79" s="31"/>
      <c r="R79" s="31"/>
      <c r="S79" s="31"/>
      <c r="T79" s="31"/>
      <c r="U79" s="165"/>
      <c r="V79" s="165"/>
      <c r="W79" s="165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spans="1:64" x14ac:dyDescent="0.3">
      <c r="A80" s="344"/>
      <c r="B80" s="165"/>
      <c r="C80" s="31"/>
      <c r="D80" s="30"/>
      <c r="E80" s="165"/>
      <c r="F80" s="346"/>
      <c r="G80" s="341"/>
      <c r="H80" s="30"/>
      <c r="I80" s="30"/>
      <c r="J80" s="31"/>
      <c r="K80" s="31"/>
      <c r="L80" s="344"/>
      <c r="M80" s="30"/>
      <c r="N80" s="377"/>
      <c r="O80" s="31"/>
      <c r="P80" s="31"/>
      <c r="Q80" s="31"/>
      <c r="R80" s="31"/>
      <c r="S80" s="31"/>
      <c r="T80" s="31"/>
      <c r="U80" s="165"/>
      <c r="V80" s="165"/>
      <c r="W80" s="165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</sheetData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N7:N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79"/>
  <sheetViews>
    <sheetView zoomScale="85" zoomScaleNormal="85" workbookViewId="0">
      <selection activeCell="Q9" sqref="Q9"/>
    </sheetView>
  </sheetViews>
  <sheetFormatPr defaultColWidth="8.85546875" defaultRowHeight="18.75" x14ac:dyDescent="0.3"/>
  <cols>
    <col min="1" max="1" width="39.28515625" style="1" customWidth="1"/>
    <col min="2" max="3" width="12.42578125" style="1" customWidth="1"/>
    <col min="4" max="4" width="11.28515625" style="2" customWidth="1"/>
    <col min="5" max="5" width="12.42578125" style="1" customWidth="1"/>
    <col min="6" max="9" width="14.140625" style="1" customWidth="1"/>
    <col min="10" max="10" width="17.5703125" style="1" customWidth="1"/>
    <col min="11" max="11" width="27.28515625" style="3" customWidth="1"/>
    <col min="12" max="18" width="8.85546875" style="1"/>
    <col min="19" max="19" width="11" style="1" customWidth="1"/>
    <col min="20" max="16384" width="8.85546875" style="1"/>
  </cols>
  <sheetData>
    <row r="1" spans="1:19" ht="21" x14ac:dyDescent="0.35">
      <c r="A1" s="102" t="s">
        <v>389</v>
      </c>
      <c r="B1" s="102"/>
      <c r="C1" s="102"/>
      <c r="D1" s="344"/>
      <c r="E1" s="31"/>
      <c r="F1" s="31"/>
      <c r="G1" s="31"/>
      <c r="H1" s="31"/>
      <c r="I1" s="31"/>
      <c r="J1" s="31"/>
      <c r="K1" s="30"/>
      <c r="L1" s="31"/>
      <c r="M1" s="31"/>
      <c r="N1" s="31"/>
      <c r="O1" s="31"/>
      <c r="P1" s="31"/>
      <c r="Q1" s="31"/>
      <c r="R1" s="31"/>
      <c r="S1" s="31"/>
    </row>
    <row r="2" spans="1:19" ht="21" x14ac:dyDescent="0.35">
      <c r="A2" s="102"/>
      <c r="B2" s="102"/>
      <c r="C2" s="102"/>
      <c r="D2" s="344" t="s">
        <v>292</v>
      </c>
      <c r="E2" s="31"/>
      <c r="F2" s="31"/>
      <c r="G2" s="31"/>
      <c r="H2" s="31"/>
      <c r="I2" s="31"/>
      <c r="J2" s="31"/>
      <c r="K2" s="30"/>
      <c r="L2" s="31"/>
      <c r="M2" s="31"/>
      <c r="N2" s="31"/>
      <c r="O2" s="31"/>
      <c r="P2" s="31"/>
      <c r="Q2" s="31"/>
      <c r="R2" s="31"/>
      <c r="S2" s="31"/>
    </row>
    <row r="3" spans="1:19" x14ac:dyDescent="0.3">
      <c r="A3" s="31"/>
      <c r="B3" s="69"/>
      <c r="C3" s="69"/>
      <c r="D3" s="89" t="s">
        <v>431</v>
      </c>
      <c r="E3" s="69"/>
      <c r="F3" s="69"/>
      <c r="G3" s="69"/>
      <c r="H3" s="69"/>
      <c r="I3" s="69"/>
      <c r="J3" s="69"/>
      <c r="K3" s="30"/>
      <c r="L3" s="31"/>
      <c r="M3" s="31"/>
      <c r="N3" s="31"/>
      <c r="O3" s="31"/>
      <c r="P3" s="31"/>
      <c r="Q3" s="31"/>
      <c r="R3" s="31"/>
      <c r="S3" s="31"/>
    </row>
    <row r="4" spans="1:19" x14ac:dyDescent="0.3">
      <c r="A4" s="69"/>
      <c r="B4" s="170"/>
      <c r="C4" s="170"/>
      <c r="D4" s="1152"/>
      <c r="E4" s="170"/>
      <c r="F4" s="170"/>
      <c r="G4" s="170"/>
      <c r="H4" s="170"/>
      <c r="I4" s="1151"/>
      <c r="J4" s="170"/>
      <c r="K4" s="30"/>
      <c r="L4" s="31"/>
      <c r="M4" s="31"/>
      <c r="N4" s="31"/>
      <c r="O4" s="31"/>
      <c r="P4" s="31"/>
      <c r="Q4" s="31"/>
      <c r="R4" s="31"/>
      <c r="S4" s="31"/>
    </row>
    <row r="5" spans="1:19" ht="56.25" x14ac:dyDescent="0.3">
      <c r="A5" s="105"/>
      <c r="B5" s="1101" t="s">
        <v>54</v>
      </c>
      <c r="C5" s="1100"/>
      <c r="D5" s="1159"/>
      <c r="E5" s="1148" t="s">
        <v>151</v>
      </c>
      <c r="F5" s="1149"/>
      <c r="G5" s="1160" t="s">
        <v>322</v>
      </c>
      <c r="H5" s="1150"/>
      <c r="I5" s="1160" t="s">
        <v>322</v>
      </c>
      <c r="J5" s="1184" t="s">
        <v>391</v>
      </c>
      <c r="K5" s="700"/>
      <c r="L5" s="31"/>
      <c r="M5" s="31"/>
      <c r="N5" s="31"/>
      <c r="O5" s="31"/>
      <c r="P5" s="31"/>
      <c r="Q5" s="31"/>
      <c r="R5" s="31"/>
      <c r="S5" s="31"/>
    </row>
    <row r="6" spans="1:19" ht="57" thickBot="1" x14ac:dyDescent="0.35">
      <c r="A6" s="94" t="s">
        <v>4</v>
      </c>
      <c r="B6" s="1155" t="s">
        <v>3</v>
      </c>
      <c r="C6" s="1156" t="s">
        <v>2</v>
      </c>
      <c r="D6" s="666" t="s">
        <v>390</v>
      </c>
      <c r="E6" s="576" t="s">
        <v>321</v>
      </c>
      <c r="F6" s="701" t="s">
        <v>388</v>
      </c>
      <c r="G6" s="1161" t="s">
        <v>387</v>
      </c>
      <c r="H6" s="701" t="s">
        <v>432</v>
      </c>
      <c r="I6" s="1161" t="s">
        <v>433</v>
      </c>
      <c r="J6" s="1185"/>
      <c r="K6" s="1153"/>
      <c r="L6" s="31"/>
      <c r="M6" s="31"/>
      <c r="N6" s="31"/>
      <c r="O6" s="31"/>
      <c r="P6" s="31"/>
      <c r="Q6" s="31"/>
      <c r="R6" s="31"/>
      <c r="S6" s="31"/>
    </row>
    <row r="7" spans="1:19" ht="19.5" thickBot="1" x14ac:dyDescent="0.35">
      <c r="A7" s="1142" t="s">
        <v>10</v>
      </c>
      <c r="B7" s="1157">
        <v>52</v>
      </c>
      <c r="C7" s="1157">
        <v>1</v>
      </c>
      <c r="D7" s="1135">
        <v>-2</v>
      </c>
      <c r="E7" s="621">
        <v>923.29817402799995</v>
      </c>
      <c r="F7" s="690">
        <v>20459</v>
      </c>
      <c r="G7" s="1137">
        <f>E7/F7</f>
        <v>4.5129193705850723E-2</v>
      </c>
      <c r="H7" s="1138">
        <v>14178</v>
      </c>
      <c r="I7" s="622">
        <f>E7/H7</f>
        <v>6.5121891241924107E-2</v>
      </c>
      <c r="J7" s="623">
        <v>2017</v>
      </c>
      <c r="K7" s="702"/>
      <c r="L7" s="31"/>
      <c r="M7" s="31"/>
      <c r="N7" s="31"/>
      <c r="O7" s="31"/>
      <c r="P7" s="31"/>
      <c r="Q7" s="31"/>
      <c r="R7" s="31"/>
      <c r="S7" s="31"/>
    </row>
    <row r="8" spans="1:19" ht="19.5" thickBot="1" x14ac:dyDescent="0.35">
      <c r="A8" s="1143" t="s">
        <v>156</v>
      </c>
      <c r="B8" s="1158">
        <v>23</v>
      </c>
      <c r="C8" s="1158">
        <v>3</v>
      </c>
      <c r="D8" s="457">
        <v>-2</v>
      </c>
      <c r="E8" s="624">
        <v>38.2176660426667</v>
      </c>
      <c r="F8" s="692">
        <v>91.342600000000004</v>
      </c>
      <c r="G8" s="1137">
        <f t="shared" ref="G8:G71" si="0">E8/F8</f>
        <v>0.41839914829079422</v>
      </c>
      <c r="H8" s="1139">
        <v>81.843000000000004</v>
      </c>
      <c r="I8" s="622">
        <f t="shared" ref="I8:I71" si="1">E8/H8</f>
        <v>0.46696316169576746</v>
      </c>
      <c r="J8" s="619">
        <v>2013</v>
      </c>
      <c r="K8" s="702"/>
      <c r="L8" s="31"/>
      <c r="M8" s="31"/>
      <c r="N8" s="31"/>
      <c r="O8" s="31"/>
      <c r="P8" s="31"/>
      <c r="Q8" s="31"/>
      <c r="R8" s="31"/>
      <c r="S8" s="31"/>
    </row>
    <row r="9" spans="1:19" ht="19.5" thickBot="1" x14ac:dyDescent="0.35">
      <c r="A9" s="1143" t="s">
        <v>102</v>
      </c>
      <c r="B9" s="1158">
        <v>52</v>
      </c>
      <c r="C9" s="1158">
        <v>1</v>
      </c>
      <c r="D9" s="457">
        <v>-2</v>
      </c>
      <c r="E9" s="624">
        <v>32.598339951</v>
      </c>
      <c r="F9" s="692">
        <v>520.45249999999999</v>
      </c>
      <c r="G9" s="1137">
        <f t="shared" si="0"/>
        <v>6.2634611133580875E-2</v>
      </c>
      <c r="H9" s="1139">
        <v>404.91210000000001</v>
      </c>
      <c r="I9" s="622">
        <f t="shared" si="1"/>
        <v>8.0507201318508387E-2</v>
      </c>
      <c r="J9" s="619"/>
      <c r="K9" s="702"/>
      <c r="L9" s="31"/>
      <c r="M9" s="31"/>
      <c r="N9" s="31"/>
      <c r="O9" s="31"/>
      <c r="P9" s="31"/>
      <c r="Q9" s="31"/>
      <c r="R9" s="31"/>
      <c r="S9" s="31"/>
    </row>
    <row r="10" spans="1:19" ht="19.5" thickBot="1" x14ac:dyDescent="0.35">
      <c r="A10" s="1143" t="s">
        <v>21</v>
      </c>
      <c r="B10" s="1158">
        <v>41</v>
      </c>
      <c r="C10" s="1158">
        <v>2</v>
      </c>
      <c r="D10" s="457">
        <v>-2</v>
      </c>
      <c r="E10" s="624">
        <v>178.72212854200001</v>
      </c>
      <c r="F10" s="692">
        <v>1492</v>
      </c>
      <c r="G10" s="1137">
        <f t="shared" si="0"/>
        <v>0.11978694942493298</v>
      </c>
      <c r="H10" s="1139">
        <v>1267</v>
      </c>
      <c r="I10" s="622">
        <f t="shared" si="1"/>
        <v>0.14105929640252565</v>
      </c>
      <c r="J10" s="619">
        <v>2019</v>
      </c>
      <c r="K10" s="702"/>
      <c r="L10" s="31"/>
      <c r="M10" s="31"/>
      <c r="N10" s="31"/>
      <c r="O10" s="31"/>
      <c r="P10" s="31"/>
      <c r="Q10" s="31"/>
      <c r="R10" s="31"/>
      <c r="S10" s="31"/>
    </row>
    <row r="11" spans="1:19" ht="19.5" thickBot="1" x14ac:dyDescent="0.35">
      <c r="A11" s="1144" t="s">
        <v>5</v>
      </c>
      <c r="B11" s="1157">
        <v>23</v>
      </c>
      <c r="C11" s="1157">
        <v>3</v>
      </c>
      <c r="D11" s="457">
        <v>-2</v>
      </c>
      <c r="E11" s="624">
        <v>781.09810975966695</v>
      </c>
      <c r="F11" s="309">
        <v>1933</v>
      </c>
      <c r="G11" s="1137">
        <f t="shared" si="0"/>
        <v>0.40408593365735485</v>
      </c>
      <c r="H11" s="1139">
        <v>1642.1679999999999</v>
      </c>
      <c r="I11" s="622">
        <f t="shared" si="1"/>
        <v>0.47565054839679438</v>
      </c>
      <c r="J11" s="619">
        <v>2015</v>
      </c>
      <c r="K11" s="702"/>
      <c r="L11" s="31"/>
      <c r="M11" s="31"/>
      <c r="N11" s="31"/>
      <c r="O11" s="31"/>
      <c r="P11" s="31"/>
      <c r="Q11" s="31"/>
      <c r="R11" s="31"/>
      <c r="S11" s="31"/>
    </row>
    <row r="12" spans="1:19" ht="19.5" thickBot="1" x14ac:dyDescent="0.35">
      <c r="A12" s="1143" t="s">
        <v>157</v>
      </c>
      <c r="B12" s="1158">
        <v>23</v>
      </c>
      <c r="C12" s="1158">
        <v>3</v>
      </c>
      <c r="D12" s="457">
        <v>-2</v>
      </c>
      <c r="E12" s="624">
        <v>44.780663763333301</v>
      </c>
      <c r="F12" s="692">
        <v>208.7</v>
      </c>
      <c r="G12" s="1137">
        <f t="shared" si="0"/>
        <v>0.21456954366714567</v>
      </c>
      <c r="H12" s="1139">
        <v>173.58860000000001</v>
      </c>
      <c r="I12" s="622">
        <f t="shared" si="1"/>
        <v>0.25797007270830746</v>
      </c>
      <c r="J12" s="619">
        <v>2017</v>
      </c>
      <c r="K12" s="702"/>
      <c r="L12" s="31"/>
      <c r="M12" s="31"/>
      <c r="N12" s="31"/>
      <c r="O12" s="31"/>
      <c r="P12" s="31"/>
      <c r="Q12" s="31"/>
      <c r="R12" s="31"/>
      <c r="S12" s="31"/>
    </row>
    <row r="13" spans="1:19" ht="19.5" thickBot="1" x14ac:dyDescent="0.35">
      <c r="A13" s="1143" t="s">
        <v>247</v>
      </c>
      <c r="B13" s="1158">
        <v>7</v>
      </c>
      <c r="C13" s="1158">
        <v>9</v>
      </c>
      <c r="D13" s="457">
        <v>3</v>
      </c>
      <c r="E13" s="624">
        <v>407.47760702333301</v>
      </c>
      <c r="F13" s="692">
        <v>463.56200000000001</v>
      </c>
      <c r="G13" s="1137">
        <f t="shared" si="0"/>
        <v>0.87901425704292624</v>
      </c>
      <c r="H13" s="1139">
        <v>389.9171</v>
      </c>
      <c r="I13" s="622">
        <f t="shared" si="1"/>
        <v>1.0450365142316995</v>
      </c>
      <c r="J13" s="619">
        <v>2017</v>
      </c>
      <c r="K13" s="702"/>
      <c r="L13" s="31"/>
      <c r="M13" s="31"/>
      <c r="N13" s="31"/>
      <c r="O13" s="31"/>
      <c r="P13" s="31"/>
      <c r="Q13" s="31"/>
      <c r="R13" s="31"/>
      <c r="S13" s="31"/>
    </row>
    <row r="14" spans="1:19" ht="19.5" thickBot="1" x14ac:dyDescent="0.35">
      <c r="A14" s="1144" t="s">
        <v>94</v>
      </c>
      <c r="B14" s="1157">
        <v>41</v>
      </c>
      <c r="C14" s="1157">
        <v>2</v>
      </c>
      <c r="D14" s="457">
        <v>-2</v>
      </c>
      <c r="E14" s="624">
        <v>485.522911298667</v>
      </c>
      <c r="F14" s="309">
        <v>2286.0136000000002</v>
      </c>
      <c r="G14" s="1137">
        <f t="shared" si="0"/>
        <v>0.2123884614241433</v>
      </c>
      <c r="H14" s="1139">
        <v>2048.9625999999998</v>
      </c>
      <c r="I14" s="622">
        <f t="shared" si="1"/>
        <v>0.23696035803614329</v>
      </c>
      <c r="J14" s="619">
        <v>2017</v>
      </c>
      <c r="K14" s="702"/>
      <c r="L14" s="31"/>
      <c r="M14" s="31"/>
      <c r="N14" s="31"/>
      <c r="O14" s="31"/>
      <c r="P14" s="31"/>
      <c r="Q14" s="31"/>
      <c r="R14" s="31"/>
      <c r="S14" s="31"/>
    </row>
    <row r="15" spans="1:19" ht="19.5" thickBot="1" x14ac:dyDescent="0.35">
      <c r="A15" s="1143" t="s">
        <v>104</v>
      </c>
      <c r="B15" s="1158">
        <v>15</v>
      </c>
      <c r="C15" s="1158">
        <v>5</v>
      </c>
      <c r="D15" s="457">
        <v>0</v>
      </c>
      <c r="E15" s="624">
        <v>95.011801165333296</v>
      </c>
      <c r="F15" s="310">
        <v>181.1985</v>
      </c>
      <c r="G15" s="1137">
        <f t="shared" si="0"/>
        <v>0.52435202921289803</v>
      </c>
      <c r="H15" s="1139">
        <v>145.52930000000001</v>
      </c>
      <c r="I15" s="622">
        <f t="shared" si="1"/>
        <v>0.65287059832853789</v>
      </c>
      <c r="J15" s="619"/>
      <c r="K15" s="702"/>
      <c r="L15" s="31"/>
      <c r="M15" s="31"/>
      <c r="N15" s="31"/>
      <c r="O15" s="31"/>
      <c r="P15" s="31"/>
      <c r="Q15" s="31"/>
      <c r="R15" s="31"/>
      <c r="S15" s="31"/>
    </row>
    <row r="16" spans="1:19" ht="19.5" thickBot="1" x14ac:dyDescent="0.35">
      <c r="A16" s="1143" t="s">
        <v>9</v>
      </c>
      <c r="B16" s="1158">
        <v>41</v>
      </c>
      <c r="C16" s="1158">
        <v>2</v>
      </c>
      <c r="D16" s="457">
        <v>-2</v>
      </c>
      <c r="E16" s="624">
        <v>93.139825275333294</v>
      </c>
      <c r="F16" s="309">
        <v>658.6</v>
      </c>
      <c r="G16" s="1137">
        <f t="shared" si="0"/>
        <v>0.14142093118028135</v>
      </c>
      <c r="H16" s="1139">
        <v>599.67359999999996</v>
      </c>
      <c r="I16" s="622">
        <f t="shared" si="1"/>
        <v>0.15531753486452179</v>
      </c>
      <c r="J16" s="619">
        <v>2019</v>
      </c>
      <c r="K16" s="702"/>
      <c r="L16" s="31"/>
      <c r="M16" s="31"/>
      <c r="N16" s="31"/>
      <c r="O16" s="31"/>
      <c r="P16" s="31"/>
      <c r="Q16" s="31"/>
      <c r="R16" s="31"/>
      <c r="S16" s="31"/>
    </row>
    <row r="17" spans="1:19" ht="19.5" thickBot="1" x14ac:dyDescent="0.35">
      <c r="A17" s="1144" t="s">
        <v>90</v>
      </c>
      <c r="B17" s="1157">
        <v>23</v>
      </c>
      <c r="C17" s="1157">
        <v>3</v>
      </c>
      <c r="D17" s="457">
        <v>-2</v>
      </c>
      <c r="E17" s="624">
        <v>100.06323631766701</v>
      </c>
      <c r="F17" s="309">
        <v>280</v>
      </c>
      <c r="G17" s="1137">
        <f t="shared" si="0"/>
        <v>0.35736870113452501</v>
      </c>
      <c r="H17" s="1139">
        <v>252</v>
      </c>
      <c r="I17" s="622">
        <f t="shared" si="1"/>
        <v>0.39707633459391667</v>
      </c>
      <c r="J17" s="619">
        <v>2017</v>
      </c>
      <c r="K17" s="702"/>
      <c r="L17" s="31"/>
      <c r="M17" s="31"/>
      <c r="N17" s="31"/>
      <c r="O17" s="31"/>
      <c r="P17" s="31"/>
      <c r="Q17" s="31"/>
      <c r="R17" s="31"/>
      <c r="S17" s="31"/>
    </row>
    <row r="18" spans="1:19" ht="19.5" thickBot="1" x14ac:dyDescent="0.35">
      <c r="A18" s="1144" t="s">
        <v>14</v>
      </c>
      <c r="B18" s="1157">
        <v>23</v>
      </c>
      <c r="C18" s="1157">
        <v>3</v>
      </c>
      <c r="D18" s="457">
        <v>-2</v>
      </c>
      <c r="E18" s="624">
        <v>556.72940134999999</v>
      </c>
      <c r="F18" s="309">
        <v>1401</v>
      </c>
      <c r="G18" s="1137">
        <f t="shared" si="0"/>
        <v>0.39738001523911493</v>
      </c>
      <c r="H18" s="1139">
        <v>1267</v>
      </c>
      <c r="I18" s="622">
        <f t="shared" si="1"/>
        <v>0.43940757801894237</v>
      </c>
      <c r="J18" s="619">
        <v>2015</v>
      </c>
      <c r="K18" s="702"/>
      <c r="L18" s="31"/>
      <c r="M18" s="31"/>
      <c r="N18" s="31"/>
      <c r="O18" s="31"/>
      <c r="P18" s="31"/>
      <c r="Q18" s="31"/>
      <c r="R18" s="31"/>
      <c r="S18" s="31"/>
    </row>
    <row r="19" spans="1:19" ht="19.5" thickBot="1" x14ac:dyDescent="0.35">
      <c r="A19" s="1144" t="s">
        <v>96</v>
      </c>
      <c r="B19" s="1157">
        <v>23</v>
      </c>
      <c r="C19" s="1157">
        <v>3</v>
      </c>
      <c r="D19" s="457">
        <v>-2</v>
      </c>
      <c r="E19" s="624">
        <v>606.91935543233296</v>
      </c>
      <c r="F19" s="309">
        <v>2522.61</v>
      </c>
      <c r="G19" s="1137">
        <f t="shared" si="0"/>
        <v>0.24059182966543893</v>
      </c>
      <c r="H19" s="1139">
        <v>2280.6554000000001</v>
      </c>
      <c r="I19" s="622">
        <f t="shared" si="1"/>
        <v>0.26611620301441985</v>
      </c>
      <c r="J19" s="619">
        <v>2015</v>
      </c>
      <c r="K19" s="702"/>
      <c r="L19" s="31"/>
      <c r="M19" s="31"/>
      <c r="N19" s="31"/>
      <c r="O19" s="31"/>
      <c r="P19" s="31"/>
      <c r="Q19" s="31"/>
      <c r="R19" s="31"/>
      <c r="S19" s="31"/>
    </row>
    <row r="20" spans="1:19" ht="19.5" thickBot="1" x14ac:dyDescent="0.35">
      <c r="A20" s="1143" t="s">
        <v>99</v>
      </c>
      <c r="B20" s="1158">
        <v>15</v>
      </c>
      <c r="C20" s="1158">
        <v>5</v>
      </c>
      <c r="D20" s="457">
        <v>0</v>
      </c>
      <c r="E20" s="624">
        <v>24.815723733999999</v>
      </c>
      <c r="F20" s="692">
        <v>46.82</v>
      </c>
      <c r="G20" s="1137">
        <f t="shared" si="0"/>
        <v>0.53002400115335324</v>
      </c>
      <c r="H20" s="1139">
        <v>38.2988</v>
      </c>
      <c r="I20" s="622">
        <f t="shared" si="1"/>
        <v>0.64795042492192967</v>
      </c>
      <c r="J20" s="619">
        <v>2015</v>
      </c>
      <c r="K20" s="702"/>
      <c r="L20" s="31"/>
      <c r="M20" s="31"/>
      <c r="N20" s="31"/>
      <c r="O20" s="31"/>
      <c r="P20" s="31"/>
      <c r="Q20" s="31"/>
      <c r="R20" s="31"/>
      <c r="S20" s="31"/>
    </row>
    <row r="21" spans="1:19" ht="19.5" thickBot="1" x14ac:dyDescent="0.35">
      <c r="A21" s="1143" t="s">
        <v>105</v>
      </c>
      <c r="B21" s="1158">
        <v>1</v>
      </c>
      <c r="C21" s="1158">
        <v>10</v>
      </c>
      <c r="D21" s="457">
        <v>4</v>
      </c>
      <c r="E21" s="624">
        <v>169.836589057</v>
      </c>
      <c r="F21" s="692">
        <v>138.018</v>
      </c>
      <c r="G21" s="1137">
        <f t="shared" si="0"/>
        <v>1.2305394155617384</v>
      </c>
      <c r="H21" s="1139">
        <v>107.9183</v>
      </c>
      <c r="I21" s="622">
        <f t="shared" si="1"/>
        <v>1.5737515236711475</v>
      </c>
      <c r="J21" s="619">
        <v>2021</v>
      </c>
      <c r="K21" s="702"/>
      <c r="L21" s="31"/>
      <c r="M21" s="31"/>
      <c r="N21" s="31"/>
      <c r="O21" s="31"/>
      <c r="P21" s="31"/>
      <c r="Q21" s="31"/>
      <c r="R21" s="31"/>
      <c r="S21" s="31"/>
    </row>
    <row r="22" spans="1:19" ht="19.5" thickBot="1" x14ac:dyDescent="0.35">
      <c r="A22" s="1144" t="s">
        <v>92</v>
      </c>
      <c r="B22" s="1157">
        <v>52</v>
      </c>
      <c r="C22" s="1157">
        <v>1</v>
      </c>
      <c r="D22" s="457">
        <v>-2</v>
      </c>
      <c r="E22" s="624">
        <v>4.9997945579999996</v>
      </c>
      <c r="F22" s="309">
        <v>225.03210000000001</v>
      </c>
      <c r="G22" s="1137">
        <f t="shared" si="0"/>
        <v>2.2218139358784809E-2</v>
      </c>
      <c r="H22" s="1139">
        <v>158.05709999999999</v>
      </c>
      <c r="I22" s="622">
        <f t="shared" si="1"/>
        <v>3.16328374872119E-2</v>
      </c>
      <c r="J22" s="619">
        <v>2019</v>
      </c>
      <c r="K22" s="702"/>
      <c r="L22" s="31"/>
      <c r="M22" s="31"/>
      <c r="N22" s="31"/>
      <c r="O22" s="31"/>
      <c r="P22" s="31"/>
      <c r="Q22" s="31"/>
      <c r="R22" s="31"/>
      <c r="S22" s="31"/>
    </row>
    <row r="23" spans="1:19" ht="19.5" thickBot="1" x14ac:dyDescent="0.35">
      <c r="A23" s="1144" t="s">
        <v>22</v>
      </c>
      <c r="B23" s="1157">
        <v>15</v>
      </c>
      <c r="C23" s="1157">
        <v>5</v>
      </c>
      <c r="D23" s="457">
        <v>0</v>
      </c>
      <c r="E23" s="624">
        <v>2.5625972940000001</v>
      </c>
      <c r="F23" s="309">
        <v>8.2423000000000002</v>
      </c>
      <c r="G23" s="1137">
        <f t="shared" si="0"/>
        <v>0.3109080346505223</v>
      </c>
      <c r="H23" s="1139">
        <v>4.9619</v>
      </c>
      <c r="I23" s="622">
        <f t="shared" si="1"/>
        <v>0.51645484471674163</v>
      </c>
      <c r="J23" s="619"/>
      <c r="K23" s="702"/>
      <c r="L23" s="31"/>
      <c r="M23" s="31"/>
      <c r="N23" s="31"/>
      <c r="O23" s="31"/>
      <c r="P23" s="31"/>
      <c r="Q23" s="31"/>
      <c r="R23" s="31"/>
      <c r="S23" s="31"/>
    </row>
    <row r="24" spans="1:19" ht="19.5" thickBot="1" x14ac:dyDescent="0.35">
      <c r="A24" s="1144" t="s">
        <v>13</v>
      </c>
      <c r="B24" s="1157">
        <v>23</v>
      </c>
      <c r="C24" s="1157">
        <v>3</v>
      </c>
      <c r="D24" s="457">
        <v>-2</v>
      </c>
      <c r="E24" s="624">
        <v>367.37862562200002</v>
      </c>
      <c r="F24" s="309">
        <v>822</v>
      </c>
      <c r="G24" s="1137">
        <f t="shared" si="0"/>
        <v>0.44693263457664234</v>
      </c>
      <c r="H24" s="1139">
        <v>750</v>
      </c>
      <c r="I24" s="622">
        <f t="shared" si="1"/>
        <v>0.48983816749600001</v>
      </c>
      <c r="J24" s="619">
        <v>2017</v>
      </c>
      <c r="K24" s="702"/>
      <c r="L24" s="31"/>
      <c r="M24" s="31"/>
      <c r="N24" s="31"/>
      <c r="O24" s="31"/>
      <c r="P24" s="31"/>
      <c r="Q24" s="31"/>
      <c r="R24" s="31"/>
      <c r="S24" s="31"/>
    </row>
    <row r="25" spans="1:19" ht="19.5" thickBot="1" x14ac:dyDescent="0.35">
      <c r="A25" s="1144" t="s">
        <v>6</v>
      </c>
      <c r="B25" s="1157">
        <v>41</v>
      </c>
      <c r="C25" s="1157">
        <v>2</v>
      </c>
      <c r="D25" s="457">
        <v>-2</v>
      </c>
      <c r="E25" s="624">
        <v>5714.55349029233</v>
      </c>
      <c r="F25" s="309">
        <v>55859</v>
      </c>
      <c r="G25" s="1137">
        <f t="shared" si="0"/>
        <v>0.10230318284058666</v>
      </c>
      <c r="H25" s="1139">
        <v>50000</v>
      </c>
      <c r="I25" s="622">
        <f t="shared" si="1"/>
        <v>0.11429106980584661</v>
      </c>
      <c r="J25" s="619">
        <v>2021</v>
      </c>
      <c r="K25" s="702"/>
      <c r="L25" s="31"/>
      <c r="M25" s="31"/>
      <c r="N25" s="31"/>
      <c r="O25" s="31"/>
      <c r="P25" s="31"/>
      <c r="Q25" s="31"/>
      <c r="R25" s="31"/>
      <c r="S25" s="31"/>
    </row>
    <row r="26" spans="1:19" ht="19.5" thickBot="1" x14ac:dyDescent="0.35">
      <c r="A26" s="1144" t="s">
        <v>16</v>
      </c>
      <c r="B26" s="1157">
        <v>52</v>
      </c>
      <c r="C26" s="1157">
        <v>1</v>
      </c>
      <c r="D26" s="457">
        <v>-2</v>
      </c>
      <c r="E26" s="624">
        <v>241.77977643633301</v>
      </c>
      <c r="F26" s="309">
        <v>11158</v>
      </c>
      <c r="G26" s="1137">
        <f t="shared" si="0"/>
        <v>2.1668737805729792E-2</v>
      </c>
      <c r="H26" s="1139">
        <v>8960</v>
      </c>
      <c r="I26" s="622">
        <f t="shared" si="1"/>
        <v>2.698435004869788E-2</v>
      </c>
      <c r="J26" s="619">
        <v>2013</v>
      </c>
      <c r="K26" s="702"/>
      <c r="L26" s="31"/>
      <c r="M26" s="31"/>
      <c r="N26" s="31"/>
      <c r="O26" s="31"/>
      <c r="P26" s="31"/>
      <c r="Q26" s="31"/>
      <c r="R26" s="31"/>
      <c r="S26" s="31"/>
    </row>
    <row r="27" spans="1:19" ht="19.5" thickBot="1" x14ac:dyDescent="0.35">
      <c r="A27" s="1143" t="s">
        <v>106</v>
      </c>
      <c r="B27" s="1158">
        <v>23</v>
      </c>
      <c r="C27" s="1158">
        <v>3</v>
      </c>
      <c r="D27" s="457">
        <v>-2</v>
      </c>
      <c r="E27" s="624">
        <v>8.4146731986666694</v>
      </c>
      <c r="F27" s="692">
        <v>23.496300000000002</v>
      </c>
      <c r="G27" s="1137">
        <f t="shared" si="0"/>
        <v>0.35812758598871602</v>
      </c>
      <c r="H27" s="1139">
        <v>18.280100000000001</v>
      </c>
      <c r="I27" s="622">
        <f t="shared" si="1"/>
        <v>0.46031877280029482</v>
      </c>
      <c r="J27" s="619"/>
      <c r="K27" s="702"/>
      <c r="L27" s="31"/>
      <c r="M27" s="31"/>
      <c r="N27" s="31"/>
      <c r="O27" s="31"/>
      <c r="P27" s="31"/>
      <c r="Q27" s="31"/>
      <c r="R27" s="31"/>
      <c r="S27" s="31"/>
    </row>
    <row r="28" spans="1:19" ht="19.5" thickBot="1" x14ac:dyDescent="0.35">
      <c r="A28" s="1143" t="s">
        <v>23</v>
      </c>
      <c r="B28" s="1158">
        <v>10</v>
      </c>
      <c r="C28" s="1158">
        <v>8</v>
      </c>
      <c r="D28" s="457">
        <v>2</v>
      </c>
      <c r="E28" s="624">
        <v>20.9389613333333</v>
      </c>
      <c r="F28" s="703">
        <v>35</v>
      </c>
      <c r="G28" s="1137">
        <f t="shared" si="0"/>
        <v>0.59825603809523709</v>
      </c>
      <c r="H28" s="1139">
        <v>21.07</v>
      </c>
      <c r="I28" s="622">
        <f t="shared" si="1"/>
        <v>0.99378079417813481</v>
      </c>
      <c r="J28" s="619"/>
      <c r="K28" s="702"/>
      <c r="L28" s="31"/>
      <c r="M28" s="31"/>
      <c r="N28" s="31"/>
      <c r="O28" s="31"/>
      <c r="P28" s="31"/>
      <c r="Q28" s="31"/>
      <c r="R28" s="31"/>
      <c r="S28" s="31"/>
    </row>
    <row r="29" spans="1:19" ht="19.5" thickBot="1" x14ac:dyDescent="0.35">
      <c r="A29" s="1143" t="s">
        <v>330</v>
      </c>
      <c r="B29" s="1158">
        <v>15</v>
      </c>
      <c r="C29" s="1158">
        <v>5</v>
      </c>
      <c r="D29" s="457">
        <v>0</v>
      </c>
      <c r="E29" s="624">
        <v>88.821788517666704</v>
      </c>
      <c r="F29" s="703">
        <v>137</v>
      </c>
      <c r="G29" s="1137">
        <f t="shared" si="0"/>
        <v>0.64833422275669128</v>
      </c>
      <c r="H29" s="1139">
        <v>118.505</v>
      </c>
      <c r="I29" s="622">
        <f t="shared" si="1"/>
        <v>0.74951933266669513</v>
      </c>
      <c r="J29" s="619">
        <v>2019</v>
      </c>
      <c r="K29" s="702"/>
      <c r="L29" s="31"/>
      <c r="M29" s="31"/>
      <c r="N29" s="31"/>
      <c r="O29" s="31"/>
      <c r="P29" s="31"/>
      <c r="Q29" s="31"/>
      <c r="R29" s="31"/>
      <c r="S29" s="31"/>
    </row>
    <row r="30" spans="1:19" ht="19.5" thickBot="1" x14ac:dyDescent="0.35">
      <c r="A30" s="1143" t="s">
        <v>107</v>
      </c>
      <c r="B30" s="1158">
        <v>41</v>
      </c>
      <c r="C30" s="1158">
        <v>2</v>
      </c>
      <c r="D30" s="457">
        <v>-2</v>
      </c>
      <c r="E30" s="624">
        <v>11.4293510263333</v>
      </c>
      <c r="F30" s="703">
        <v>60.2834</v>
      </c>
      <c r="G30" s="1137">
        <f t="shared" si="0"/>
        <v>0.18959366967246871</v>
      </c>
      <c r="H30" s="1139">
        <v>46.900500000000001</v>
      </c>
      <c r="I30" s="622">
        <f t="shared" si="1"/>
        <v>0.24369358591770451</v>
      </c>
      <c r="J30" s="619"/>
      <c r="K30" s="702"/>
      <c r="L30" s="31"/>
      <c r="M30" s="31"/>
      <c r="N30" s="31"/>
      <c r="O30" s="31"/>
      <c r="P30" s="31"/>
      <c r="Q30" s="31"/>
      <c r="R30" s="31"/>
      <c r="S30" s="31"/>
    </row>
    <row r="31" spans="1:19" ht="19.5" thickBot="1" x14ac:dyDescent="0.35">
      <c r="A31" s="1143" t="s">
        <v>100</v>
      </c>
      <c r="B31" s="1158">
        <v>41</v>
      </c>
      <c r="C31" s="1158">
        <v>2</v>
      </c>
      <c r="D31" s="457">
        <v>-2</v>
      </c>
      <c r="E31" s="624">
        <v>17.939762000999998</v>
      </c>
      <c r="F31" s="703">
        <v>94.519000000000005</v>
      </c>
      <c r="G31" s="1137">
        <f t="shared" si="0"/>
        <v>0.18980059036807412</v>
      </c>
      <c r="H31" s="1139">
        <v>74.420199999999994</v>
      </c>
      <c r="I31" s="622">
        <f t="shared" si="1"/>
        <v>0.24106038415645215</v>
      </c>
      <c r="J31" s="619">
        <v>2011</v>
      </c>
      <c r="K31" s="702"/>
      <c r="L31" s="31"/>
      <c r="M31" s="31"/>
      <c r="N31" s="31"/>
      <c r="O31" s="31"/>
      <c r="P31" s="31"/>
      <c r="Q31" s="31"/>
      <c r="R31" s="31"/>
      <c r="S31" s="31"/>
    </row>
    <row r="32" spans="1:19" ht="19.5" thickBot="1" x14ac:dyDescent="0.35">
      <c r="A32" s="1143" t="s">
        <v>101</v>
      </c>
      <c r="B32" s="1158">
        <v>52</v>
      </c>
      <c r="C32" s="1158">
        <v>1</v>
      </c>
      <c r="D32" s="457">
        <v>-2</v>
      </c>
      <c r="E32" s="624">
        <v>44.969601271666697</v>
      </c>
      <c r="F32" s="703">
        <v>738</v>
      </c>
      <c r="G32" s="1137">
        <f t="shared" si="0"/>
        <v>6.0934419067299045E-2</v>
      </c>
      <c r="H32" s="1139">
        <v>574.16399999999999</v>
      </c>
      <c r="I32" s="622">
        <f t="shared" si="1"/>
        <v>7.83218754078394E-2</v>
      </c>
      <c r="J32" s="619">
        <v>2009</v>
      </c>
      <c r="K32" s="702"/>
      <c r="L32" s="31"/>
      <c r="M32" s="31"/>
      <c r="N32" s="31"/>
      <c r="O32" s="31"/>
      <c r="P32" s="31"/>
      <c r="Q32" s="31"/>
      <c r="R32" s="31"/>
      <c r="S32" s="31"/>
    </row>
    <row r="33" spans="1:19" ht="19.5" thickBot="1" x14ac:dyDescent="0.35">
      <c r="A33" s="1143" t="s">
        <v>108</v>
      </c>
      <c r="B33" s="1158">
        <v>23</v>
      </c>
      <c r="C33" s="1158">
        <v>3</v>
      </c>
      <c r="D33" s="457">
        <v>-2</v>
      </c>
      <c r="E33" s="624">
        <v>3.26121701033333</v>
      </c>
      <c r="F33" s="703">
        <v>9.8667999999999996</v>
      </c>
      <c r="G33" s="1137">
        <f t="shared" si="0"/>
        <v>0.33052428450291182</v>
      </c>
      <c r="H33" s="1139">
        <v>7.6764000000000001</v>
      </c>
      <c r="I33" s="622">
        <f t="shared" si="1"/>
        <v>0.42483677379153378</v>
      </c>
      <c r="J33" s="619"/>
      <c r="K33" s="702"/>
      <c r="L33" s="31"/>
      <c r="M33" s="31"/>
      <c r="N33" s="31"/>
      <c r="O33" s="31"/>
      <c r="P33" s="31"/>
      <c r="Q33" s="31"/>
      <c r="R33" s="31"/>
      <c r="S33" s="31"/>
    </row>
    <row r="34" spans="1:19" ht="19.5" thickBot="1" x14ac:dyDescent="0.35">
      <c r="A34" s="1143" t="s">
        <v>258</v>
      </c>
      <c r="B34" s="1158">
        <v>52</v>
      </c>
      <c r="C34" s="1158">
        <v>1</v>
      </c>
      <c r="D34" s="457">
        <v>-2</v>
      </c>
      <c r="E34" s="624">
        <v>37.959476385333303</v>
      </c>
      <c r="F34" s="703">
        <v>490.899</v>
      </c>
      <c r="G34" s="1137">
        <f t="shared" si="0"/>
        <v>7.7326448791570773E-2</v>
      </c>
      <c r="H34" s="1139">
        <v>426.01670000000001</v>
      </c>
      <c r="I34" s="622">
        <f t="shared" si="1"/>
        <v>8.9103259063161855E-2</v>
      </c>
      <c r="J34" s="619">
        <v>2015</v>
      </c>
      <c r="K34" s="702"/>
      <c r="L34" s="31"/>
      <c r="M34" s="31"/>
      <c r="N34" s="31"/>
      <c r="O34" s="31"/>
      <c r="P34" s="31"/>
      <c r="Q34" s="31"/>
      <c r="R34" s="31"/>
      <c r="S34" s="31"/>
    </row>
    <row r="35" spans="1:19" ht="19.5" thickBot="1" x14ac:dyDescent="0.35">
      <c r="A35" s="1143" t="s">
        <v>245</v>
      </c>
      <c r="B35" s="1158">
        <v>41</v>
      </c>
      <c r="C35" s="1158">
        <v>2</v>
      </c>
      <c r="D35" s="457">
        <v>-2</v>
      </c>
      <c r="E35" s="624">
        <v>4.4101751496666699</v>
      </c>
      <c r="F35" s="703">
        <v>27.668600000000001</v>
      </c>
      <c r="G35" s="1137">
        <f t="shared" si="0"/>
        <v>0.15939278278144431</v>
      </c>
      <c r="H35" s="1139">
        <v>21.526199999999999</v>
      </c>
      <c r="I35" s="622">
        <f t="shared" si="1"/>
        <v>0.20487476422530079</v>
      </c>
      <c r="J35" s="619"/>
      <c r="K35" s="702"/>
      <c r="L35" s="31"/>
      <c r="M35" s="31"/>
      <c r="N35" s="31"/>
      <c r="O35" s="31"/>
      <c r="P35" s="31"/>
      <c r="Q35" s="31"/>
      <c r="R35" s="31"/>
      <c r="S35" s="31"/>
    </row>
    <row r="36" spans="1:19" ht="19.5" thickBot="1" x14ac:dyDescent="0.35">
      <c r="A36" s="1143" t="s">
        <v>347</v>
      </c>
      <c r="B36" s="1158">
        <v>41</v>
      </c>
      <c r="C36" s="1158">
        <v>2</v>
      </c>
      <c r="D36" s="457">
        <v>-2</v>
      </c>
      <c r="E36" s="624">
        <v>19.867618009000001</v>
      </c>
      <c r="F36" s="703">
        <v>167.1</v>
      </c>
      <c r="G36" s="1137">
        <f t="shared" si="0"/>
        <v>0.11889657695391982</v>
      </c>
      <c r="H36" s="1139">
        <v>130</v>
      </c>
      <c r="I36" s="622">
        <f t="shared" si="1"/>
        <v>0.15282783083846155</v>
      </c>
      <c r="J36" s="619"/>
      <c r="K36" s="702"/>
      <c r="L36" s="31"/>
      <c r="M36" s="31"/>
      <c r="N36" s="31"/>
      <c r="O36" s="31"/>
      <c r="P36" s="31"/>
      <c r="Q36" s="31"/>
      <c r="R36" s="31"/>
      <c r="S36" s="31"/>
    </row>
    <row r="37" spans="1:19" ht="19.5" thickBot="1" x14ac:dyDescent="0.35">
      <c r="A37" s="1144" t="s">
        <v>89</v>
      </c>
      <c r="B37" s="1157">
        <v>23</v>
      </c>
      <c r="C37" s="1157">
        <v>3</v>
      </c>
      <c r="D37" s="457">
        <v>-2</v>
      </c>
      <c r="E37" s="624">
        <v>1328.3575658316699</v>
      </c>
      <c r="F37" s="704">
        <v>5310</v>
      </c>
      <c r="G37" s="1137">
        <f t="shared" si="0"/>
        <v>0.25016150015662336</v>
      </c>
      <c r="H37" s="1139">
        <v>4576</v>
      </c>
      <c r="I37" s="622">
        <f t="shared" si="1"/>
        <v>0.29028792959608174</v>
      </c>
      <c r="J37" s="619">
        <v>2017</v>
      </c>
      <c r="K37" s="702"/>
      <c r="L37" s="31"/>
      <c r="M37" s="31"/>
      <c r="N37" s="31"/>
      <c r="O37" s="31"/>
      <c r="P37" s="31"/>
      <c r="Q37" s="31"/>
      <c r="R37" s="31"/>
      <c r="S37" s="31"/>
    </row>
    <row r="38" spans="1:19" ht="19.5" thickBot="1" x14ac:dyDescent="0.35">
      <c r="A38" s="1145" t="s">
        <v>8</v>
      </c>
      <c r="B38" s="1157">
        <v>23</v>
      </c>
      <c r="C38" s="1157">
        <v>3</v>
      </c>
      <c r="D38" s="457">
        <v>-2</v>
      </c>
      <c r="E38" s="624">
        <v>681.278912848</v>
      </c>
      <c r="F38" s="704">
        <v>1955</v>
      </c>
      <c r="G38" s="1137">
        <f t="shared" si="0"/>
        <v>0.34848026232634272</v>
      </c>
      <c r="H38" s="1139">
        <v>1660</v>
      </c>
      <c r="I38" s="622">
        <f t="shared" si="1"/>
        <v>0.41040898364337347</v>
      </c>
      <c r="J38" s="619">
        <v>2019</v>
      </c>
      <c r="K38" s="702"/>
      <c r="L38" s="31"/>
      <c r="M38" s="31"/>
      <c r="N38" s="31"/>
      <c r="O38" s="31"/>
      <c r="P38" s="31"/>
      <c r="Q38" s="31"/>
      <c r="R38" s="31"/>
      <c r="S38" s="31"/>
    </row>
    <row r="39" spans="1:19" ht="19.5" thickBot="1" x14ac:dyDescent="0.35">
      <c r="A39" s="1144" t="s">
        <v>86</v>
      </c>
      <c r="B39" s="1157">
        <v>52</v>
      </c>
      <c r="C39" s="1157">
        <v>1</v>
      </c>
      <c r="D39" s="457">
        <v>-2</v>
      </c>
      <c r="E39" s="624">
        <v>277.57070821333298</v>
      </c>
      <c r="F39" s="704">
        <v>4433</v>
      </c>
      <c r="G39" s="1137">
        <f t="shared" si="0"/>
        <v>6.2614642051281977E-2</v>
      </c>
      <c r="H39" s="1139">
        <v>2845</v>
      </c>
      <c r="I39" s="622">
        <f t="shared" si="1"/>
        <v>9.7564396560046743E-2</v>
      </c>
      <c r="J39" s="619">
        <v>2013</v>
      </c>
      <c r="K39" s="702"/>
      <c r="L39" s="31"/>
      <c r="M39" s="31"/>
      <c r="N39" s="31"/>
      <c r="O39" s="31"/>
      <c r="P39" s="31"/>
      <c r="Q39" s="31"/>
      <c r="R39" s="31"/>
      <c r="S39" s="31"/>
    </row>
    <row r="40" spans="1:19" ht="19.5" thickBot="1" x14ac:dyDescent="0.35">
      <c r="A40" s="1143" t="s">
        <v>109</v>
      </c>
      <c r="B40" s="1158">
        <v>23</v>
      </c>
      <c r="C40" s="1158">
        <v>3</v>
      </c>
      <c r="D40" s="457">
        <v>-2</v>
      </c>
      <c r="E40" s="624">
        <v>50.136247276666701</v>
      </c>
      <c r="F40" s="703">
        <v>224.95779999999999</v>
      </c>
      <c r="G40" s="1137">
        <f t="shared" si="0"/>
        <v>0.22286956609936043</v>
      </c>
      <c r="H40" s="1139">
        <v>175.0171</v>
      </c>
      <c r="I40" s="622">
        <f t="shared" si="1"/>
        <v>0.28646484987276499</v>
      </c>
      <c r="J40" s="619"/>
      <c r="K40" s="702"/>
      <c r="L40" s="31"/>
      <c r="M40" s="31"/>
      <c r="N40" s="31"/>
      <c r="O40" s="31"/>
      <c r="P40" s="31"/>
      <c r="Q40" s="31"/>
      <c r="R40" s="31"/>
      <c r="S40" s="31"/>
    </row>
    <row r="41" spans="1:19" ht="19.5" thickBot="1" x14ac:dyDescent="0.35">
      <c r="A41" s="1144" t="s">
        <v>93</v>
      </c>
      <c r="B41" s="1157">
        <v>52</v>
      </c>
      <c r="C41" s="1157">
        <v>1</v>
      </c>
      <c r="D41" s="457">
        <v>-2</v>
      </c>
      <c r="E41" s="624">
        <v>54.165091263333302</v>
      </c>
      <c r="F41" s="704">
        <v>3200</v>
      </c>
      <c r="G41" s="1137">
        <f t="shared" si="0"/>
        <v>1.6926591019791656E-2</v>
      </c>
      <c r="H41" s="1139">
        <v>1600</v>
      </c>
      <c r="I41" s="622">
        <f t="shared" si="1"/>
        <v>3.3853182039583311E-2</v>
      </c>
      <c r="J41" s="619"/>
      <c r="K41" s="702"/>
      <c r="L41" s="31"/>
      <c r="M41" s="31"/>
      <c r="N41" s="31"/>
      <c r="O41" s="31"/>
      <c r="P41" s="31"/>
      <c r="Q41" s="31"/>
      <c r="R41" s="31"/>
      <c r="S41" s="31"/>
    </row>
    <row r="42" spans="1:19" ht="19.5" thickBot="1" x14ac:dyDescent="0.35">
      <c r="A42" s="1144" t="s">
        <v>17</v>
      </c>
      <c r="B42" s="1157">
        <v>41</v>
      </c>
      <c r="C42" s="1157">
        <v>2</v>
      </c>
      <c r="D42" s="457">
        <v>-2</v>
      </c>
      <c r="E42" s="624">
        <v>434.868640088333</v>
      </c>
      <c r="F42" s="704">
        <v>4133</v>
      </c>
      <c r="G42" s="1137">
        <f t="shared" si="0"/>
        <v>0.105218640234293</v>
      </c>
      <c r="H42" s="1139">
        <v>3443</v>
      </c>
      <c r="I42" s="622">
        <f t="shared" si="1"/>
        <v>0.12630515250895527</v>
      </c>
      <c r="J42" s="619">
        <v>2017</v>
      </c>
      <c r="K42" s="702"/>
      <c r="L42" s="31"/>
      <c r="M42" s="31"/>
      <c r="N42" s="31"/>
      <c r="O42" s="31"/>
      <c r="P42" s="31"/>
      <c r="Q42" s="31"/>
      <c r="R42" s="31"/>
      <c r="S42" s="31"/>
    </row>
    <row r="43" spans="1:19" ht="19.5" thickBot="1" x14ac:dyDescent="0.35">
      <c r="A43" s="1143" t="s">
        <v>110</v>
      </c>
      <c r="B43" s="1158">
        <v>52</v>
      </c>
      <c r="C43" s="1158">
        <v>1</v>
      </c>
      <c r="D43" s="457">
        <v>-2</v>
      </c>
      <c r="E43" s="624">
        <v>142.17948308366701</v>
      </c>
      <c r="F43" s="705">
        <v>4801</v>
      </c>
      <c r="G43" s="1137">
        <f t="shared" si="0"/>
        <v>2.9614555943275778E-2</v>
      </c>
      <c r="H43" s="1139">
        <v>2890.2020000000002</v>
      </c>
      <c r="I43" s="622">
        <f t="shared" si="1"/>
        <v>4.9193614523713909E-2</v>
      </c>
      <c r="J43" s="619"/>
      <c r="K43" s="702"/>
      <c r="L43" s="31"/>
      <c r="M43" s="31"/>
      <c r="N43" s="31"/>
      <c r="O43" s="31"/>
      <c r="P43" s="31"/>
      <c r="Q43" s="31"/>
      <c r="R43" s="31"/>
      <c r="S43" s="31"/>
    </row>
    <row r="44" spans="1:19" ht="19.5" thickBot="1" x14ac:dyDescent="0.35">
      <c r="A44" s="1143" t="s">
        <v>249</v>
      </c>
      <c r="B44" s="1158">
        <v>10</v>
      </c>
      <c r="C44" s="1158">
        <v>8</v>
      </c>
      <c r="D44" s="457">
        <v>2</v>
      </c>
      <c r="E44" s="624">
        <v>1360.50982856467</v>
      </c>
      <c r="F44" s="704">
        <v>1883</v>
      </c>
      <c r="G44" s="1137">
        <f t="shared" si="0"/>
        <v>0.72252247932271374</v>
      </c>
      <c r="H44" s="1139">
        <v>1407</v>
      </c>
      <c r="I44" s="622">
        <f t="shared" si="1"/>
        <v>0.96695794496422882</v>
      </c>
      <c r="J44" s="619">
        <v>2021</v>
      </c>
      <c r="K44" s="702"/>
      <c r="L44" s="31"/>
      <c r="M44" s="31"/>
      <c r="N44" s="31"/>
      <c r="O44" s="31"/>
      <c r="P44" s="31"/>
      <c r="Q44" s="31"/>
      <c r="R44" s="31"/>
      <c r="S44" s="31"/>
    </row>
    <row r="45" spans="1:19" ht="19.5" thickBot="1" x14ac:dyDescent="0.35">
      <c r="A45" s="1144" t="s">
        <v>7</v>
      </c>
      <c r="B45" s="1157">
        <v>13</v>
      </c>
      <c r="C45" s="1157">
        <v>7</v>
      </c>
      <c r="D45" s="457">
        <v>1</v>
      </c>
      <c r="E45" s="624">
        <v>2567.2361505303302</v>
      </c>
      <c r="F45" s="704">
        <v>3563</v>
      </c>
      <c r="G45" s="1137">
        <f t="shared" si="0"/>
        <v>0.72052656484151845</v>
      </c>
      <c r="H45" s="1139">
        <v>3285</v>
      </c>
      <c r="I45" s="622">
        <f t="shared" si="1"/>
        <v>0.78150263334256631</v>
      </c>
      <c r="J45" s="619">
        <v>2019</v>
      </c>
      <c r="K45" s="702"/>
      <c r="L45" s="31"/>
      <c r="M45" s="31"/>
      <c r="N45" s="31"/>
      <c r="O45" s="31"/>
      <c r="P45" s="31"/>
      <c r="Q45" s="31"/>
      <c r="R45" s="31"/>
      <c r="S45" s="31"/>
    </row>
    <row r="46" spans="1:19" ht="19.5" thickBot="1" x14ac:dyDescent="0.35">
      <c r="A46" s="1143" t="s">
        <v>111</v>
      </c>
      <c r="B46" s="1158">
        <v>1</v>
      </c>
      <c r="C46" s="1158">
        <v>10</v>
      </c>
      <c r="D46" s="457">
        <v>4</v>
      </c>
      <c r="E46" s="624">
        <v>27.006160184999999</v>
      </c>
      <c r="F46" s="703">
        <v>8.3285</v>
      </c>
      <c r="G46" s="1137">
        <f t="shared" si="0"/>
        <v>3.2426199417662245</v>
      </c>
      <c r="H46" s="1139">
        <v>5.2872000000000003</v>
      </c>
      <c r="I46" s="622">
        <f t="shared" si="1"/>
        <v>5.1078378319337263</v>
      </c>
      <c r="J46" s="619">
        <v>2021</v>
      </c>
      <c r="K46" s="702"/>
      <c r="L46" s="31"/>
      <c r="M46" s="31"/>
      <c r="N46" s="31"/>
      <c r="O46" s="31"/>
      <c r="P46" s="31"/>
      <c r="Q46" s="31"/>
      <c r="R46" s="31"/>
      <c r="S46" s="31"/>
    </row>
    <row r="47" spans="1:19" ht="19.5" thickBot="1" x14ac:dyDescent="0.35">
      <c r="A47" s="1143" t="s">
        <v>112</v>
      </c>
      <c r="B47" s="1158">
        <v>7</v>
      </c>
      <c r="C47" s="1158">
        <v>9</v>
      </c>
      <c r="D47" s="457">
        <v>3</v>
      </c>
      <c r="E47" s="624">
        <v>46.491946964</v>
      </c>
      <c r="F47" s="703">
        <v>55.667499999999997</v>
      </c>
      <c r="G47" s="1137">
        <f t="shared" si="0"/>
        <v>0.83517217342255357</v>
      </c>
      <c r="H47" s="1139">
        <v>43.3093</v>
      </c>
      <c r="I47" s="622">
        <f t="shared" si="1"/>
        <v>1.0734864558882273</v>
      </c>
      <c r="J47" s="619"/>
      <c r="K47" s="702"/>
      <c r="L47" s="31"/>
      <c r="M47" s="31"/>
      <c r="N47" s="31"/>
      <c r="O47" s="31"/>
      <c r="P47" s="31"/>
      <c r="Q47" s="31"/>
      <c r="R47" s="31"/>
      <c r="S47" s="31"/>
    </row>
    <row r="48" spans="1:19" ht="19.5" thickBot="1" x14ac:dyDescent="0.35">
      <c r="A48" s="1143" t="s">
        <v>352</v>
      </c>
      <c r="B48" s="1158">
        <v>41</v>
      </c>
      <c r="C48" s="1158">
        <v>2</v>
      </c>
      <c r="D48" s="457">
        <v>-2</v>
      </c>
      <c r="E48" s="624">
        <v>42.221759280999997</v>
      </c>
      <c r="F48" s="703">
        <v>270.40320000000003</v>
      </c>
      <c r="G48" s="1137">
        <f t="shared" si="0"/>
        <v>0.15614371161657847</v>
      </c>
      <c r="H48" s="1139">
        <v>210.37360000000001</v>
      </c>
      <c r="I48" s="622">
        <f t="shared" si="1"/>
        <v>0.20069894359843629</v>
      </c>
      <c r="J48" s="619"/>
      <c r="K48" s="702"/>
      <c r="L48" s="31"/>
      <c r="M48" s="31"/>
      <c r="N48" s="31"/>
      <c r="O48" s="31"/>
      <c r="P48" s="31"/>
      <c r="Q48" s="31"/>
      <c r="R48" s="31"/>
      <c r="S48" s="31"/>
    </row>
    <row r="49" spans="1:19" ht="19.5" thickBot="1" x14ac:dyDescent="0.35">
      <c r="A49" s="1143" t="s">
        <v>365</v>
      </c>
      <c r="B49" s="1158">
        <v>23</v>
      </c>
      <c r="C49" s="1158">
        <v>3</v>
      </c>
      <c r="D49" s="457">
        <v>-2</v>
      </c>
      <c r="E49" s="624">
        <v>474.61816429599997</v>
      </c>
      <c r="F49" s="703">
        <v>2257.36</v>
      </c>
      <c r="G49" s="1137">
        <f t="shared" si="0"/>
        <v>0.21025364332494592</v>
      </c>
      <c r="H49" s="1139">
        <v>1449.2251000000001</v>
      </c>
      <c r="I49" s="622">
        <f t="shared" si="1"/>
        <v>0.32749789131860879</v>
      </c>
      <c r="J49" s="619">
        <v>2013</v>
      </c>
      <c r="K49" s="702"/>
      <c r="L49" s="31"/>
      <c r="M49" s="31"/>
      <c r="N49" s="31"/>
      <c r="O49" s="31"/>
      <c r="P49" s="31"/>
      <c r="Q49" s="31"/>
      <c r="R49" s="31"/>
      <c r="S49" s="31"/>
    </row>
    <row r="50" spans="1:19" ht="19.5" thickBot="1" x14ac:dyDescent="0.35">
      <c r="A50" s="1143" t="s">
        <v>366</v>
      </c>
      <c r="B50" s="1158">
        <v>52</v>
      </c>
      <c r="C50" s="1158">
        <v>1</v>
      </c>
      <c r="D50" s="457">
        <v>-2</v>
      </c>
      <c r="E50" s="624">
        <v>3.4892383436666701</v>
      </c>
      <c r="F50" s="703">
        <v>66.7</v>
      </c>
      <c r="G50" s="1137">
        <f t="shared" si="0"/>
        <v>5.2312418945527288E-2</v>
      </c>
      <c r="H50" s="1139">
        <v>40.153399999999998</v>
      </c>
      <c r="I50" s="622">
        <f t="shared" si="1"/>
        <v>8.6897705889580221E-2</v>
      </c>
      <c r="J50" s="619"/>
      <c r="K50" s="702"/>
      <c r="L50" s="31"/>
      <c r="M50" s="31"/>
      <c r="N50" s="31"/>
      <c r="O50" s="31"/>
      <c r="P50" s="31"/>
      <c r="Q50" s="31"/>
      <c r="R50" s="31"/>
      <c r="S50" s="31"/>
    </row>
    <row r="51" spans="1:19" ht="19.5" thickBot="1" x14ac:dyDescent="0.35">
      <c r="A51" s="1143" t="s">
        <v>353</v>
      </c>
      <c r="B51" s="1158">
        <v>1</v>
      </c>
      <c r="C51" s="1158">
        <v>10</v>
      </c>
      <c r="D51" s="457">
        <v>4</v>
      </c>
      <c r="E51" s="624">
        <v>21.406091520333302</v>
      </c>
      <c r="F51" s="703">
        <v>15.0276</v>
      </c>
      <c r="G51" s="1137">
        <f t="shared" si="0"/>
        <v>1.4244517767529947</v>
      </c>
      <c r="H51" s="1139">
        <v>11.6914</v>
      </c>
      <c r="I51" s="622">
        <f t="shared" si="1"/>
        <v>1.8309262808845221</v>
      </c>
      <c r="J51" s="619"/>
      <c r="K51" s="702"/>
      <c r="L51" s="31"/>
      <c r="M51" s="31"/>
      <c r="N51" s="31"/>
      <c r="O51" s="31"/>
      <c r="P51" s="31"/>
      <c r="Q51" s="31"/>
      <c r="R51" s="31"/>
      <c r="S51" s="31"/>
    </row>
    <row r="52" spans="1:19" ht="19.5" thickBot="1" x14ac:dyDescent="0.35">
      <c r="A52" s="1143" t="s">
        <v>369</v>
      </c>
      <c r="B52" s="1158">
        <v>23</v>
      </c>
      <c r="C52" s="1158">
        <v>3</v>
      </c>
      <c r="D52" s="457">
        <v>-2</v>
      </c>
      <c r="E52" s="624">
        <v>12.543001237666701</v>
      </c>
      <c r="F52" s="703">
        <v>47.542200000000001</v>
      </c>
      <c r="G52" s="1137">
        <f t="shared" si="0"/>
        <v>0.26382879289697786</v>
      </c>
      <c r="H52" s="1139">
        <v>36.987900000000003</v>
      </c>
      <c r="I52" s="622">
        <f t="shared" si="1"/>
        <v>0.33911093189033981</v>
      </c>
      <c r="J52" s="619"/>
      <c r="K52" s="702"/>
      <c r="L52" s="31"/>
      <c r="M52" s="31"/>
      <c r="N52" s="31"/>
      <c r="O52" s="31"/>
      <c r="P52" s="31"/>
      <c r="Q52" s="31"/>
      <c r="R52" s="31"/>
      <c r="S52" s="31"/>
    </row>
    <row r="53" spans="1:19" ht="19.5" thickBot="1" x14ac:dyDescent="0.35">
      <c r="A53" s="1143" t="s">
        <v>326</v>
      </c>
      <c r="B53" s="1158">
        <v>10</v>
      </c>
      <c r="C53" s="1158">
        <v>8</v>
      </c>
      <c r="D53" s="457">
        <v>2</v>
      </c>
      <c r="E53" s="624">
        <v>384.44428578066697</v>
      </c>
      <c r="F53" s="703">
        <v>476</v>
      </c>
      <c r="G53" s="1137">
        <f t="shared" si="0"/>
        <v>0.80765606256442646</v>
      </c>
      <c r="H53" s="1139">
        <v>389.36799999999999</v>
      </c>
      <c r="I53" s="622">
        <f t="shared" si="1"/>
        <v>0.98735459971201278</v>
      </c>
      <c r="J53" s="619">
        <v>2013</v>
      </c>
      <c r="K53" s="702"/>
      <c r="L53" s="31"/>
      <c r="M53" s="31"/>
      <c r="N53" s="31"/>
      <c r="O53" s="31"/>
      <c r="P53" s="31"/>
      <c r="Q53" s="31"/>
      <c r="R53" s="31"/>
      <c r="S53" s="31"/>
    </row>
    <row r="54" spans="1:19" ht="19.5" thickBot="1" x14ac:dyDescent="0.35">
      <c r="A54" s="1145" t="s">
        <v>91</v>
      </c>
      <c r="B54" s="1157">
        <v>23</v>
      </c>
      <c r="C54" s="1157">
        <v>3</v>
      </c>
      <c r="D54" s="457">
        <v>-2</v>
      </c>
      <c r="E54" s="624">
        <v>5065.0483590169997</v>
      </c>
      <c r="F54" s="704">
        <v>10670</v>
      </c>
      <c r="G54" s="1137">
        <f t="shared" si="0"/>
        <v>0.47469993992661663</v>
      </c>
      <c r="H54" s="1139">
        <v>19846</v>
      </c>
      <c r="I54" s="622">
        <f t="shared" si="1"/>
        <v>0.25521759342018541</v>
      </c>
      <c r="J54" s="619">
        <v>2021</v>
      </c>
      <c r="K54" s="702"/>
      <c r="L54" s="31"/>
      <c r="M54" s="31"/>
      <c r="N54" s="31"/>
      <c r="O54" s="31"/>
      <c r="P54" s="31"/>
      <c r="Q54" s="31"/>
      <c r="R54" s="31"/>
      <c r="S54" s="31"/>
    </row>
    <row r="55" spans="1:19" ht="19.5" thickBot="1" x14ac:dyDescent="0.35">
      <c r="A55" s="1143" t="s">
        <v>367</v>
      </c>
      <c r="B55" s="1158">
        <v>52</v>
      </c>
      <c r="C55" s="1158">
        <v>1</v>
      </c>
      <c r="D55" s="457">
        <v>-2</v>
      </c>
      <c r="E55" s="624">
        <v>31.064340464333299</v>
      </c>
      <c r="F55" s="703">
        <v>773.2</v>
      </c>
      <c r="G55" s="1137">
        <f t="shared" si="0"/>
        <v>4.0176332726763186E-2</v>
      </c>
      <c r="H55" s="1139">
        <v>465.46640000000002</v>
      </c>
      <c r="I55" s="622">
        <f t="shared" si="1"/>
        <v>6.6738094230503642E-2</v>
      </c>
      <c r="J55" s="619"/>
      <c r="K55" s="702"/>
      <c r="L55" s="31"/>
      <c r="M55" s="31"/>
      <c r="N55" s="31"/>
      <c r="O55" s="31"/>
      <c r="P55" s="31"/>
      <c r="Q55" s="31"/>
      <c r="R55" s="31"/>
      <c r="S55" s="31"/>
    </row>
    <row r="56" spans="1:19" ht="19.5" thickBot="1" x14ac:dyDescent="0.35">
      <c r="A56" s="1143" t="s">
        <v>158</v>
      </c>
      <c r="B56" s="1158">
        <v>52</v>
      </c>
      <c r="C56" s="1158">
        <v>1</v>
      </c>
      <c r="D56" s="457">
        <v>-2</v>
      </c>
      <c r="E56" s="624">
        <v>25.352288555333299</v>
      </c>
      <c r="F56" s="703">
        <v>353.36399999999998</v>
      </c>
      <c r="G56" s="1137">
        <f t="shared" si="0"/>
        <v>7.1745533091467445E-2</v>
      </c>
      <c r="H56" s="1139">
        <v>283.75130000000001</v>
      </c>
      <c r="I56" s="622">
        <f t="shared" si="1"/>
        <v>8.9346863099246762E-2</v>
      </c>
      <c r="J56" s="619">
        <v>2013</v>
      </c>
      <c r="K56" s="702"/>
      <c r="L56" s="31"/>
      <c r="M56" s="31"/>
      <c r="N56" s="31"/>
      <c r="O56" s="31"/>
      <c r="P56" s="31"/>
      <c r="Q56" s="31"/>
      <c r="R56" s="31"/>
      <c r="S56" s="31"/>
    </row>
    <row r="57" spans="1:19" ht="19.5" thickBot="1" x14ac:dyDescent="0.35">
      <c r="A57" s="1143" t="s">
        <v>113</v>
      </c>
      <c r="B57" s="1158">
        <v>15</v>
      </c>
      <c r="C57" s="1158">
        <v>5</v>
      </c>
      <c r="D57" s="457">
        <v>0</v>
      </c>
      <c r="E57" s="624">
        <v>10.733480725</v>
      </c>
      <c r="F57" s="703">
        <v>18.808700000000002</v>
      </c>
      <c r="G57" s="1137">
        <f t="shared" si="0"/>
        <v>0.57066574111980084</v>
      </c>
      <c r="H57" s="1139">
        <v>14.6332</v>
      </c>
      <c r="I57" s="622">
        <f t="shared" si="1"/>
        <v>0.73350194933439028</v>
      </c>
      <c r="J57" s="619"/>
      <c r="K57" s="702"/>
      <c r="L57" s="31"/>
      <c r="M57" s="31"/>
      <c r="N57" s="31"/>
      <c r="O57" s="31"/>
      <c r="P57" s="31"/>
      <c r="Q57" s="31"/>
      <c r="R57" s="31"/>
      <c r="S57" s="31"/>
    </row>
    <row r="58" spans="1:19" ht="19.5" thickBot="1" x14ac:dyDescent="0.35">
      <c r="A58" s="1144" t="s">
        <v>87</v>
      </c>
      <c r="B58" s="1157">
        <v>23</v>
      </c>
      <c r="C58" s="1157">
        <v>3</v>
      </c>
      <c r="D58" s="457">
        <v>-2</v>
      </c>
      <c r="E58" s="624">
        <v>709.73127219100002</v>
      </c>
      <c r="F58" s="704">
        <v>3162</v>
      </c>
      <c r="G58" s="1137">
        <f t="shared" si="0"/>
        <v>0.22445644281815308</v>
      </c>
      <c r="H58" s="1139">
        <v>2030</v>
      </c>
      <c r="I58" s="622">
        <f t="shared" si="1"/>
        <v>0.34962131635024629</v>
      </c>
      <c r="J58" s="619">
        <v>2013</v>
      </c>
      <c r="K58" s="702"/>
      <c r="L58" s="31"/>
      <c r="M58" s="31"/>
      <c r="N58" s="31"/>
      <c r="O58" s="31"/>
      <c r="P58" s="31"/>
      <c r="Q58" s="31"/>
      <c r="R58" s="31"/>
      <c r="S58" s="31"/>
    </row>
    <row r="59" spans="1:19" ht="19.5" thickBot="1" x14ac:dyDescent="0.35">
      <c r="A59" s="1144" t="s">
        <v>355</v>
      </c>
      <c r="B59" s="1157">
        <v>15</v>
      </c>
      <c r="C59" s="1157">
        <v>5</v>
      </c>
      <c r="D59" s="457">
        <v>0</v>
      </c>
      <c r="E59" s="624">
        <v>71.233649432333294</v>
      </c>
      <c r="F59" s="704">
        <v>159.958</v>
      </c>
      <c r="G59" s="1137">
        <f t="shared" si="0"/>
        <v>0.44532720734401088</v>
      </c>
      <c r="H59" s="1139">
        <v>124.4474</v>
      </c>
      <c r="I59" s="622">
        <f t="shared" si="1"/>
        <v>0.57239965987504193</v>
      </c>
      <c r="J59" s="619"/>
      <c r="K59" s="702"/>
      <c r="L59" s="31"/>
      <c r="M59" s="31"/>
      <c r="N59" s="31"/>
      <c r="O59" s="31"/>
      <c r="P59" s="31"/>
      <c r="Q59" s="31"/>
      <c r="R59" s="31"/>
      <c r="S59" s="31"/>
    </row>
    <row r="60" spans="1:19" ht="19.5" thickBot="1" x14ac:dyDescent="0.35">
      <c r="A60" s="1143" t="s">
        <v>114</v>
      </c>
      <c r="B60" s="1158">
        <v>23</v>
      </c>
      <c r="C60" s="1158">
        <v>3</v>
      </c>
      <c r="D60" s="457">
        <v>-2</v>
      </c>
      <c r="E60" s="624">
        <v>8.0016167046666702</v>
      </c>
      <c r="F60" s="703">
        <v>39.552399999999999</v>
      </c>
      <c r="G60" s="1137">
        <f t="shared" si="0"/>
        <v>0.20230420163293936</v>
      </c>
      <c r="H60" s="1139">
        <v>30.771799999999999</v>
      </c>
      <c r="I60" s="622">
        <f t="shared" si="1"/>
        <v>0.26003083032733448</v>
      </c>
      <c r="J60" s="619"/>
      <c r="K60" s="702"/>
      <c r="L60" s="31"/>
      <c r="M60" s="31"/>
      <c r="N60" s="31"/>
      <c r="O60" s="31"/>
      <c r="P60" s="31"/>
      <c r="Q60" s="31"/>
      <c r="R60" s="31"/>
      <c r="S60" s="31"/>
    </row>
    <row r="61" spans="1:19" ht="19.5" thickBot="1" x14ac:dyDescent="0.35">
      <c r="A61" s="1143" t="s">
        <v>160</v>
      </c>
      <c r="B61" s="1158">
        <v>52</v>
      </c>
      <c r="C61" s="1158">
        <v>1</v>
      </c>
      <c r="D61" s="457">
        <v>-2</v>
      </c>
      <c r="E61" s="624">
        <v>202.79070928233301</v>
      </c>
      <c r="F61" s="704">
        <v>2751.0441999999998</v>
      </c>
      <c r="G61" s="1137">
        <f t="shared" si="0"/>
        <v>7.3714086194010639E-2</v>
      </c>
      <c r="H61" s="1139">
        <v>2418.8537999999999</v>
      </c>
      <c r="I61" s="622">
        <f t="shared" si="1"/>
        <v>8.383752225220599E-2</v>
      </c>
      <c r="J61" s="619">
        <v>2009</v>
      </c>
      <c r="K61" s="702"/>
      <c r="L61" s="31"/>
      <c r="M61" s="31"/>
      <c r="N61" s="31"/>
      <c r="O61" s="31"/>
      <c r="P61" s="31"/>
      <c r="Q61" s="31"/>
      <c r="R61" s="31"/>
      <c r="S61" s="31"/>
    </row>
    <row r="62" spans="1:19" ht="19.5" thickBot="1" x14ac:dyDescent="0.35">
      <c r="A62" s="1143" t="s">
        <v>115</v>
      </c>
      <c r="B62" s="1158">
        <v>1</v>
      </c>
      <c r="C62" s="1158">
        <v>10</v>
      </c>
      <c r="D62" s="457">
        <v>4</v>
      </c>
      <c r="E62" s="624">
        <v>16.401270479666699</v>
      </c>
      <c r="F62" s="703">
        <v>11.1</v>
      </c>
      <c r="G62" s="1137">
        <f t="shared" si="0"/>
        <v>1.4775919351051081</v>
      </c>
      <c r="H62" s="1139">
        <v>9.6014999999999997</v>
      </c>
      <c r="I62" s="622">
        <f t="shared" si="1"/>
        <v>1.7081987689076394</v>
      </c>
      <c r="J62" s="619">
        <v>2021</v>
      </c>
      <c r="K62" s="702"/>
      <c r="L62" s="31"/>
      <c r="M62" s="31"/>
      <c r="N62" s="31"/>
      <c r="O62" s="31"/>
      <c r="P62" s="31"/>
      <c r="Q62" s="31"/>
      <c r="R62" s="31"/>
      <c r="S62" s="31"/>
    </row>
    <row r="63" spans="1:19" ht="19.5" thickBot="1" x14ac:dyDescent="0.35">
      <c r="A63" s="1144" t="s">
        <v>18</v>
      </c>
      <c r="B63" s="1157">
        <v>52</v>
      </c>
      <c r="C63" s="1157">
        <v>1</v>
      </c>
      <c r="D63" s="457">
        <v>-2</v>
      </c>
      <c r="E63" s="624">
        <v>10.187006399333301</v>
      </c>
      <c r="F63" s="703">
        <v>652</v>
      </c>
      <c r="G63" s="1137">
        <f t="shared" si="0"/>
        <v>1.5624242943762731E-2</v>
      </c>
      <c r="H63" s="1139">
        <v>392</v>
      </c>
      <c r="I63" s="622">
        <f t="shared" si="1"/>
        <v>2.5987261222789031E-2</v>
      </c>
      <c r="J63" s="619"/>
      <c r="K63" s="702"/>
      <c r="L63" s="31"/>
      <c r="M63" s="31"/>
      <c r="N63" s="31"/>
      <c r="O63" s="31"/>
      <c r="P63" s="31"/>
      <c r="Q63" s="31"/>
      <c r="R63" s="31"/>
      <c r="S63" s="31"/>
    </row>
    <row r="64" spans="1:19" ht="19.5" thickBot="1" x14ac:dyDescent="0.35">
      <c r="A64" s="1143" t="s">
        <v>116</v>
      </c>
      <c r="B64" s="1158">
        <v>15</v>
      </c>
      <c r="C64" s="1158">
        <v>5</v>
      </c>
      <c r="D64" s="457">
        <v>0</v>
      </c>
      <c r="E64" s="624">
        <v>36.346446176999997</v>
      </c>
      <c r="F64" s="703">
        <v>62.575299999999999</v>
      </c>
      <c r="G64" s="1137">
        <f t="shared" si="0"/>
        <v>0.58084333877744088</v>
      </c>
      <c r="H64" s="1139">
        <v>48.683599999999998</v>
      </c>
      <c r="I64" s="622">
        <f t="shared" si="1"/>
        <v>0.74658501378287556</v>
      </c>
      <c r="J64" s="619"/>
      <c r="K64" s="702"/>
      <c r="L64" s="31"/>
      <c r="M64" s="31"/>
      <c r="N64" s="31"/>
      <c r="O64" s="31"/>
      <c r="P64" s="31"/>
      <c r="Q64" s="31"/>
      <c r="R64" s="31"/>
      <c r="S64" s="31"/>
    </row>
    <row r="65" spans="1:19" ht="19.5" thickBot="1" x14ac:dyDescent="0.35">
      <c r="A65" s="1143" t="s">
        <v>356</v>
      </c>
      <c r="B65" s="1158">
        <v>1</v>
      </c>
      <c r="C65" s="1158">
        <v>10</v>
      </c>
      <c r="D65" s="457">
        <v>4</v>
      </c>
      <c r="E65" s="624">
        <v>79.099454166666703</v>
      </c>
      <c r="F65" s="703">
        <v>64.018699999999995</v>
      </c>
      <c r="G65" s="1137">
        <f t="shared" si="0"/>
        <v>1.2355679538426538</v>
      </c>
      <c r="H65" s="1139">
        <v>49.8065</v>
      </c>
      <c r="I65" s="622">
        <f t="shared" si="1"/>
        <v>1.5881351664274082</v>
      </c>
      <c r="J65" s="619"/>
      <c r="K65" s="702"/>
      <c r="L65" s="31"/>
      <c r="M65" s="31"/>
      <c r="N65" s="31"/>
      <c r="O65" s="31"/>
      <c r="P65" s="31"/>
      <c r="Q65" s="31"/>
      <c r="R65" s="31"/>
      <c r="S65" s="31"/>
    </row>
    <row r="66" spans="1:19" ht="19.5" thickBot="1" x14ac:dyDescent="0.35">
      <c r="A66" s="1143" t="s">
        <v>246</v>
      </c>
      <c r="B66" s="1158">
        <v>7</v>
      </c>
      <c r="C66" s="1158">
        <v>9</v>
      </c>
      <c r="D66" s="457">
        <v>3</v>
      </c>
      <c r="E66" s="624">
        <v>11.0624866293333</v>
      </c>
      <c r="F66" s="703">
        <v>13.446</v>
      </c>
      <c r="G66" s="1137">
        <f t="shared" si="0"/>
        <v>0.8227343915910531</v>
      </c>
      <c r="H66" s="1139">
        <v>10.461</v>
      </c>
      <c r="I66" s="622">
        <f t="shared" si="1"/>
        <v>1.0574980049071121</v>
      </c>
      <c r="J66" s="619"/>
      <c r="K66" s="702"/>
      <c r="L66" s="31"/>
      <c r="M66" s="31"/>
      <c r="N66" s="31"/>
      <c r="O66" s="31"/>
      <c r="P66" s="31"/>
      <c r="Q66" s="31"/>
      <c r="R66" s="31"/>
      <c r="S66" s="31"/>
    </row>
    <row r="67" spans="1:19" ht="19.5" thickBot="1" x14ac:dyDescent="0.35">
      <c r="A67" s="1143" t="s">
        <v>272</v>
      </c>
      <c r="B67" s="1158">
        <v>1</v>
      </c>
      <c r="C67" s="1158">
        <v>10</v>
      </c>
      <c r="D67" s="457">
        <v>4</v>
      </c>
      <c r="E67" s="624">
        <v>386.09212047266698</v>
      </c>
      <c r="F67" s="703">
        <v>330.37169999999998</v>
      </c>
      <c r="G67" s="1137">
        <f t="shared" si="0"/>
        <v>1.1686597867573616</v>
      </c>
      <c r="H67" s="1139">
        <v>296.87</v>
      </c>
      <c r="I67" s="622">
        <f t="shared" si="1"/>
        <v>1.3005427307328694</v>
      </c>
      <c r="J67" s="619">
        <v>2021</v>
      </c>
      <c r="K67" s="702"/>
      <c r="L67" s="31"/>
      <c r="M67" s="31"/>
      <c r="N67" s="31"/>
      <c r="O67" s="31"/>
      <c r="P67" s="31"/>
      <c r="Q67" s="31"/>
      <c r="R67" s="31"/>
      <c r="S67" s="31"/>
    </row>
    <row r="68" spans="1:19" ht="19.5" thickBot="1" x14ac:dyDescent="0.35">
      <c r="A68" s="1144" t="s">
        <v>98</v>
      </c>
      <c r="B68" s="1157">
        <v>13</v>
      </c>
      <c r="C68" s="1157">
        <v>7</v>
      </c>
      <c r="D68" s="457">
        <v>1</v>
      </c>
      <c r="E68" s="624">
        <v>9523.2874112376703</v>
      </c>
      <c r="F68" s="311">
        <v>12453</v>
      </c>
      <c r="G68" s="1137">
        <f t="shared" si="0"/>
        <v>0.76473840931804948</v>
      </c>
      <c r="H68" s="1139">
        <v>11482</v>
      </c>
      <c r="I68" s="622">
        <f t="shared" si="1"/>
        <v>0.82941015600397761</v>
      </c>
      <c r="J68" s="619">
        <v>2019</v>
      </c>
      <c r="K68" s="702"/>
      <c r="L68" s="31"/>
      <c r="M68" s="31"/>
      <c r="N68" s="31"/>
      <c r="O68" s="31"/>
      <c r="P68" s="31"/>
      <c r="Q68" s="31"/>
      <c r="R68" s="31"/>
      <c r="S68" s="31"/>
    </row>
    <row r="69" spans="1:19" ht="19.5" thickBot="1" x14ac:dyDescent="0.35">
      <c r="A69" s="1144" t="s">
        <v>161</v>
      </c>
      <c r="B69" s="1157">
        <v>23</v>
      </c>
      <c r="C69" s="1157">
        <v>3</v>
      </c>
      <c r="D69" s="457">
        <v>4</v>
      </c>
      <c r="E69" s="624">
        <v>22.146472718999998</v>
      </c>
      <c r="F69" s="311">
        <v>123</v>
      </c>
      <c r="G69" s="1137">
        <f t="shared" si="0"/>
        <v>0.1800526237317073</v>
      </c>
      <c r="H69" s="1139">
        <v>66</v>
      </c>
      <c r="I69" s="622">
        <f t="shared" si="1"/>
        <v>0.33555261695454541</v>
      </c>
      <c r="J69" s="619">
        <v>2017</v>
      </c>
      <c r="K69" s="702"/>
      <c r="L69" s="31"/>
      <c r="M69" s="31"/>
      <c r="N69" s="31"/>
      <c r="O69" s="31"/>
      <c r="P69" s="31"/>
      <c r="Q69" s="31"/>
      <c r="R69" s="31"/>
      <c r="S69" s="31"/>
    </row>
    <row r="70" spans="1:19" ht="19.5" thickBot="1" x14ac:dyDescent="0.35">
      <c r="A70" s="1146" t="s">
        <v>359</v>
      </c>
      <c r="B70" s="1157">
        <v>41</v>
      </c>
      <c r="C70" s="1157">
        <v>2</v>
      </c>
      <c r="D70" s="1105">
        <v>-2</v>
      </c>
      <c r="E70" s="1037">
        <v>24.128705737000001</v>
      </c>
      <c r="F70" s="1004">
        <v>193.29499999999999</v>
      </c>
      <c r="G70" s="1137">
        <f t="shared" si="0"/>
        <v>0.1248284008225769</v>
      </c>
      <c r="H70" s="1140">
        <v>150.3835</v>
      </c>
      <c r="I70" s="622">
        <f t="shared" si="1"/>
        <v>0.16044782663656584</v>
      </c>
      <c r="J70" s="1039"/>
      <c r="K70" s="702"/>
      <c r="L70" s="31"/>
      <c r="M70" s="31"/>
      <c r="N70" s="31"/>
      <c r="O70" s="31"/>
      <c r="P70" s="31"/>
      <c r="Q70" s="31"/>
      <c r="R70" s="31"/>
      <c r="S70" s="31"/>
    </row>
    <row r="71" spans="1:19" ht="19.5" thickBot="1" x14ac:dyDescent="0.35">
      <c r="A71" s="1147" t="s">
        <v>162</v>
      </c>
      <c r="B71" s="1157">
        <v>15</v>
      </c>
      <c r="C71" s="1157">
        <v>5</v>
      </c>
      <c r="D71" s="1154">
        <v>0</v>
      </c>
      <c r="E71" s="625">
        <v>3714.0424060649998</v>
      </c>
      <c r="F71" s="691">
        <v>7154.4391999999998</v>
      </c>
      <c r="G71" s="1137">
        <f t="shared" si="0"/>
        <v>0.51912418321550624</v>
      </c>
      <c r="H71" s="1141">
        <v>6388.1337000000003</v>
      </c>
      <c r="I71" s="622">
        <f t="shared" si="1"/>
        <v>0.58139709976092069</v>
      </c>
      <c r="J71" s="620">
        <v>2017</v>
      </c>
      <c r="K71" s="702"/>
      <c r="L71" s="31"/>
      <c r="M71" s="31"/>
      <c r="N71" s="31"/>
      <c r="O71" s="31"/>
      <c r="P71" s="31"/>
      <c r="Q71" s="31"/>
      <c r="R71" s="31"/>
      <c r="S71" s="31"/>
    </row>
    <row r="74" spans="1:19" x14ac:dyDescent="0.3">
      <c r="H74" s="1" t="s">
        <v>255</v>
      </c>
    </row>
    <row r="75" spans="1:19" x14ac:dyDescent="0.3">
      <c r="H75" s="1" t="s">
        <v>254</v>
      </c>
    </row>
    <row r="76" spans="1:19" x14ac:dyDescent="0.3">
      <c r="H76" s="1" t="s">
        <v>250</v>
      </c>
    </row>
    <row r="77" spans="1:19" x14ac:dyDescent="0.3">
      <c r="H77" s="1" t="s">
        <v>251</v>
      </c>
    </row>
    <row r="78" spans="1:19" x14ac:dyDescent="0.3">
      <c r="H78" s="1" t="s">
        <v>252</v>
      </c>
    </row>
    <row r="79" spans="1:19" x14ac:dyDescent="0.3">
      <c r="H79" s="1" t="s">
        <v>253</v>
      </c>
    </row>
  </sheetData>
  <sortState ref="A6:R62">
    <sortCondition ref="A6"/>
  </sortState>
  <mergeCells count="1">
    <mergeCell ref="J5:J6"/>
  </mergeCells>
  <conditionalFormatting sqref="H7:H71">
    <cfRule type="colorScale" priority="4">
      <colorScale>
        <cfvo type="min"/>
        <cfvo type="max"/>
        <color theme="0"/>
        <color theme="0"/>
      </colorScale>
    </cfRule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I7:I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1FF"/>
  </sheetPr>
  <dimension ref="A1:AB83"/>
  <sheetViews>
    <sheetView zoomScaleNormal="100" workbookViewId="0">
      <pane xSplit="4" ySplit="7" topLeftCell="E8" activePane="bottomRight" state="frozen"/>
      <selection activeCell="F52" sqref="F52"/>
      <selection pane="topRight" activeCell="F52" sqref="F52"/>
      <selection pane="bottomLeft" activeCell="F52" sqref="F52"/>
      <selection pane="bottomRight" activeCell="S7" sqref="S7"/>
    </sheetView>
  </sheetViews>
  <sheetFormatPr defaultColWidth="9.140625" defaultRowHeight="18.75" x14ac:dyDescent="0.3"/>
  <cols>
    <col min="1" max="1" width="35.140625" style="863" customWidth="1"/>
    <col min="2" max="2" width="7.28515625" style="12" customWidth="1"/>
    <col min="3" max="3" width="5.85546875" style="22" customWidth="1"/>
    <col min="4" max="4" width="6.28515625" style="866" customWidth="1"/>
    <col min="5" max="5" width="8.7109375" style="707" customWidth="1"/>
    <col min="6" max="6" width="8.5703125" style="712" customWidth="1"/>
    <col min="7" max="7" width="11.28515625" style="712" customWidth="1"/>
    <col min="8" max="9" width="9.5703125" style="712" customWidth="1"/>
    <col min="10" max="10" width="13.28515625" style="712" customWidth="1"/>
    <col min="11" max="11" width="10.28515625" style="712" customWidth="1"/>
    <col min="12" max="12" width="10.42578125" style="864" customWidth="1"/>
    <col min="13" max="13" width="8.7109375" style="865" customWidth="1"/>
    <col min="14" max="14" width="13.42578125" style="712" customWidth="1"/>
    <col min="15" max="15" width="10.7109375" style="712" customWidth="1"/>
    <col min="16" max="16" width="10.28515625" style="865" customWidth="1"/>
    <col min="17" max="17" width="8.28515625" style="712" customWidth="1"/>
    <col min="18" max="18" width="11.42578125" style="712" customWidth="1"/>
    <col min="19" max="19" width="7.42578125" style="712" customWidth="1"/>
    <col min="20" max="20" width="10.42578125" style="712" customWidth="1"/>
    <col min="21" max="21" width="9.28515625" style="712" customWidth="1"/>
    <col min="22" max="22" width="2.85546875" style="712" customWidth="1"/>
    <col min="23" max="23" width="26.7109375" style="747" bestFit="1" customWidth="1"/>
    <col min="24" max="16384" width="9.140625" style="712"/>
  </cols>
  <sheetData>
    <row r="1" spans="1:28" x14ac:dyDescent="0.3">
      <c r="A1" s="706" t="s">
        <v>440</v>
      </c>
      <c r="B1" s="142"/>
      <c r="C1" s="398"/>
      <c r="D1" s="359"/>
      <c r="F1" s="708"/>
      <c r="G1" s="708"/>
      <c r="H1" s="708"/>
      <c r="I1" s="708"/>
      <c r="J1" s="708"/>
      <c r="K1" s="708"/>
      <c r="L1" s="709"/>
      <c r="M1" s="710"/>
      <c r="N1" s="708"/>
      <c r="O1" s="708"/>
      <c r="P1" s="710"/>
      <c r="Q1" s="708"/>
      <c r="R1" s="708"/>
      <c r="S1" s="708"/>
      <c r="T1" s="708"/>
      <c r="U1" s="708"/>
      <c r="V1" s="708"/>
      <c r="W1" s="711"/>
      <c r="X1" s="708"/>
      <c r="Y1" s="708"/>
      <c r="AB1" s="713" t="s">
        <v>293</v>
      </c>
    </row>
    <row r="2" spans="1:28" s="723" customFormat="1" ht="18.600000000000001" customHeight="1" x14ac:dyDescent="0.25">
      <c r="A2" s="714" t="s">
        <v>294</v>
      </c>
      <c r="B2" s="715"/>
      <c r="C2" s="716"/>
      <c r="D2" s="717"/>
      <c r="E2" s="718"/>
      <c r="F2" s="719"/>
      <c r="G2" s="719"/>
      <c r="H2" s="719"/>
      <c r="I2" s="719"/>
      <c r="J2" s="719"/>
      <c r="K2" s="719"/>
      <c r="L2" s="720"/>
      <c r="M2" s="721"/>
      <c r="N2" s="719"/>
      <c r="O2" s="719"/>
      <c r="P2" s="721"/>
      <c r="Q2" s="719"/>
      <c r="R2" s="719"/>
      <c r="S2" s="719"/>
      <c r="T2" s="719"/>
      <c r="U2" s="719"/>
      <c r="V2" s="719"/>
      <c r="W2" s="722"/>
      <c r="X2" s="719"/>
      <c r="Y2" s="719"/>
    </row>
    <row r="3" spans="1:28" ht="19.5" thickBot="1" x14ac:dyDescent="0.35">
      <c r="A3" s="724"/>
      <c r="B3" s="725" t="s">
        <v>295</v>
      </c>
      <c r="C3" s="726"/>
      <c r="D3" s="725"/>
      <c r="E3" s="726"/>
      <c r="F3" s="727" t="s">
        <v>296</v>
      </c>
      <c r="G3" s="728"/>
      <c r="H3" s="729"/>
      <c r="I3" s="728"/>
      <c r="J3" s="728"/>
      <c r="K3" s="728"/>
      <c r="L3" s="730"/>
      <c r="M3" s="731" t="s">
        <v>297</v>
      </c>
      <c r="N3" s="732"/>
      <c r="O3" s="732"/>
      <c r="P3" s="733"/>
      <c r="Q3" s="734" t="s">
        <v>448</v>
      </c>
      <c r="R3" s="735"/>
      <c r="S3" s="735"/>
      <c r="T3" s="735"/>
      <c r="U3" s="736"/>
      <c r="V3" s="708"/>
      <c r="W3" s="711"/>
      <c r="X3" s="708"/>
      <c r="Y3" s="708"/>
    </row>
    <row r="4" spans="1:28" s="747" customFormat="1" ht="15.75" x14ac:dyDescent="0.25">
      <c r="A4" s="737"/>
      <c r="B4" s="149"/>
      <c r="C4" s="738"/>
      <c r="D4" s="739"/>
      <c r="E4" s="740"/>
      <c r="F4" s="741"/>
      <c r="G4" s="867" t="s">
        <v>308</v>
      </c>
      <c r="H4" s="741"/>
      <c r="I4" s="741"/>
      <c r="J4" s="741"/>
      <c r="K4" s="741"/>
      <c r="L4" s="742" t="s">
        <v>54</v>
      </c>
      <c r="M4" s="743"/>
      <c r="N4" s="743"/>
      <c r="O4" s="743"/>
      <c r="P4" s="744" t="s">
        <v>54</v>
      </c>
      <c r="Q4" s="745"/>
      <c r="R4" s="745"/>
      <c r="S4" s="745"/>
      <c r="T4" s="745"/>
      <c r="U4" s="746"/>
      <c r="V4" s="711"/>
      <c r="W4" s="711"/>
      <c r="X4" s="711"/>
      <c r="Y4" s="711"/>
    </row>
    <row r="5" spans="1:28" s="747" customFormat="1" ht="15.75" x14ac:dyDescent="0.25">
      <c r="A5" s="748"/>
      <c r="B5" s="417" t="s">
        <v>53</v>
      </c>
      <c r="C5" s="749"/>
      <c r="D5" s="739"/>
      <c r="E5" s="740"/>
      <c r="F5" s="750"/>
      <c r="G5" s="868" t="s">
        <v>309</v>
      </c>
      <c r="H5" s="750"/>
      <c r="I5" s="750"/>
      <c r="J5" s="741"/>
      <c r="K5" s="741"/>
      <c r="L5" s="751" t="s">
        <v>298</v>
      </c>
      <c r="M5" s="752"/>
      <c r="N5" s="743"/>
      <c r="O5" s="743"/>
      <c r="P5" s="753" t="s">
        <v>298</v>
      </c>
      <c r="Q5" s="745"/>
      <c r="R5" s="745"/>
      <c r="S5" s="745"/>
      <c r="T5" s="745"/>
      <c r="U5" s="746"/>
      <c r="V5" s="711"/>
      <c r="W5" s="711"/>
      <c r="X5" s="711"/>
      <c r="Y5" s="711"/>
    </row>
    <row r="6" spans="1:28" s="747" customFormat="1" ht="16.5" thickBot="1" x14ac:dyDescent="0.3">
      <c r="A6" s="748"/>
      <c r="B6" s="415" t="s">
        <v>57</v>
      </c>
      <c r="C6" s="754"/>
      <c r="D6" s="755"/>
      <c r="E6" s="756"/>
      <c r="F6" s="757"/>
      <c r="G6" s="869" t="s">
        <v>310</v>
      </c>
      <c r="H6" s="758" t="s">
        <v>299</v>
      </c>
      <c r="I6" s="759"/>
      <c r="J6" s="760"/>
      <c r="K6" s="761"/>
      <c r="L6" s="762">
        <v>0.18</v>
      </c>
      <c r="M6" s="763"/>
      <c r="N6" s="764"/>
      <c r="O6" s="764"/>
      <c r="P6" s="765">
        <v>0.05</v>
      </c>
      <c r="Q6" s="766"/>
      <c r="R6" s="767"/>
      <c r="S6" s="767"/>
      <c r="T6" s="767"/>
      <c r="U6" s="768"/>
      <c r="V6" s="711"/>
      <c r="W6" s="711"/>
      <c r="X6" s="711"/>
      <c r="Y6" s="711"/>
    </row>
    <row r="7" spans="1:28" s="747" customFormat="1" ht="72" customHeight="1" thickBot="1" x14ac:dyDescent="0.3">
      <c r="A7" s="769" t="s">
        <v>4</v>
      </c>
      <c r="B7" s="770" t="s">
        <v>210</v>
      </c>
      <c r="C7" s="771" t="s">
        <v>224</v>
      </c>
      <c r="D7" s="772" t="s">
        <v>3</v>
      </c>
      <c r="E7" s="773" t="s">
        <v>300</v>
      </c>
      <c r="F7" s="774" t="s">
        <v>449</v>
      </c>
      <c r="G7" s="775" t="s">
        <v>442</v>
      </c>
      <c r="H7" s="776" t="s">
        <v>441</v>
      </c>
      <c r="I7" s="777" t="s">
        <v>443</v>
      </c>
      <c r="J7" s="778" t="s">
        <v>450</v>
      </c>
      <c r="K7" s="779" t="s">
        <v>444</v>
      </c>
      <c r="L7" s="780" t="s">
        <v>301</v>
      </c>
      <c r="M7" s="781" t="s">
        <v>445</v>
      </c>
      <c r="N7" s="782" t="s">
        <v>446</v>
      </c>
      <c r="O7" s="782" t="s">
        <v>447</v>
      </c>
      <c r="P7" s="783" t="s">
        <v>301</v>
      </c>
      <c r="Q7" s="784" t="s">
        <v>302</v>
      </c>
      <c r="R7" s="785" t="s">
        <v>451</v>
      </c>
      <c r="S7" s="786" t="s">
        <v>303</v>
      </c>
      <c r="T7" s="785" t="s">
        <v>452</v>
      </c>
      <c r="U7" s="787" t="s">
        <v>453</v>
      </c>
      <c r="V7" s="788"/>
      <c r="W7" s="789" t="s">
        <v>234</v>
      </c>
      <c r="X7" s="711"/>
      <c r="Y7" s="711"/>
    </row>
    <row r="8" spans="1:28" s="747" customFormat="1" ht="17.25" x14ac:dyDescent="0.3">
      <c r="A8" s="978" t="s">
        <v>10</v>
      </c>
      <c r="B8" s="419">
        <v>2017</v>
      </c>
      <c r="C8" s="979" t="s">
        <v>219</v>
      </c>
      <c r="D8" s="790">
        <f>'Factor Summary'!B8</f>
        <v>56</v>
      </c>
      <c r="E8" s="740">
        <f>'Factor Summary'!C8</f>
        <v>1.664909166882083</v>
      </c>
      <c r="F8" s="791">
        <f>'Assess Freq'!U7</f>
        <v>1</v>
      </c>
      <c r="G8" s="792"/>
      <c r="H8" s="793"/>
      <c r="I8" s="982"/>
      <c r="J8" s="794">
        <f>IF(G8="X",-2,I8)</f>
        <v>0</v>
      </c>
      <c r="K8" s="795">
        <f t="shared" ref="K8:K41" si="0">J8-F8</f>
        <v>-1</v>
      </c>
      <c r="L8" s="796">
        <f t="shared" ref="L8:L41" si="1">K8*L$6</f>
        <v>-0.18</v>
      </c>
      <c r="M8" s="797"/>
      <c r="N8" s="798">
        <f t="shared" ref="N8:N41" si="2">IF(G8="X",0,M8)</f>
        <v>0</v>
      </c>
      <c r="O8" s="798">
        <f t="shared" ref="O8:O41" si="3">IF(G8="X",N8-M8,0)</f>
        <v>0</v>
      </c>
      <c r="P8" s="799">
        <f t="shared" ref="P8:P41" si="4">O8*P$6</f>
        <v>0</v>
      </c>
      <c r="Q8" s="800">
        <f t="shared" ref="Q8:Q41" si="5">E8+L8+P8</f>
        <v>1.4849091668820831</v>
      </c>
      <c r="R8" s="801">
        <f t="shared" ref="R8:R41" si="6">Q8-E8</f>
        <v>-0.17999999999999994</v>
      </c>
      <c r="S8" s="802">
        <f t="shared" ref="S8:S41" si="7">RANK(Q8,Q$8:Q$72)</f>
        <v>39</v>
      </c>
      <c r="T8" s="803">
        <f t="shared" ref="T8:T41" si="8">D8-S8</f>
        <v>17</v>
      </c>
      <c r="U8" s="804" t="str">
        <f t="shared" ref="U8:U41" si="9">IF(G8="X",AB$1," ")</f>
        <v xml:space="preserve"> </v>
      </c>
      <c r="V8" s="805"/>
      <c r="W8" s="806"/>
      <c r="X8" s="711"/>
      <c r="Y8" s="711"/>
    </row>
    <row r="9" spans="1:28" s="747" customFormat="1" ht="17.25" x14ac:dyDescent="0.3">
      <c r="A9" s="572" t="s">
        <v>156</v>
      </c>
      <c r="B9" s="418">
        <v>2013</v>
      </c>
      <c r="C9" s="807" t="s">
        <v>218</v>
      </c>
      <c r="D9" s="790">
        <f>'Factor Summary'!B9</f>
        <v>64</v>
      </c>
      <c r="E9" s="740">
        <f>'Factor Summary'!C9</f>
        <v>1.1749257363819574</v>
      </c>
      <c r="F9" s="791">
        <f>'Assess Freq'!U8</f>
        <v>1</v>
      </c>
      <c r="G9" s="808"/>
      <c r="H9" s="809"/>
      <c r="I9" s="810"/>
      <c r="J9" s="811">
        <f t="shared" ref="J8:J41" si="10">IF(G9="X",-2,I9)</f>
        <v>0</v>
      </c>
      <c r="K9" s="812">
        <f t="shared" si="0"/>
        <v>-1</v>
      </c>
      <c r="L9" s="813">
        <f t="shared" si="1"/>
        <v>-0.18</v>
      </c>
      <c r="M9" s="814"/>
      <c r="N9" s="815">
        <f t="shared" si="2"/>
        <v>0</v>
      </c>
      <c r="O9" s="815">
        <f t="shared" si="3"/>
        <v>0</v>
      </c>
      <c r="P9" s="816">
        <f t="shared" si="4"/>
        <v>0</v>
      </c>
      <c r="Q9" s="817">
        <f t="shared" si="5"/>
        <v>0.99492573638195747</v>
      </c>
      <c r="R9" s="818">
        <f t="shared" si="6"/>
        <v>-0.17999999999999994</v>
      </c>
      <c r="S9" s="802">
        <f t="shared" si="7"/>
        <v>53</v>
      </c>
      <c r="T9" s="803">
        <f t="shared" si="8"/>
        <v>11</v>
      </c>
      <c r="U9" s="819" t="str">
        <f t="shared" si="9"/>
        <v xml:space="preserve"> </v>
      </c>
      <c r="V9" s="805"/>
      <c r="W9" s="820"/>
      <c r="X9" s="711"/>
      <c r="Y9" s="711"/>
    </row>
    <row r="10" spans="1:28" s="747" customFormat="1" ht="17.25" x14ac:dyDescent="0.3">
      <c r="A10" s="572" t="s">
        <v>102</v>
      </c>
      <c r="B10" s="418"/>
      <c r="C10" s="821" t="s">
        <v>226</v>
      </c>
      <c r="D10" s="790">
        <f>'Factor Summary'!B10</f>
        <v>35</v>
      </c>
      <c r="E10" s="740">
        <f>'Factor Summary'!C10</f>
        <v>2.0532363697503406</v>
      </c>
      <c r="F10" s="791">
        <f>'Assess Freq'!U9</f>
        <v>3</v>
      </c>
      <c r="G10" s="808"/>
      <c r="H10" s="809"/>
      <c r="I10" s="822"/>
      <c r="J10" s="811">
        <f t="shared" si="10"/>
        <v>0</v>
      </c>
      <c r="K10" s="823">
        <f t="shared" si="0"/>
        <v>-3</v>
      </c>
      <c r="L10" s="824">
        <f t="shared" si="1"/>
        <v>-0.54</v>
      </c>
      <c r="M10" s="825"/>
      <c r="N10" s="826">
        <f t="shared" si="2"/>
        <v>0</v>
      </c>
      <c r="O10" s="826">
        <f t="shared" si="3"/>
        <v>0</v>
      </c>
      <c r="P10" s="827">
        <f t="shared" si="4"/>
        <v>0</v>
      </c>
      <c r="Q10" s="828">
        <f t="shared" si="5"/>
        <v>1.5132363697503406</v>
      </c>
      <c r="R10" s="829">
        <f t="shared" si="6"/>
        <v>-0.54</v>
      </c>
      <c r="S10" s="802">
        <f t="shared" si="7"/>
        <v>36</v>
      </c>
      <c r="T10" s="830">
        <f t="shared" si="8"/>
        <v>-1</v>
      </c>
      <c r="U10" s="831" t="str">
        <f t="shared" si="9"/>
        <v xml:space="preserve"> </v>
      </c>
      <c r="V10" s="805"/>
      <c r="W10" s="832" t="s">
        <v>229</v>
      </c>
      <c r="X10" s="711"/>
      <c r="Y10" s="711"/>
    </row>
    <row r="11" spans="1:28" s="747" customFormat="1" ht="17.25" x14ac:dyDescent="0.3">
      <c r="A11" s="572" t="s">
        <v>103</v>
      </c>
      <c r="B11" s="418">
        <v>2019</v>
      </c>
      <c r="C11" s="807" t="s">
        <v>218</v>
      </c>
      <c r="D11" s="790">
        <f>'Factor Summary'!B11</f>
        <v>58</v>
      </c>
      <c r="E11" s="740">
        <f>'Factor Summary'!C11</f>
        <v>1.5203724949038053</v>
      </c>
      <c r="F11" s="791">
        <f>'Assess Freq'!U10</f>
        <v>0</v>
      </c>
      <c r="G11" s="833"/>
      <c r="H11" s="809"/>
      <c r="I11" s="822"/>
      <c r="J11" s="811">
        <f t="shared" si="10"/>
        <v>0</v>
      </c>
      <c r="K11" s="823">
        <f t="shared" si="0"/>
        <v>0</v>
      </c>
      <c r="L11" s="824">
        <f t="shared" si="1"/>
        <v>0</v>
      </c>
      <c r="M11" s="825"/>
      <c r="N11" s="826">
        <f t="shared" si="2"/>
        <v>0</v>
      </c>
      <c r="O11" s="826">
        <f t="shared" si="3"/>
        <v>0</v>
      </c>
      <c r="P11" s="827">
        <f t="shared" si="4"/>
        <v>0</v>
      </c>
      <c r="Q11" s="828">
        <f t="shared" si="5"/>
        <v>1.5203724949038053</v>
      </c>
      <c r="R11" s="829">
        <f t="shared" si="6"/>
        <v>0</v>
      </c>
      <c r="S11" s="802">
        <f t="shared" si="7"/>
        <v>34</v>
      </c>
      <c r="T11" s="830">
        <f t="shared" si="8"/>
        <v>24</v>
      </c>
      <c r="U11" s="831" t="str">
        <f t="shared" si="9"/>
        <v xml:space="preserve"> </v>
      </c>
      <c r="V11" s="805"/>
      <c r="W11" s="820" t="s">
        <v>230</v>
      </c>
      <c r="X11" s="711"/>
      <c r="Y11" s="711"/>
    </row>
    <row r="12" spans="1:28" s="747" customFormat="1" ht="18" thickBot="1" x14ac:dyDescent="0.35">
      <c r="A12" s="573" t="s">
        <v>5</v>
      </c>
      <c r="B12" s="418">
        <v>2015</v>
      </c>
      <c r="C12" s="807" t="s">
        <v>218</v>
      </c>
      <c r="D12" s="790">
        <f>'Factor Summary'!B12</f>
        <v>2</v>
      </c>
      <c r="E12" s="740">
        <f>'Factor Summary'!C12</f>
        <v>3.385225450690875</v>
      </c>
      <c r="F12" s="791">
        <f>'Assess Freq'!U11</f>
        <v>3</v>
      </c>
      <c r="G12" s="808"/>
      <c r="H12" s="809"/>
      <c r="I12" s="834"/>
      <c r="J12" s="811">
        <f t="shared" si="10"/>
        <v>0</v>
      </c>
      <c r="K12" s="823">
        <f t="shared" si="0"/>
        <v>-3</v>
      </c>
      <c r="L12" s="824">
        <f t="shared" si="1"/>
        <v>-0.54</v>
      </c>
      <c r="M12" s="825"/>
      <c r="N12" s="826">
        <f t="shared" si="2"/>
        <v>0</v>
      </c>
      <c r="O12" s="826">
        <f t="shared" si="3"/>
        <v>0</v>
      </c>
      <c r="P12" s="827">
        <f t="shared" si="4"/>
        <v>0</v>
      </c>
      <c r="Q12" s="828">
        <f t="shared" si="5"/>
        <v>2.845225450690875</v>
      </c>
      <c r="R12" s="829">
        <f t="shared" si="6"/>
        <v>-0.54</v>
      </c>
      <c r="S12" s="802">
        <f t="shared" si="7"/>
        <v>5</v>
      </c>
      <c r="T12" s="830">
        <f t="shared" si="8"/>
        <v>-3</v>
      </c>
      <c r="U12" s="831" t="str">
        <f t="shared" si="9"/>
        <v xml:space="preserve"> </v>
      </c>
      <c r="V12" s="805"/>
      <c r="W12" s="835" t="s">
        <v>228</v>
      </c>
      <c r="X12" s="711"/>
      <c r="Y12" s="711"/>
    </row>
    <row r="13" spans="1:28" s="747" customFormat="1" ht="17.25" x14ac:dyDescent="0.3">
      <c r="A13" s="572" t="s">
        <v>157</v>
      </c>
      <c r="B13" s="418">
        <v>2017</v>
      </c>
      <c r="C13" s="836" t="s">
        <v>219</v>
      </c>
      <c r="D13" s="790">
        <f>'Factor Summary'!B13</f>
        <v>60</v>
      </c>
      <c r="E13" s="740">
        <f>'Factor Summary'!C13</f>
        <v>1.4429721705469325</v>
      </c>
      <c r="F13" s="791">
        <f>'Assess Freq'!U12</f>
        <v>0</v>
      </c>
      <c r="G13" s="981"/>
      <c r="H13" s="809"/>
      <c r="I13" s="834"/>
      <c r="J13" s="811">
        <f t="shared" si="10"/>
        <v>0</v>
      </c>
      <c r="K13" s="823">
        <f t="shared" si="0"/>
        <v>0</v>
      </c>
      <c r="L13" s="824">
        <f t="shared" si="1"/>
        <v>0</v>
      </c>
      <c r="M13" s="825"/>
      <c r="N13" s="826">
        <f t="shared" si="2"/>
        <v>0</v>
      </c>
      <c r="O13" s="826">
        <f t="shared" si="3"/>
        <v>0</v>
      </c>
      <c r="P13" s="827">
        <f t="shared" si="4"/>
        <v>0</v>
      </c>
      <c r="Q13" s="828">
        <f t="shared" si="5"/>
        <v>1.4429721705469325</v>
      </c>
      <c r="R13" s="829">
        <f t="shared" si="6"/>
        <v>0</v>
      </c>
      <c r="S13" s="802">
        <f t="shared" si="7"/>
        <v>42</v>
      </c>
      <c r="T13" s="830">
        <f t="shared" si="8"/>
        <v>18</v>
      </c>
      <c r="U13" s="831" t="str">
        <f t="shared" si="9"/>
        <v xml:space="preserve"> </v>
      </c>
      <c r="V13" s="805"/>
      <c r="W13" s="832"/>
      <c r="X13" s="711"/>
      <c r="Y13" s="711"/>
    </row>
    <row r="14" spans="1:28" s="747" customFormat="1" ht="17.25" x14ac:dyDescent="0.3">
      <c r="A14" s="572" t="s">
        <v>247</v>
      </c>
      <c r="B14" s="418">
        <v>2017</v>
      </c>
      <c r="C14" s="807" t="s">
        <v>218</v>
      </c>
      <c r="D14" s="790">
        <f>'Factor Summary'!B14</f>
        <v>13</v>
      </c>
      <c r="E14" s="740">
        <f>'Factor Summary'!C14</f>
        <v>2.5602474188637734</v>
      </c>
      <c r="F14" s="791">
        <f>'Assess Freq'!U13</f>
        <v>0</v>
      </c>
      <c r="G14" s="837"/>
      <c r="H14" s="809"/>
      <c r="I14" s="834"/>
      <c r="J14" s="811">
        <f t="shared" si="10"/>
        <v>0</v>
      </c>
      <c r="K14" s="823">
        <f t="shared" si="0"/>
        <v>0</v>
      </c>
      <c r="L14" s="824">
        <f t="shared" si="1"/>
        <v>0</v>
      </c>
      <c r="M14" s="825"/>
      <c r="N14" s="826">
        <f t="shared" si="2"/>
        <v>0</v>
      </c>
      <c r="O14" s="826">
        <f t="shared" si="3"/>
        <v>0</v>
      </c>
      <c r="P14" s="827">
        <f t="shared" si="4"/>
        <v>0</v>
      </c>
      <c r="Q14" s="828">
        <f t="shared" si="5"/>
        <v>2.5602474188637734</v>
      </c>
      <c r="R14" s="829">
        <f t="shared" si="6"/>
        <v>0</v>
      </c>
      <c r="S14" s="802">
        <f t="shared" si="7"/>
        <v>9</v>
      </c>
      <c r="T14" s="830">
        <f t="shared" si="8"/>
        <v>4</v>
      </c>
      <c r="U14" s="831" t="str">
        <f t="shared" si="9"/>
        <v xml:space="preserve"> </v>
      </c>
      <c r="V14" s="805"/>
      <c r="W14" s="820"/>
      <c r="X14" s="711"/>
      <c r="Y14" s="711"/>
    </row>
    <row r="15" spans="1:28" s="747" customFormat="1" ht="17.25" x14ac:dyDescent="0.3">
      <c r="A15" s="573" t="s">
        <v>94</v>
      </c>
      <c r="B15" s="418">
        <v>2017</v>
      </c>
      <c r="C15" s="836" t="s">
        <v>219</v>
      </c>
      <c r="D15" s="790">
        <f>'Factor Summary'!B15</f>
        <v>7</v>
      </c>
      <c r="E15" s="740">
        <f>'Factor Summary'!C15</f>
        <v>2.6576166983076086</v>
      </c>
      <c r="F15" s="791">
        <f>'Assess Freq'!U14</f>
        <v>3</v>
      </c>
      <c r="G15" s="837"/>
      <c r="H15" s="809"/>
      <c r="I15" s="834"/>
      <c r="J15" s="811">
        <f t="shared" si="10"/>
        <v>0</v>
      </c>
      <c r="K15" s="823">
        <f t="shared" si="0"/>
        <v>-3</v>
      </c>
      <c r="L15" s="824">
        <f t="shared" si="1"/>
        <v>-0.54</v>
      </c>
      <c r="M15" s="825"/>
      <c r="N15" s="826">
        <f t="shared" si="2"/>
        <v>0</v>
      </c>
      <c r="O15" s="826">
        <f t="shared" si="3"/>
        <v>0</v>
      </c>
      <c r="P15" s="827">
        <f t="shared" si="4"/>
        <v>0</v>
      </c>
      <c r="Q15" s="828">
        <f t="shared" si="5"/>
        <v>2.1176166983076086</v>
      </c>
      <c r="R15" s="829">
        <f t="shared" si="6"/>
        <v>-0.54</v>
      </c>
      <c r="S15" s="802">
        <f t="shared" si="7"/>
        <v>17</v>
      </c>
      <c r="T15" s="830">
        <f t="shared" si="8"/>
        <v>-10</v>
      </c>
      <c r="U15" s="831" t="str">
        <f t="shared" si="9"/>
        <v xml:space="preserve"> </v>
      </c>
      <c r="V15" s="805"/>
      <c r="W15" s="820"/>
      <c r="X15" s="711"/>
      <c r="Y15" s="711"/>
    </row>
    <row r="16" spans="1:28" s="747" customFormat="1" ht="17.25" x14ac:dyDescent="0.3">
      <c r="A16" s="572" t="s">
        <v>104</v>
      </c>
      <c r="B16" s="418">
        <v>2013</v>
      </c>
      <c r="C16" s="838" t="s">
        <v>225</v>
      </c>
      <c r="D16" s="790">
        <f>'Factor Summary'!B16</f>
        <v>4</v>
      </c>
      <c r="E16" s="740">
        <f>'Factor Summary'!C16</f>
        <v>2.8856691449673542</v>
      </c>
      <c r="F16" s="791">
        <f>'Assess Freq'!U15</f>
        <v>3</v>
      </c>
      <c r="G16" s="808"/>
      <c r="H16" s="809"/>
      <c r="I16" s="822"/>
      <c r="J16" s="811">
        <f t="shared" si="10"/>
        <v>0</v>
      </c>
      <c r="K16" s="823">
        <f t="shared" si="0"/>
        <v>-3</v>
      </c>
      <c r="L16" s="824">
        <f t="shared" si="1"/>
        <v>-0.54</v>
      </c>
      <c r="M16" s="825"/>
      <c r="N16" s="826">
        <f t="shared" si="2"/>
        <v>0</v>
      </c>
      <c r="O16" s="826">
        <f t="shared" si="3"/>
        <v>0</v>
      </c>
      <c r="P16" s="827">
        <f t="shared" si="4"/>
        <v>0</v>
      </c>
      <c r="Q16" s="828">
        <f t="shared" si="5"/>
        <v>2.3456691449673541</v>
      </c>
      <c r="R16" s="829">
        <f t="shared" si="6"/>
        <v>-0.54</v>
      </c>
      <c r="S16" s="802">
        <f t="shared" si="7"/>
        <v>11</v>
      </c>
      <c r="T16" s="830">
        <f t="shared" si="8"/>
        <v>-7</v>
      </c>
      <c r="U16" s="831" t="str">
        <f t="shared" si="9"/>
        <v xml:space="preserve"> </v>
      </c>
      <c r="V16" s="805"/>
      <c r="W16" s="839" t="s">
        <v>227</v>
      </c>
      <c r="X16" s="711"/>
      <c r="Y16" s="711"/>
    </row>
    <row r="17" spans="1:25" s="747" customFormat="1" ht="18" thickBot="1" x14ac:dyDescent="0.35">
      <c r="A17" s="572" t="s">
        <v>9</v>
      </c>
      <c r="B17" s="418">
        <v>2019</v>
      </c>
      <c r="C17" s="807" t="s">
        <v>218</v>
      </c>
      <c r="D17" s="790">
        <f>'Factor Summary'!B17</f>
        <v>32</v>
      </c>
      <c r="E17" s="740">
        <f>'Factor Summary'!C17</f>
        <v>2.1598617807421943</v>
      </c>
      <c r="F17" s="791">
        <f>'Assess Freq'!U16</f>
        <v>0</v>
      </c>
      <c r="G17" s="833"/>
      <c r="H17" s="809"/>
      <c r="I17" s="834"/>
      <c r="J17" s="811">
        <f t="shared" si="10"/>
        <v>0</v>
      </c>
      <c r="K17" s="823">
        <f t="shared" si="0"/>
        <v>0</v>
      </c>
      <c r="L17" s="824">
        <f t="shared" si="1"/>
        <v>0</v>
      </c>
      <c r="M17" s="825"/>
      <c r="N17" s="826">
        <f t="shared" si="2"/>
        <v>0</v>
      </c>
      <c r="O17" s="826">
        <f t="shared" si="3"/>
        <v>0</v>
      </c>
      <c r="P17" s="827">
        <f t="shared" si="4"/>
        <v>0</v>
      </c>
      <c r="Q17" s="828">
        <f t="shared" si="5"/>
        <v>2.1598617807421943</v>
      </c>
      <c r="R17" s="829">
        <f t="shared" si="6"/>
        <v>0</v>
      </c>
      <c r="S17" s="802">
        <f t="shared" si="7"/>
        <v>16</v>
      </c>
      <c r="T17" s="830">
        <f t="shared" si="8"/>
        <v>16</v>
      </c>
      <c r="U17" s="831" t="str">
        <f t="shared" si="9"/>
        <v xml:space="preserve"> </v>
      </c>
      <c r="V17" s="805"/>
      <c r="W17" s="835" t="s">
        <v>244</v>
      </c>
      <c r="X17" s="711"/>
      <c r="Y17" s="711"/>
    </row>
    <row r="18" spans="1:25" s="747" customFormat="1" ht="17.25" x14ac:dyDescent="0.3">
      <c r="A18" s="573" t="s">
        <v>90</v>
      </c>
      <c r="B18" s="418">
        <v>2017</v>
      </c>
      <c r="C18" s="807" t="s">
        <v>218</v>
      </c>
      <c r="D18" s="790">
        <f>'Factor Summary'!B18</f>
        <v>45</v>
      </c>
      <c r="E18" s="740">
        <f>'Factor Summary'!C18</f>
        <v>1.8876390625294541</v>
      </c>
      <c r="F18" s="791">
        <f>'Assess Freq'!U17</f>
        <v>1</v>
      </c>
      <c r="G18" s="837"/>
      <c r="H18" s="809"/>
      <c r="I18" s="834"/>
      <c r="J18" s="811">
        <f t="shared" si="10"/>
        <v>0</v>
      </c>
      <c r="K18" s="823">
        <f t="shared" si="0"/>
        <v>-1</v>
      </c>
      <c r="L18" s="824">
        <f t="shared" si="1"/>
        <v>-0.18</v>
      </c>
      <c r="M18" s="825"/>
      <c r="N18" s="826">
        <f t="shared" si="2"/>
        <v>0</v>
      </c>
      <c r="O18" s="826">
        <f t="shared" si="3"/>
        <v>0</v>
      </c>
      <c r="P18" s="827">
        <f t="shared" si="4"/>
        <v>0</v>
      </c>
      <c r="Q18" s="828">
        <f t="shared" si="5"/>
        <v>1.7076390625294542</v>
      </c>
      <c r="R18" s="829">
        <f t="shared" si="6"/>
        <v>-0.17999999999999994</v>
      </c>
      <c r="S18" s="802">
        <f t="shared" si="7"/>
        <v>25</v>
      </c>
      <c r="T18" s="830">
        <f t="shared" si="8"/>
        <v>20</v>
      </c>
      <c r="U18" s="831" t="str">
        <f t="shared" si="9"/>
        <v xml:space="preserve"> </v>
      </c>
      <c r="V18" s="805"/>
      <c r="W18" s="832"/>
      <c r="X18" s="711"/>
      <c r="Y18" s="711"/>
    </row>
    <row r="19" spans="1:25" s="747" customFormat="1" ht="17.25" x14ac:dyDescent="0.3">
      <c r="A19" s="573" t="s">
        <v>14</v>
      </c>
      <c r="B19" s="418">
        <v>2015</v>
      </c>
      <c r="C19" s="807" t="s">
        <v>218</v>
      </c>
      <c r="D19" s="790">
        <f>'Factor Summary'!B19</f>
        <v>15</v>
      </c>
      <c r="E19" s="740">
        <f>'Factor Summary'!C19</f>
        <v>2.5084217157128719</v>
      </c>
      <c r="F19" s="791">
        <f>'Assess Freq'!U18</f>
        <v>1</v>
      </c>
      <c r="G19" s="837"/>
      <c r="H19" s="809"/>
      <c r="I19" s="834"/>
      <c r="J19" s="811">
        <f t="shared" si="10"/>
        <v>0</v>
      </c>
      <c r="K19" s="823">
        <f t="shared" si="0"/>
        <v>-1</v>
      </c>
      <c r="L19" s="824">
        <f t="shared" si="1"/>
        <v>-0.18</v>
      </c>
      <c r="M19" s="825"/>
      <c r="N19" s="826">
        <f t="shared" si="2"/>
        <v>0</v>
      </c>
      <c r="O19" s="826">
        <f t="shared" si="3"/>
        <v>0</v>
      </c>
      <c r="P19" s="827">
        <f t="shared" si="4"/>
        <v>0</v>
      </c>
      <c r="Q19" s="828">
        <f t="shared" si="5"/>
        <v>2.3284217157128717</v>
      </c>
      <c r="R19" s="829">
        <f t="shared" si="6"/>
        <v>-0.18000000000000016</v>
      </c>
      <c r="S19" s="802">
        <f t="shared" si="7"/>
        <v>12</v>
      </c>
      <c r="T19" s="830">
        <f t="shared" si="8"/>
        <v>3</v>
      </c>
      <c r="U19" s="831" t="str">
        <f t="shared" si="9"/>
        <v xml:space="preserve"> </v>
      </c>
      <c r="V19" s="805"/>
      <c r="W19" s="820"/>
      <c r="X19" s="711"/>
      <c r="Y19" s="711"/>
    </row>
    <row r="20" spans="1:25" s="747" customFormat="1" ht="17.25" x14ac:dyDescent="0.3">
      <c r="A20" s="573" t="s">
        <v>96</v>
      </c>
      <c r="B20" s="418">
        <v>2015</v>
      </c>
      <c r="C20" s="836" t="s">
        <v>219</v>
      </c>
      <c r="D20" s="790">
        <f>'Factor Summary'!B20</f>
        <v>26</v>
      </c>
      <c r="E20" s="740">
        <f>'Factor Summary'!C20</f>
        <v>2.2551780334277192</v>
      </c>
      <c r="F20" s="791">
        <f>'Assess Freq'!U19</f>
        <v>3</v>
      </c>
      <c r="G20" s="808"/>
      <c r="H20" s="809"/>
      <c r="I20" s="834"/>
      <c r="J20" s="811">
        <f t="shared" si="10"/>
        <v>0</v>
      </c>
      <c r="K20" s="823">
        <f t="shared" si="0"/>
        <v>-3</v>
      </c>
      <c r="L20" s="824">
        <f t="shared" si="1"/>
        <v>-0.54</v>
      </c>
      <c r="M20" s="825"/>
      <c r="N20" s="826">
        <f t="shared" si="2"/>
        <v>0</v>
      </c>
      <c r="O20" s="826">
        <f t="shared" si="3"/>
        <v>0</v>
      </c>
      <c r="P20" s="827">
        <f t="shared" si="4"/>
        <v>0</v>
      </c>
      <c r="Q20" s="828">
        <f t="shared" si="5"/>
        <v>1.7151780334277191</v>
      </c>
      <c r="R20" s="829">
        <f t="shared" si="6"/>
        <v>-0.54</v>
      </c>
      <c r="S20" s="802">
        <f t="shared" si="7"/>
        <v>24</v>
      </c>
      <c r="T20" s="830">
        <f t="shared" si="8"/>
        <v>2</v>
      </c>
      <c r="U20" s="831" t="str">
        <f t="shared" si="9"/>
        <v xml:space="preserve"> </v>
      </c>
      <c r="V20" s="805"/>
      <c r="W20" s="832"/>
      <c r="X20" s="711"/>
      <c r="Y20" s="711"/>
    </row>
    <row r="21" spans="1:25" s="747" customFormat="1" ht="18" thickBot="1" x14ac:dyDescent="0.35">
      <c r="A21" s="572" t="s">
        <v>99</v>
      </c>
      <c r="B21" s="418">
        <v>2015</v>
      </c>
      <c r="C21" s="807" t="s">
        <v>218</v>
      </c>
      <c r="D21" s="790">
        <f>'Factor Summary'!B21</f>
        <v>42</v>
      </c>
      <c r="E21" s="740">
        <f>'Factor Summary'!C21</f>
        <v>1.9439752961756267</v>
      </c>
      <c r="F21" s="791">
        <f>'Assess Freq'!U20</f>
        <v>0</v>
      </c>
      <c r="G21" s="808"/>
      <c r="H21" s="809"/>
      <c r="I21" s="834"/>
      <c r="J21" s="811">
        <f t="shared" si="10"/>
        <v>0</v>
      </c>
      <c r="K21" s="823">
        <f t="shared" si="0"/>
        <v>0</v>
      </c>
      <c r="L21" s="824">
        <f t="shared" si="1"/>
        <v>0</v>
      </c>
      <c r="M21" s="825"/>
      <c r="N21" s="826">
        <f t="shared" si="2"/>
        <v>0</v>
      </c>
      <c r="O21" s="826">
        <f t="shared" si="3"/>
        <v>0</v>
      </c>
      <c r="P21" s="827">
        <f t="shared" si="4"/>
        <v>0</v>
      </c>
      <c r="Q21" s="828">
        <f t="shared" si="5"/>
        <v>1.9439752961756267</v>
      </c>
      <c r="R21" s="829">
        <f t="shared" si="6"/>
        <v>0</v>
      </c>
      <c r="S21" s="802">
        <f t="shared" si="7"/>
        <v>21</v>
      </c>
      <c r="T21" s="830">
        <f t="shared" si="8"/>
        <v>21</v>
      </c>
      <c r="U21" s="831" t="str">
        <f t="shared" si="9"/>
        <v xml:space="preserve"> </v>
      </c>
      <c r="V21" s="805"/>
      <c r="W21" s="835" t="s">
        <v>454</v>
      </c>
      <c r="X21" s="711"/>
      <c r="Y21" s="711"/>
    </row>
    <row r="22" spans="1:25" s="747" customFormat="1" ht="18" thickBot="1" x14ac:dyDescent="0.35">
      <c r="A22" s="572" t="s">
        <v>105</v>
      </c>
      <c r="B22" s="418">
        <v>2021</v>
      </c>
      <c r="C22" s="838" t="s">
        <v>225</v>
      </c>
      <c r="D22" s="790">
        <f>'Factor Summary'!B22</f>
        <v>34</v>
      </c>
      <c r="E22" s="740">
        <f>'Factor Summary'!C22</f>
        <v>2.1165042471054671</v>
      </c>
      <c r="F22" s="791">
        <f>'Assess Freq'!U21</f>
        <v>-2</v>
      </c>
      <c r="G22" s="833"/>
      <c r="H22" s="809"/>
      <c r="I22" s="822"/>
      <c r="J22" s="811">
        <f t="shared" si="10"/>
        <v>0</v>
      </c>
      <c r="K22" s="823">
        <f t="shared" si="0"/>
        <v>2</v>
      </c>
      <c r="L22" s="824">
        <f t="shared" si="1"/>
        <v>0.36</v>
      </c>
      <c r="M22" s="825"/>
      <c r="N22" s="826">
        <f t="shared" si="2"/>
        <v>0</v>
      </c>
      <c r="O22" s="826">
        <f t="shared" si="3"/>
        <v>0</v>
      </c>
      <c r="P22" s="827">
        <f t="shared" si="4"/>
        <v>0</v>
      </c>
      <c r="Q22" s="828">
        <f t="shared" si="5"/>
        <v>2.476504247105467</v>
      </c>
      <c r="R22" s="829">
        <f t="shared" si="6"/>
        <v>0.35999999999999988</v>
      </c>
      <c r="S22" s="802">
        <f t="shared" si="7"/>
        <v>10</v>
      </c>
      <c r="T22" s="830">
        <f t="shared" si="8"/>
        <v>24</v>
      </c>
      <c r="U22" s="831" t="str">
        <f t="shared" si="9"/>
        <v xml:space="preserve"> </v>
      </c>
      <c r="V22" s="805"/>
      <c r="W22" s="840" t="s">
        <v>304</v>
      </c>
      <c r="X22" s="711"/>
      <c r="Y22" s="711"/>
    </row>
    <row r="23" spans="1:25" s="747" customFormat="1" ht="17.25" x14ac:dyDescent="0.3">
      <c r="A23" s="573" t="s">
        <v>92</v>
      </c>
      <c r="B23" s="418">
        <v>2019</v>
      </c>
      <c r="C23" s="807" t="s">
        <v>218</v>
      </c>
      <c r="D23" s="790">
        <f>'Factor Summary'!B23</f>
        <v>65</v>
      </c>
      <c r="E23" s="740">
        <f>'Factor Summary'!C23</f>
        <v>0.62249941327696723</v>
      </c>
      <c r="F23" s="791">
        <f>'Assess Freq'!U22</f>
        <v>-1</v>
      </c>
      <c r="G23" s="833"/>
      <c r="H23" s="809"/>
      <c r="I23" s="822"/>
      <c r="J23" s="811">
        <f t="shared" si="10"/>
        <v>0</v>
      </c>
      <c r="K23" s="823">
        <f t="shared" si="0"/>
        <v>1</v>
      </c>
      <c r="L23" s="824">
        <f t="shared" si="1"/>
        <v>0.18</v>
      </c>
      <c r="M23" s="825"/>
      <c r="N23" s="826">
        <f t="shared" si="2"/>
        <v>0</v>
      </c>
      <c r="O23" s="826">
        <f t="shared" si="3"/>
        <v>0</v>
      </c>
      <c r="P23" s="827">
        <f t="shared" si="4"/>
        <v>0</v>
      </c>
      <c r="Q23" s="828">
        <f t="shared" si="5"/>
        <v>0.80249941327696717</v>
      </c>
      <c r="R23" s="829">
        <f t="shared" si="6"/>
        <v>0.17999999999999994</v>
      </c>
      <c r="S23" s="802">
        <f t="shared" si="7"/>
        <v>56</v>
      </c>
      <c r="T23" s="830">
        <f t="shared" si="8"/>
        <v>9</v>
      </c>
      <c r="U23" s="831" t="str">
        <f t="shared" si="9"/>
        <v xml:space="preserve"> </v>
      </c>
      <c r="V23" s="805"/>
      <c r="W23" s="820" t="s">
        <v>305</v>
      </c>
      <c r="X23" s="711"/>
      <c r="Y23" s="711"/>
    </row>
    <row r="24" spans="1:25" s="747" customFormat="1" ht="17.25" x14ac:dyDescent="0.3">
      <c r="A24" s="573" t="s">
        <v>22</v>
      </c>
      <c r="B24" s="418"/>
      <c r="C24" s="807"/>
      <c r="D24" s="790">
        <f>'Factor Summary'!B24</f>
        <v>57</v>
      </c>
      <c r="E24" s="740">
        <f>'Factor Summary'!C24</f>
        <v>1.6321604118558595</v>
      </c>
      <c r="F24" s="1235">
        <f>'Assess Freq'!U23</f>
        <v>4</v>
      </c>
      <c r="G24" s="833"/>
      <c r="H24" s="809"/>
      <c r="I24" s="822"/>
      <c r="J24" s="811"/>
      <c r="K24" s="823"/>
      <c r="L24" s="824"/>
      <c r="M24" s="825"/>
      <c r="N24" s="826"/>
      <c r="O24" s="826"/>
      <c r="P24" s="827"/>
      <c r="Q24" s="828"/>
      <c r="R24" s="829"/>
      <c r="S24" s="802"/>
      <c r="T24" s="830"/>
      <c r="U24" s="831"/>
      <c r="V24" s="805"/>
      <c r="W24" s="820"/>
      <c r="X24" s="711"/>
      <c r="Y24" s="711"/>
    </row>
    <row r="25" spans="1:25" s="747" customFormat="1" ht="17.25" x14ac:dyDescent="0.3">
      <c r="A25" s="573" t="s">
        <v>13</v>
      </c>
      <c r="B25" s="418">
        <v>2017</v>
      </c>
      <c r="C25" s="836" t="s">
        <v>219</v>
      </c>
      <c r="D25" s="790">
        <f>'Factor Summary'!B25</f>
        <v>59</v>
      </c>
      <c r="E25" s="740">
        <f>'Factor Summary'!C25</f>
        <v>1.5174857915924109</v>
      </c>
      <c r="F25" s="791">
        <f>'Assess Freq'!U24</f>
        <v>0</v>
      </c>
      <c r="G25" s="837"/>
      <c r="H25" s="809"/>
      <c r="I25" s="834"/>
      <c r="J25" s="811">
        <f t="shared" si="10"/>
        <v>0</v>
      </c>
      <c r="K25" s="823">
        <f t="shared" si="0"/>
        <v>0</v>
      </c>
      <c r="L25" s="824">
        <f t="shared" si="1"/>
        <v>0</v>
      </c>
      <c r="M25" s="825"/>
      <c r="N25" s="826">
        <f t="shared" si="2"/>
        <v>0</v>
      </c>
      <c r="O25" s="826">
        <f t="shared" si="3"/>
        <v>0</v>
      </c>
      <c r="P25" s="827">
        <f t="shared" si="4"/>
        <v>0</v>
      </c>
      <c r="Q25" s="828">
        <f t="shared" si="5"/>
        <v>1.5174857915924109</v>
      </c>
      <c r="R25" s="829">
        <f t="shared" si="6"/>
        <v>0</v>
      </c>
      <c r="S25" s="802">
        <f t="shared" si="7"/>
        <v>35</v>
      </c>
      <c r="T25" s="830">
        <f t="shared" si="8"/>
        <v>24</v>
      </c>
      <c r="U25" s="831" t="str">
        <f t="shared" si="9"/>
        <v xml:space="preserve"> </v>
      </c>
      <c r="V25" s="805"/>
      <c r="W25" s="820"/>
      <c r="X25" s="711"/>
      <c r="Y25" s="711"/>
    </row>
    <row r="26" spans="1:25" s="747" customFormat="1" ht="17.25" x14ac:dyDescent="0.3">
      <c r="A26" s="573" t="s">
        <v>6</v>
      </c>
      <c r="B26" s="418">
        <v>2021</v>
      </c>
      <c r="C26" s="807" t="s">
        <v>218</v>
      </c>
      <c r="D26" s="790">
        <f>'Factor Summary'!B26</f>
        <v>53</v>
      </c>
      <c r="E26" s="740">
        <f>'Factor Summary'!C26</f>
        <v>1.7460675626708246</v>
      </c>
      <c r="F26" s="791">
        <f>'Assess Freq'!U25</f>
        <v>-3</v>
      </c>
      <c r="G26" s="833"/>
      <c r="H26" s="809"/>
      <c r="I26" s="834"/>
      <c r="J26" s="811">
        <f t="shared" si="10"/>
        <v>0</v>
      </c>
      <c r="K26" s="823">
        <f t="shared" si="0"/>
        <v>3</v>
      </c>
      <c r="L26" s="824">
        <f t="shared" si="1"/>
        <v>0.54</v>
      </c>
      <c r="M26" s="825"/>
      <c r="N26" s="826">
        <f t="shared" si="2"/>
        <v>0</v>
      </c>
      <c r="O26" s="826">
        <f t="shared" si="3"/>
        <v>0</v>
      </c>
      <c r="P26" s="827">
        <f t="shared" si="4"/>
        <v>0</v>
      </c>
      <c r="Q26" s="828">
        <f t="shared" si="5"/>
        <v>2.2860675626708247</v>
      </c>
      <c r="R26" s="829">
        <f t="shared" si="6"/>
        <v>0.54</v>
      </c>
      <c r="S26" s="802">
        <f t="shared" si="7"/>
        <v>14</v>
      </c>
      <c r="T26" s="830">
        <f t="shared" si="8"/>
        <v>39</v>
      </c>
      <c r="U26" s="831" t="str">
        <f t="shared" si="9"/>
        <v xml:space="preserve"> </v>
      </c>
      <c r="V26" s="805"/>
      <c r="W26" s="820" t="s">
        <v>230</v>
      </c>
      <c r="X26" s="711"/>
      <c r="Y26" s="711"/>
    </row>
    <row r="27" spans="1:25" s="747" customFormat="1" ht="17.25" x14ac:dyDescent="0.3">
      <c r="A27" s="573" t="s">
        <v>16</v>
      </c>
      <c r="B27" s="418">
        <v>2013</v>
      </c>
      <c r="C27" s="838" t="s">
        <v>225</v>
      </c>
      <c r="D27" s="790">
        <f>'Factor Summary'!B27</f>
        <v>29</v>
      </c>
      <c r="E27" s="740">
        <f>'Factor Summary'!C27</f>
        <v>2.2038959510642089</v>
      </c>
      <c r="F27" s="791">
        <f>'Assess Freq'!U26</f>
        <v>5</v>
      </c>
      <c r="G27" s="833"/>
      <c r="H27" s="809"/>
      <c r="I27" s="834"/>
      <c r="J27" s="811">
        <f t="shared" si="10"/>
        <v>0</v>
      </c>
      <c r="K27" s="823">
        <f t="shared" si="0"/>
        <v>-5</v>
      </c>
      <c r="L27" s="824">
        <f t="shared" si="1"/>
        <v>-0.89999999999999991</v>
      </c>
      <c r="M27" s="825"/>
      <c r="N27" s="826">
        <f t="shared" si="2"/>
        <v>0</v>
      </c>
      <c r="O27" s="826">
        <f t="shared" si="3"/>
        <v>0</v>
      </c>
      <c r="P27" s="827">
        <f t="shared" si="4"/>
        <v>0</v>
      </c>
      <c r="Q27" s="828">
        <f t="shared" si="5"/>
        <v>1.303895951064209</v>
      </c>
      <c r="R27" s="829">
        <f t="shared" si="6"/>
        <v>-0.89999999999999991</v>
      </c>
      <c r="S27" s="802">
        <f t="shared" si="7"/>
        <v>46</v>
      </c>
      <c r="T27" s="830">
        <f t="shared" si="8"/>
        <v>-17</v>
      </c>
      <c r="U27" s="831" t="str">
        <f t="shared" si="9"/>
        <v xml:space="preserve"> </v>
      </c>
      <c r="V27" s="805"/>
      <c r="W27" s="820"/>
      <c r="X27" s="711"/>
      <c r="Y27" s="711"/>
    </row>
    <row r="28" spans="1:25" s="747" customFormat="1" ht="17.25" x14ac:dyDescent="0.3">
      <c r="A28" s="572" t="s">
        <v>106</v>
      </c>
      <c r="B28" s="418"/>
      <c r="C28" s="821" t="s">
        <v>226</v>
      </c>
      <c r="D28" s="790">
        <f>'Factor Summary'!B28</f>
        <v>30</v>
      </c>
      <c r="E28" s="740">
        <f>'Factor Summary'!C28</f>
        <v>2.2008431579404291</v>
      </c>
      <c r="F28" s="791">
        <f>'Assess Freq'!U27</f>
        <v>5</v>
      </c>
      <c r="G28" s="833"/>
      <c r="H28" s="809"/>
      <c r="I28" s="822"/>
      <c r="J28" s="811">
        <f t="shared" si="10"/>
        <v>0</v>
      </c>
      <c r="K28" s="823">
        <f t="shared" si="0"/>
        <v>-5</v>
      </c>
      <c r="L28" s="824">
        <f t="shared" si="1"/>
        <v>-0.89999999999999991</v>
      </c>
      <c r="M28" s="825"/>
      <c r="N28" s="826">
        <f t="shared" si="2"/>
        <v>0</v>
      </c>
      <c r="O28" s="826">
        <f t="shared" si="3"/>
        <v>0</v>
      </c>
      <c r="P28" s="827">
        <f t="shared" si="4"/>
        <v>0</v>
      </c>
      <c r="Q28" s="828">
        <f t="shared" si="5"/>
        <v>1.3008431579404292</v>
      </c>
      <c r="R28" s="829">
        <f t="shared" si="6"/>
        <v>-0.89999999999999991</v>
      </c>
      <c r="S28" s="802">
        <f t="shared" si="7"/>
        <v>47</v>
      </c>
      <c r="T28" s="830">
        <f t="shared" si="8"/>
        <v>-17</v>
      </c>
      <c r="U28" s="831" t="str">
        <f t="shared" si="9"/>
        <v xml:space="preserve"> </v>
      </c>
      <c r="V28" s="805"/>
      <c r="W28" s="820"/>
      <c r="X28" s="711"/>
      <c r="Y28" s="711"/>
    </row>
    <row r="29" spans="1:25" s="747" customFormat="1" ht="17.25" x14ac:dyDescent="0.3">
      <c r="A29" s="572" t="s">
        <v>368</v>
      </c>
      <c r="B29" s="418"/>
      <c r="C29" s="821" t="s">
        <v>226</v>
      </c>
      <c r="D29" s="790">
        <f>'Factor Summary'!B29</f>
        <v>48</v>
      </c>
      <c r="E29" s="740">
        <f>'Factor Summary'!C29</f>
        <v>1.8578841053724475</v>
      </c>
      <c r="F29" s="1235">
        <f>'Assess Freq'!U28</f>
        <v>4</v>
      </c>
      <c r="G29" s="833"/>
      <c r="H29" s="809"/>
      <c r="I29" s="822"/>
      <c r="J29" s="811">
        <f t="shared" si="10"/>
        <v>0</v>
      </c>
      <c r="K29" s="823">
        <f t="shared" si="0"/>
        <v>-4</v>
      </c>
      <c r="L29" s="824">
        <f t="shared" si="1"/>
        <v>-0.72</v>
      </c>
      <c r="M29" s="825"/>
      <c r="N29" s="826">
        <f t="shared" si="2"/>
        <v>0</v>
      </c>
      <c r="O29" s="826">
        <f t="shared" si="3"/>
        <v>0</v>
      </c>
      <c r="P29" s="827">
        <f t="shared" si="4"/>
        <v>0</v>
      </c>
      <c r="Q29" s="828">
        <f t="shared" si="5"/>
        <v>1.1378841053724476</v>
      </c>
      <c r="R29" s="829">
        <f t="shared" si="6"/>
        <v>-0.72</v>
      </c>
      <c r="S29" s="802">
        <f t="shared" si="7"/>
        <v>51</v>
      </c>
      <c r="T29" s="830">
        <f t="shared" si="8"/>
        <v>-3</v>
      </c>
      <c r="U29" s="841" t="str">
        <f t="shared" si="9"/>
        <v xml:space="preserve"> </v>
      </c>
      <c r="V29" s="711"/>
      <c r="W29" s="820"/>
      <c r="X29" s="711"/>
      <c r="Y29" s="711"/>
    </row>
    <row r="30" spans="1:25" s="747" customFormat="1" ht="17.25" x14ac:dyDescent="0.3">
      <c r="A30" s="572" t="s">
        <v>330</v>
      </c>
      <c r="B30" s="418">
        <v>2019</v>
      </c>
      <c r="C30" s="807" t="s">
        <v>218</v>
      </c>
      <c r="D30" s="790">
        <f>'Factor Summary'!B30</f>
        <v>33</v>
      </c>
      <c r="E30" s="740">
        <f>'Factor Summary'!C30</f>
        <v>2.1386336848891849</v>
      </c>
      <c r="F30" s="791">
        <f>'Assess Freq'!U29</f>
        <v>-1</v>
      </c>
      <c r="G30" s="833"/>
      <c r="H30" s="809"/>
      <c r="I30" s="834"/>
      <c r="J30" s="811">
        <f t="shared" si="10"/>
        <v>0</v>
      </c>
      <c r="K30" s="823">
        <f t="shared" si="0"/>
        <v>1</v>
      </c>
      <c r="L30" s="824">
        <f t="shared" si="1"/>
        <v>0.18</v>
      </c>
      <c r="M30" s="825"/>
      <c r="N30" s="826">
        <f t="shared" si="2"/>
        <v>0</v>
      </c>
      <c r="O30" s="826">
        <f t="shared" si="3"/>
        <v>0</v>
      </c>
      <c r="P30" s="827">
        <f t="shared" si="4"/>
        <v>0</v>
      </c>
      <c r="Q30" s="828">
        <f t="shared" si="5"/>
        <v>2.3186336848891851</v>
      </c>
      <c r="R30" s="829">
        <f t="shared" si="6"/>
        <v>0.18000000000000016</v>
      </c>
      <c r="S30" s="802">
        <f t="shared" si="7"/>
        <v>13</v>
      </c>
      <c r="T30" s="830">
        <f t="shared" si="8"/>
        <v>20</v>
      </c>
      <c r="U30" s="841" t="str">
        <f t="shared" si="9"/>
        <v xml:space="preserve"> </v>
      </c>
      <c r="V30" s="842"/>
      <c r="W30" s="843" t="s">
        <v>227</v>
      </c>
      <c r="X30" s="711"/>
      <c r="Y30" s="711"/>
    </row>
    <row r="31" spans="1:25" s="747" customFormat="1" ht="17.25" x14ac:dyDescent="0.3">
      <c r="A31" s="572" t="s">
        <v>107</v>
      </c>
      <c r="B31" s="418"/>
      <c r="C31" s="821" t="s">
        <v>226</v>
      </c>
      <c r="D31" s="790">
        <f>'Factor Summary'!B31</f>
        <v>36</v>
      </c>
      <c r="E31" s="740">
        <f>'Factor Summary'!C31</f>
        <v>2.046577621911446</v>
      </c>
      <c r="F31" s="791">
        <f>'Assess Freq'!U30</f>
        <v>2</v>
      </c>
      <c r="G31" s="833"/>
      <c r="H31" s="809"/>
      <c r="I31" s="822"/>
      <c r="J31" s="811">
        <f t="shared" si="10"/>
        <v>0</v>
      </c>
      <c r="K31" s="823">
        <f t="shared" si="0"/>
        <v>-2</v>
      </c>
      <c r="L31" s="824">
        <f t="shared" si="1"/>
        <v>-0.36</v>
      </c>
      <c r="M31" s="825"/>
      <c r="N31" s="826">
        <f t="shared" si="2"/>
        <v>0</v>
      </c>
      <c r="O31" s="826">
        <f t="shared" si="3"/>
        <v>0</v>
      </c>
      <c r="P31" s="827">
        <f t="shared" si="4"/>
        <v>0</v>
      </c>
      <c r="Q31" s="828">
        <f t="shared" si="5"/>
        <v>1.6865776219114461</v>
      </c>
      <c r="R31" s="829">
        <f t="shared" si="6"/>
        <v>-0.35999999999999988</v>
      </c>
      <c r="S31" s="802">
        <f t="shared" si="7"/>
        <v>27</v>
      </c>
      <c r="T31" s="830">
        <f t="shared" si="8"/>
        <v>9</v>
      </c>
      <c r="U31" s="841" t="str">
        <f t="shared" si="9"/>
        <v xml:space="preserve"> </v>
      </c>
      <c r="V31" s="842"/>
      <c r="W31" s="843" t="s">
        <v>227</v>
      </c>
      <c r="X31" s="711"/>
      <c r="Y31" s="711"/>
    </row>
    <row r="32" spans="1:25" s="747" customFormat="1" ht="17.25" x14ac:dyDescent="0.3">
      <c r="A32" s="572" t="s">
        <v>100</v>
      </c>
      <c r="B32" s="418">
        <v>2011</v>
      </c>
      <c r="C32" s="807" t="s">
        <v>218</v>
      </c>
      <c r="D32" s="790">
        <f>'Factor Summary'!B32</f>
        <v>25</v>
      </c>
      <c r="E32" s="740">
        <f>'Factor Summary'!C32</f>
        <v>2.2676876066762484</v>
      </c>
      <c r="F32" s="1235">
        <f>'Assess Freq'!U31</f>
        <v>4</v>
      </c>
      <c r="G32" s="833"/>
      <c r="H32" s="809"/>
      <c r="I32" s="834"/>
      <c r="J32" s="811">
        <f t="shared" si="10"/>
        <v>0</v>
      </c>
      <c r="K32" s="823">
        <f t="shared" si="0"/>
        <v>-4</v>
      </c>
      <c r="L32" s="824">
        <f t="shared" si="1"/>
        <v>-0.72</v>
      </c>
      <c r="M32" s="825"/>
      <c r="N32" s="826">
        <f t="shared" si="2"/>
        <v>0</v>
      </c>
      <c r="O32" s="826">
        <f t="shared" si="3"/>
        <v>0</v>
      </c>
      <c r="P32" s="827">
        <f t="shared" si="4"/>
        <v>0</v>
      </c>
      <c r="Q32" s="828">
        <f t="shared" si="5"/>
        <v>1.5476876066762484</v>
      </c>
      <c r="R32" s="829">
        <f t="shared" si="6"/>
        <v>-0.72</v>
      </c>
      <c r="S32" s="802">
        <f t="shared" si="7"/>
        <v>33</v>
      </c>
      <c r="T32" s="830">
        <f t="shared" si="8"/>
        <v>-8</v>
      </c>
      <c r="U32" s="841" t="str">
        <f t="shared" si="9"/>
        <v xml:space="preserve"> </v>
      </c>
      <c r="V32" s="711"/>
      <c r="W32" s="820"/>
      <c r="X32" s="711"/>
      <c r="Y32" s="711"/>
    </row>
    <row r="33" spans="1:25" s="747" customFormat="1" ht="17.25" x14ac:dyDescent="0.3">
      <c r="A33" s="572" t="s">
        <v>101</v>
      </c>
      <c r="B33" s="418">
        <v>2009</v>
      </c>
      <c r="C33" s="807" t="s">
        <v>218</v>
      </c>
      <c r="D33" s="790">
        <f>'Factor Summary'!B33</f>
        <v>18</v>
      </c>
      <c r="E33" s="740">
        <f>'Factor Summary'!C33</f>
        <v>2.4060785031203018</v>
      </c>
      <c r="F33" s="791">
        <f>'Assess Freq'!U32</f>
        <v>8</v>
      </c>
      <c r="G33" s="833"/>
      <c r="H33" s="809"/>
      <c r="I33" s="834"/>
      <c r="J33" s="811">
        <f t="shared" si="10"/>
        <v>0</v>
      </c>
      <c r="K33" s="823">
        <f t="shared" si="0"/>
        <v>-8</v>
      </c>
      <c r="L33" s="824">
        <f t="shared" si="1"/>
        <v>-1.44</v>
      </c>
      <c r="M33" s="825"/>
      <c r="N33" s="826">
        <f t="shared" si="2"/>
        <v>0</v>
      </c>
      <c r="O33" s="826">
        <f t="shared" si="3"/>
        <v>0</v>
      </c>
      <c r="P33" s="827">
        <f t="shared" si="4"/>
        <v>0</v>
      </c>
      <c r="Q33" s="828">
        <f t="shared" si="5"/>
        <v>0.96607850312030186</v>
      </c>
      <c r="R33" s="829">
        <f t="shared" si="6"/>
        <v>-1.44</v>
      </c>
      <c r="S33" s="802">
        <f t="shared" si="7"/>
        <v>54</v>
      </c>
      <c r="T33" s="830">
        <f t="shared" si="8"/>
        <v>-36</v>
      </c>
      <c r="U33" s="841" t="str">
        <f t="shared" si="9"/>
        <v xml:space="preserve"> </v>
      </c>
      <c r="V33" s="711"/>
      <c r="W33" s="832"/>
      <c r="X33" s="711"/>
      <c r="Y33" s="711"/>
    </row>
    <row r="34" spans="1:25" s="747" customFormat="1" ht="17.25" x14ac:dyDescent="0.3">
      <c r="A34" s="572" t="s">
        <v>108</v>
      </c>
      <c r="B34" s="418"/>
      <c r="C34" s="821" t="s">
        <v>226</v>
      </c>
      <c r="D34" s="790">
        <f>'Factor Summary'!B34</f>
        <v>46</v>
      </c>
      <c r="E34" s="740">
        <f>'Factor Summary'!C34</f>
        <v>1.873971365200682</v>
      </c>
      <c r="F34" s="1235">
        <f>'Assess Freq'!U33</f>
        <v>4</v>
      </c>
      <c r="G34" s="833"/>
      <c r="H34" s="809"/>
      <c r="I34" s="822"/>
      <c r="J34" s="811">
        <f t="shared" si="10"/>
        <v>0</v>
      </c>
      <c r="K34" s="823">
        <f t="shared" si="0"/>
        <v>-4</v>
      </c>
      <c r="L34" s="824">
        <f t="shared" si="1"/>
        <v>-0.72</v>
      </c>
      <c r="M34" s="825"/>
      <c r="N34" s="826">
        <f t="shared" si="2"/>
        <v>0</v>
      </c>
      <c r="O34" s="826">
        <f t="shared" si="3"/>
        <v>0</v>
      </c>
      <c r="P34" s="827">
        <f t="shared" si="4"/>
        <v>0</v>
      </c>
      <c r="Q34" s="828">
        <f t="shared" si="5"/>
        <v>1.153971365200682</v>
      </c>
      <c r="R34" s="829">
        <f t="shared" si="6"/>
        <v>-0.72</v>
      </c>
      <c r="S34" s="802">
        <f t="shared" si="7"/>
        <v>50</v>
      </c>
      <c r="T34" s="830">
        <f t="shared" si="8"/>
        <v>-4</v>
      </c>
      <c r="U34" s="841" t="str">
        <f t="shared" si="9"/>
        <v xml:space="preserve"> </v>
      </c>
      <c r="V34" s="711"/>
      <c r="W34" s="820"/>
      <c r="X34" s="711"/>
      <c r="Y34" s="711"/>
    </row>
    <row r="35" spans="1:25" s="747" customFormat="1" ht="17.25" x14ac:dyDescent="0.3">
      <c r="A35" s="572" t="s">
        <v>258</v>
      </c>
      <c r="B35" s="418">
        <v>2015</v>
      </c>
      <c r="C35" s="807" t="s">
        <v>218</v>
      </c>
      <c r="D35" s="790">
        <f>'Factor Summary'!B35</f>
        <v>47</v>
      </c>
      <c r="E35" s="740">
        <f>'Factor Summary'!C35</f>
        <v>1.8598076960160963</v>
      </c>
      <c r="F35" s="791">
        <f>'Assess Freq'!U34</f>
        <v>2</v>
      </c>
      <c r="G35" s="837"/>
      <c r="H35" s="809"/>
      <c r="I35" s="834"/>
      <c r="J35" s="811">
        <f t="shared" si="10"/>
        <v>0</v>
      </c>
      <c r="K35" s="823">
        <f t="shared" si="0"/>
        <v>-2</v>
      </c>
      <c r="L35" s="824">
        <f t="shared" si="1"/>
        <v>-0.36</v>
      </c>
      <c r="M35" s="825"/>
      <c r="N35" s="826">
        <f t="shared" si="2"/>
        <v>0</v>
      </c>
      <c r="O35" s="826">
        <f t="shared" si="3"/>
        <v>0</v>
      </c>
      <c r="P35" s="827">
        <f t="shared" si="4"/>
        <v>0</v>
      </c>
      <c r="Q35" s="828">
        <f t="shared" si="5"/>
        <v>1.4998076960160964</v>
      </c>
      <c r="R35" s="829">
        <f t="shared" si="6"/>
        <v>-0.35999999999999988</v>
      </c>
      <c r="S35" s="802">
        <f t="shared" si="7"/>
        <v>37</v>
      </c>
      <c r="T35" s="830">
        <f t="shared" si="8"/>
        <v>10</v>
      </c>
      <c r="U35" s="841" t="str">
        <f t="shared" si="9"/>
        <v xml:space="preserve"> </v>
      </c>
      <c r="V35" s="711"/>
      <c r="W35" s="820"/>
      <c r="X35" s="711"/>
      <c r="Y35" s="711"/>
    </row>
    <row r="36" spans="1:25" s="747" customFormat="1" ht="17.25" x14ac:dyDescent="0.3">
      <c r="A36" s="572" t="s">
        <v>245</v>
      </c>
      <c r="B36" s="418"/>
      <c r="C36" s="821" t="s">
        <v>226</v>
      </c>
      <c r="D36" s="790">
        <f>'Factor Summary'!B36</f>
        <v>37</v>
      </c>
      <c r="E36" s="740">
        <f>'Factor Summary'!C36</f>
        <v>1.9986860125342185</v>
      </c>
      <c r="F36" s="1235">
        <f>'Assess Freq'!U35</f>
        <v>4</v>
      </c>
      <c r="G36" s="833"/>
      <c r="H36" s="809"/>
      <c r="I36" s="822"/>
      <c r="J36" s="811">
        <f t="shared" si="10"/>
        <v>0</v>
      </c>
      <c r="K36" s="823">
        <f t="shared" si="0"/>
        <v>-4</v>
      </c>
      <c r="L36" s="824">
        <f t="shared" si="1"/>
        <v>-0.72</v>
      </c>
      <c r="M36" s="825"/>
      <c r="N36" s="826">
        <f t="shared" si="2"/>
        <v>0</v>
      </c>
      <c r="O36" s="826">
        <f t="shared" si="3"/>
        <v>0</v>
      </c>
      <c r="P36" s="827">
        <f t="shared" si="4"/>
        <v>0</v>
      </c>
      <c r="Q36" s="828">
        <f t="shared" si="5"/>
        <v>1.2786860125342185</v>
      </c>
      <c r="R36" s="829">
        <f t="shared" si="6"/>
        <v>-0.72</v>
      </c>
      <c r="S36" s="802">
        <f t="shared" si="7"/>
        <v>48</v>
      </c>
      <c r="T36" s="830">
        <f t="shared" si="8"/>
        <v>-11</v>
      </c>
      <c r="U36" s="841" t="str">
        <f t="shared" si="9"/>
        <v xml:space="preserve"> </v>
      </c>
      <c r="V36" s="711"/>
      <c r="W36" s="820"/>
      <c r="X36" s="711"/>
      <c r="Y36" s="711"/>
    </row>
    <row r="37" spans="1:25" s="747" customFormat="1" ht="17.25" x14ac:dyDescent="0.3">
      <c r="A37" s="572" t="s">
        <v>347</v>
      </c>
      <c r="B37" s="418"/>
      <c r="C37" s="821"/>
      <c r="D37" s="790">
        <f>'Factor Summary'!B37</f>
        <v>44</v>
      </c>
      <c r="E37" s="740">
        <f>'Factor Summary'!C37</f>
        <v>1.8953245771372078</v>
      </c>
      <c r="F37" s="1235">
        <f>'Assess Freq'!U36</f>
        <v>4</v>
      </c>
      <c r="G37" s="833"/>
      <c r="H37" s="809"/>
      <c r="I37" s="822"/>
      <c r="J37" s="811"/>
      <c r="K37" s="823"/>
      <c r="L37" s="824"/>
      <c r="M37" s="825"/>
      <c r="N37" s="826"/>
      <c r="O37" s="826"/>
      <c r="P37" s="827"/>
      <c r="Q37" s="828"/>
      <c r="R37" s="829"/>
      <c r="S37" s="802"/>
      <c r="T37" s="830"/>
      <c r="U37" s="841"/>
      <c r="V37" s="711"/>
      <c r="W37" s="820"/>
      <c r="X37" s="711"/>
      <c r="Y37" s="711"/>
    </row>
    <row r="38" spans="1:25" s="747" customFormat="1" ht="17.25" x14ac:dyDescent="0.3">
      <c r="A38" s="573" t="s">
        <v>89</v>
      </c>
      <c r="B38" s="418">
        <v>2021</v>
      </c>
      <c r="C38" s="807" t="s">
        <v>218</v>
      </c>
      <c r="D38" s="790">
        <f>'Factor Summary'!B38</f>
        <v>10</v>
      </c>
      <c r="E38" s="740">
        <f>'Factor Summary'!C38</f>
        <v>2.5995025935573901</v>
      </c>
      <c r="F38" s="791">
        <f>'Assess Freq'!U37</f>
        <v>-3</v>
      </c>
      <c r="G38" s="837"/>
      <c r="H38" s="809"/>
      <c r="I38" s="834"/>
      <c r="J38" s="811">
        <f t="shared" si="10"/>
        <v>0</v>
      </c>
      <c r="K38" s="823">
        <f t="shared" si="0"/>
        <v>3</v>
      </c>
      <c r="L38" s="824">
        <f t="shared" si="1"/>
        <v>0.54</v>
      </c>
      <c r="M38" s="825"/>
      <c r="N38" s="826">
        <f t="shared" si="2"/>
        <v>0</v>
      </c>
      <c r="O38" s="826">
        <f t="shared" si="3"/>
        <v>0</v>
      </c>
      <c r="P38" s="827">
        <f t="shared" si="4"/>
        <v>0</v>
      </c>
      <c r="Q38" s="828">
        <f t="shared" si="5"/>
        <v>3.1395025935573901</v>
      </c>
      <c r="R38" s="829">
        <f t="shared" si="6"/>
        <v>0.54</v>
      </c>
      <c r="S38" s="802">
        <f t="shared" si="7"/>
        <v>2</v>
      </c>
      <c r="T38" s="830">
        <f t="shared" si="8"/>
        <v>8</v>
      </c>
      <c r="U38" s="841" t="str">
        <f t="shared" si="9"/>
        <v xml:space="preserve"> </v>
      </c>
      <c r="V38" s="842"/>
      <c r="W38" s="820"/>
      <c r="X38" s="711"/>
      <c r="Y38" s="711"/>
    </row>
    <row r="39" spans="1:25" s="747" customFormat="1" ht="17.25" x14ac:dyDescent="0.3">
      <c r="A39" s="574" t="s">
        <v>97</v>
      </c>
      <c r="B39" s="418">
        <v>2019</v>
      </c>
      <c r="C39" s="807" t="s">
        <v>218</v>
      </c>
      <c r="D39" s="790">
        <f>'Factor Summary'!B39</f>
        <v>51</v>
      </c>
      <c r="E39" s="740">
        <f>'Factor Summary'!C39</f>
        <v>1.8166412544196233</v>
      </c>
      <c r="F39" s="791">
        <f>'Assess Freq'!U38</f>
        <v>-1</v>
      </c>
      <c r="G39" s="833"/>
      <c r="H39" s="809"/>
      <c r="I39" s="834"/>
      <c r="J39" s="811">
        <f t="shared" si="10"/>
        <v>0</v>
      </c>
      <c r="K39" s="823">
        <f t="shared" si="0"/>
        <v>1</v>
      </c>
      <c r="L39" s="824">
        <f t="shared" si="1"/>
        <v>0.18</v>
      </c>
      <c r="M39" s="825"/>
      <c r="N39" s="826">
        <f t="shared" si="2"/>
        <v>0</v>
      </c>
      <c r="O39" s="826">
        <f t="shared" si="3"/>
        <v>0</v>
      </c>
      <c r="P39" s="827">
        <f t="shared" si="4"/>
        <v>0</v>
      </c>
      <c r="Q39" s="828">
        <f t="shared" si="5"/>
        <v>1.9966412544196233</v>
      </c>
      <c r="R39" s="829">
        <f t="shared" si="6"/>
        <v>0.17999999999999994</v>
      </c>
      <c r="S39" s="802">
        <f t="shared" si="7"/>
        <v>19</v>
      </c>
      <c r="T39" s="830">
        <f t="shared" si="8"/>
        <v>32</v>
      </c>
      <c r="U39" s="841" t="str">
        <f t="shared" si="9"/>
        <v xml:space="preserve"> </v>
      </c>
      <c r="V39" s="842"/>
      <c r="W39" s="820" t="s">
        <v>230</v>
      </c>
      <c r="X39" s="711"/>
      <c r="Y39" s="711"/>
    </row>
    <row r="40" spans="1:25" s="747" customFormat="1" ht="17.25" x14ac:dyDescent="0.3">
      <c r="A40" s="573" t="s">
        <v>86</v>
      </c>
      <c r="B40" s="418">
        <v>2013</v>
      </c>
      <c r="C40" s="807" t="s">
        <v>218</v>
      </c>
      <c r="D40" s="790">
        <f>'Factor Summary'!B40</f>
        <v>41</v>
      </c>
      <c r="E40" s="740">
        <f>'Factor Summary'!C40</f>
        <v>1.9638637378446679</v>
      </c>
      <c r="F40" s="791">
        <f>'Assess Freq'!U39</f>
        <v>3</v>
      </c>
      <c r="G40" s="833"/>
      <c r="H40" s="809"/>
      <c r="I40" s="834"/>
      <c r="J40" s="811">
        <f t="shared" si="10"/>
        <v>0</v>
      </c>
      <c r="K40" s="823">
        <f t="shared" si="0"/>
        <v>-3</v>
      </c>
      <c r="L40" s="824">
        <f t="shared" si="1"/>
        <v>-0.54</v>
      </c>
      <c r="M40" s="825"/>
      <c r="N40" s="826">
        <f t="shared" si="2"/>
        <v>0</v>
      </c>
      <c r="O40" s="826">
        <f t="shared" si="3"/>
        <v>0</v>
      </c>
      <c r="P40" s="827">
        <f t="shared" si="4"/>
        <v>0</v>
      </c>
      <c r="Q40" s="828">
        <f t="shared" si="5"/>
        <v>1.4238637378446679</v>
      </c>
      <c r="R40" s="829">
        <f t="shared" si="6"/>
        <v>-0.54</v>
      </c>
      <c r="S40" s="802">
        <f t="shared" si="7"/>
        <v>43</v>
      </c>
      <c r="T40" s="830">
        <f t="shared" si="8"/>
        <v>-2</v>
      </c>
      <c r="U40" s="841" t="str">
        <f t="shared" si="9"/>
        <v xml:space="preserve"> </v>
      </c>
      <c r="V40" s="711"/>
      <c r="W40" s="820"/>
      <c r="X40" s="711"/>
      <c r="Y40" s="711"/>
    </row>
    <row r="41" spans="1:25" s="747" customFormat="1" ht="17.25" x14ac:dyDescent="0.3">
      <c r="A41" s="572" t="s">
        <v>109</v>
      </c>
      <c r="B41" s="418"/>
      <c r="C41" s="821" t="s">
        <v>226</v>
      </c>
      <c r="D41" s="790">
        <f>'Factor Summary'!B41</f>
        <v>19</v>
      </c>
      <c r="E41" s="740">
        <f>'Factor Summary'!C41</f>
        <v>2.3892568171331101</v>
      </c>
      <c r="F41" s="791">
        <f>'Assess Freq'!U40</f>
        <v>5</v>
      </c>
      <c r="G41" s="833"/>
      <c r="H41" s="809"/>
      <c r="I41" s="822"/>
      <c r="J41" s="811">
        <f t="shared" si="10"/>
        <v>0</v>
      </c>
      <c r="K41" s="823">
        <f t="shared" si="0"/>
        <v>-5</v>
      </c>
      <c r="L41" s="824">
        <f t="shared" si="1"/>
        <v>-0.89999999999999991</v>
      </c>
      <c r="M41" s="825"/>
      <c r="N41" s="826">
        <f t="shared" si="2"/>
        <v>0</v>
      </c>
      <c r="O41" s="826">
        <f t="shared" si="3"/>
        <v>0</v>
      </c>
      <c r="P41" s="827">
        <f t="shared" si="4"/>
        <v>0</v>
      </c>
      <c r="Q41" s="828">
        <f t="shared" si="5"/>
        <v>1.4892568171331102</v>
      </c>
      <c r="R41" s="829">
        <f t="shared" si="6"/>
        <v>-0.89999999999999991</v>
      </c>
      <c r="S41" s="802">
        <f t="shared" si="7"/>
        <v>38</v>
      </c>
      <c r="T41" s="830">
        <f t="shared" si="8"/>
        <v>-19</v>
      </c>
      <c r="U41" s="841" t="str">
        <f t="shared" si="9"/>
        <v xml:space="preserve"> </v>
      </c>
      <c r="V41" s="711"/>
      <c r="W41" s="820"/>
      <c r="X41" s="711"/>
      <c r="Y41" s="711"/>
    </row>
    <row r="42" spans="1:25" s="747" customFormat="1" ht="17.25" x14ac:dyDescent="0.3">
      <c r="A42" s="573" t="s">
        <v>93</v>
      </c>
      <c r="B42" s="418"/>
      <c r="C42" s="821"/>
      <c r="D42" s="790">
        <f>'Factor Summary'!B42</f>
        <v>11</v>
      </c>
      <c r="E42" s="740">
        <f>'Factor Summary'!C42</f>
        <v>2.5991407319961217</v>
      </c>
      <c r="F42" s="791">
        <f>'Assess Freq'!U41</f>
        <v>5</v>
      </c>
      <c r="G42" s="833"/>
      <c r="H42" s="809"/>
      <c r="I42" s="822"/>
      <c r="J42" s="811">
        <f t="shared" ref="J42:J72" si="11">IF(G42="X",-2,I42)</f>
        <v>0</v>
      </c>
      <c r="K42" s="823">
        <f t="shared" ref="K42:K72" si="12">J42-F42</f>
        <v>-5</v>
      </c>
      <c r="L42" s="824">
        <f t="shared" ref="L42:L72" si="13">K42*L$6</f>
        <v>-0.89999999999999991</v>
      </c>
      <c r="M42" s="825"/>
      <c r="N42" s="826">
        <f t="shared" ref="N42:N72" si="14">IF(G42="X",0,M42)</f>
        <v>0</v>
      </c>
      <c r="O42" s="826">
        <f t="shared" ref="O42:O72" si="15">IF(G42="X",N42-M42,0)</f>
        <v>0</v>
      </c>
      <c r="P42" s="827">
        <f t="shared" ref="P42:P72" si="16">O42*P$6</f>
        <v>0</v>
      </c>
      <c r="Q42" s="828">
        <f t="shared" ref="Q42:Q72" si="17">E42+L42+P42</f>
        <v>1.6991407319961218</v>
      </c>
      <c r="R42" s="829">
        <f t="shared" ref="R42:R72" si="18">Q42-E42</f>
        <v>-0.89999999999999991</v>
      </c>
      <c r="S42" s="802">
        <f t="shared" ref="S42:S72" si="19">RANK(Q42,Q$8:Q$72)</f>
        <v>26</v>
      </c>
      <c r="T42" s="830">
        <f t="shared" ref="T42:T72" si="20">D42-S42</f>
        <v>-15</v>
      </c>
      <c r="U42" s="841" t="str">
        <f t="shared" ref="U42:U72" si="21">IF(G42="X",AB$1," ")</f>
        <v xml:space="preserve"> </v>
      </c>
      <c r="V42" s="842"/>
      <c r="W42" s="820" t="s">
        <v>230</v>
      </c>
      <c r="X42" s="711"/>
      <c r="Y42" s="711"/>
    </row>
    <row r="43" spans="1:25" s="747" customFormat="1" ht="17.25" x14ac:dyDescent="0.3">
      <c r="A43" s="573" t="s">
        <v>259</v>
      </c>
      <c r="B43" s="418">
        <v>2017</v>
      </c>
      <c r="C43" s="807" t="s">
        <v>218</v>
      </c>
      <c r="D43" s="790">
        <f>'Factor Summary'!B43</f>
        <v>61</v>
      </c>
      <c r="E43" s="740">
        <f>'Factor Summary'!C43</f>
        <v>1.3173092661037322</v>
      </c>
      <c r="F43" s="791">
        <f>'Assess Freq'!U42</f>
        <v>0</v>
      </c>
      <c r="G43" s="833"/>
      <c r="H43" s="809"/>
      <c r="I43" s="834"/>
      <c r="J43" s="811">
        <f t="shared" si="11"/>
        <v>0</v>
      </c>
      <c r="K43" s="823">
        <f t="shared" si="12"/>
        <v>0</v>
      </c>
      <c r="L43" s="824">
        <f t="shared" si="13"/>
        <v>0</v>
      </c>
      <c r="M43" s="825"/>
      <c r="N43" s="826">
        <f t="shared" si="14"/>
        <v>0</v>
      </c>
      <c r="O43" s="826">
        <f t="shared" si="15"/>
        <v>0</v>
      </c>
      <c r="P43" s="827">
        <f t="shared" si="16"/>
        <v>0</v>
      </c>
      <c r="Q43" s="828">
        <f t="shared" si="17"/>
        <v>1.3173092661037322</v>
      </c>
      <c r="R43" s="829">
        <f t="shared" si="18"/>
        <v>0</v>
      </c>
      <c r="S43" s="802">
        <f t="shared" si="19"/>
        <v>45</v>
      </c>
      <c r="T43" s="830">
        <f t="shared" si="20"/>
        <v>16</v>
      </c>
      <c r="U43" s="841" t="str">
        <f t="shared" si="21"/>
        <v xml:space="preserve"> </v>
      </c>
      <c r="V43" s="711"/>
      <c r="W43" s="820"/>
      <c r="X43" s="711"/>
      <c r="Y43" s="711"/>
    </row>
    <row r="44" spans="1:25" s="747" customFormat="1" ht="17.25" x14ac:dyDescent="0.3">
      <c r="A44" s="572" t="s">
        <v>110</v>
      </c>
      <c r="B44" s="418"/>
      <c r="C44" s="821" t="s">
        <v>226</v>
      </c>
      <c r="D44" s="790">
        <f>'Factor Summary'!B44</f>
        <v>20</v>
      </c>
      <c r="E44" s="740">
        <f>'Factor Summary'!C44</f>
        <v>2.3854869099211866</v>
      </c>
      <c r="F44" s="1235">
        <f>'Assess Freq'!U43</f>
        <v>4</v>
      </c>
      <c r="G44" s="833"/>
      <c r="H44" s="809"/>
      <c r="I44" s="822"/>
      <c r="J44" s="811">
        <f t="shared" si="11"/>
        <v>0</v>
      </c>
      <c r="K44" s="823">
        <f t="shared" si="12"/>
        <v>-4</v>
      </c>
      <c r="L44" s="824">
        <f t="shared" si="13"/>
        <v>-0.72</v>
      </c>
      <c r="M44" s="825"/>
      <c r="N44" s="826">
        <f t="shared" si="14"/>
        <v>0</v>
      </c>
      <c r="O44" s="826">
        <f t="shared" si="15"/>
        <v>0</v>
      </c>
      <c r="P44" s="827">
        <f t="shared" si="16"/>
        <v>0</v>
      </c>
      <c r="Q44" s="828">
        <f t="shared" si="17"/>
        <v>1.6654869099211866</v>
      </c>
      <c r="R44" s="829">
        <f t="shared" si="18"/>
        <v>-0.72</v>
      </c>
      <c r="S44" s="802">
        <f t="shared" si="19"/>
        <v>28</v>
      </c>
      <c r="T44" s="830">
        <f t="shared" si="20"/>
        <v>-8</v>
      </c>
      <c r="U44" s="841" t="str">
        <f t="shared" si="21"/>
        <v xml:space="preserve"> </v>
      </c>
      <c r="V44" s="842"/>
      <c r="W44" s="820" t="s">
        <v>231</v>
      </c>
      <c r="X44" s="711"/>
      <c r="Y44" s="711"/>
    </row>
    <row r="45" spans="1:25" s="747" customFormat="1" ht="17.25" x14ac:dyDescent="0.3">
      <c r="A45" s="572" t="s">
        <v>249</v>
      </c>
      <c r="B45" s="418">
        <v>2021</v>
      </c>
      <c r="C45" s="821"/>
      <c r="D45" s="790">
        <f>'Factor Summary'!B45</f>
        <v>49</v>
      </c>
      <c r="E45" s="740">
        <f>'Factor Summary'!C45</f>
        <v>1.8537844739982243</v>
      </c>
      <c r="F45" s="791">
        <f>'Assess Freq'!U44</f>
        <v>-2</v>
      </c>
      <c r="G45" s="833"/>
      <c r="H45" s="809"/>
      <c r="I45" s="834"/>
      <c r="J45" s="811">
        <f t="shared" si="11"/>
        <v>0</v>
      </c>
      <c r="K45" s="823">
        <f t="shared" si="12"/>
        <v>2</v>
      </c>
      <c r="L45" s="824">
        <f t="shared" si="13"/>
        <v>0.36</v>
      </c>
      <c r="M45" s="825"/>
      <c r="N45" s="826">
        <f t="shared" si="14"/>
        <v>0</v>
      </c>
      <c r="O45" s="826">
        <f t="shared" si="15"/>
        <v>0</v>
      </c>
      <c r="P45" s="827">
        <f t="shared" si="16"/>
        <v>0</v>
      </c>
      <c r="Q45" s="828">
        <f t="shared" si="17"/>
        <v>2.2137844739982242</v>
      </c>
      <c r="R45" s="829">
        <f t="shared" si="18"/>
        <v>0.35999999999999988</v>
      </c>
      <c r="S45" s="802">
        <f t="shared" si="19"/>
        <v>15</v>
      </c>
      <c r="T45" s="830">
        <f t="shared" si="20"/>
        <v>34</v>
      </c>
      <c r="U45" s="841" t="str">
        <f t="shared" si="21"/>
        <v xml:space="preserve"> </v>
      </c>
      <c r="V45" s="842"/>
      <c r="W45" s="820"/>
      <c r="X45" s="711"/>
      <c r="Y45" s="711"/>
    </row>
    <row r="46" spans="1:25" s="747" customFormat="1" ht="17.25" x14ac:dyDescent="0.3">
      <c r="A46" s="573" t="s">
        <v>7</v>
      </c>
      <c r="B46" s="418">
        <v>2019</v>
      </c>
      <c r="C46" s="836" t="s">
        <v>219</v>
      </c>
      <c r="D46" s="790">
        <f>'Factor Summary'!B46</f>
        <v>3</v>
      </c>
      <c r="E46" s="740">
        <f>'Factor Summary'!C46</f>
        <v>2.9288641515099894</v>
      </c>
      <c r="F46" s="791">
        <f>'Assess Freq'!U45</f>
        <v>-1</v>
      </c>
      <c r="G46" s="837"/>
      <c r="H46" s="809"/>
      <c r="I46" s="834"/>
      <c r="J46" s="811">
        <f t="shared" si="11"/>
        <v>0</v>
      </c>
      <c r="K46" s="823">
        <f t="shared" si="12"/>
        <v>1</v>
      </c>
      <c r="L46" s="824">
        <f t="shared" si="13"/>
        <v>0.18</v>
      </c>
      <c r="M46" s="825"/>
      <c r="N46" s="826">
        <f t="shared" si="14"/>
        <v>0</v>
      </c>
      <c r="O46" s="826">
        <f t="shared" si="15"/>
        <v>0</v>
      </c>
      <c r="P46" s="827">
        <f t="shared" si="16"/>
        <v>0</v>
      </c>
      <c r="Q46" s="828">
        <f t="shared" si="17"/>
        <v>3.1088641515099895</v>
      </c>
      <c r="R46" s="829">
        <f t="shared" si="18"/>
        <v>0.18000000000000016</v>
      </c>
      <c r="S46" s="802">
        <f t="shared" si="19"/>
        <v>3</v>
      </c>
      <c r="T46" s="830">
        <f t="shared" si="20"/>
        <v>0</v>
      </c>
      <c r="U46" s="841" t="str">
        <f t="shared" si="21"/>
        <v xml:space="preserve"> </v>
      </c>
      <c r="V46" s="842"/>
      <c r="W46" s="832" t="s">
        <v>230</v>
      </c>
      <c r="X46" s="711"/>
      <c r="Y46" s="711"/>
    </row>
    <row r="47" spans="1:25" s="747" customFormat="1" ht="17.25" x14ac:dyDescent="0.3">
      <c r="A47" s="572" t="s">
        <v>111</v>
      </c>
      <c r="B47" s="418">
        <v>2021</v>
      </c>
      <c r="C47" s="838" t="s">
        <v>225</v>
      </c>
      <c r="D47" s="790">
        <f>'Factor Summary'!B47</f>
        <v>9</v>
      </c>
      <c r="E47" s="740">
        <f>'Factor Summary'!C47</f>
        <v>2.6268968564049171</v>
      </c>
      <c r="F47" s="791">
        <f>'Assess Freq'!U46</f>
        <v>-2</v>
      </c>
      <c r="G47" s="833"/>
      <c r="H47" s="809"/>
      <c r="I47" s="822"/>
      <c r="J47" s="811">
        <f t="shared" si="11"/>
        <v>0</v>
      </c>
      <c r="K47" s="823">
        <f t="shared" si="12"/>
        <v>2</v>
      </c>
      <c r="L47" s="824">
        <f t="shared" si="13"/>
        <v>0.36</v>
      </c>
      <c r="M47" s="825"/>
      <c r="N47" s="826">
        <f t="shared" si="14"/>
        <v>0</v>
      </c>
      <c r="O47" s="826">
        <f t="shared" si="15"/>
        <v>0</v>
      </c>
      <c r="P47" s="827">
        <f t="shared" si="16"/>
        <v>0</v>
      </c>
      <c r="Q47" s="828">
        <f t="shared" si="17"/>
        <v>2.986896856404917</v>
      </c>
      <c r="R47" s="829">
        <f t="shared" si="18"/>
        <v>0.35999999999999988</v>
      </c>
      <c r="S47" s="802">
        <f t="shared" si="19"/>
        <v>4</v>
      </c>
      <c r="T47" s="830">
        <f t="shared" si="20"/>
        <v>5</v>
      </c>
      <c r="U47" s="841" t="str">
        <f t="shared" si="21"/>
        <v xml:space="preserve"> </v>
      </c>
      <c r="V47" s="842"/>
      <c r="W47" s="839" t="s">
        <v>228</v>
      </c>
      <c r="X47" s="711"/>
      <c r="Y47" s="711"/>
    </row>
    <row r="48" spans="1:25" s="747" customFormat="1" ht="17.25" x14ac:dyDescent="0.3">
      <c r="A48" s="572" t="s">
        <v>112</v>
      </c>
      <c r="B48" s="418"/>
      <c r="C48" s="821" t="s">
        <v>226</v>
      </c>
      <c r="D48" s="790">
        <f>'Factor Summary'!B48</f>
        <v>17</v>
      </c>
      <c r="E48" s="740">
        <f>'Factor Summary'!C48</f>
        <v>2.4105388226163242</v>
      </c>
      <c r="F48" s="791">
        <f>'Assess Freq'!U47</f>
        <v>3</v>
      </c>
      <c r="G48" s="833"/>
      <c r="H48" s="809"/>
      <c r="I48" s="822"/>
      <c r="J48" s="811">
        <f t="shared" si="11"/>
        <v>0</v>
      </c>
      <c r="K48" s="823">
        <f t="shared" si="12"/>
        <v>-3</v>
      </c>
      <c r="L48" s="824">
        <f t="shared" si="13"/>
        <v>-0.54</v>
      </c>
      <c r="M48" s="825"/>
      <c r="N48" s="826">
        <f t="shared" si="14"/>
        <v>0</v>
      </c>
      <c r="O48" s="826">
        <f t="shared" si="15"/>
        <v>0</v>
      </c>
      <c r="P48" s="827">
        <f t="shared" si="16"/>
        <v>0</v>
      </c>
      <c r="Q48" s="828">
        <f t="shared" si="17"/>
        <v>1.8705388226163242</v>
      </c>
      <c r="R48" s="829">
        <f t="shared" si="18"/>
        <v>-0.54</v>
      </c>
      <c r="S48" s="802">
        <f t="shared" si="19"/>
        <v>22</v>
      </c>
      <c r="T48" s="830">
        <f t="shared" si="20"/>
        <v>-5</v>
      </c>
      <c r="U48" s="841" t="str">
        <f t="shared" si="21"/>
        <v xml:space="preserve"> </v>
      </c>
      <c r="V48" s="842"/>
      <c r="W48" s="820"/>
      <c r="X48" s="711"/>
      <c r="Y48" s="711"/>
    </row>
    <row r="49" spans="1:25" s="747" customFormat="1" ht="17.25" x14ac:dyDescent="0.3">
      <c r="A49" s="572" t="s">
        <v>352</v>
      </c>
      <c r="B49" s="418"/>
      <c r="C49" s="821"/>
      <c r="D49" s="790">
        <f>'Factor Summary'!B49</f>
        <v>39</v>
      </c>
      <c r="E49" s="740">
        <f>'Factor Summary'!C49</f>
        <v>1.9798500707811983</v>
      </c>
      <c r="F49" s="1235">
        <f>'Assess Freq'!U48</f>
        <v>4</v>
      </c>
      <c r="G49" s="833"/>
      <c r="H49" s="809"/>
      <c r="I49" s="822"/>
      <c r="J49" s="811"/>
      <c r="K49" s="823"/>
      <c r="L49" s="824"/>
      <c r="M49" s="825"/>
      <c r="N49" s="826"/>
      <c r="O49" s="826"/>
      <c r="P49" s="827"/>
      <c r="Q49" s="828"/>
      <c r="R49" s="829"/>
      <c r="S49" s="802"/>
      <c r="T49" s="830"/>
      <c r="U49" s="841"/>
      <c r="V49" s="842"/>
      <c r="W49" s="820"/>
      <c r="X49" s="711"/>
      <c r="Y49" s="711"/>
    </row>
    <row r="50" spans="1:25" s="747" customFormat="1" ht="17.25" x14ac:dyDescent="0.3">
      <c r="A50" s="572" t="s">
        <v>11</v>
      </c>
      <c r="B50" s="418">
        <v>2013</v>
      </c>
      <c r="C50" s="838" t="s">
        <v>225</v>
      </c>
      <c r="D50" s="790">
        <f>'Factor Summary'!B50</f>
        <v>21</v>
      </c>
      <c r="E50" s="740">
        <f>'Factor Summary'!C50</f>
        <v>2.3826443801625952</v>
      </c>
      <c r="F50" s="791">
        <f>'Assess Freq'!U49</f>
        <v>5</v>
      </c>
      <c r="G50" s="833"/>
      <c r="H50" s="809"/>
      <c r="I50" s="834"/>
      <c r="J50" s="811">
        <f t="shared" si="11"/>
        <v>0</v>
      </c>
      <c r="K50" s="823">
        <f t="shared" si="12"/>
        <v>-5</v>
      </c>
      <c r="L50" s="824">
        <f t="shared" si="13"/>
        <v>-0.89999999999999991</v>
      </c>
      <c r="M50" s="825"/>
      <c r="N50" s="826">
        <f t="shared" si="14"/>
        <v>0</v>
      </c>
      <c r="O50" s="826">
        <f t="shared" si="15"/>
        <v>0</v>
      </c>
      <c r="P50" s="827">
        <f t="shared" si="16"/>
        <v>0</v>
      </c>
      <c r="Q50" s="828">
        <f t="shared" si="17"/>
        <v>1.4826443801625953</v>
      </c>
      <c r="R50" s="829">
        <f t="shared" si="18"/>
        <v>-0.89999999999999991</v>
      </c>
      <c r="S50" s="802">
        <f t="shared" si="19"/>
        <v>40</v>
      </c>
      <c r="T50" s="830">
        <f t="shared" si="20"/>
        <v>-19</v>
      </c>
      <c r="U50" s="841" t="str">
        <f t="shared" si="21"/>
        <v xml:space="preserve"> </v>
      </c>
      <c r="V50" s="711"/>
      <c r="W50" s="820"/>
      <c r="X50" s="711"/>
      <c r="Y50" s="711"/>
    </row>
    <row r="51" spans="1:25" s="747" customFormat="1" ht="17.25" x14ac:dyDescent="0.3">
      <c r="A51" s="572" t="s">
        <v>20</v>
      </c>
      <c r="B51" s="418"/>
      <c r="C51" s="821" t="s">
        <v>226</v>
      </c>
      <c r="D51" s="790">
        <f>'Factor Summary'!B51</f>
        <v>52</v>
      </c>
      <c r="E51" s="740">
        <f>'Factor Summary'!C51</f>
        <v>1.790953972717743</v>
      </c>
      <c r="F51" s="1235">
        <f>'Assess Freq'!U50</f>
        <v>4</v>
      </c>
      <c r="G51" s="833"/>
      <c r="H51" s="809"/>
      <c r="I51" s="822"/>
      <c r="J51" s="811">
        <f t="shared" si="11"/>
        <v>0</v>
      </c>
      <c r="K51" s="823">
        <f t="shared" si="12"/>
        <v>-4</v>
      </c>
      <c r="L51" s="824">
        <f t="shared" si="13"/>
        <v>-0.72</v>
      </c>
      <c r="M51" s="825"/>
      <c r="N51" s="826">
        <f t="shared" si="14"/>
        <v>0</v>
      </c>
      <c r="O51" s="826">
        <f t="shared" si="15"/>
        <v>0</v>
      </c>
      <c r="P51" s="827">
        <f t="shared" si="16"/>
        <v>0</v>
      </c>
      <c r="Q51" s="828">
        <f t="shared" si="17"/>
        <v>1.0709539727177431</v>
      </c>
      <c r="R51" s="829">
        <f t="shared" si="18"/>
        <v>-0.72</v>
      </c>
      <c r="S51" s="802">
        <f t="shared" si="19"/>
        <v>52</v>
      </c>
      <c r="T51" s="830">
        <f t="shared" si="20"/>
        <v>0</v>
      </c>
      <c r="U51" s="841" t="str">
        <f t="shared" si="21"/>
        <v xml:space="preserve"> </v>
      </c>
      <c r="V51" s="711"/>
      <c r="W51" s="820"/>
      <c r="X51" s="711"/>
      <c r="Y51" s="711"/>
    </row>
    <row r="52" spans="1:25" s="747" customFormat="1" ht="17.25" x14ac:dyDescent="0.3">
      <c r="A52" s="572" t="s">
        <v>353</v>
      </c>
      <c r="B52" s="418"/>
      <c r="C52" s="821"/>
      <c r="D52" s="790">
        <f>'Factor Summary'!B52</f>
        <v>12</v>
      </c>
      <c r="E52" s="740">
        <f>'Factor Summary'!C52</f>
        <v>2.5915444874657636</v>
      </c>
      <c r="F52" s="1235">
        <f>'Assess Freq'!U51</f>
        <v>4</v>
      </c>
      <c r="G52" s="833"/>
      <c r="H52" s="809"/>
      <c r="I52" s="822"/>
      <c r="J52" s="811"/>
      <c r="K52" s="823"/>
      <c r="L52" s="824"/>
      <c r="M52" s="825"/>
      <c r="N52" s="826"/>
      <c r="O52" s="826"/>
      <c r="P52" s="827"/>
      <c r="Q52" s="828"/>
      <c r="R52" s="829"/>
      <c r="S52" s="802"/>
      <c r="T52" s="830"/>
      <c r="U52" s="841"/>
      <c r="V52" s="711"/>
      <c r="W52" s="820"/>
      <c r="X52" s="711"/>
      <c r="Y52" s="711"/>
    </row>
    <row r="53" spans="1:25" s="747" customFormat="1" ht="17.25" x14ac:dyDescent="0.3">
      <c r="A53" s="572" t="s">
        <v>369</v>
      </c>
      <c r="B53" s="418"/>
      <c r="C53" s="821"/>
      <c r="D53" s="790">
        <f>'Factor Summary'!B53</f>
        <v>55</v>
      </c>
      <c r="E53" s="740">
        <f>'Factor Summary'!C53</f>
        <v>1.6939237703659082</v>
      </c>
      <c r="F53" s="1235">
        <f>'Assess Freq'!U52</f>
        <v>4</v>
      </c>
      <c r="G53" s="833"/>
      <c r="H53" s="809"/>
      <c r="I53" s="822"/>
      <c r="J53" s="811"/>
      <c r="K53" s="823"/>
      <c r="L53" s="824"/>
      <c r="M53" s="825"/>
      <c r="N53" s="826"/>
      <c r="O53" s="826"/>
      <c r="P53" s="827"/>
      <c r="Q53" s="828"/>
      <c r="R53" s="829"/>
      <c r="S53" s="802"/>
      <c r="T53" s="830"/>
      <c r="U53" s="841"/>
      <c r="V53" s="711"/>
      <c r="W53" s="820"/>
      <c r="X53" s="711"/>
      <c r="Y53" s="711"/>
    </row>
    <row r="54" spans="1:25" s="747" customFormat="1" ht="17.25" x14ac:dyDescent="0.3">
      <c r="A54" s="572" t="s">
        <v>326</v>
      </c>
      <c r="B54" s="418">
        <v>2013</v>
      </c>
      <c r="C54" s="807" t="s">
        <v>218</v>
      </c>
      <c r="D54" s="790">
        <f>'Factor Summary'!B54</f>
        <v>50</v>
      </c>
      <c r="E54" s="740">
        <f>'Factor Summary'!C54</f>
        <v>1.8387709252803888</v>
      </c>
      <c r="F54" s="791">
        <f>'Assess Freq'!U53</f>
        <v>1</v>
      </c>
      <c r="G54" s="833"/>
      <c r="H54" s="809"/>
      <c r="I54" s="834"/>
      <c r="J54" s="811">
        <f t="shared" si="11"/>
        <v>0</v>
      </c>
      <c r="K54" s="823">
        <f t="shared" si="12"/>
        <v>-1</v>
      </c>
      <c r="L54" s="824">
        <f t="shared" si="13"/>
        <v>-0.18</v>
      </c>
      <c r="M54" s="825"/>
      <c r="N54" s="826">
        <f t="shared" si="14"/>
        <v>0</v>
      </c>
      <c r="O54" s="826">
        <f t="shared" si="15"/>
        <v>0</v>
      </c>
      <c r="P54" s="827">
        <f t="shared" si="16"/>
        <v>0</v>
      </c>
      <c r="Q54" s="828">
        <f t="shared" si="17"/>
        <v>1.6587709252803888</v>
      </c>
      <c r="R54" s="829">
        <f t="shared" si="18"/>
        <v>-0.17999999999999994</v>
      </c>
      <c r="S54" s="802">
        <f t="shared" si="19"/>
        <v>29</v>
      </c>
      <c r="T54" s="830">
        <f t="shared" si="20"/>
        <v>21</v>
      </c>
      <c r="U54" s="841" t="str">
        <f t="shared" si="21"/>
        <v xml:space="preserve"> </v>
      </c>
      <c r="V54" s="711"/>
      <c r="W54" s="820"/>
      <c r="X54" s="711"/>
      <c r="Y54" s="711"/>
    </row>
    <row r="55" spans="1:25" s="747" customFormat="1" ht="17.25" x14ac:dyDescent="0.3">
      <c r="A55" s="574" t="s">
        <v>91</v>
      </c>
      <c r="B55" s="418">
        <v>2021</v>
      </c>
      <c r="C55" s="807" t="s">
        <v>219</v>
      </c>
      <c r="D55" s="790">
        <f>'Factor Summary'!B55</f>
        <v>1</v>
      </c>
      <c r="E55" s="740">
        <f>'Factor Summary'!C55</f>
        <v>3.6223349636335604</v>
      </c>
      <c r="F55" s="791">
        <f>'Assess Freq'!U54</f>
        <v>-2</v>
      </c>
      <c r="G55" s="833"/>
      <c r="H55" s="809"/>
      <c r="I55" s="834"/>
      <c r="J55" s="811">
        <f t="shared" si="11"/>
        <v>0</v>
      </c>
      <c r="K55" s="823">
        <f t="shared" si="12"/>
        <v>2</v>
      </c>
      <c r="L55" s="824">
        <f t="shared" si="13"/>
        <v>0.36</v>
      </c>
      <c r="M55" s="825"/>
      <c r="N55" s="826">
        <f t="shared" si="14"/>
        <v>0</v>
      </c>
      <c r="O55" s="826">
        <f t="shared" si="15"/>
        <v>0</v>
      </c>
      <c r="P55" s="827">
        <f t="shared" si="16"/>
        <v>0</v>
      </c>
      <c r="Q55" s="828">
        <f t="shared" si="17"/>
        <v>3.9823349636335603</v>
      </c>
      <c r="R55" s="829">
        <f t="shared" si="18"/>
        <v>0.35999999999999988</v>
      </c>
      <c r="S55" s="802">
        <f t="shared" si="19"/>
        <v>1</v>
      </c>
      <c r="T55" s="830">
        <f t="shared" si="20"/>
        <v>0</v>
      </c>
      <c r="U55" s="841" t="str">
        <f t="shared" si="21"/>
        <v xml:space="preserve"> </v>
      </c>
      <c r="V55" s="842"/>
      <c r="W55" s="820" t="s">
        <v>230</v>
      </c>
      <c r="X55" s="711"/>
      <c r="Y55" s="711"/>
    </row>
    <row r="56" spans="1:25" s="747" customFormat="1" ht="17.25" x14ac:dyDescent="0.3">
      <c r="A56" s="572" t="s">
        <v>367</v>
      </c>
      <c r="B56" s="418"/>
      <c r="C56" s="821" t="s">
        <v>226</v>
      </c>
      <c r="D56" s="790">
        <f>'Factor Summary'!B56</f>
        <v>43</v>
      </c>
      <c r="E56" s="740">
        <f>'Factor Summary'!C56</f>
        <v>1.9238380873979424</v>
      </c>
      <c r="F56" s="791">
        <f>'Assess Freq'!U55</f>
        <v>3</v>
      </c>
      <c r="G56" s="833"/>
      <c r="H56" s="809"/>
      <c r="I56" s="822"/>
      <c r="J56" s="811">
        <f t="shared" si="11"/>
        <v>0</v>
      </c>
      <c r="K56" s="823">
        <f t="shared" si="12"/>
        <v>-3</v>
      </c>
      <c r="L56" s="824">
        <f t="shared" si="13"/>
        <v>-0.54</v>
      </c>
      <c r="M56" s="825"/>
      <c r="N56" s="826">
        <f t="shared" si="14"/>
        <v>0</v>
      </c>
      <c r="O56" s="826">
        <f t="shared" si="15"/>
        <v>0</v>
      </c>
      <c r="P56" s="827">
        <f t="shared" si="16"/>
        <v>0</v>
      </c>
      <c r="Q56" s="828">
        <f t="shared" si="17"/>
        <v>1.3838380873979423</v>
      </c>
      <c r="R56" s="829">
        <f t="shared" si="18"/>
        <v>-0.54</v>
      </c>
      <c r="S56" s="802">
        <f t="shared" si="19"/>
        <v>44</v>
      </c>
      <c r="T56" s="830">
        <f t="shared" si="20"/>
        <v>-1</v>
      </c>
      <c r="U56" s="841" t="str">
        <f t="shared" si="21"/>
        <v xml:space="preserve"> </v>
      </c>
      <c r="V56" s="711"/>
      <c r="W56" s="820"/>
      <c r="X56" s="711"/>
      <c r="Y56" s="711"/>
    </row>
    <row r="57" spans="1:25" s="747" customFormat="1" ht="17.25" x14ac:dyDescent="0.3">
      <c r="A57" s="572" t="s">
        <v>158</v>
      </c>
      <c r="B57" s="418">
        <v>2013</v>
      </c>
      <c r="C57" s="838" t="s">
        <v>225</v>
      </c>
      <c r="D57" s="790">
        <f>'Factor Summary'!B57</f>
        <v>62</v>
      </c>
      <c r="E57" s="740">
        <f>'Factor Summary'!C57</f>
        <v>1.2857794127602755</v>
      </c>
      <c r="F57" s="791">
        <f>'Assess Freq'!U56</f>
        <v>3</v>
      </c>
      <c r="G57" s="833"/>
      <c r="H57" s="809"/>
      <c r="I57" s="834"/>
      <c r="J57" s="811">
        <f t="shared" si="11"/>
        <v>0</v>
      </c>
      <c r="K57" s="823">
        <f t="shared" si="12"/>
        <v>-3</v>
      </c>
      <c r="L57" s="824">
        <f t="shared" si="13"/>
        <v>-0.54</v>
      </c>
      <c r="M57" s="825"/>
      <c r="N57" s="826">
        <f t="shared" si="14"/>
        <v>0</v>
      </c>
      <c r="O57" s="826">
        <f t="shared" si="15"/>
        <v>0</v>
      </c>
      <c r="P57" s="827">
        <f t="shared" si="16"/>
        <v>0</v>
      </c>
      <c r="Q57" s="828">
        <f t="shared" si="17"/>
        <v>0.74577941276027548</v>
      </c>
      <c r="R57" s="829">
        <f t="shared" si="18"/>
        <v>-0.54</v>
      </c>
      <c r="S57" s="802">
        <f t="shared" si="19"/>
        <v>57</v>
      </c>
      <c r="T57" s="830">
        <f t="shared" si="20"/>
        <v>5</v>
      </c>
      <c r="U57" s="841" t="str">
        <f t="shared" si="21"/>
        <v xml:space="preserve"> </v>
      </c>
      <c r="V57" s="711"/>
      <c r="W57" s="820"/>
      <c r="X57" s="711"/>
      <c r="Y57" s="711"/>
    </row>
    <row r="58" spans="1:25" s="747" customFormat="1" ht="17.25" x14ac:dyDescent="0.3">
      <c r="A58" s="572" t="s">
        <v>113</v>
      </c>
      <c r="B58" s="418"/>
      <c r="C58" s="821" t="s">
        <v>226</v>
      </c>
      <c r="D58" s="790">
        <f>'Factor Summary'!B58</f>
        <v>24</v>
      </c>
      <c r="E58" s="740">
        <f>'Factor Summary'!C58</f>
        <v>2.316663141033406</v>
      </c>
      <c r="F58" s="1235">
        <f>'Assess Freq'!U57</f>
        <v>4</v>
      </c>
      <c r="G58" s="833"/>
      <c r="H58" s="809"/>
      <c r="I58" s="822"/>
      <c r="J58" s="811">
        <f t="shared" si="11"/>
        <v>0</v>
      </c>
      <c r="K58" s="823">
        <f t="shared" si="12"/>
        <v>-4</v>
      </c>
      <c r="L58" s="824">
        <f t="shared" si="13"/>
        <v>-0.72</v>
      </c>
      <c r="M58" s="825"/>
      <c r="N58" s="826">
        <f t="shared" si="14"/>
        <v>0</v>
      </c>
      <c r="O58" s="826">
        <f t="shared" si="15"/>
        <v>0</v>
      </c>
      <c r="P58" s="827">
        <f t="shared" si="16"/>
        <v>0</v>
      </c>
      <c r="Q58" s="828">
        <f t="shared" si="17"/>
        <v>1.596663141033406</v>
      </c>
      <c r="R58" s="829">
        <f t="shared" si="18"/>
        <v>-0.72</v>
      </c>
      <c r="S58" s="802">
        <f t="shared" si="19"/>
        <v>31</v>
      </c>
      <c r="T58" s="830">
        <f t="shared" si="20"/>
        <v>-7</v>
      </c>
      <c r="U58" s="841" t="str">
        <f t="shared" si="21"/>
        <v xml:space="preserve"> </v>
      </c>
      <c r="V58" s="842"/>
      <c r="W58" s="820" t="s">
        <v>233</v>
      </c>
      <c r="X58" s="711"/>
      <c r="Y58" s="711"/>
    </row>
    <row r="59" spans="1:25" s="747" customFormat="1" ht="17.25" x14ac:dyDescent="0.3">
      <c r="A59" s="573" t="s">
        <v>87</v>
      </c>
      <c r="B59" s="418">
        <v>2013</v>
      </c>
      <c r="C59" s="807" t="s">
        <v>218</v>
      </c>
      <c r="D59" s="790">
        <f>'Factor Summary'!B59</f>
        <v>27</v>
      </c>
      <c r="E59" s="740">
        <f>'Factor Summary'!C59</f>
        <v>2.2373482152870796</v>
      </c>
      <c r="F59" s="791">
        <f>'Assess Freq'!U58</f>
        <v>1</v>
      </c>
      <c r="G59" s="833"/>
      <c r="H59" s="809"/>
      <c r="I59" s="834"/>
      <c r="J59" s="811">
        <f t="shared" si="11"/>
        <v>0</v>
      </c>
      <c r="K59" s="823">
        <f t="shared" si="12"/>
        <v>-1</v>
      </c>
      <c r="L59" s="824">
        <f t="shared" si="13"/>
        <v>-0.18</v>
      </c>
      <c r="M59" s="825"/>
      <c r="N59" s="826">
        <f t="shared" si="14"/>
        <v>0</v>
      </c>
      <c r="O59" s="826">
        <f t="shared" si="15"/>
        <v>0</v>
      </c>
      <c r="P59" s="827">
        <f t="shared" si="16"/>
        <v>0</v>
      </c>
      <c r="Q59" s="828">
        <f t="shared" si="17"/>
        <v>2.0573482152870795</v>
      </c>
      <c r="R59" s="829">
        <f t="shared" si="18"/>
        <v>-0.18000000000000016</v>
      </c>
      <c r="S59" s="802">
        <f t="shared" si="19"/>
        <v>18</v>
      </c>
      <c r="T59" s="830">
        <f t="shared" si="20"/>
        <v>9</v>
      </c>
      <c r="U59" s="841" t="str">
        <f t="shared" si="21"/>
        <v xml:space="preserve"> </v>
      </c>
      <c r="V59" s="711"/>
      <c r="W59" s="820"/>
      <c r="X59" s="711"/>
      <c r="Y59" s="711"/>
    </row>
    <row r="60" spans="1:25" s="747" customFormat="1" ht="17.25" x14ac:dyDescent="0.3">
      <c r="A60" s="573" t="s">
        <v>355</v>
      </c>
      <c r="B60" s="418"/>
      <c r="C60" s="807"/>
      <c r="D60" s="790">
        <f>'Factor Summary'!B60</f>
        <v>31</v>
      </c>
      <c r="E60" s="740">
        <f>'Factor Summary'!C60</f>
        <v>2.1906322923664452</v>
      </c>
      <c r="F60" s="1235">
        <f>'Assess Freq'!U59</f>
        <v>4</v>
      </c>
      <c r="G60" s="833"/>
      <c r="H60" s="809"/>
      <c r="I60" s="834"/>
      <c r="J60" s="811"/>
      <c r="K60" s="823"/>
      <c r="L60" s="824"/>
      <c r="M60" s="825"/>
      <c r="N60" s="826"/>
      <c r="O60" s="826"/>
      <c r="P60" s="827"/>
      <c r="Q60" s="828"/>
      <c r="R60" s="829"/>
      <c r="S60" s="802"/>
      <c r="T60" s="830"/>
      <c r="U60" s="841"/>
      <c r="V60" s="711"/>
      <c r="W60" s="820"/>
      <c r="X60" s="711"/>
      <c r="Y60" s="711"/>
    </row>
    <row r="61" spans="1:25" s="747" customFormat="1" ht="17.25" x14ac:dyDescent="0.3">
      <c r="A61" s="572" t="s">
        <v>114</v>
      </c>
      <c r="B61" s="418"/>
      <c r="C61" s="821" t="s">
        <v>226</v>
      </c>
      <c r="D61" s="790">
        <f>'Factor Summary'!B61</f>
        <v>23</v>
      </c>
      <c r="E61" s="740">
        <f>'Factor Summary'!C61</f>
        <v>2.3639938299944099</v>
      </c>
      <c r="F61" s="791">
        <f>'Assess Freq'!U60</f>
        <v>5</v>
      </c>
      <c r="G61" s="833"/>
      <c r="H61" s="809"/>
      <c r="I61" s="822"/>
      <c r="J61" s="811">
        <f t="shared" si="11"/>
        <v>0</v>
      </c>
      <c r="K61" s="823">
        <f t="shared" si="12"/>
        <v>-5</v>
      </c>
      <c r="L61" s="824">
        <f t="shared" si="13"/>
        <v>-0.89999999999999991</v>
      </c>
      <c r="M61" s="825"/>
      <c r="N61" s="826">
        <f t="shared" si="14"/>
        <v>0</v>
      </c>
      <c r="O61" s="826">
        <f t="shared" si="15"/>
        <v>0</v>
      </c>
      <c r="P61" s="827">
        <f t="shared" si="16"/>
        <v>0</v>
      </c>
      <c r="Q61" s="828">
        <f t="shared" si="17"/>
        <v>1.46399382999441</v>
      </c>
      <c r="R61" s="829">
        <f t="shared" si="18"/>
        <v>-0.89999999999999991</v>
      </c>
      <c r="S61" s="802">
        <f t="shared" si="19"/>
        <v>41</v>
      </c>
      <c r="T61" s="830">
        <f t="shared" si="20"/>
        <v>-18</v>
      </c>
      <c r="U61" s="841" t="str">
        <f t="shared" si="21"/>
        <v xml:space="preserve"> </v>
      </c>
      <c r="V61" s="711"/>
      <c r="W61" s="820"/>
      <c r="X61" s="711"/>
      <c r="Y61" s="711"/>
    </row>
    <row r="62" spans="1:25" s="747" customFormat="1" ht="17.25" x14ac:dyDescent="0.3">
      <c r="A62" s="572" t="s">
        <v>160</v>
      </c>
      <c r="B62" s="418">
        <v>2009</v>
      </c>
      <c r="C62" s="807" t="s">
        <v>218</v>
      </c>
      <c r="D62" s="790">
        <f>'Factor Summary'!B62</f>
        <v>6</v>
      </c>
      <c r="E62" s="740">
        <f>'Factor Summary'!C62</f>
        <v>2.721540646920996</v>
      </c>
      <c r="F62" s="791">
        <f>'Assess Freq'!U61</f>
        <v>10</v>
      </c>
      <c r="G62" s="833"/>
      <c r="H62" s="809"/>
      <c r="I62" s="834"/>
      <c r="J62" s="811">
        <f t="shared" si="11"/>
        <v>0</v>
      </c>
      <c r="K62" s="823">
        <f t="shared" si="12"/>
        <v>-10</v>
      </c>
      <c r="L62" s="824">
        <f t="shared" si="13"/>
        <v>-1.7999999999999998</v>
      </c>
      <c r="M62" s="825"/>
      <c r="N62" s="826">
        <f t="shared" si="14"/>
        <v>0</v>
      </c>
      <c r="O62" s="826">
        <f t="shared" si="15"/>
        <v>0</v>
      </c>
      <c r="P62" s="827">
        <f t="shared" si="16"/>
        <v>0</v>
      </c>
      <c r="Q62" s="828">
        <f t="shared" si="17"/>
        <v>0.92154064692099613</v>
      </c>
      <c r="R62" s="829">
        <f t="shared" si="18"/>
        <v>-1.7999999999999998</v>
      </c>
      <c r="S62" s="802">
        <f t="shared" si="19"/>
        <v>55</v>
      </c>
      <c r="T62" s="830">
        <f t="shared" si="20"/>
        <v>-49</v>
      </c>
      <c r="U62" s="841" t="str">
        <f t="shared" si="21"/>
        <v xml:space="preserve"> </v>
      </c>
      <c r="V62" s="842"/>
      <c r="W62" s="820"/>
      <c r="X62" s="711"/>
      <c r="Y62" s="711"/>
    </row>
    <row r="63" spans="1:25" s="747" customFormat="1" ht="17.25" x14ac:dyDescent="0.3">
      <c r="A63" s="572" t="s">
        <v>115</v>
      </c>
      <c r="B63" s="418">
        <v>2021</v>
      </c>
      <c r="C63" s="838" t="s">
        <v>225</v>
      </c>
      <c r="D63" s="790">
        <f>'Factor Summary'!B63</f>
        <v>63</v>
      </c>
      <c r="E63" s="740">
        <f>'Factor Summary'!C63</f>
        <v>1.2071088824787295</v>
      </c>
      <c r="F63" s="791">
        <f>'Assess Freq'!U62</f>
        <v>-2</v>
      </c>
      <c r="G63" s="833"/>
      <c r="H63" s="809"/>
      <c r="I63" s="822"/>
      <c r="J63" s="811">
        <f t="shared" si="11"/>
        <v>0</v>
      </c>
      <c r="K63" s="823">
        <f t="shared" si="12"/>
        <v>2</v>
      </c>
      <c r="L63" s="824">
        <f t="shared" si="13"/>
        <v>0.36</v>
      </c>
      <c r="M63" s="825"/>
      <c r="N63" s="826">
        <f t="shared" si="14"/>
        <v>0</v>
      </c>
      <c r="O63" s="826">
        <f t="shared" si="15"/>
        <v>0</v>
      </c>
      <c r="P63" s="827">
        <f t="shared" si="16"/>
        <v>0</v>
      </c>
      <c r="Q63" s="828">
        <f t="shared" si="17"/>
        <v>1.5671088824787294</v>
      </c>
      <c r="R63" s="829">
        <f t="shared" si="18"/>
        <v>0.35999999999999988</v>
      </c>
      <c r="S63" s="802">
        <f t="shared" si="19"/>
        <v>32</v>
      </c>
      <c r="T63" s="830">
        <f t="shared" si="20"/>
        <v>31</v>
      </c>
      <c r="U63" s="841" t="str">
        <f t="shared" si="21"/>
        <v xml:space="preserve"> </v>
      </c>
      <c r="V63" s="842"/>
      <c r="W63" s="820"/>
      <c r="X63" s="711"/>
      <c r="Y63" s="711"/>
    </row>
    <row r="64" spans="1:25" s="747" customFormat="1" ht="17.25" x14ac:dyDescent="0.3">
      <c r="A64" s="573" t="s">
        <v>18</v>
      </c>
      <c r="B64" s="418"/>
      <c r="C64" s="821" t="s">
        <v>226</v>
      </c>
      <c r="D64" s="790">
        <f>'Factor Summary'!B64</f>
        <v>40</v>
      </c>
      <c r="E64" s="740">
        <f>'Factor Summary'!C64</f>
        <v>1.9747257630289667</v>
      </c>
      <c r="F64" s="1235">
        <f>'Assess Freq'!U63</f>
        <v>4</v>
      </c>
      <c r="G64" s="833"/>
      <c r="H64" s="809"/>
      <c r="I64" s="822"/>
      <c r="J64" s="811">
        <f t="shared" si="11"/>
        <v>0</v>
      </c>
      <c r="K64" s="823">
        <f t="shared" si="12"/>
        <v>-4</v>
      </c>
      <c r="L64" s="824">
        <f t="shared" si="13"/>
        <v>-0.72</v>
      </c>
      <c r="M64" s="825"/>
      <c r="N64" s="826">
        <f t="shared" si="14"/>
        <v>0</v>
      </c>
      <c r="O64" s="826">
        <f t="shared" si="15"/>
        <v>0</v>
      </c>
      <c r="P64" s="827">
        <f t="shared" si="16"/>
        <v>0</v>
      </c>
      <c r="Q64" s="828">
        <f t="shared" si="17"/>
        <v>1.2547257630289668</v>
      </c>
      <c r="R64" s="829">
        <f t="shared" si="18"/>
        <v>-0.72</v>
      </c>
      <c r="S64" s="802">
        <f t="shared" si="19"/>
        <v>49</v>
      </c>
      <c r="T64" s="830">
        <f t="shared" si="20"/>
        <v>-9</v>
      </c>
      <c r="U64" s="841" t="str">
        <f t="shared" si="21"/>
        <v xml:space="preserve"> </v>
      </c>
      <c r="V64" s="711"/>
      <c r="W64" s="820"/>
      <c r="X64" s="711"/>
      <c r="Y64" s="711"/>
    </row>
    <row r="65" spans="1:25" s="747" customFormat="1" ht="17.25" x14ac:dyDescent="0.3">
      <c r="A65" s="572" t="s">
        <v>116</v>
      </c>
      <c r="B65" s="418"/>
      <c r="C65" s="821" t="s">
        <v>226</v>
      </c>
      <c r="D65" s="790">
        <f>'Factor Summary'!B65</f>
        <v>14</v>
      </c>
      <c r="E65" s="740">
        <f>'Factor Summary'!C65</f>
        <v>2.5398425229379198</v>
      </c>
      <c r="F65" s="791">
        <f>'Assess Freq'!U64</f>
        <v>5</v>
      </c>
      <c r="G65" s="833"/>
      <c r="H65" s="809"/>
      <c r="I65" s="822"/>
      <c r="J65" s="811">
        <f t="shared" si="11"/>
        <v>0</v>
      </c>
      <c r="K65" s="823">
        <f t="shared" si="12"/>
        <v>-5</v>
      </c>
      <c r="L65" s="824">
        <f t="shared" si="13"/>
        <v>-0.89999999999999991</v>
      </c>
      <c r="M65" s="825"/>
      <c r="N65" s="826">
        <f t="shared" si="14"/>
        <v>0</v>
      </c>
      <c r="O65" s="826">
        <f t="shared" si="15"/>
        <v>0</v>
      </c>
      <c r="P65" s="827">
        <f t="shared" si="16"/>
        <v>0</v>
      </c>
      <c r="Q65" s="828">
        <f t="shared" si="17"/>
        <v>1.6398425229379199</v>
      </c>
      <c r="R65" s="829">
        <f t="shared" si="18"/>
        <v>-0.89999999999999991</v>
      </c>
      <c r="S65" s="802">
        <f t="shared" si="19"/>
        <v>30</v>
      </c>
      <c r="T65" s="830">
        <f t="shared" si="20"/>
        <v>-16</v>
      </c>
      <c r="U65" s="841" t="str">
        <f t="shared" si="21"/>
        <v xml:space="preserve"> </v>
      </c>
      <c r="V65" s="842"/>
      <c r="W65" s="820"/>
      <c r="X65" s="711"/>
      <c r="Y65" s="711"/>
    </row>
    <row r="66" spans="1:25" s="747" customFormat="1" ht="17.25" x14ac:dyDescent="0.3">
      <c r="A66" s="572" t="s">
        <v>356</v>
      </c>
      <c r="B66" s="418"/>
      <c r="C66" s="821"/>
      <c r="D66" s="790">
        <f>'Factor Summary'!B66</f>
        <v>28</v>
      </c>
      <c r="E66" s="740">
        <f>'Factor Summary'!C66</f>
        <v>2.2195014763685874</v>
      </c>
      <c r="F66" s="1235">
        <f>'Assess Freq'!U65</f>
        <v>4</v>
      </c>
      <c r="G66" s="833"/>
      <c r="H66" s="809"/>
      <c r="I66" s="822"/>
      <c r="J66" s="811"/>
      <c r="K66" s="823"/>
      <c r="L66" s="824"/>
      <c r="M66" s="825"/>
      <c r="N66" s="826"/>
      <c r="O66" s="826"/>
      <c r="P66" s="827"/>
      <c r="Q66" s="828"/>
      <c r="R66" s="829"/>
      <c r="S66" s="802"/>
      <c r="T66" s="830"/>
      <c r="U66" s="841"/>
      <c r="V66" s="842"/>
      <c r="W66" s="820"/>
      <c r="X66" s="711"/>
      <c r="Y66" s="711"/>
    </row>
    <row r="67" spans="1:25" s="747" customFormat="1" ht="17.25" x14ac:dyDescent="0.3">
      <c r="A67" s="572" t="s">
        <v>246</v>
      </c>
      <c r="B67" s="418"/>
      <c r="C67" s="821" t="s">
        <v>226</v>
      </c>
      <c r="D67" s="790">
        <f>'Factor Summary'!B67</f>
        <v>22</v>
      </c>
      <c r="E67" s="740">
        <f>'Factor Summary'!C67</f>
        <v>2.3700322603610378</v>
      </c>
      <c r="F67" s="791">
        <f>'Assess Freq'!U66</f>
        <v>3</v>
      </c>
      <c r="G67" s="833"/>
      <c r="H67" s="809"/>
      <c r="I67" s="822"/>
      <c r="J67" s="811">
        <f t="shared" si="11"/>
        <v>0</v>
      </c>
      <c r="K67" s="823">
        <f t="shared" si="12"/>
        <v>-3</v>
      </c>
      <c r="L67" s="824">
        <f t="shared" si="13"/>
        <v>-0.54</v>
      </c>
      <c r="M67" s="825"/>
      <c r="N67" s="826">
        <f t="shared" si="14"/>
        <v>0</v>
      </c>
      <c r="O67" s="826">
        <f t="shared" si="15"/>
        <v>0</v>
      </c>
      <c r="P67" s="827">
        <f t="shared" si="16"/>
        <v>0</v>
      </c>
      <c r="Q67" s="828">
        <f t="shared" si="17"/>
        <v>1.8300322603610377</v>
      </c>
      <c r="R67" s="829">
        <f t="shared" si="18"/>
        <v>-0.54</v>
      </c>
      <c r="S67" s="802">
        <f t="shared" si="19"/>
        <v>23</v>
      </c>
      <c r="T67" s="830">
        <f t="shared" si="20"/>
        <v>-1</v>
      </c>
      <c r="U67" s="841" t="str">
        <f t="shared" si="21"/>
        <v xml:space="preserve"> </v>
      </c>
      <c r="V67" s="842"/>
      <c r="W67" s="839" t="s">
        <v>227</v>
      </c>
      <c r="X67" s="711"/>
      <c r="Y67" s="711"/>
    </row>
    <row r="68" spans="1:25" s="747" customFormat="1" ht="17.25" x14ac:dyDescent="0.3">
      <c r="A68" s="572" t="s">
        <v>306</v>
      </c>
      <c r="B68" s="418">
        <v>2021</v>
      </c>
      <c r="C68" s="807" t="s">
        <v>218</v>
      </c>
      <c r="D68" s="790">
        <f>'Factor Summary'!B68</f>
        <v>16</v>
      </c>
      <c r="E68" s="740">
        <f>'Factor Summary'!C68</f>
        <v>2.457053309184146</v>
      </c>
      <c r="F68" s="791">
        <f>'Assess Freq'!U67</f>
        <v>-2</v>
      </c>
      <c r="G68" s="833"/>
      <c r="H68" s="809"/>
      <c r="I68" s="822"/>
      <c r="J68" s="811">
        <f t="shared" si="11"/>
        <v>0</v>
      </c>
      <c r="K68" s="823">
        <f t="shared" si="12"/>
        <v>2</v>
      </c>
      <c r="L68" s="824">
        <f t="shared" si="13"/>
        <v>0.36</v>
      </c>
      <c r="M68" s="825"/>
      <c r="N68" s="826">
        <f t="shared" si="14"/>
        <v>0</v>
      </c>
      <c r="O68" s="826">
        <f t="shared" si="15"/>
        <v>0</v>
      </c>
      <c r="P68" s="827">
        <f t="shared" si="16"/>
        <v>0</v>
      </c>
      <c r="Q68" s="828">
        <f t="shared" si="17"/>
        <v>2.8170533091841459</v>
      </c>
      <c r="R68" s="829">
        <f t="shared" si="18"/>
        <v>0.35999999999999988</v>
      </c>
      <c r="S68" s="802">
        <f t="shared" si="19"/>
        <v>7</v>
      </c>
      <c r="T68" s="830">
        <f t="shared" si="20"/>
        <v>9</v>
      </c>
      <c r="U68" s="841" t="str">
        <f t="shared" si="21"/>
        <v xml:space="preserve"> </v>
      </c>
      <c r="V68" s="842"/>
      <c r="W68" s="820" t="s">
        <v>232</v>
      </c>
      <c r="X68" s="711"/>
      <c r="Y68" s="711"/>
    </row>
    <row r="69" spans="1:25" s="747" customFormat="1" ht="17.25" x14ac:dyDescent="0.3">
      <c r="A69" s="573" t="s">
        <v>98</v>
      </c>
      <c r="B69" s="418">
        <v>2019</v>
      </c>
      <c r="C69" s="836" t="s">
        <v>219</v>
      </c>
      <c r="D69" s="790">
        <f>'Factor Summary'!B69</f>
        <v>8</v>
      </c>
      <c r="E69" s="740">
        <f>'Factor Summary'!C69</f>
        <v>2.6385384412982047</v>
      </c>
      <c r="F69" s="791">
        <f>'Assess Freq'!U68</f>
        <v>-1</v>
      </c>
      <c r="G69" s="837"/>
      <c r="H69" s="809"/>
      <c r="I69" s="834"/>
      <c r="J69" s="811">
        <f t="shared" si="11"/>
        <v>0</v>
      </c>
      <c r="K69" s="823">
        <f t="shared" si="12"/>
        <v>1</v>
      </c>
      <c r="L69" s="824">
        <f t="shared" si="13"/>
        <v>0.18</v>
      </c>
      <c r="M69" s="825"/>
      <c r="N69" s="826">
        <f t="shared" si="14"/>
        <v>0</v>
      </c>
      <c r="O69" s="826">
        <f t="shared" si="15"/>
        <v>0</v>
      </c>
      <c r="P69" s="827">
        <f t="shared" si="16"/>
        <v>0</v>
      </c>
      <c r="Q69" s="828">
        <f t="shared" si="17"/>
        <v>2.8185384412982049</v>
      </c>
      <c r="R69" s="829">
        <f t="shared" si="18"/>
        <v>0.18000000000000016</v>
      </c>
      <c r="S69" s="802">
        <f t="shared" si="19"/>
        <v>6</v>
      </c>
      <c r="T69" s="830">
        <f t="shared" si="20"/>
        <v>2</v>
      </c>
      <c r="U69" s="841" t="str">
        <f t="shared" si="21"/>
        <v xml:space="preserve"> </v>
      </c>
      <c r="V69" s="842"/>
      <c r="W69" s="820"/>
      <c r="X69" s="711"/>
      <c r="Y69" s="711"/>
    </row>
    <row r="70" spans="1:25" s="747" customFormat="1" ht="17.25" x14ac:dyDescent="0.3">
      <c r="A70" s="573" t="s">
        <v>161</v>
      </c>
      <c r="B70" s="418">
        <v>2017</v>
      </c>
      <c r="C70" s="807" t="s">
        <v>218</v>
      </c>
      <c r="D70" s="790">
        <f>'Factor Summary'!B70</f>
        <v>38</v>
      </c>
      <c r="E70" s="740">
        <f>'Factor Summary'!C70</f>
        <v>1.9903224774663146</v>
      </c>
      <c r="F70" s="791">
        <f>'Assess Freq'!U69</f>
        <v>0</v>
      </c>
      <c r="G70" s="833"/>
      <c r="H70" s="809"/>
      <c r="I70" s="834"/>
      <c r="J70" s="811">
        <f t="shared" si="11"/>
        <v>0</v>
      </c>
      <c r="K70" s="823">
        <f t="shared" si="12"/>
        <v>0</v>
      </c>
      <c r="L70" s="824">
        <f t="shared" si="13"/>
        <v>0</v>
      </c>
      <c r="M70" s="825"/>
      <c r="N70" s="826">
        <f t="shared" si="14"/>
        <v>0</v>
      </c>
      <c r="O70" s="826">
        <f t="shared" si="15"/>
        <v>0</v>
      </c>
      <c r="P70" s="827">
        <f t="shared" si="16"/>
        <v>0</v>
      </c>
      <c r="Q70" s="828">
        <f t="shared" si="17"/>
        <v>1.9903224774663146</v>
      </c>
      <c r="R70" s="829">
        <f t="shared" si="18"/>
        <v>0</v>
      </c>
      <c r="S70" s="802">
        <f t="shared" si="19"/>
        <v>20</v>
      </c>
      <c r="T70" s="830">
        <f t="shared" si="20"/>
        <v>18</v>
      </c>
      <c r="U70" s="841" t="str">
        <f t="shared" si="21"/>
        <v xml:space="preserve"> </v>
      </c>
      <c r="V70" s="842"/>
      <c r="W70" s="820"/>
      <c r="X70" s="711"/>
      <c r="Y70" s="711"/>
    </row>
    <row r="71" spans="1:25" s="747" customFormat="1" ht="17.25" x14ac:dyDescent="0.3">
      <c r="A71" s="1040" t="s">
        <v>359</v>
      </c>
      <c r="B71" s="1041"/>
      <c r="C71" s="1042"/>
      <c r="D71" s="790">
        <f>'Factor Summary'!B71</f>
        <v>54</v>
      </c>
      <c r="E71" s="740">
        <f>'Factor Summary'!C71</f>
        <v>1.7386606967433897</v>
      </c>
      <c r="F71" s="1235">
        <f>'Assess Freq'!U70</f>
        <v>4</v>
      </c>
      <c r="G71" s="1043"/>
      <c r="H71" s="793"/>
      <c r="I71" s="1044"/>
      <c r="J71" s="794"/>
      <c r="K71" s="1045"/>
      <c r="L71" s="1046"/>
      <c r="M71" s="1047"/>
      <c r="N71" s="1048"/>
      <c r="O71" s="1048"/>
      <c r="P71" s="1049"/>
      <c r="Q71" s="1050"/>
      <c r="R71" s="1051"/>
      <c r="S71" s="1052"/>
      <c r="T71" s="1053"/>
      <c r="U71" s="1054"/>
      <c r="V71" s="842"/>
      <c r="W71" s="1055"/>
      <c r="X71" s="711"/>
      <c r="Y71" s="711"/>
    </row>
    <row r="72" spans="1:25" s="747" customFormat="1" ht="18" thickBot="1" x14ac:dyDescent="0.35">
      <c r="A72" s="575" t="s">
        <v>162</v>
      </c>
      <c r="B72" s="502">
        <v>2017</v>
      </c>
      <c r="C72" s="844" t="s">
        <v>218</v>
      </c>
      <c r="D72" s="790">
        <f>'Factor Summary'!B72</f>
        <v>5</v>
      </c>
      <c r="E72" s="740">
        <f>'Factor Summary'!C72</f>
        <v>2.7773225075599046</v>
      </c>
      <c r="F72" s="791">
        <f>'Assess Freq'!U71</f>
        <v>0</v>
      </c>
      <c r="G72" s="980"/>
      <c r="H72" s="845"/>
      <c r="I72" s="983"/>
      <c r="J72" s="846">
        <f t="shared" si="11"/>
        <v>0</v>
      </c>
      <c r="K72" s="847">
        <f t="shared" si="12"/>
        <v>0</v>
      </c>
      <c r="L72" s="848">
        <f t="shared" si="13"/>
        <v>0</v>
      </c>
      <c r="M72" s="849"/>
      <c r="N72" s="850">
        <f t="shared" si="14"/>
        <v>0</v>
      </c>
      <c r="O72" s="850">
        <f t="shared" si="15"/>
        <v>0</v>
      </c>
      <c r="P72" s="851">
        <f t="shared" si="16"/>
        <v>0</v>
      </c>
      <c r="Q72" s="852">
        <f t="shared" si="17"/>
        <v>2.7773225075599046</v>
      </c>
      <c r="R72" s="853">
        <f t="shared" si="18"/>
        <v>0</v>
      </c>
      <c r="S72" s="854">
        <f t="shared" si="19"/>
        <v>8</v>
      </c>
      <c r="T72" s="855">
        <f t="shared" si="20"/>
        <v>-3</v>
      </c>
      <c r="U72" s="856" t="str">
        <f t="shared" si="21"/>
        <v xml:space="preserve"> </v>
      </c>
      <c r="V72" s="857"/>
      <c r="W72" s="840"/>
      <c r="X72" s="711"/>
      <c r="Y72" s="711"/>
    </row>
    <row r="73" spans="1:25" x14ac:dyDescent="0.3">
      <c r="A73" s="858"/>
      <c r="B73" s="142"/>
      <c r="C73" s="398"/>
      <c r="D73" s="359"/>
      <c r="F73" s="859"/>
      <c r="G73" s="859"/>
      <c r="H73" s="859"/>
      <c r="I73" s="859"/>
      <c r="J73" s="708"/>
      <c r="K73" s="708"/>
      <c r="L73" s="709"/>
      <c r="M73" s="710"/>
      <c r="N73" s="708"/>
      <c r="O73" s="708"/>
      <c r="P73" s="710"/>
      <c r="Q73" s="708"/>
      <c r="R73" s="708"/>
      <c r="S73" s="708"/>
      <c r="T73" s="708"/>
      <c r="U73" s="708"/>
      <c r="V73" s="708"/>
      <c r="W73" s="711"/>
      <c r="X73" s="708"/>
      <c r="Y73" s="708"/>
    </row>
    <row r="74" spans="1:25" x14ac:dyDescent="0.3">
      <c r="A74" s="858"/>
      <c r="B74" s="142"/>
      <c r="C74" s="398"/>
      <c r="D74" s="359"/>
      <c r="F74" s="1234" t="s">
        <v>307</v>
      </c>
      <c r="G74" s="860"/>
      <c r="H74" s="860"/>
      <c r="I74" s="860"/>
      <c r="J74" s="861"/>
      <c r="K74" s="861"/>
      <c r="L74" s="709"/>
      <c r="M74" s="710"/>
      <c r="N74" s="708"/>
      <c r="O74" s="708"/>
      <c r="P74" s="710"/>
      <c r="Q74" s="708"/>
      <c r="R74" s="708"/>
      <c r="S74" s="708"/>
      <c r="T74" s="708"/>
      <c r="U74" s="708"/>
      <c r="V74" s="708"/>
      <c r="W74" s="711"/>
      <c r="X74" s="708"/>
      <c r="Y74" s="708"/>
    </row>
    <row r="75" spans="1:25" x14ac:dyDescent="0.3">
      <c r="A75" s="858"/>
      <c r="B75" s="142"/>
      <c r="C75" s="398"/>
      <c r="D75" s="359"/>
      <c r="F75" s="859"/>
      <c r="G75" s="859"/>
      <c r="H75" s="859"/>
      <c r="I75" s="859"/>
      <c r="J75" s="708"/>
      <c r="K75" s="708"/>
      <c r="L75" s="709"/>
      <c r="M75" s="710"/>
      <c r="N75" s="708"/>
      <c r="O75" s="708"/>
      <c r="P75" s="710"/>
      <c r="Q75" s="708"/>
      <c r="R75" s="708"/>
      <c r="S75" s="708"/>
      <c r="T75" s="708"/>
      <c r="U75" s="708"/>
      <c r="V75" s="708"/>
      <c r="W75" s="711"/>
      <c r="X75" s="708"/>
      <c r="Y75" s="708"/>
    </row>
    <row r="76" spans="1:25" x14ac:dyDescent="0.3">
      <c r="A76" s="862"/>
      <c r="B76" s="142"/>
      <c r="C76" s="398"/>
      <c r="D76" s="359"/>
      <c r="F76" s="708"/>
      <c r="G76" s="708"/>
      <c r="H76" s="708"/>
      <c r="I76" s="708"/>
      <c r="J76" s="708"/>
      <c r="K76" s="708"/>
      <c r="L76" s="709"/>
      <c r="M76" s="710"/>
      <c r="N76" s="708"/>
      <c r="O76" s="708"/>
      <c r="P76" s="710"/>
      <c r="Q76" s="708"/>
      <c r="R76" s="708"/>
      <c r="S76" s="708"/>
      <c r="T76" s="708"/>
      <c r="U76" s="708"/>
      <c r="V76" s="708"/>
      <c r="W76" s="711"/>
      <c r="X76" s="708"/>
      <c r="Y76" s="708"/>
    </row>
    <row r="77" spans="1:25" x14ac:dyDescent="0.3">
      <c r="A77" s="862"/>
      <c r="B77" s="193"/>
      <c r="C77" s="398"/>
      <c r="D77" s="359"/>
      <c r="F77" s="708"/>
      <c r="G77" s="708"/>
      <c r="H77" s="708"/>
      <c r="I77" s="708"/>
      <c r="J77" s="708"/>
      <c r="K77" s="708"/>
      <c r="L77" s="709"/>
      <c r="M77" s="710"/>
      <c r="N77" s="708"/>
      <c r="O77" s="708"/>
      <c r="P77" s="710"/>
      <c r="Q77" s="708"/>
      <c r="R77" s="708"/>
      <c r="S77" s="708"/>
      <c r="T77" s="708"/>
      <c r="U77" s="708"/>
      <c r="V77" s="708"/>
      <c r="W77" s="711"/>
      <c r="X77" s="708"/>
      <c r="Y77" s="708"/>
    </row>
    <row r="78" spans="1:25" x14ac:dyDescent="0.3">
      <c r="A78" s="862"/>
      <c r="B78" s="142"/>
      <c r="C78" s="398"/>
      <c r="D78" s="359"/>
      <c r="F78" s="708"/>
      <c r="G78" s="708"/>
      <c r="H78" s="708"/>
      <c r="I78" s="708"/>
      <c r="J78" s="708"/>
      <c r="K78" s="708"/>
      <c r="L78" s="709"/>
      <c r="M78" s="710"/>
      <c r="N78" s="708"/>
      <c r="O78" s="708"/>
      <c r="P78" s="710"/>
      <c r="Q78" s="708"/>
      <c r="R78" s="708"/>
      <c r="S78" s="708"/>
      <c r="T78" s="708"/>
      <c r="U78" s="708"/>
      <c r="V78" s="708"/>
      <c r="W78" s="711"/>
      <c r="X78" s="708"/>
      <c r="Y78" s="708"/>
    </row>
    <row r="79" spans="1:25" x14ac:dyDescent="0.3">
      <c r="A79" s="862"/>
      <c r="B79"/>
      <c r="C79" s="398"/>
      <c r="D79" s="201"/>
      <c r="E79" s="201"/>
      <c r="F79" s="708"/>
      <c r="G79" s="708"/>
      <c r="H79" s="708"/>
      <c r="I79" s="708"/>
      <c r="J79" s="708"/>
      <c r="K79" s="708"/>
      <c r="L79" s="709"/>
      <c r="M79" s="710"/>
      <c r="N79" s="708"/>
      <c r="O79" s="708"/>
      <c r="P79" s="710"/>
      <c r="Q79" s="708"/>
      <c r="R79" s="708"/>
      <c r="S79" s="708"/>
      <c r="T79" s="708"/>
      <c r="U79" s="708"/>
      <c r="V79" s="708"/>
      <c r="W79" s="711"/>
      <c r="X79" s="708"/>
      <c r="Y79" s="708"/>
    </row>
    <row r="80" spans="1:25" x14ac:dyDescent="0.3">
      <c r="A80" s="862"/>
      <c r="B80"/>
      <c r="D80" s="201"/>
      <c r="E80" s="201"/>
      <c r="F80" s="708"/>
      <c r="G80" s="708"/>
      <c r="H80" s="708"/>
      <c r="I80" s="708"/>
      <c r="J80" s="708"/>
      <c r="K80" s="708"/>
      <c r="L80" s="709"/>
      <c r="M80" s="710"/>
      <c r="N80" s="708"/>
      <c r="O80" s="708"/>
      <c r="P80" s="710"/>
      <c r="Q80" s="708"/>
      <c r="R80" s="708"/>
      <c r="S80" s="708"/>
      <c r="T80" s="708"/>
      <c r="U80" s="708"/>
      <c r="V80" s="708"/>
      <c r="W80" s="711"/>
      <c r="X80" s="708"/>
      <c r="Y80" s="708"/>
    </row>
    <row r="81" spans="1:25" x14ac:dyDescent="0.3">
      <c r="A81" s="862"/>
      <c r="B81"/>
      <c r="D81" s="201"/>
      <c r="E81" s="201"/>
      <c r="F81" s="708"/>
      <c r="G81" s="708"/>
      <c r="H81" s="708"/>
      <c r="I81" s="708"/>
      <c r="J81" s="708"/>
      <c r="K81" s="708"/>
      <c r="L81" s="709"/>
      <c r="M81" s="710"/>
      <c r="N81" s="708"/>
      <c r="O81" s="708"/>
      <c r="P81" s="710"/>
      <c r="Q81" s="708"/>
      <c r="R81" s="708"/>
      <c r="S81" s="708"/>
      <c r="T81" s="708"/>
      <c r="U81" s="708"/>
      <c r="V81" s="708"/>
      <c r="W81" s="711"/>
      <c r="X81" s="708"/>
      <c r="Y81" s="708"/>
    </row>
    <row r="82" spans="1:25" x14ac:dyDescent="0.3">
      <c r="A82" s="862"/>
      <c r="B82"/>
      <c r="D82" s="201"/>
      <c r="E82" s="201"/>
      <c r="F82" s="708"/>
      <c r="G82" s="708"/>
      <c r="H82" s="708"/>
      <c r="I82" s="708"/>
      <c r="J82" s="708"/>
      <c r="K82" s="708"/>
      <c r="L82" s="709"/>
      <c r="M82" s="710"/>
      <c r="N82" s="708"/>
      <c r="O82" s="708"/>
      <c r="P82" s="710"/>
      <c r="Q82" s="708"/>
      <c r="R82" s="708"/>
      <c r="S82" s="708"/>
      <c r="T82" s="708"/>
      <c r="U82" s="708"/>
      <c r="V82" s="708"/>
      <c r="W82" s="711"/>
      <c r="X82" s="708"/>
      <c r="Y82" s="708"/>
    </row>
    <row r="83" spans="1:25" x14ac:dyDescent="0.3">
      <c r="B83"/>
      <c r="D83" s="161"/>
      <c r="E83" s="201"/>
    </row>
  </sheetData>
  <sortState ref="A8:AB64">
    <sortCondition ref="D8:D64"/>
  </sortState>
  <conditionalFormatting sqref="S8:S72">
    <cfRule type="cellIs" dxfId="5" priority="6" stopIfTrue="1" operator="lessThanOrEqual">
      <formula>19</formula>
    </cfRule>
    <cfRule type="cellIs" dxfId="4" priority="7" stopIfTrue="1" operator="lessThanOrEqual">
      <formula>39</formula>
    </cfRule>
    <cfRule type="cellIs" dxfId="3" priority="8" operator="greaterThan">
      <formula>39</formula>
    </cfRule>
  </conditionalFormatting>
  <conditionalFormatting sqref="T8">
    <cfRule type="colorScale" priority="5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C72">
    <cfRule type="colorScale" priority="4">
      <colorScale>
        <cfvo type="min"/>
        <cfvo type="percentile" val="45"/>
        <cfvo type="max"/>
        <color rgb="FFF97B7E"/>
        <color rgb="FFFFEB84"/>
        <color rgb="FF7AC88E"/>
      </colorScale>
    </cfRule>
  </conditionalFormatting>
  <conditionalFormatting sqref="B8:B72"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T9:T72">
    <cfRule type="colorScale" priority="9">
      <colorScale>
        <cfvo type="min"/>
        <cfvo type="percentile" val="45"/>
        <cfvo type="max"/>
        <color rgb="FFFF8989"/>
        <color rgb="FFFFEB84"/>
        <color rgb="FFA8FF7D"/>
      </colorScale>
    </cfRule>
  </conditionalFormatting>
  <conditionalFormatting sqref="D8:D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45" right="0.45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FF99"/>
  </sheetPr>
  <dimension ref="A1:AH80"/>
  <sheetViews>
    <sheetView zoomScaleNormal="100" workbookViewId="0">
      <pane xSplit="3" ySplit="7" topLeftCell="D8" activePane="bottomRight" state="frozen"/>
      <selection activeCell="A22" sqref="A22"/>
      <selection pane="topRight" activeCell="A22" sqref="A22"/>
      <selection pane="bottomLeft" activeCell="A22" sqref="A22"/>
      <selection pane="bottomRight" activeCell="P19" sqref="P19"/>
    </sheetView>
  </sheetViews>
  <sheetFormatPr defaultRowHeight="15.75" x14ac:dyDescent="0.25"/>
  <cols>
    <col min="1" max="1" width="36.85546875" style="22" customWidth="1"/>
    <col min="2" max="2" width="11.7109375" style="12" customWidth="1"/>
    <col min="3" max="3" width="7.5703125" style="26" customWidth="1"/>
    <col min="4" max="4" width="8.42578125" style="397" bestFit="1" customWidth="1"/>
    <col min="5" max="5" width="7.5703125" style="12" customWidth="1"/>
    <col min="6" max="6" width="6.140625" style="12" customWidth="1"/>
    <col min="7" max="7" width="11" style="142" bestFit="1" customWidth="1"/>
    <col min="8" max="8" width="8.28515625" customWidth="1"/>
    <col min="9" max="9" width="8.28515625" style="23" customWidth="1"/>
    <col min="10" max="10" width="8.28515625" style="12" customWidth="1"/>
    <col min="11" max="11" width="11.42578125" style="12" customWidth="1"/>
    <col min="12" max="12" width="8.28515625" customWidth="1"/>
    <col min="13" max="13" width="8.28515625" style="25" customWidth="1"/>
    <col min="14" max="14" width="8.28515625" customWidth="1"/>
    <col min="15" max="15" width="8.28515625" style="24" customWidth="1"/>
    <col min="16" max="17" width="13.28515625" style="12" customWidth="1"/>
    <col min="18" max="18" width="6.42578125" customWidth="1"/>
    <col min="19" max="19" width="6.7109375" bestFit="1" customWidth="1"/>
    <col min="20" max="20" width="6.5703125" customWidth="1"/>
    <col min="21" max="21" width="7.140625" customWidth="1"/>
    <col min="22" max="22" width="11.85546875" customWidth="1"/>
    <col min="23" max="23" width="7.42578125" customWidth="1"/>
    <col min="24" max="24" width="6.28515625" bestFit="1" customWidth="1"/>
    <col min="25" max="25" width="7.5703125" customWidth="1"/>
    <col min="26" max="26" width="7.7109375" style="353" bestFit="1" customWidth="1"/>
    <col min="27" max="27" width="6.42578125" customWidth="1"/>
    <col min="28" max="28" width="7.42578125" bestFit="1" customWidth="1"/>
    <col min="29" max="29" width="6.28515625" style="12" customWidth="1"/>
    <col min="30" max="30" width="10.5703125" style="26" customWidth="1"/>
  </cols>
  <sheetData>
    <row r="1" spans="1:34" ht="18.75" x14ac:dyDescent="0.3">
      <c r="A1" s="344" t="s">
        <v>152</v>
      </c>
      <c r="B1" s="142"/>
      <c r="C1" s="397"/>
      <c r="E1" s="142"/>
      <c r="F1" s="142"/>
      <c r="H1" s="165"/>
      <c r="I1" s="400"/>
      <c r="J1" s="142"/>
      <c r="K1" s="142"/>
      <c r="L1" s="165"/>
      <c r="M1" s="401"/>
      <c r="N1" s="165"/>
      <c r="O1" s="402"/>
      <c r="P1" s="142"/>
      <c r="Q1" s="142"/>
      <c r="R1" s="165"/>
      <c r="S1" s="165"/>
      <c r="T1" s="165"/>
      <c r="U1" s="165"/>
      <c r="V1" s="165"/>
      <c r="W1" s="165"/>
      <c r="X1" s="165"/>
      <c r="Y1" s="165"/>
      <c r="AA1" s="165"/>
      <c r="AB1" s="165"/>
      <c r="AC1" s="142"/>
      <c r="AD1" s="397"/>
      <c r="AE1" s="165"/>
      <c r="AF1" s="165"/>
      <c r="AG1" s="165"/>
      <c r="AH1" s="165"/>
    </row>
    <row r="2" spans="1:34" ht="16.5" thickBot="1" x14ac:dyDescent="0.3">
      <c r="A2" s="398"/>
      <c r="B2" s="142"/>
      <c r="C2" s="397"/>
      <c r="E2" s="149"/>
      <c r="F2" s="149"/>
      <c r="G2" s="149"/>
      <c r="H2" s="873" t="s">
        <v>278</v>
      </c>
      <c r="I2" s="874"/>
      <c r="J2" s="872"/>
      <c r="K2" s="872"/>
      <c r="L2" s="872"/>
      <c r="M2" s="875"/>
      <c r="N2" s="872"/>
      <c r="O2" s="876"/>
      <c r="P2" s="872"/>
      <c r="Q2" s="872"/>
      <c r="R2" s="165"/>
      <c r="S2" s="165"/>
      <c r="T2" s="165"/>
      <c r="U2" s="165"/>
      <c r="V2" s="165"/>
      <c r="W2" s="165"/>
      <c r="X2" s="165"/>
      <c r="Y2" s="165"/>
      <c r="AA2" s="165"/>
      <c r="AB2" s="165"/>
      <c r="AC2" s="142"/>
      <c r="AD2" s="397"/>
      <c r="AE2" s="165"/>
      <c r="AF2" s="165"/>
      <c r="AG2" s="165"/>
      <c r="AH2" s="165"/>
    </row>
    <row r="3" spans="1:34" x14ac:dyDescent="0.25">
      <c r="A3" s="398"/>
      <c r="B3" s="142"/>
      <c r="C3" s="397"/>
      <c r="E3" s="149"/>
      <c r="F3" s="149"/>
      <c r="G3" s="420"/>
      <c r="H3" s="487" t="s">
        <v>135</v>
      </c>
      <c r="I3" s="488"/>
      <c r="J3" s="489"/>
      <c r="K3" s="490"/>
      <c r="L3" s="491" t="s">
        <v>55</v>
      </c>
      <c r="M3" s="492"/>
      <c r="N3" s="493"/>
      <c r="O3" s="272"/>
      <c r="P3" s="494" t="s">
        <v>136</v>
      </c>
      <c r="Q3" s="938"/>
      <c r="R3" s="403"/>
      <c r="S3" s="194" t="s">
        <v>46</v>
      </c>
      <c r="T3" s="194"/>
      <c r="U3" s="194"/>
      <c r="V3" s="194"/>
      <c r="W3" s="194"/>
      <c r="X3" s="194"/>
      <c r="Y3" s="194"/>
      <c r="Z3" s="354"/>
      <c r="AA3" s="194"/>
      <c r="AB3" s="290"/>
      <c r="AC3" s="142"/>
      <c r="AD3" s="397"/>
      <c r="AE3" s="165"/>
      <c r="AF3" s="165"/>
      <c r="AG3" s="165"/>
      <c r="AH3" s="165"/>
    </row>
    <row r="4" spans="1:34" ht="15" x14ac:dyDescent="0.25">
      <c r="A4" s="398"/>
      <c r="B4" s="142"/>
      <c r="C4" s="397"/>
      <c r="E4" s="149"/>
      <c r="F4" s="149"/>
      <c r="G4" s="294"/>
      <c r="H4" s="282" t="s">
        <v>0</v>
      </c>
      <c r="I4" s="283" t="s">
        <v>119</v>
      </c>
      <c r="J4" s="284" t="s">
        <v>47</v>
      </c>
      <c r="K4" s="283" t="s">
        <v>154</v>
      </c>
      <c r="L4" s="277" t="s">
        <v>48</v>
      </c>
      <c r="M4" s="278" t="s">
        <v>72</v>
      </c>
      <c r="N4" s="277" t="s">
        <v>334</v>
      </c>
      <c r="O4" s="275" t="s">
        <v>168</v>
      </c>
      <c r="P4" s="273" t="s">
        <v>51</v>
      </c>
      <c r="Q4" s="273" t="s">
        <v>204</v>
      </c>
      <c r="R4" s="937" t="s">
        <v>198</v>
      </c>
      <c r="S4" s="282" t="s">
        <v>0</v>
      </c>
      <c r="T4" s="283" t="s">
        <v>119</v>
      </c>
      <c r="U4" s="284" t="s">
        <v>47</v>
      </c>
      <c r="V4" s="283" t="s">
        <v>154</v>
      </c>
      <c r="W4" s="277" t="s">
        <v>48</v>
      </c>
      <c r="X4" s="278" t="s">
        <v>49</v>
      </c>
      <c r="Y4" s="277" t="s">
        <v>50</v>
      </c>
      <c r="Z4" s="355" t="s">
        <v>168</v>
      </c>
      <c r="AA4" s="288" t="s">
        <v>51</v>
      </c>
      <c r="AB4" s="291" t="s">
        <v>204</v>
      </c>
      <c r="AC4" s="142"/>
      <c r="AD4" s="397"/>
      <c r="AE4" s="165"/>
      <c r="AF4" s="165"/>
      <c r="AG4" s="165"/>
      <c r="AH4" s="165"/>
    </row>
    <row r="5" spans="1:34" x14ac:dyDescent="0.25">
      <c r="A5" s="943"/>
      <c r="B5" s="486"/>
      <c r="C5" s="482" t="s">
        <v>287</v>
      </c>
      <c r="D5" s="683">
        <v>2023</v>
      </c>
      <c r="E5" s="417" t="s">
        <v>53</v>
      </c>
      <c r="F5" s="426"/>
      <c r="G5" s="294"/>
      <c r="H5" s="282" t="s">
        <v>1</v>
      </c>
      <c r="I5" s="283" t="s">
        <v>1</v>
      </c>
      <c r="J5" s="283" t="s">
        <v>54</v>
      </c>
      <c r="K5" s="284" t="s">
        <v>153</v>
      </c>
      <c r="L5" s="277" t="s">
        <v>54</v>
      </c>
      <c r="M5" s="278" t="s">
        <v>55</v>
      </c>
      <c r="N5" s="277" t="s">
        <v>335</v>
      </c>
      <c r="O5" s="275" t="s">
        <v>169</v>
      </c>
      <c r="P5" s="273" t="s">
        <v>56</v>
      </c>
      <c r="Q5" s="273" t="s">
        <v>205</v>
      </c>
      <c r="R5" s="937" t="s">
        <v>206</v>
      </c>
      <c r="S5" s="282" t="s">
        <v>1</v>
      </c>
      <c r="T5" s="283" t="s">
        <v>1</v>
      </c>
      <c r="U5" s="283" t="s">
        <v>54</v>
      </c>
      <c r="V5" s="284" t="s">
        <v>153</v>
      </c>
      <c r="W5" s="277" t="s">
        <v>54</v>
      </c>
      <c r="X5" s="278" t="s">
        <v>55</v>
      </c>
      <c r="Y5" s="277" t="s">
        <v>55</v>
      </c>
      <c r="Z5" s="355" t="s">
        <v>169</v>
      </c>
      <c r="AA5" s="288" t="s">
        <v>56</v>
      </c>
      <c r="AB5" s="292" t="s">
        <v>205</v>
      </c>
      <c r="AC5" s="399"/>
      <c r="AD5" s="97" t="s">
        <v>52</v>
      </c>
      <c r="AE5" s="165"/>
      <c r="AF5" s="165"/>
      <c r="AG5" s="165"/>
      <c r="AH5" s="165"/>
    </row>
    <row r="6" spans="1:34" x14ac:dyDescent="0.25">
      <c r="A6" s="943"/>
      <c r="B6" s="486"/>
      <c r="C6" s="482" t="s">
        <v>24</v>
      </c>
      <c r="D6" s="679" t="s">
        <v>288</v>
      </c>
      <c r="E6" s="415" t="s">
        <v>57</v>
      </c>
      <c r="F6" s="427"/>
      <c r="G6" s="421" t="s">
        <v>54</v>
      </c>
      <c r="H6" s="285" t="s">
        <v>2</v>
      </c>
      <c r="I6" s="286" t="s">
        <v>2</v>
      </c>
      <c r="J6" s="286" t="s">
        <v>2</v>
      </c>
      <c r="K6" s="286" t="s">
        <v>54</v>
      </c>
      <c r="L6" s="279" t="s">
        <v>2</v>
      </c>
      <c r="M6" s="280" t="s">
        <v>2</v>
      </c>
      <c r="N6" s="281" t="s">
        <v>2</v>
      </c>
      <c r="O6" s="276" t="s">
        <v>58</v>
      </c>
      <c r="P6" s="274" t="s">
        <v>2</v>
      </c>
      <c r="Q6" s="274" t="s">
        <v>2</v>
      </c>
      <c r="R6" s="937" t="s">
        <v>197</v>
      </c>
      <c r="S6" s="285" t="s">
        <v>2</v>
      </c>
      <c r="T6" s="286" t="s">
        <v>2</v>
      </c>
      <c r="U6" s="286" t="s">
        <v>2</v>
      </c>
      <c r="V6" s="286" t="s">
        <v>54</v>
      </c>
      <c r="W6" s="279" t="s">
        <v>2</v>
      </c>
      <c r="X6" s="280" t="s">
        <v>2</v>
      </c>
      <c r="Y6" s="281" t="s">
        <v>2</v>
      </c>
      <c r="Z6" s="356" t="s">
        <v>58</v>
      </c>
      <c r="AA6" s="289" t="s">
        <v>2</v>
      </c>
      <c r="AB6" s="293" t="s">
        <v>2</v>
      </c>
      <c r="AC6" s="399"/>
      <c r="AD6" s="97" t="s">
        <v>24</v>
      </c>
      <c r="AE6" s="165"/>
      <c r="AF6" s="165"/>
      <c r="AG6" s="165"/>
      <c r="AH6" s="165"/>
    </row>
    <row r="7" spans="1:34" ht="16.5" thickBot="1" x14ac:dyDescent="0.3">
      <c r="A7" s="944" t="s">
        <v>4</v>
      </c>
      <c r="B7" s="942" t="s">
        <v>3</v>
      </c>
      <c r="C7" s="483" t="s">
        <v>2</v>
      </c>
      <c r="D7" s="680" t="s">
        <v>289</v>
      </c>
      <c r="E7" s="416" t="s">
        <v>210</v>
      </c>
      <c r="F7" s="428" t="s">
        <v>224</v>
      </c>
      <c r="G7" s="422" t="s">
        <v>199</v>
      </c>
      <c r="H7" s="613">
        <v>0.21</v>
      </c>
      <c r="I7" s="614">
        <v>0.09</v>
      </c>
      <c r="J7" s="614">
        <v>0.05</v>
      </c>
      <c r="K7" s="615">
        <v>0.11</v>
      </c>
      <c r="L7" s="615">
        <v>0.1</v>
      </c>
      <c r="M7" s="616">
        <v>0.08</v>
      </c>
      <c r="N7" s="616">
        <v>0.08</v>
      </c>
      <c r="O7" s="617">
        <v>0.05</v>
      </c>
      <c r="P7" s="617">
        <v>0.05</v>
      </c>
      <c r="Q7" s="617">
        <v>0.18</v>
      </c>
      <c r="R7" s="618">
        <f>SUM(H7:Q7)</f>
        <v>1</v>
      </c>
      <c r="S7" s="195" t="s">
        <v>196</v>
      </c>
      <c r="T7" s="196"/>
      <c r="U7" s="197"/>
      <c r="V7" s="197"/>
      <c r="W7" s="146"/>
      <c r="X7" s="146"/>
      <c r="Y7" s="146"/>
      <c r="Z7" s="357"/>
      <c r="AA7" s="146"/>
      <c r="AB7" s="147"/>
      <c r="AC7" s="258" t="s">
        <v>3</v>
      </c>
      <c r="AD7" s="259" t="s">
        <v>2</v>
      </c>
      <c r="AE7" s="165"/>
      <c r="AF7" s="165"/>
      <c r="AG7" s="165"/>
      <c r="AH7" s="165"/>
    </row>
    <row r="8" spans="1:34" ht="18" thickBot="1" x14ac:dyDescent="0.35">
      <c r="A8" s="941" t="s">
        <v>10</v>
      </c>
      <c r="B8" s="940">
        <f>RANK(C8,C$8:C$72)</f>
        <v>56</v>
      </c>
      <c r="C8" s="667">
        <f>SUM(S8:AB8)</f>
        <v>1.664909166882083</v>
      </c>
      <c r="D8" s="923"/>
      <c r="E8" s="924">
        <v>2017</v>
      </c>
      <c r="F8" s="925" t="s">
        <v>219</v>
      </c>
      <c r="G8" s="926"/>
      <c r="H8" s="927">
        <f>Commercial!C7</f>
        <v>4.0212272981087569</v>
      </c>
      <c r="I8" s="929">
        <f>Recreational!C7</f>
        <v>1.5066921456690607</v>
      </c>
      <c r="J8" s="929">
        <f>Tribal!C7</f>
        <v>1.1851718734724539</v>
      </c>
      <c r="K8" s="929"/>
      <c r="L8" s="929">
        <f>Rebuilding!B7</f>
        <v>0</v>
      </c>
      <c r="M8" s="929">
        <f>'Stock Status'!C7</f>
        <v>1</v>
      </c>
      <c r="N8" s="929">
        <f>'Fishing mortality'!C5</f>
        <v>1</v>
      </c>
      <c r="O8" s="929">
        <f>Ecosystem!C6</f>
        <v>5.7118109499081191</v>
      </c>
      <c r="P8" s="928"/>
      <c r="Q8" s="1223">
        <f>'Assess Freq'!U7</f>
        <v>1</v>
      </c>
      <c r="R8" s="930"/>
      <c r="S8" s="931">
        <f>H8*H$7</f>
        <v>0.84445773260283896</v>
      </c>
      <c r="T8" s="931">
        <f>I8*I$7</f>
        <v>0.13560229311021546</v>
      </c>
      <c r="U8" s="931">
        <f>J8*J$7</f>
        <v>5.9258593673622698E-2</v>
      </c>
      <c r="V8" s="931">
        <f>K8*K$7</f>
        <v>0</v>
      </c>
      <c r="W8" s="931">
        <f>L8*L$7</f>
        <v>0</v>
      </c>
      <c r="X8" s="931">
        <f>M8*M$7</f>
        <v>0.08</v>
      </c>
      <c r="Y8" s="931">
        <f>N8*N$7</f>
        <v>0.08</v>
      </c>
      <c r="Z8" s="931">
        <f>O8*O$7</f>
        <v>0.28559054749540597</v>
      </c>
      <c r="AA8" s="931">
        <f>P8*P$7</f>
        <v>0</v>
      </c>
      <c r="AB8" s="932">
        <f>Q8*Q$7</f>
        <v>0.18</v>
      </c>
      <c r="AC8" s="98">
        <f>RANK(AD8,AD$8:AD$72)</f>
        <v>56</v>
      </c>
      <c r="AD8" s="939">
        <f>SUM(S8:AB8)</f>
        <v>1.664909166882083</v>
      </c>
      <c r="AE8" s="165"/>
      <c r="AF8" s="165"/>
      <c r="AG8" s="165"/>
      <c r="AH8" s="165"/>
    </row>
    <row r="9" spans="1:34" ht="18" thickBot="1" x14ac:dyDescent="0.35">
      <c r="A9" s="678" t="s">
        <v>156</v>
      </c>
      <c r="B9" s="940">
        <f>RANK(C9,C$8:C$72)</f>
        <v>64</v>
      </c>
      <c r="C9" s="484">
        <f>SUM(S9:AB9)</f>
        <v>1.1749257363819574</v>
      </c>
      <c r="D9" s="681"/>
      <c r="E9" s="419">
        <v>2013</v>
      </c>
      <c r="F9" s="429" t="s">
        <v>218</v>
      </c>
      <c r="G9" s="423"/>
      <c r="H9" s="927">
        <f>Commercial!C8</f>
        <v>2.8315781219829477</v>
      </c>
      <c r="I9" s="929">
        <f>Recreational!C8</f>
        <v>0</v>
      </c>
      <c r="J9" s="929">
        <f>Tribal!C8</f>
        <v>0</v>
      </c>
      <c r="K9" s="27"/>
      <c r="L9" s="929">
        <f>Rebuilding!B8</f>
        <v>0</v>
      </c>
      <c r="M9" s="929">
        <f>'Stock Status'!C8</f>
        <v>2</v>
      </c>
      <c r="N9" s="929">
        <f>'Fishing mortality'!C6</f>
        <v>3</v>
      </c>
      <c r="O9" s="929">
        <f>Ecosystem!C7</f>
        <v>5.8866153107661398E-3</v>
      </c>
      <c r="P9" s="655"/>
      <c r="Q9" s="1223">
        <f>'Assess Freq'!U8</f>
        <v>1</v>
      </c>
      <c r="R9" s="150"/>
      <c r="S9" s="28">
        <f>H9*H$7</f>
        <v>0.59463140561641903</v>
      </c>
      <c r="T9" s="28">
        <f>I9*I$7</f>
        <v>0</v>
      </c>
      <c r="U9" s="28">
        <f>J9*J$7</f>
        <v>0</v>
      </c>
      <c r="V9" s="28">
        <f>K9*K$7</f>
        <v>0</v>
      </c>
      <c r="W9" s="28">
        <f>L9*L$7</f>
        <v>0</v>
      </c>
      <c r="X9" s="28">
        <f>M9*M$7</f>
        <v>0.16</v>
      </c>
      <c r="Y9" s="28">
        <f>N9*N$7</f>
        <v>0.24</v>
      </c>
      <c r="Z9" s="358">
        <f>O9*O$7</f>
        <v>2.9433076553830699E-4</v>
      </c>
      <c r="AA9" s="28">
        <f>P9*P$7</f>
        <v>0</v>
      </c>
      <c r="AB9" s="28">
        <f>Q9*Q$7</f>
        <v>0.18</v>
      </c>
      <c r="AC9" s="98">
        <f>RANK(AD9,AD$8:AD$72)</f>
        <v>64</v>
      </c>
      <c r="AD9" s="99">
        <f>SUM(S9:AB9)</f>
        <v>1.1749257363819574</v>
      </c>
      <c r="AE9" s="165"/>
      <c r="AF9" s="165"/>
      <c r="AG9" s="165"/>
      <c r="AH9" s="165"/>
    </row>
    <row r="10" spans="1:34" ht="18" thickBot="1" x14ac:dyDescent="0.35">
      <c r="A10" s="572" t="s">
        <v>102</v>
      </c>
      <c r="B10" s="940">
        <f>RANK(C10,C$8:C$72)</f>
        <v>35</v>
      </c>
      <c r="C10" s="485">
        <f>SUM(S10:AB10)</f>
        <v>2.0532363697503406</v>
      </c>
      <c r="D10" s="682"/>
      <c r="E10" s="936"/>
      <c r="F10" s="430" t="s">
        <v>226</v>
      </c>
      <c r="G10" s="424"/>
      <c r="H10" s="927">
        <f>Commercial!C9</f>
        <v>3.3450200987511782</v>
      </c>
      <c r="I10" s="929">
        <f>Recreational!C9</f>
        <v>2.4591344959510311</v>
      </c>
      <c r="J10" s="929">
        <f>Tribal!C9</f>
        <v>0.58417980941204062</v>
      </c>
      <c r="K10" s="28"/>
      <c r="L10" s="929">
        <f>Rebuilding!B9</f>
        <v>0</v>
      </c>
      <c r="M10" s="929">
        <f>'Stock Status'!C9</f>
        <v>6</v>
      </c>
      <c r="N10" s="929">
        <f>'Fishing mortality'!C7</f>
        <v>1</v>
      </c>
      <c r="O10" s="929">
        <f>Ecosystem!C8</f>
        <v>5.0210781279627732E-3</v>
      </c>
      <c r="P10" s="28"/>
      <c r="Q10" s="1223">
        <f>'Assess Freq'!U9</f>
        <v>3</v>
      </c>
      <c r="R10" s="150"/>
      <c r="S10" s="28">
        <f>H10*H$7</f>
        <v>0.70245422073774744</v>
      </c>
      <c r="T10" s="28">
        <f>I10*I$7</f>
        <v>0.22132210463559279</v>
      </c>
      <c r="U10" s="28">
        <f>J10*J$7</f>
        <v>2.9208990470602034E-2</v>
      </c>
      <c r="V10" s="28">
        <f>K10*K$7</f>
        <v>0</v>
      </c>
      <c r="W10" s="28">
        <f>L10*L$7</f>
        <v>0</v>
      </c>
      <c r="X10" s="28">
        <f>M10*M$7</f>
        <v>0.48</v>
      </c>
      <c r="Y10" s="28">
        <f>N10*N$7</f>
        <v>0.08</v>
      </c>
      <c r="Z10" s="358">
        <f>O10*O$7</f>
        <v>2.5105390639813867E-4</v>
      </c>
      <c r="AA10" s="28">
        <f>P10*P$7</f>
        <v>0</v>
      </c>
      <c r="AB10" s="287">
        <f>Q10*Q$7</f>
        <v>0.54</v>
      </c>
      <c r="AC10" s="98">
        <f>RANK(AD10,AD$8:AD$72)</f>
        <v>35</v>
      </c>
      <c r="AD10" s="99">
        <f>SUM(S10:AB10)</f>
        <v>2.0532363697503406</v>
      </c>
      <c r="AE10" s="165"/>
      <c r="AF10" s="165"/>
      <c r="AG10" s="165"/>
      <c r="AH10" s="165"/>
    </row>
    <row r="11" spans="1:34" ht="18" thickBot="1" x14ac:dyDescent="0.35">
      <c r="A11" s="572" t="s">
        <v>103</v>
      </c>
      <c r="B11" s="940">
        <f>RANK(C11,C$8:C$72)</f>
        <v>58</v>
      </c>
      <c r="C11" s="485">
        <f>SUM(S11:AB11)</f>
        <v>1.5203724949038053</v>
      </c>
      <c r="D11" s="682"/>
      <c r="E11" s="418">
        <v>2019</v>
      </c>
      <c r="F11" s="429" t="s">
        <v>218</v>
      </c>
      <c r="G11" s="424"/>
      <c r="H11" s="927">
        <f>Commercial!C10</f>
        <v>4.1117278675998499</v>
      </c>
      <c r="I11" s="929">
        <f>Recreational!C10</f>
        <v>0</v>
      </c>
      <c r="J11" s="929">
        <f>Tribal!C10</f>
        <v>4.6536245798412406</v>
      </c>
      <c r="K11" s="28"/>
      <c r="L11" s="929">
        <f>Rebuilding!B10</f>
        <v>0</v>
      </c>
      <c r="M11" s="929">
        <f>'Stock Status'!C10</f>
        <v>2</v>
      </c>
      <c r="N11" s="929">
        <f>'Fishing mortality'!C8</f>
        <v>3</v>
      </c>
      <c r="O11" s="929">
        <f>Ecosystem!C9</f>
        <v>0.48456827431549809</v>
      </c>
      <c r="P11" s="654"/>
      <c r="Q11" s="1223">
        <f>'Assess Freq'!U10</f>
        <v>0</v>
      </c>
      <c r="R11" s="150"/>
      <c r="S11" s="28">
        <f>H11*H$7</f>
        <v>0.86346285219596841</v>
      </c>
      <c r="T11" s="28">
        <f>I11*I$7</f>
        <v>0</v>
      </c>
      <c r="U11" s="28">
        <f>J11*J$7</f>
        <v>0.23268122899206203</v>
      </c>
      <c r="V11" s="28">
        <f>K11*K$7</f>
        <v>0</v>
      </c>
      <c r="W11" s="28">
        <f>L11*L$7</f>
        <v>0</v>
      </c>
      <c r="X11" s="28">
        <f>M11*M$7</f>
        <v>0.16</v>
      </c>
      <c r="Y11" s="28">
        <f>N11*N$7</f>
        <v>0.24</v>
      </c>
      <c r="Z11" s="358">
        <f>O11*O$7</f>
        <v>2.4228413715774905E-2</v>
      </c>
      <c r="AA11" s="28">
        <f>P11*P$7</f>
        <v>0</v>
      </c>
      <c r="AB11" s="287">
        <f>Q11*Q$7</f>
        <v>0</v>
      </c>
      <c r="AC11" s="98">
        <f>RANK(AD11,AD$8:AD$72)</f>
        <v>58</v>
      </c>
      <c r="AD11" s="99">
        <f>SUM(S11:AB11)</f>
        <v>1.5203724949038053</v>
      </c>
      <c r="AE11" s="165"/>
      <c r="AF11" s="165"/>
      <c r="AG11" s="165"/>
      <c r="AH11" s="165"/>
    </row>
    <row r="12" spans="1:34" ht="18" thickBot="1" x14ac:dyDescent="0.35">
      <c r="A12" s="573" t="s">
        <v>5</v>
      </c>
      <c r="B12" s="940">
        <f>RANK(C12,C$8:C$72)</f>
        <v>2</v>
      </c>
      <c r="C12" s="485">
        <f>SUM(S12:AB12)</f>
        <v>3.385225450690875</v>
      </c>
      <c r="D12" s="682" t="s">
        <v>314</v>
      </c>
      <c r="E12" s="418">
        <v>2015</v>
      </c>
      <c r="F12" s="429" t="s">
        <v>218</v>
      </c>
      <c r="G12" s="424"/>
      <c r="H12" s="927">
        <f>Commercial!C11</f>
        <v>5.4587317502185577</v>
      </c>
      <c r="I12" s="929">
        <f>Recreational!C11</f>
        <v>9.7465731314616111</v>
      </c>
      <c r="J12" s="929">
        <f>Tribal!C11</f>
        <v>4.2860724393700362</v>
      </c>
      <c r="K12" s="28"/>
      <c r="L12" s="929">
        <f>Rebuilding!B11</f>
        <v>0</v>
      </c>
      <c r="M12" s="929">
        <f>'Stock Status'!C11</f>
        <v>4</v>
      </c>
      <c r="N12" s="929">
        <f>'Fishing mortality'!C9</f>
        <v>3</v>
      </c>
      <c r="O12" s="929">
        <f>Ecosystem!C10</f>
        <v>0.94793158689862256</v>
      </c>
      <c r="P12" s="654"/>
      <c r="Q12" s="1223">
        <f>'Assess Freq'!U11</f>
        <v>3</v>
      </c>
      <c r="R12" s="150"/>
      <c r="S12" s="28">
        <f>H12*H$7</f>
        <v>1.1463336675458971</v>
      </c>
      <c r="T12" s="28">
        <f>I12*I$7</f>
        <v>0.877191581831545</v>
      </c>
      <c r="U12" s="28">
        <f>J12*J$7</f>
        <v>0.21430362196850183</v>
      </c>
      <c r="V12" s="28">
        <f>K12*K$7</f>
        <v>0</v>
      </c>
      <c r="W12" s="28">
        <f>L12*L$7</f>
        <v>0</v>
      </c>
      <c r="X12" s="28">
        <f>M12*M$7</f>
        <v>0.32</v>
      </c>
      <c r="Y12" s="28">
        <f>N12*N$7</f>
        <v>0.24</v>
      </c>
      <c r="Z12" s="358">
        <f>O12*O$7</f>
        <v>4.7396579344931133E-2</v>
      </c>
      <c r="AA12" s="28">
        <f>P12*P$7</f>
        <v>0</v>
      </c>
      <c r="AB12" s="287">
        <f>Q12*Q$7</f>
        <v>0.54</v>
      </c>
      <c r="AC12" s="98">
        <f>RANK(AD12,AD$8:AD$72)</f>
        <v>2</v>
      </c>
      <c r="AD12" s="99">
        <f>SUM(S12:AB12)</f>
        <v>3.385225450690875</v>
      </c>
      <c r="AE12" s="165"/>
      <c r="AF12" s="165"/>
      <c r="AG12" s="165"/>
      <c r="AH12" s="165"/>
    </row>
    <row r="13" spans="1:34" ht="18" thickBot="1" x14ac:dyDescent="0.35">
      <c r="A13" s="572" t="s">
        <v>157</v>
      </c>
      <c r="B13" s="940">
        <f>RANK(C13,C$8:C$72)</f>
        <v>60</v>
      </c>
      <c r="C13" s="485">
        <f>SUM(S13:AB13)</f>
        <v>1.4429721705469325</v>
      </c>
      <c r="D13" s="682" t="s">
        <v>217</v>
      </c>
      <c r="E13" s="418">
        <v>2017</v>
      </c>
      <c r="F13" s="431" t="s">
        <v>219</v>
      </c>
      <c r="G13" s="424"/>
      <c r="H13" s="927">
        <f>Commercial!C12</f>
        <v>3.946432950400161</v>
      </c>
      <c r="I13" s="929">
        <f>Recreational!C12</f>
        <v>0</v>
      </c>
      <c r="J13" s="929">
        <f>Tribal!C12</f>
        <v>1.0775275143020195</v>
      </c>
      <c r="K13" s="28"/>
      <c r="L13" s="929">
        <f>Rebuilding!B12</f>
        <v>0</v>
      </c>
      <c r="M13" s="929">
        <f>'Stock Status'!C12</f>
        <v>4</v>
      </c>
      <c r="N13" s="929">
        <f>'Fishing mortality'!C10</f>
        <v>3</v>
      </c>
      <c r="O13" s="929">
        <f>Ecosystem!C11</f>
        <v>6.8975049559537854E-3</v>
      </c>
      <c r="P13" s="654"/>
      <c r="Q13" s="1223">
        <f>'Assess Freq'!U12</f>
        <v>0</v>
      </c>
      <c r="R13" s="150"/>
      <c r="S13" s="28">
        <f>H13*H$7</f>
        <v>0.8287509195840338</v>
      </c>
      <c r="T13" s="28">
        <f>I13*I$7</f>
        <v>0</v>
      </c>
      <c r="U13" s="28">
        <f>J13*J$7</f>
        <v>5.3876375715100983E-2</v>
      </c>
      <c r="V13" s="28">
        <f>K13*K$7</f>
        <v>0</v>
      </c>
      <c r="W13" s="28">
        <f>L13*L$7</f>
        <v>0</v>
      </c>
      <c r="X13" s="28">
        <f>M13*M$7</f>
        <v>0.32</v>
      </c>
      <c r="Y13" s="28">
        <f>N13*N$7</f>
        <v>0.24</v>
      </c>
      <c r="Z13" s="358">
        <f>O13*O$7</f>
        <v>3.4487524779768929E-4</v>
      </c>
      <c r="AA13" s="28">
        <f>P13*P$7</f>
        <v>0</v>
      </c>
      <c r="AB13" s="287">
        <f>Q13*Q$7</f>
        <v>0</v>
      </c>
      <c r="AC13" s="98">
        <f>RANK(AD13,AD$8:AD$72)</f>
        <v>60</v>
      </c>
      <c r="AD13" s="99">
        <f>SUM(S13:AB13)</f>
        <v>1.4429721705469325</v>
      </c>
      <c r="AE13" s="165"/>
      <c r="AF13" s="165"/>
      <c r="AG13" s="165"/>
      <c r="AH13" s="165"/>
    </row>
    <row r="14" spans="1:34" ht="18" thickBot="1" x14ac:dyDescent="0.35">
      <c r="A14" s="572" t="s">
        <v>247</v>
      </c>
      <c r="B14" s="940">
        <f>RANK(C14,C$8:C$72)</f>
        <v>13</v>
      </c>
      <c r="C14" s="485">
        <f>SUM(S14:AB14)</f>
        <v>2.5602474188637734</v>
      </c>
      <c r="D14" s="682" t="s">
        <v>290</v>
      </c>
      <c r="E14" s="418">
        <v>2017</v>
      </c>
      <c r="F14" s="429" t="s">
        <v>218</v>
      </c>
      <c r="G14" s="424"/>
      <c r="H14" s="927">
        <f>Commercial!C13</f>
        <v>3.751329954629671</v>
      </c>
      <c r="I14" s="929">
        <f>Recreational!C13</f>
        <v>7.5754008245066089</v>
      </c>
      <c r="J14" s="929">
        <f>Tribal!C13</f>
        <v>2.5</v>
      </c>
      <c r="K14" s="653"/>
      <c r="L14" s="929">
        <f>Rebuilding!B13</f>
        <v>0</v>
      </c>
      <c r="M14" s="929">
        <f>'Stock Status'!C13</f>
        <v>4</v>
      </c>
      <c r="N14" s="929">
        <f>'Fishing mortality'!C11</f>
        <v>8</v>
      </c>
      <c r="O14" s="929">
        <f>Ecosystem!C12</f>
        <v>0.1136410837189569</v>
      </c>
      <c r="P14" s="654"/>
      <c r="Q14" s="1223">
        <f>'Assess Freq'!U13</f>
        <v>0</v>
      </c>
      <c r="R14" s="150"/>
      <c r="S14" s="28">
        <f>H14*H$7</f>
        <v>0.78777929047223083</v>
      </c>
      <c r="T14" s="28">
        <f>I14*I$7</f>
        <v>0.68178607420559478</v>
      </c>
      <c r="U14" s="28">
        <f>J14*J$7</f>
        <v>0.125</v>
      </c>
      <c r="V14" s="28">
        <f>K14*K$7</f>
        <v>0</v>
      </c>
      <c r="W14" s="28">
        <f>L14*L$7</f>
        <v>0</v>
      </c>
      <c r="X14" s="28">
        <f>M14*M$7</f>
        <v>0.32</v>
      </c>
      <c r="Y14" s="28">
        <f>N14*N$7</f>
        <v>0.64</v>
      </c>
      <c r="Z14" s="358">
        <f>O14*O$7</f>
        <v>5.6820541859478454E-3</v>
      </c>
      <c r="AA14" s="28">
        <f>P14*P$7</f>
        <v>0</v>
      </c>
      <c r="AB14" s="287">
        <f>Q14*Q$7</f>
        <v>0</v>
      </c>
      <c r="AC14" s="98">
        <f>RANK(AD14,AD$8:AD$72)</f>
        <v>13</v>
      </c>
      <c r="AD14" s="99">
        <f>SUM(S14:AB14)</f>
        <v>2.5602474188637734</v>
      </c>
      <c r="AE14" s="165"/>
      <c r="AF14" s="165"/>
      <c r="AG14" s="165"/>
      <c r="AH14" s="165"/>
    </row>
    <row r="15" spans="1:34" ht="18" thickBot="1" x14ac:dyDescent="0.35">
      <c r="A15" s="573" t="s">
        <v>94</v>
      </c>
      <c r="B15" s="940">
        <f>RANK(C15,C$8:C$72)</f>
        <v>7</v>
      </c>
      <c r="C15" s="485">
        <f>SUM(S15:AB15)</f>
        <v>2.6576166983076086</v>
      </c>
      <c r="D15" s="682" t="s">
        <v>217</v>
      </c>
      <c r="E15" s="418">
        <v>2017</v>
      </c>
      <c r="F15" s="431" t="s">
        <v>219</v>
      </c>
      <c r="G15" s="424"/>
      <c r="H15" s="927">
        <f>Commercial!C14</f>
        <v>4.5868021627512965</v>
      </c>
      <c r="I15" s="929">
        <f>Recreational!C14</f>
        <v>6.910398455791162</v>
      </c>
      <c r="J15" s="929">
        <f>Tribal!C14</f>
        <v>1.9861869644245502</v>
      </c>
      <c r="K15" s="28"/>
      <c r="L15" s="929">
        <f>Rebuilding!B14</f>
        <v>0</v>
      </c>
      <c r="M15" s="929">
        <f>'Stock Status'!C14</f>
        <v>3</v>
      </c>
      <c r="N15" s="929">
        <f>'Fishing mortality'!C12</f>
        <v>2</v>
      </c>
      <c r="O15" s="929">
        <f>Ecosystem!C13</f>
        <v>0.66286069774807621</v>
      </c>
      <c r="P15" s="654"/>
      <c r="Q15" s="1223">
        <f>'Assess Freq'!U14</f>
        <v>3</v>
      </c>
      <c r="R15" s="150"/>
      <c r="S15" s="28">
        <f>H15*H$7</f>
        <v>0.96322845417777225</v>
      </c>
      <c r="T15" s="28">
        <f>I15*I$7</f>
        <v>0.62193586102120457</v>
      </c>
      <c r="U15" s="28">
        <f>J15*J$7</f>
        <v>9.9309348221227514E-2</v>
      </c>
      <c r="V15" s="28">
        <f>K15*K$7</f>
        <v>0</v>
      </c>
      <c r="W15" s="28">
        <f>L15*L$7</f>
        <v>0</v>
      </c>
      <c r="X15" s="28">
        <f>M15*M$7</f>
        <v>0.24</v>
      </c>
      <c r="Y15" s="28">
        <f>N15*N$7</f>
        <v>0.16</v>
      </c>
      <c r="Z15" s="358">
        <f>O15*O$7</f>
        <v>3.3143034887403812E-2</v>
      </c>
      <c r="AA15" s="28">
        <f>P15*P$7</f>
        <v>0</v>
      </c>
      <c r="AB15" s="287">
        <f>Q15*Q$7</f>
        <v>0.54</v>
      </c>
      <c r="AC15" s="98">
        <f>RANK(AD15,AD$8:AD$72)</f>
        <v>7</v>
      </c>
      <c r="AD15" s="99">
        <f>SUM(S15:AB15)</f>
        <v>2.6576166983076086</v>
      </c>
      <c r="AE15" s="165"/>
      <c r="AF15" s="165"/>
      <c r="AG15" s="165"/>
      <c r="AH15" s="165"/>
    </row>
    <row r="16" spans="1:34" ht="18" thickBot="1" x14ac:dyDescent="0.35">
      <c r="A16" s="572" t="s">
        <v>104</v>
      </c>
      <c r="B16" s="940">
        <f>RANK(C16,C$8:C$72)</f>
        <v>4</v>
      </c>
      <c r="C16" s="485">
        <f>SUM(S16:AB16)</f>
        <v>2.8856691449673542</v>
      </c>
      <c r="D16" s="682" t="s">
        <v>291</v>
      </c>
      <c r="E16" s="418">
        <v>2013</v>
      </c>
      <c r="F16" s="432" t="s">
        <v>225</v>
      </c>
      <c r="G16" s="425"/>
      <c r="H16" s="927">
        <f>Commercial!C15</f>
        <v>4.4870772599962532</v>
      </c>
      <c r="I16" s="929">
        <f>Recreational!C15</f>
        <v>6.1895336926856821</v>
      </c>
      <c r="J16" s="929">
        <f>Tribal!C15</f>
        <v>2.5</v>
      </c>
      <c r="K16" s="28"/>
      <c r="L16" s="929">
        <f>Rebuilding!B15</f>
        <v>0</v>
      </c>
      <c r="M16" s="929">
        <f>'Stock Status'!C15</f>
        <v>4</v>
      </c>
      <c r="N16" s="929">
        <f>'Fishing mortality'!C13</f>
        <v>5</v>
      </c>
      <c r="O16" s="929">
        <f>Ecosystem!C14</f>
        <v>2.6497760528589875E-2</v>
      </c>
      <c r="P16" s="28"/>
      <c r="Q16" s="1223">
        <f>'Assess Freq'!U15</f>
        <v>3</v>
      </c>
      <c r="R16" s="150"/>
      <c r="S16" s="28">
        <f>H16*H$7</f>
        <v>0.94228622459921318</v>
      </c>
      <c r="T16" s="28">
        <f>I16*I$7</f>
        <v>0.55705803234171136</v>
      </c>
      <c r="U16" s="28">
        <f>J16*J$7</f>
        <v>0.125</v>
      </c>
      <c r="V16" s="28">
        <f>K16*K$7</f>
        <v>0</v>
      </c>
      <c r="W16" s="28">
        <f>L16*L$7</f>
        <v>0</v>
      </c>
      <c r="X16" s="28">
        <f>M16*M$7</f>
        <v>0.32</v>
      </c>
      <c r="Y16" s="28">
        <f>N16*N$7</f>
        <v>0.4</v>
      </c>
      <c r="Z16" s="358">
        <f>O16*O$7</f>
        <v>1.3248880264294938E-3</v>
      </c>
      <c r="AA16" s="28">
        <f>P16*P$7</f>
        <v>0</v>
      </c>
      <c r="AB16" s="287">
        <f>Q16*Q$7</f>
        <v>0.54</v>
      </c>
      <c r="AC16" s="98">
        <f>RANK(AD16,AD$8:AD$72)</f>
        <v>4</v>
      </c>
      <c r="AD16" s="99">
        <f>SUM(S16:AB16)</f>
        <v>2.8856691449673542</v>
      </c>
      <c r="AE16" s="165"/>
      <c r="AF16" s="165"/>
      <c r="AG16" s="165"/>
      <c r="AH16" s="165"/>
    </row>
    <row r="17" spans="1:34" ht="18" thickBot="1" x14ac:dyDescent="0.35">
      <c r="A17" s="572" t="s">
        <v>9</v>
      </c>
      <c r="B17" s="940">
        <f>RANK(C17,C$8:C$72)</f>
        <v>32</v>
      </c>
      <c r="C17" s="485">
        <f>SUM(S17:AB17)</f>
        <v>2.1598617807421943</v>
      </c>
      <c r="D17" s="682"/>
      <c r="E17" s="418">
        <v>2019</v>
      </c>
      <c r="F17" s="429" t="s">
        <v>218</v>
      </c>
      <c r="G17" s="424"/>
      <c r="H17" s="927">
        <f>Commercial!C16</f>
        <v>5.0860353657661559</v>
      </c>
      <c r="I17" s="929">
        <f>Recreational!C16</f>
        <v>5.5655533943911708</v>
      </c>
      <c r="J17" s="929">
        <f>Tribal!C16</f>
        <v>2</v>
      </c>
      <c r="K17" s="654"/>
      <c r="L17" s="929">
        <f>Rebuilding!B16</f>
        <v>0</v>
      </c>
      <c r="M17" s="929">
        <f>'Stock Status'!C16</f>
        <v>3</v>
      </c>
      <c r="N17" s="929">
        <f>'Fishing mortality'!C14</f>
        <v>3</v>
      </c>
      <c r="O17" s="929">
        <f>Ecosystem!C15</f>
        <v>0.21789096872192051</v>
      </c>
      <c r="P17" s="654"/>
      <c r="Q17" s="1223">
        <f>'Assess Freq'!U16</f>
        <v>0</v>
      </c>
      <c r="R17" s="150"/>
      <c r="S17" s="28">
        <f>H17*H$7</f>
        <v>1.0680674268108927</v>
      </c>
      <c r="T17" s="28">
        <f>I17*I$7</f>
        <v>0.50089980549520541</v>
      </c>
      <c r="U17" s="28">
        <f>J17*J$7</f>
        <v>0.1</v>
      </c>
      <c r="V17" s="28">
        <f>K17*K$7</f>
        <v>0</v>
      </c>
      <c r="W17" s="28">
        <f>L17*L$7</f>
        <v>0</v>
      </c>
      <c r="X17" s="28">
        <f>M17*M$7</f>
        <v>0.24</v>
      </c>
      <c r="Y17" s="28">
        <f>N17*N$7</f>
        <v>0.24</v>
      </c>
      <c r="Z17" s="358">
        <f>O17*O$7</f>
        <v>1.0894548436096026E-2</v>
      </c>
      <c r="AA17" s="28">
        <f>P17*P$7</f>
        <v>0</v>
      </c>
      <c r="AB17" s="287">
        <f>Q17*Q$7</f>
        <v>0</v>
      </c>
      <c r="AC17" s="98">
        <f>RANK(AD17,AD$8:AD$72)</f>
        <v>32</v>
      </c>
      <c r="AD17" s="99">
        <f>SUM(S17:AB17)</f>
        <v>2.1598617807421943</v>
      </c>
      <c r="AE17" s="165"/>
      <c r="AF17" s="165"/>
      <c r="AG17" s="165"/>
      <c r="AH17" s="165"/>
    </row>
    <row r="18" spans="1:34" ht="18" thickBot="1" x14ac:dyDescent="0.35">
      <c r="A18" s="573" t="s">
        <v>90</v>
      </c>
      <c r="B18" s="940">
        <f>RANK(C18,C$8:C$72)</f>
        <v>45</v>
      </c>
      <c r="C18" s="485">
        <f>SUM(S18:AB18)</f>
        <v>1.8876390625294541</v>
      </c>
      <c r="D18" s="682" t="s">
        <v>217</v>
      </c>
      <c r="E18" s="418">
        <v>2017</v>
      </c>
      <c r="F18" s="429" t="s">
        <v>218</v>
      </c>
      <c r="G18" s="424"/>
      <c r="H18" s="927">
        <f>Commercial!C17</f>
        <v>2.8553881813797837</v>
      </c>
      <c r="I18" s="929">
        <f>Recreational!C17</f>
        <v>6.7617436956895336</v>
      </c>
      <c r="J18" s="929">
        <f>Tribal!C17</f>
        <v>0</v>
      </c>
      <c r="K18" s="28"/>
      <c r="L18" s="929">
        <f>Rebuilding!B17</f>
        <v>0</v>
      </c>
      <c r="M18" s="929">
        <f>'Stock Status'!C17</f>
        <v>3</v>
      </c>
      <c r="N18" s="929">
        <f>'Fishing mortality'!C15</f>
        <v>3</v>
      </c>
      <c r="O18" s="929">
        <f>Ecosystem!C16</f>
        <v>0.3890122365528314</v>
      </c>
      <c r="P18" s="654"/>
      <c r="Q18" s="1223">
        <f>'Assess Freq'!U17</f>
        <v>1</v>
      </c>
      <c r="R18" s="150"/>
      <c r="S18" s="28">
        <f>H18*H$7</f>
        <v>0.59963151808975457</v>
      </c>
      <c r="T18" s="28">
        <f>I18*I$7</f>
        <v>0.60855693261205801</v>
      </c>
      <c r="U18" s="28">
        <f>J18*J$7</f>
        <v>0</v>
      </c>
      <c r="V18" s="28">
        <f>K18*K$7</f>
        <v>0</v>
      </c>
      <c r="W18" s="28">
        <f>L18*L$7</f>
        <v>0</v>
      </c>
      <c r="X18" s="28">
        <f>M18*M$7</f>
        <v>0.24</v>
      </c>
      <c r="Y18" s="28">
        <f>N18*N$7</f>
        <v>0.24</v>
      </c>
      <c r="Z18" s="358">
        <f>O18*O$7</f>
        <v>1.9450611827641573E-2</v>
      </c>
      <c r="AA18" s="28">
        <f>P18*P$7</f>
        <v>0</v>
      </c>
      <c r="AB18" s="287">
        <f>Q18*Q$7</f>
        <v>0.18</v>
      </c>
      <c r="AC18" s="98">
        <f>RANK(AD18,AD$8:AD$72)</f>
        <v>45</v>
      </c>
      <c r="AD18" s="99">
        <f>SUM(S18:AB18)</f>
        <v>1.8876390625294541</v>
      </c>
      <c r="AE18" s="165"/>
      <c r="AF18" s="165"/>
      <c r="AG18" s="165"/>
      <c r="AH18" s="165"/>
    </row>
    <row r="19" spans="1:34" ht="18" thickBot="1" x14ac:dyDescent="0.35">
      <c r="A19" s="573" t="s">
        <v>14</v>
      </c>
      <c r="B19" s="940">
        <f>RANK(C19,C$8:C$72)</f>
        <v>15</v>
      </c>
      <c r="C19" s="485">
        <f>SUM(S19:AB19)</f>
        <v>2.5084217157128719</v>
      </c>
      <c r="D19" s="682"/>
      <c r="E19" s="418">
        <v>2015</v>
      </c>
      <c r="F19" s="429" t="s">
        <v>218</v>
      </c>
      <c r="G19" s="424"/>
      <c r="H19" s="927">
        <f>Commercial!C18</f>
        <v>4.5835613234585573</v>
      </c>
      <c r="I19" s="929">
        <f>Recreational!C18</f>
        <v>6.6650644551654752</v>
      </c>
      <c r="J19" s="929">
        <f>Tribal!C18</f>
        <v>5.6431955339837554</v>
      </c>
      <c r="K19" s="28"/>
      <c r="L19" s="929">
        <f>Rebuilding!B18</f>
        <v>0</v>
      </c>
      <c r="M19" s="929">
        <f>'Stock Status'!C18</f>
        <v>3</v>
      </c>
      <c r="N19" s="929">
        <f>'Fishing mortality'!C16</f>
        <v>3</v>
      </c>
      <c r="O19" s="929">
        <f>Ecosystem!C17</f>
        <v>7.7165202449884146E-2</v>
      </c>
      <c r="P19" s="654"/>
      <c r="Q19" s="1223">
        <f>'Assess Freq'!U18</f>
        <v>1</v>
      </c>
      <c r="R19" s="150"/>
      <c r="S19" s="28">
        <f>H19*H$7</f>
        <v>0.96254787792629704</v>
      </c>
      <c r="T19" s="28">
        <f>I19*I$7</f>
        <v>0.59985580096489277</v>
      </c>
      <c r="U19" s="28">
        <f>J19*J$7</f>
        <v>0.28215977669918779</v>
      </c>
      <c r="V19" s="28">
        <f>K19*K$7</f>
        <v>0</v>
      </c>
      <c r="W19" s="28">
        <f>L19*L$7</f>
        <v>0</v>
      </c>
      <c r="X19" s="28">
        <f>M19*M$7</f>
        <v>0.24</v>
      </c>
      <c r="Y19" s="28">
        <f>N19*N$7</f>
        <v>0.24</v>
      </c>
      <c r="Z19" s="358">
        <f>O19*O$7</f>
        <v>3.8582601224942076E-3</v>
      </c>
      <c r="AA19" s="28">
        <f>P19*P$7</f>
        <v>0</v>
      </c>
      <c r="AB19" s="287">
        <f>Q19*Q$7</f>
        <v>0.18</v>
      </c>
      <c r="AC19" s="98">
        <f>RANK(AD19,AD$8:AD$72)</f>
        <v>15</v>
      </c>
      <c r="AD19" s="99">
        <f>SUM(S19:AB19)</f>
        <v>2.5084217157128719</v>
      </c>
      <c r="AE19" s="165"/>
      <c r="AF19" s="165"/>
      <c r="AG19" s="165"/>
      <c r="AH19" s="165"/>
    </row>
    <row r="20" spans="1:34" ht="18" thickBot="1" x14ac:dyDescent="0.35">
      <c r="A20" s="573" t="s">
        <v>96</v>
      </c>
      <c r="B20" s="940">
        <f>RANK(C20,C$8:C$72)</f>
        <v>26</v>
      </c>
      <c r="C20" s="485">
        <f>SUM(S20:AB20)</f>
        <v>2.2551780334277192</v>
      </c>
      <c r="D20" s="682" t="s">
        <v>217</v>
      </c>
      <c r="E20" s="418">
        <v>2015</v>
      </c>
      <c r="F20" s="431" t="s">
        <v>219</v>
      </c>
      <c r="G20" s="424"/>
      <c r="H20" s="927">
        <f>Commercial!C19</f>
        <v>4.7807186184641459</v>
      </c>
      <c r="I20" s="929">
        <f>Recreational!C19</f>
        <v>3.6094088780762541</v>
      </c>
      <c r="J20" s="929">
        <f>Tribal!C19</f>
        <v>0.49900916162059628</v>
      </c>
      <c r="K20" s="28"/>
      <c r="L20" s="929">
        <f>Rebuilding!B19</f>
        <v>0</v>
      </c>
      <c r="M20" s="929">
        <f>'Stock Status'!C19</f>
        <v>2</v>
      </c>
      <c r="N20" s="929">
        <f>'Fishing mortality'!C17</f>
        <v>2</v>
      </c>
      <c r="O20" s="929">
        <f>Ecosystem!C18</f>
        <v>0.82859732884711845</v>
      </c>
      <c r="P20" s="654"/>
      <c r="Q20" s="1223">
        <f>'Assess Freq'!U19</f>
        <v>3</v>
      </c>
      <c r="R20" s="150"/>
      <c r="S20" s="28">
        <f>H20*H$7</f>
        <v>1.0039509098774706</v>
      </c>
      <c r="T20" s="28">
        <f>I20*I$7</f>
        <v>0.32484679902686286</v>
      </c>
      <c r="U20" s="28">
        <f>J20*J$7</f>
        <v>2.4950458081029817E-2</v>
      </c>
      <c r="V20" s="28">
        <f>K20*K$7</f>
        <v>0</v>
      </c>
      <c r="W20" s="28">
        <f>L20*L$7</f>
        <v>0</v>
      </c>
      <c r="X20" s="28">
        <f>M20*M$7</f>
        <v>0.16</v>
      </c>
      <c r="Y20" s="28">
        <f>N20*N$7</f>
        <v>0.16</v>
      </c>
      <c r="Z20" s="358">
        <f>O20*O$7</f>
        <v>4.1429866442355925E-2</v>
      </c>
      <c r="AA20" s="28">
        <f>P20*P$7</f>
        <v>0</v>
      </c>
      <c r="AB20" s="287">
        <f>Q20*Q$7</f>
        <v>0.54</v>
      </c>
      <c r="AC20" s="98">
        <f>RANK(AD20,AD$8:AD$72)</f>
        <v>26</v>
      </c>
      <c r="AD20" s="99">
        <f>SUM(S20:AB20)</f>
        <v>2.2551780334277192</v>
      </c>
      <c r="AE20" s="165"/>
      <c r="AF20" s="165"/>
      <c r="AG20" s="165"/>
      <c r="AH20" s="165"/>
    </row>
    <row r="21" spans="1:34" ht="18" thickBot="1" x14ac:dyDescent="0.35">
      <c r="A21" s="572" t="s">
        <v>99</v>
      </c>
      <c r="B21" s="940">
        <f>RANK(C21,C$8:C$72)</f>
        <v>42</v>
      </c>
      <c r="C21" s="485">
        <f>SUM(S21:AB21)</f>
        <v>1.9439752961756267</v>
      </c>
      <c r="D21" s="682"/>
      <c r="E21" s="418">
        <v>2015</v>
      </c>
      <c r="F21" s="429" t="s">
        <v>218</v>
      </c>
      <c r="G21" s="424"/>
      <c r="H21" s="927">
        <f>Commercial!C20</f>
        <v>3.702746152095171</v>
      </c>
      <c r="I21" s="929">
        <f>Recreational!C20</f>
        <v>4.4411624389622686</v>
      </c>
      <c r="J21" s="929">
        <f>Tribal!C20</f>
        <v>2.5</v>
      </c>
      <c r="K21" s="28"/>
      <c r="L21" s="929">
        <f>Rebuilding!B20</f>
        <v>0</v>
      </c>
      <c r="M21" s="929">
        <f>'Stock Status'!C20</f>
        <v>3</v>
      </c>
      <c r="N21" s="929">
        <f>'Fishing mortality'!C18</f>
        <v>5</v>
      </c>
      <c r="O21" s="929">
        <f>Ecosystem!C19</f>
        <v>3.3879694580730917E-2</v>
      </c>
      <c r="P21" s="654"/>
      <c r="Q21" s="1223">
        <f>'Assess Freq'!U20</f>
        <v>0</v>
      </c>
      <c r="R21" s="150"/>
      <c r="S21" s="28">
        <f>H21*H$7</f>
        <v>0.77757669193998591</v>
      </c>
      <c r="T21" s="28">
        <f>I21*I$7</f>
        <v>0.39970461950660413</v>
      </c>
      <c r="U21" s="28">
        <f>J21*J$7</f>
        <v>0.125</v>
      </c>
      <c r="V21" s="28">
        <f>K21*K$7</f>
        <v>0</v>
      </c>
      <c r="W21" s="28">
        <f>L21*L$7</f>
        <v>0</v>
      </c>
      <c r="X21" s="28">
        <f>M21*M$7</f>
        <v>0.24</v>
      </c>
      <c r="Y21" s="28">
        <f>N21*N$7</f>
        <v>0.4</v>
      </c>
      <c r="Z21" s="358">
        <f>O21*O$7</f>
        <v>1.6939847290365459E-3</v>
      </c>
      <c r="AA21" s="28">
        <f>P21*P$7</f>
        <v>0</v>
      </c>
      <c r="AB21" s="287">
        <f>Q21*Q$7</f>
        <v>0</v>
      </c>
      <c r="AC21" s="98">
        <f>RANK(AD21,AD$8:AD$72)</f>
        <v>42</v>
      </c>
      <c r="AD21" s="99">
        <f>SUM(S21:AB21)</f>
        <v>1.9439752961756267</v>
      </c>
      <c r="AE21" s="165"/>
      <c r="AF21" s="165"/>
      <c r="AG21" s="165"/>
      <c r="AH21" s="165"/>
    </row>
    <row r="22" spans="1:34" ht="18" thickBot="1" x14ac:dyDescent="0.35">
      <c r="A22" s="572" t="s">
        <v>105</v>
      </c>
      <c r="B22" s="940">
        <f>RANK(C22,C$8:C$72)</f>
        <v>34</v>
      </c>
      <c r="C22" s="485">
        <f>SUM(S22:AB22)</f>
        <v>2.1165042471054671</v>
      </c>
      <c r="D22" s="682" t="s">
        <v>314</v>
      </c>
      <c r="E22" s="418">
        <v>2021</v>
      </c>
      <c r="F22" s="432" t="s">
        <v>225</v>
      </c>
      <c r="G22" s="424"/>
      <c r="H22" s="927">
        <f>Commercial!C21</f>
        <v>4.0910824110525459</v>
      </c>
      <c r="I22" s="929">
        <f>Recreational!C21</f>
        <v>7.3585966636466793</v>
      </c>
      <c r="J22" s="929">
        <f>Tribal!C21</f>
        <v>3.054699239043805</v>
      </c>
      <c r="K22" s="28"/>
      <c r="L22" s="929">
        <f>Rebuilding!B21</f>
        <v>0</v>
      </c>
      <c r="M22" s="929">
        <f>'Stock Status'!C21</f>
        <v>5</v>
      </c>
      <c r="N22" s="929">
        <f>'Fishing mortality'!C19</f>
        <v>5</v>
      </c>
      <c r="O22" s="929">
        <f>Ecosystem!C20</f>
        <v>4.7365582080821381E-2</v>
      </c>
      <c r="P22" s="28"/>
      <c r="Q22" s="1223">
        <f>'Assess Freq'!U21</f>
        <v>-2</v>
      </c>
      <c r="R22" s="150"/>
      <c r="S22" s="28">
        <f>H22*H$7</f>
        <v>0.85912730632103462</v>
      </c>
      <c r="T22" s="28">
        <f>I22*I$7</f>
        <v>0.66227369972820116</v>
      </c>
      <c r="U22" s="28">
        <f>J22*J$7</f>
        <v>0.15273496195219027</v>
      </c>
      <c r="V22" s="28">
        <f>K22*K$7</f>
        <v>0</v>
      </c>
      <c r="W22" s="28">
        <f>L22*L$7</f>
        <v>0</v>
      </c>
      <c r="X22" s="28">
        <f>M22*M$7</f>
        <v>0.4</v>
      </c>
      <c r="Y22" s="28">
        <f>N22*N$7</f>
        <v>0.4</v>
      </c>
      <c r="Z22" s="358">
        <f>O22*O$7</f>
        <v>2.3682791040410692E-3</v>
      </c>
      <c r="AA22" s="28">
        <f>P22*P$7</f>
        <v>0</v>
      </c>
      <c r="AB22" s="287">
        <f>Q22*Q$7</f>
        <v>-0.36</v>
      </c>
      <c r="AC22" s="98">
        <f>RANK(AD22,AD$8:AD$72)</f>
        <v>34</v>
      </c>
      <c r="AD22" s="99">
        <f>SUM(S22:AB22)</f>
        <v>2.1165042471054671</v>
      </c>
      <c r="AE22" s="165"/>
      <c r="AF22" s="165"/>
      <c r="AG22" s="165"/>
      <c r="AH22" s="165"/>
    </row>
    <row r="23" spans="1:34" ht="18" thickBot="1" x14ac:dyDescent="0.35">
      <c r="A23" s="573" t="s">
        <v>92</v>
      </c>
      <c r="B23" s="940">
        <f>RANK(C23,C$8:C$72)</f>
        <v>65</v>
      </c>
      <c r="C23" s="485">
        <f>SUM(S23:AB23)</f>
        <v>0.62249941327696723</v>
      </c>
      <c r="D23" s="682" t="s">
        <v>314</v>
      </c>
      <c r="E23" s="418">
        <v>2019</v>
      </c>
      <c r="F23" s="429" t="s">
        <v>218</v>
      </c>
      <c r="G23" s="424"/>
      <c r="H23" s="927">
        <f>Commercial!C22</f>
        <v>1.4931254574072874</v>
      </c>
      <c r="I23" s="929">
        <f>Recreational!C22</f>
        <v>1.8763705310950614</v>
      </c>
      <c r="J23" s="929">
        <f>Tribal!C22</f>
        <v>0</v>
      </c>
      <c r="K23" s="28"/>
      <c r="L23" s="929">
        <f>Rebuilding!B22</f>
        <v>0</v>
      </c>
      <c r="M23" s="929">
        <f>'Stock Status'!C22</f>
        <v>3</v>
      </c>
      <c r="N23" s="929">
        <f>'Fishing mortality'!C20</f>
        <v>1</v>
      </c>
      <c r="O23" s="929">
        <f>Ecosystem!C21</f>
        <v>1.3943884576294357E-3</v>
      </c>
      <c r="P23" s="654"/>
      <c r="Q23" s="1223">
        <f>'Assess Freq'!U22</f>
        <v>-1</v>
      </c>
      <c r="R23" s="150"/>
      <c r="S23" s="28">
        <f>H23*H$7</f>
        <v>0.31355634605553034</v>
      </c>
      <c r="T23" s="28">
        <f>I23*I$7</f>
        <v>0.16887334779855551</v>
      </c>
      <c r="U23" s="28">
        <f>J23*J$7</f>
        <v>0</v>
      </c>
      <c r="V23" s="28">
        <f>K23*K$7</f>
        <v>0</v>
      </c>
      <c r="W23" s="28">
        <f>L23*L$7</f>
        <v>0</v>
      </c>
      <c r="X23" s="28">
        <f>M23*M$7</f>
        <v>0.24</v>
      </c>
      <c r="Y23" s="28">
        <f>N23*N$7</f>
        <v>0.08</v>
      </c>
      <c r="Z23" s="358">
        <f>O23*O$7</f>
        <v>6.9719422881471784E-5</v>
      </c>
      <c r="AA23" s="28">
        <f>P23*P$7</f>
        <v>0</v>
      </c>
      <c r="AB23" s="287">
        <f>Q23*Q$7</f>
        <v>-0.18</v>
      </c>
      <c r="AC23" s="98">
        <f>RANK(AD23,AD$8:AD$72)</f>
        <v>65</v>
      </c>
      <c r="AD23" s="99">
        <f>SUM(S23:AB23)</f>
        <v>0.62249941327696723</v>
      </c>
      <c r="AE23" s="165"/>
      <c r="AF23" s="165"/>
      <c r="AG23" s="165"/>
      <c r="AH23" s="165"/>
    </row>
    <row r="24" spans="1:34" ht="18" thickBot="1" x14ac:dyDescent="0.35">
      <c r="A24" s="573" t="s">
        <v>22</v>
      </c>
      <c r="B24" s="940">
        <f>RANK(C24,C$8:C$72)</f>
        <v>57</v>
      </c>
      <c r="C24" s="485">
        <f>SUM(S24:AB24)</f>
        <v>1.6321604118558595</v>
      </c>
      <c r="D24" s="682"/>
      <c r="E24" s="935"/>
      <c r="F24" s="1009" t="s">
        <v>226</v>
      </c>
      <c r="G24" s="424"/>
      <c r="H24" s="927">
        <f>Commercial!C23</f>
        <v>1.8196092084488162</v>
      </c>
      <c r="I24" s="929">
        <f>Recreational!C23</f>
        <v>0</v>
      </c>
      <c r="J24" s="929">
        <f>Tribal!C23</f>
        <v>1</v>
      </c>
      <c r="K24" s="28"/>
      <c r="L24" s="929">
        <f>Rebuilding!B23</f>
        <v>0</v>
      </c>
      <c r="M24" s="929">
        <f>'Stock Status'!C23</f>
        <v>3</v>
      </c>
      <c r="N24" s="929">
        <f>'Fishing mortality'!C21</f>
        <v>3</v>
      </c>
      <c r="O24" s="929">
        <f>Ecosystem!C22</f>
        <v>8.4956163216051521E-4</v>
      </c>
      <c r="P24" s="654"/>
      <c r="Q24" s="1223">
        <f>'Assess Freq'!U23</f>
        <v>4</v>
      </c>
      <c r="R24" s="150"/>
      <c r="S24" s="28">
        <f>H24*H$7</f>
        <v>0.38211793377425141</v>
      </c>
      <c r="T24" s="28">
        <f>I24*I$7</f>
        <v>0</v>
      </c>
      <c r="U24" s="28">
        <f>J24*J$7</f>
        <v>0.05</v>
      </c>
      <c r="V24" s="28">
        <f>K24*K$7</f>
        <v>0</v>
      </c>
      <c r="W24" s="28">
        <f>L24*L$7</f>
        <v>0</v>
      </c>
      <c r="X24" s="28">
        <f>M24*M$7</f>
        <v>0.24</v>
      </c>
      <c r="Y24" s="28">
        <f>N24*N$7</f>
        <v>0.24</v>
      </c>
      <c r="Z24" s="358">
        <f>O24*O$7</f>
        <v>4.2478081608025766E-5</v>
      </c>
      <c r="AA24" s="28">
        <f>P24*P$7</f>
        <v>0</v>
      </c>
      <c r="AB24" s="287">
        <f>Q24*Q$7</f>
        <v>0.72</v>
      </c>
      <c r="AC24" s="98">
        <f>RANK(AD24,AD$8:AD$72)</f>
        <v>57</v>
      </c>
      <c r="AD24" s="99">
        <f>SUM(S24:AB24)</f>
        <v>1.6321604118558595</v>
      </c>
      <c r="AE24" s="165"/>
      <c r="AF24" s="165"/>
      <c r="AG24" s="165"/>
      <c r="AH24" s="165"/>
    </row>
    <row r="25" spans="1:34" ht="18" thickBot="1" x14ac:dyDescent="0.35">
      <c r="A25" s="573" t="s">
        <v>13</v>
      </c>
      <c r="B25" s="940">
        <f>RANK(C25,C$8:C$72)</f>
        <v>59</v>
      </c>
      <c r="C25" s="485">
        <f>SUM(S25:AB25)</f>
        <v>1.5174857915924109</v>
      </c>
      <c r="D25" s="682" t="s">
        <v>217</v>
      </c>
      <c r="E25" s="418">
        <v>2017</v>
      </c>
      <c r="F25" s="431" t="s">
        <v>219</v>
      </c>
      <c r="G25" s="424"/>
      <c r="H25" s="927">
        <f>Commercial!C24</f>
        <v>4.1923477804301443</v>
      </c>
      <c r="I25" s="929">
        <f>Recreational!C24</f>
        <v>0</v>
      </c>
      <c r="J25" s="929">
        <f>Tribal!C24</f>
        <v>1.4852683221811402</v>
      </c>
      <c r="K25" s="28"/>
      <c r="L25" s="929">
        <f>Rebuilding!B24</f>
        <v>0</v>
      </c>
      <c r="M25" s="929">
        <f>'Stock Status'!C24</f>
        <v>4</v>
      </c>
      <c r="N25" s="929">
        <f>'Fishing mortality'!C22</f>
        <v>3</v>
      </c>
      <c r="O25" s="929">
        <f>Ecosystem!C23</f>
        <v>5.6586831860472898E-2</v>
      </c>
      <c r="P25" s="654"/>
      <c r="Q25" s="1223">
        <f>'Assess Freq'!U24</f>
        <v>0</v>
      </c>
      <c r="R25" s="150"/>
      <c r="S25" s="28">
        <f>H25*H$7</f>
        <v>0.8803930338903303</v>
      </c>
      <c r="T25" s="28">
        <f>I25*I$7</f>
        <v>0</v>
      </c>
      <c r="U25" s="28">
        <f>J25*J$7</f>
        <v>7.4263416109057012E-2</v>
      </c>
      <c r="V25" s="28">
        <f>K25*K$7</f>
        <v>0</v>
      </c>
      <c r="W25" s="28">
        <f>L25*L$7</f>
        <v>0</v>
      </c>
      <c r="X25" s="28">
        <f>M25*M$7</f>
        <v>0.32</v>
      </c>
      <c r="Y25" s="28">
        <f>N25*N$7</f>
        <v>0.24</v>
      </c>
      <c r="Z25" s="358">
        <f>O25*O$7</f>
        <v>2.8293415930236449E-3</v>
      </c>
      <c r="AA25" s="28">
        <f>P25*P$7</f>
        <v>0</v>
      </c>
      <c r="AB25" s="287">
        <f>Q25*Q$7</f>
        <v>0</v>
      </c>
      <c r="AC25" s="98">
        <f>RANK(AD25,AD$8:AD$72)</f>
        <v>59</v>
      </c>
      <c r="AD25" s="99">
        <f>SUM(S25:AB25)</f>
        <v>1.5174857915924109</v>
      </c>
      <c r="AE25" s="165"/>
      <c r="AF25" s="165"/>
      <c r="AG25" s="165"/>
      <c r="AH25" s="165"/>
    </row>
    <row r="26" spans="1:34" ht="18" thickBot="1" x14ac:dyDescent="0.35">
      <c r="A26" s="573" t="s">
        <v>6</v>
      </c>
      <c r="B26" s="940">
        <f>RANK(C26,C$8:C$72)</f>
        <v>53</v>
      </c>
      <c r="C26" s="485">
        <f>SUM(S26:AB26)</f>
        <v>1.7460675626708246</v>
      </c>
      <c r="D26" s="682" t="s">
        <v>217</v>
      </c>
      <c r="E26" s="418">
        <v>2021</v>
      </c>
      <c r="F26" s="429" t="s">
        <v>218</v>
      </c>
      <c r="G26" s="424"/>
      <c r="H26" s="927">
        <f>Commercial!C25</f>
        <v>7.8708016664396272</v>
      </c>
      <c r="I26" s="929">
        <f>Recreational!C25</f>
        <v>1.3637010661504583</v>
      </c>
      <c r="J26" s="929">
        <f>Tribal!C25</f>
        <v>5.1148126511596264</v>
      </c>
      <c r="K26" s="28"/>
      <c r="L26" s="929">
        <f>Rebuilding!B25</f>
        <v>0</v>
      </c>
      <c r="M26" s="929">
        <f>'Stock Status'!C25</f>
        <v>1</v>
      </c>
      <c r="N26" s="929">
        <f>'Fishing mortality'!C23</f>
        <v>1</v>
      </c>
      <c r="O26" s="929">
        <f>Ecosystem!C24</f>
        <v>1.894509684139607</v>
      </c>
      <c r="P26" s="28"/>
      <c r="Q26" s="1223">
        <f>'Assess Freq'!U25</f>
        <v>-3</v>
      </c>
      <c r="R26" s="150"/>
      <c r="S26" s="28">
        <f>H26*H$7</f>
        <v>1.6528683499523216</v>
      </c>
      <c r="T26" s="28">
        <f>I26*I$7</f>
        <v>0.12273309595354125</v>
      </c>
      <c r="U26" s="28">
        <f>J26*J$7</f>
        <v>0.25574063255798135</v>
      </c>
      <c r="V26" s="28">
        <f>K26*K$7</f>
        <v>0</v>
      </c>
      <c r="W26" s="28">
        <f>L26*L$7</f>
        <v>0</v>
      </c>
      <c r="X26" s="28">
        <f>M26*M$7</f>
        <v>0.08</v>
      </c>
      <c r="Y26" s="28">
        <f>N26*N$7</f>
        <v>0.08</v>
      </c>
      <c r="Z26" s="358">
        <f>O26*O$7</f>
        <v>9.4725484206980348E-2</v>
      </c>
      <c r="AA26" s="28">
        <f>P26*P$7</f>
        <v>0</v>
      </c>
      <c r="AB26" s="287">
        <f>Q26*Q$7</f>
        <v>-0.54</v>
      </c>
      <c r="AC26" s="98">
        <f>RANK(AD26,AD$8:AD$72)</f>
        <v>53</v>
      </c>
      <c r="AD26" s="99">
        <f>SUM(S26:AB26)</f>
        <v>1.7460675626708246</v>
      </c>
      <c r="AE26" s="165"/>
      <c r="AF26" s="165"/>
      <c r="AG26" s="165"/>
      <c r="AH26" s="165"/>
    </row>
    <row r="27" spans="1:34" ht="18" thickBot="1" x14ac:dyDescent="0.35">
      <c r="A27" s="573" t="s">
        <v>16</v>
      </c>
      <c r="B27" s="940">
        <f>RANK(C27,C$8:C$72)</f>
        <v>29</v>
      </c>
      <c r="C27" s="485">
        <f>SUM(S27:AB27)</f>
        <v>2.2038959510642089</v>
      </c>
      <c r="D27" s="682"/>
      <c r="E27" s="418">
        <v>2013</v>
      </c>
      <c r="F27" s="432" t="s">
        <v>225</v>
      </c>
      <c r="G27" s="424"/>
      <c r="H27" s="927">
        <f>Commercial!C26</f>
        <v>3.9367506537991726</v>
      </c>
      <c r="I27" s="929">
        <f>Recreational!C26</f>
        <v>0.83351239774091856</v>
      </c>
      <c r="J27" s="929">
        <f>Tribal!C26</f>
        <v>4.7630882431826631</v>
      </c>
      <c r="K27" s="28"/>
      <c r="L27" s="929">
        <f>Rebuilding!B26</f>
        <v>0</v>
      </c>
      <c r="M27" s="929">
        <f>'Stock Status'!C26</f>
        <v>1</v>
      </c>
      <c r="N27" s="929">
        <f>'Fishing mortality'!C24</f>
        <v>1</v>
      </c>
      <c r="O27" s="929">
        <f>Ecosystem!C25</f>
        <v>8.015571621133076E-2</v>
      </c>
      <c r="P27" s="28"/>
      <c r="Q27" s="1223">
        <f>'Assess Freq'!U26</f>
        <v>5</v>
      </c>
      <c r="R27" s="150"/>
      <c r="S27" s="28">
        <f>H27*H$7</f>
        <v>0.82671763729782621</v>
      </c>
      <c r="T27" s="28">
        <f>I27*I$7</f>
        <v>7.5016115796682672E-2</v>
      </c>
      <c r="U27" s="28">
        <f>J27*J$7</f>
        <v>0.23815441215913316</v>
      </c>
      <c r="V27" s="28">
        <f>K27*K$7</f>
        <v>0</v>
      </c>
      <c r="W27" s="28">
        <f>L27*L$7</f>
        <v>0</v>
      </c>
      <c r="X27" s="28">
        <f>M27*M$7</f>
        <v>0.08</v>
      </c>
      <c r="Y27" s="28">
        <f>N27*N$7</f>
        <v>0.08</v>
      </c>
      <c r="Z27" s="358">
        <f>O27*O$7</f>
        <v>4.0077858105665382E-3</v>
      </c>
      <c r="AA27" s="28">
        <f>P27*P$7</f>
        <v>0</v>
      </c>
      <c r="AB27" s="287">
        <f>Q27*Q$7</f>
        <v>0.89999999999999991</v>
      </c>
      <c r="AC27" s="98">
        <f>RANK(AD27,AD$8:AD$72)</f>
        <v>29</v>
      </c>
      <c r="AD27" s="99">
        <f>SUM(S27:AB27)</f>
        <v>2.2038959510642089</v>
      </c>
      <c r="AE27" s="165"/>
      <c r="AF27" s="165"/>
      <c r="AG27" s="165"/>
      <c r="AH27" s="165"/>
    </row>
    <row r="28" spans="1:34" ht="18" thickBot="1" x14ac:dyDescent="0.35">
      <c r="A28" s="572" t="s">
        <v>106</v>
      </c>
      <c r="B28" s="940">
        <f>RANK(C28,C$8:C$72)</f>
        <v>30</v>
      </c>
      <c r="C28" s="485">
        <f>SUM(S28:AB28)</f>
        <v>2.2008431579404291</v>
      </c>
      <c r="D28" s="682"/>
      <c r="E28" s="935"/>
      <c r="F28" s="430" t="s">
        <v>226</v>
      </c>
      <c r="G28" s="424"/>
      <c r="H28" s="927">
        <f>Commercial!C27</f>
        <v>1.691537769421634</v>
      </c>
      <c r="I28" s="929">
        <f>Recreational!C27</f>
        <v>4.2782868806890608</v>
      </c>
      <c r="J28" s="929">
        <f>Tribal!C27</f>
        <v>0</v>
      </c>
      <c r="K28" s="654"/>
      <c r="L28" s="929">
        <f>Rebuilding!B27</f>
        <v>0</v>
      </c>
      <c r="M28" s="929">
        <f>'Stock Status'!C27</f>
        <v>4</v>
      </c>
      <c r="N28" s="929">
        <f>'Fishing mortality'!C25</f>
        <v>3</v>
      </c>
      <c r="O28" s="929">
        <f>Ecosystem!C26</f>
        <v>1.1488141997411791E-2</v>
      </c>
      <c r="P28" s="28"/>
      <c r="Q28" s="1223">
        <f>'Assess Freq'!U27</f>
        <v>5</v>
      </c>
      <c r="R28" s="150"/>
      <c r="S28" s="28">
        <f>H28*H$7</f>
        <v>0.35522293157854312</v>
      </c>
      <c r="T28" s="28">
        <f>I28*I$7</f>
        <v>0.38504581926201548</v>
      </c>
      <c r="U28" s="28">
        <f>J28*J$7</f>
        <v>0</v>
      </c>
      <c r="V28" s="28">
        <f>K28*K$7</f>
        <v>0</v>
      </c>
      <c r="W28" s="28">
        <f>L28*L$7</f>
        <v>0</v>
      </c>
      <c r="X28" s="28">
        <f>M28*M$7</f>
        <v>0.32</v>
      </c>
      <c r="Y28" s="28">
        <f>N28*N$7</f>
        <v>0.24</v>
      </c>
      <c r="Z28" s="358">
        <f>O28*O$7</f>
        <v>5.7440709987058953E-4</v>
      </c>
      <c r="AA28" s="28">
        <f>P28*P$7</f>
        <v>0</v>
      </c>
      <c r="AB28" s="287">
        <f>Q28*Q$7</f>
        <v>0.89999999999999991</v>
      </c>
      <c r="AC28" s="98">
        <f>RANK(AD28,AD$8:AD$72)</f>
        <v>30</v>
      </c>
      <c r="AD28" s="99">
        <f>SUM(S28:AB28)</f>
        <v>2.2008431579404291</v>
      </c>
      <c r="AE28" s="165"/>
      <c r="AF28" s="165"/>
      <c r="AG28" s="165"/>
      <c r="AH28" s="165"/>
    </row>
    <row r="29" spans="1:34" ht="18" thickBot="1" x14ac:dyDescent="0.35">
      <c r="A29" s="572" t="s">
        <v>23</v>
      </c>
      <c r="B29" s="940">
        <f>RANK(C29,C$8:C$72)</f>
        <v>48</v>
      </c>
      <c r="C29" s="485">
        <f>SUM(S29:AB29)</f>
        <v>1.8578841053724475</v>
      </c>
      <c r="D29" s="682"/>
      <c r="E29" s="935"/>
      <c r="F29" s="430" t="s">
        <v>226</v>
      </c>
      <c r="G29" s="424"/>
      <c r="H29" s="927">
        <f>Commercial!C28</f>
        <v>2.3692238919922302</v>
      </c>
      <c r="I29" s="929">
        <f>Recreational!C28</f>
        <v>0</v>
      </c>
      <c r="J29" s="929">
        <f>Tribal!C28</f>
        <v>0</v>
      </c>
      <c r="K29" s="28"/>
      <c r="L29" s="929">
        <f>Rebuilding!B28</f>
        <v>0</v>
      </c>
      <c r="M29" s="929">
        <f>'Stock Status'!C28</f>
        <v>3</v>
      </c>
      <c r="N29" s="929">
        <f>'Fishing mortality'!C26</f>
        <v>5</v>
      </c>
      <c r="O29" s="929">
        <f>Ecosystem!C27</f>
        <v>6.9417610815836195E-3</v>
      </c>
      <c r="P29" s="28"/>
      <c r="Q29" s="1223">
        <f>'Assess Freq'!U28</f>
        <v>4</v>
      </c>
      <c r="R29" s="150"/>
      <c r="S29" s="28">
        <f>H29*H$7</f>
        <v>0.4975370173183683</v>
      </c>
      <c r="T29" s="28">
        <f>I29*I$7</f>
        <v>0</v>
      </c>
      <c r="U29" s="28">
        <f>J29*J$7</f>
        <v>0</v>
      </c>
      <c r="V29" s="28">
        <f>K29*K$7</f>
        <v>0</v>
      </c>
      <c r="W29" s="28">
        <f>L29*L$7</f>
        <v>0</v>
      </c>
      <c r="X29" s="28">
        <f>M29*M$7</f>
        <v>0.24</v>
      </c>
      <c r="Y29" s="28">
        <f>N29*N$7</f>
        <v>0.4</v>
      </c>
      <c r="Z29" s="358">
        <f>O29*O$7</f>
        <v>3.4708805407918097E-4</v>
      </c>
      <c r="AA29" s="28">
        <f>P29*P$7</f>
        <v>0</v>
      </c>
      <c r="AB29" s="287">
        <f>Q29*Q$7</f>
        <v>0.72</v>
      </c>
      <c r="AC29" s="98">
        <f>RANK(AD29,AD$8:AD$72)</f>
        <v>48</v>
      </c>
      <c r="AD29" s="99">
        <f>SUM(S29:AB29)</f>
        <v>1.8578841053724475</v>
      </c>
      <c r="AE29" s="165"/>
      <c r="AF29" s="165"/>
      <c r="AG29" s="165"/>
      <c r="AH29" s="165"/>
    </row>
    <row r="30" spans="1:34" ht="18" thickBot="1" x14ac:dyDescent="0.35">
      <c r="A30" s="572" t="s">
        <v>330</v>
      </c>
      <c r="B30" s="940">
        <f>RANK(C30,C$8:C$72)</f>
        <v>33</v>
      </c>
      <c r="C30" s="485">
        <f>SUM(S30:AB30)</f>
        <v>2.1386336848891849</v>
      </c>
      <c r="D30" s="682"/>
      <c r="E30" s="418">
        <v>2019</v>
      </c>
      <c r="F30" s="429" t="s">
        <v>218</v>
      </c>
      <c r="G30" s="424"/>
      <c r="H30" s="927">
        <f>Commercial!C29</f>
        <v>5.2090722667887102</v>
      </c>
      <c r="I30" s="929">
        <f>Recreational!C29</f>
        <v>5.5407256284111082</v>
      </c>
      <c r="J30" s="929">
        <f>Tribal!C29</f>
        <v>0</v>
      </c>
      <c r="K30" s="28"/>
      <c r="L30" s="929">
        <f>Rebuilding!B29</f>
        <v>0</v>
      </c>
      <c r="M30" s="929">
        <f>'Stock Status'!C29</f>
        <v>4</v>
      </c>
      <c r="N30" s="929">
        <f>'Fishing mortality'!C27</f>
        <v>5</v>
      </c>
      <c r="O30" s="929">
        <f>Ecosystem!C28</f>
        <v>0.12126404613112071</v>
      </c>
      <c r="P30" s="654"/>
      <c r="Q30" s="1223">
        <f>'Assess Freq'!U29</f>
        <v>-1</v>
      </c>
      <c r="R30" s="150"/>
      <c r="S30" s="28">
        <f>H30*H$7</f>
        <v>1.0939051760256291</v>
      </c>
      <c r="T30" s="28">
        <f>I30*I$7</f>
        <v>0.4986653065569997</v>
      </c>
      <c r="U30" s="28">
        <f>J30*J$7</f>
        <v>0</v>
      </c>
      <c r="V30" s="28">
        <f>K30*K$7</f>
        <v>0</v>
      </c>
      <c r="W30" s="28">
        <f>L30*L$7</f>
        <v>0</v>
      </c>
      <c r="X30" s="28">
        <f>M30*M$7</f>
        <v>0.32</v>
      </c>
      <c r="Y30" s="28">
        <f>N30*N$7</f>
        <v>0.4</v>
      </c>
      <c r="Z30" s="358">
        <f>O30*O$7</f>
        <v>6.0632023065560359E-3</v>
      </c>
      <c r="AA30" s="28">
        <f>P30*P$7</f>
        <v>0</v>
      </c>
      <c r="AB30" s="287">
        <f>Q30*Q$7</f>
        <v>-0.18</v>
      </c>
      <c r="AC30" s="98">
        <f>RANK(AD30,AD$8:AD$72)</f>
        <v>33</v>
      </c>
      <c r="AD30" s="99">
        <f>SUM(S30:AB30)</f>
        <v>2.1386336848891849</v>
      </c>
      <c r="AE30" s="165"/>
      <c r="AF30" s="165"/>
      <c r="AG30" s="165"/>
      <c r="AH30" s="165"/>
    </row>
    <row r="31" spans="1:34" ht="18" thickBot="1" x14ac:dyDescent="0.35">
      <c r="A31" s="572" t="s">
        <v>107</v>
      </c>
      <c r="B31" s="940">
        <f>RANK(C31,C$8:C$72)</f>
        <v>36</v>
      </c>
      <c r="C31" s="485">
        <f>SUM(S31:AB31)</f>
        <v>2.046577621911446</v>
      </c>
      <c r="D31" s="682"/>
      <c r="E31" s="935"/>
      <c r="F31" s="430" t="s">
        <v>226</v>
      </c>
      <c r="G31" s="424"/>
      <c r="H31" s="927">
        <f>Commercial!C30</f>
        <v>4.3309543275807032</v>
      </c>
      <c r="I31" s="929">
        <f>Recreational!C30</f>
        <v>3.2990870779938382</v>
      </c>
      <c r="J31" s="929">
        <f>Tribal!C30</f>
        <v>0</v>
      </c>
      <c r="K31" s="28"/>
      <c r="L31" s="929">
        <f>Rebuilding!B30</f>
        <v>0</v>
      </c>
      <c r="M31" s="929">
        <f>'Stock Status'!C30</f>
        <v>4</v>
      </c>
      <c r="N31" s="929">
        <f>'Fishing mortality'!C28</f>
        <v>2</v>
      </c>
      <c r="O31" s="929">
        <f>Ecosystem!C29</f>
        <v>3.1875220010644119E-3</v>
      </c>
      <c r="P31" s="28"/>
      <c r="Q31" s="1223">
        <f>'Assess Freq'!U30</f>
        <v>2</v>
      </c>
      <c r="R31" s="150"/>
      <c r="S31" s="28">
        <f>H31*H$7</f>
        <v>0.9095004087919476</v>
      </c>
      <c r="T31" s="28">
        <f>I31*I$7</f>
        <v>0.29691783701944541</v>
      </c>
      <c r="U31" s="28">
        <f>J31*J$7</f>
        <v>0</v>
      </c>
      <c r="V31" s="28">
        <f>K31*K$7</f>
        <v>0</v>
      </c>
      <c r="W31" s="28">
        <f>L31*L$7</f>
        <v>0</v>
      </c>
      <c r="X31" s="28">
        <f>M31*M$7</f>
        <v>0.32</v>
      </c>
      <c r="Y31" s="28">
        <f>N31*N$7</f>
        <v>0.16</v>
      </c>
      <c r="Z31" s="358">
        <f>O31*O$7</f>
        <v>1.5937610005322062E-4</v>
      </c>
      <c r="AA31" s="28">
        <f>P31*P$7</f>
        <v>0</v>
      </c>
      <c r="AB31" s="287">
        <f>Q31*Q$7</f>
        <v>0.36</v>
      </c>
      <c r="AC31" s="98">
        <f>RANK(AD31,AD$8:AD$72)</f>
        <v>36</v>
      </c>
      <c r="AD31" s="99">
        <f>SUM(S31:AB31)</f>
        <v>2.046577621911446</v>
      </c>
      <c r="AE31" s="165"/>
      <c r="AF31" s="165"/>
      <c r="AG31" s="165"/>
      <c r="AH31" s="165"/>
    </row>
    <row r="32" spans="1:34" ht="18" thickBot="1" x14ac:dyDescent="0.35">
      <c r="A32" s="572" t="s">
        <v>100</v>
      </c>
      <c r="B32" s="940">
        <f>RANK(C32,C$8:C$72)</f>
        <v>25</v>
      </c>
      <c r="C32" s="485">
        <f>SUM(S32:AB32)</f>
        <v>2.2676876066762484</v>
      </c>
      <c r="D32" s="682"/>
      <c r="E32" s="418">
        <v>2011</v>
      </c>
      <c r="F32" s="429" t="s">
        <v>218</v>
      </c>
      <c r="G32" s="424"/>
      <c r="H32" s="927">
        <f>Commercial!C31</f>
        <v>2.6390096424648002</v>
      </c>
      <c r="I32" s="929">
        <f>Recreational!C31</f>
        <v>4.4892936782077753</v>
      </c>
      <c r="J32" s="929">
        <f>Tribal!C31</f>
        <v>0.58417980941204062</v>
      </c>
      <c r="K32" s="654"/>
      <c r="L32" s="929">
        <f>Rebuilding!B31</f>
        <v>0</v>
      </c>
      <c r="M32" s="929">
        <f>'Stock Status'!C31</f>
        <v>5</v>
      </c>
      <c r="N32" s="929">
        <f>'Fishing mortality'!C29</f>
        <v>2</v>
      </c>
      <c r="O32" s="929">
        <f>Ecosystem!C30</f>
        <v>5.0032049867716052E-3</v>
      </c>
      <c r="P32" s="654"/>
      <c r="Q32" s="1223">
        <f>'Assess Freq'!U31</f>
        <v>4</v>
      </c>
      <c r="R32" s="150"/>
      <c r="S32" s="28">
        <f>H32*H$7</f>
        <v>0.55419202491760799</v>
      </c>
      <c r="T32" s="28">
        <f>I32*I$7</f>
        <v>0.40403643103869974</v>
      </c>
      <c r="U32" s="28">
        <f>J32*J$7</f>
        <v>2.9208990470602034E-2</v>
      </c>
      <c r="V32" s="28">
        <f>K32*K$7</f>
        <v>0</v>
      </c>
      <c r="W32" s="28">
        <f>L32*L$7</f>
        <v>0</v>
      </c>
      <c r="X32" s="28">
        <f>M32*M$7</f>
        <v>0.4</v>
      </c>
      <c r="Y32" s="28">
        <f>N32*N$7</f>
        <v>0.16</v>
      </c>
      <c r="Z32" s="358">
        <f>O32*O$7</f>
        <v>2.5016024933858025E-4</v>
      </c>
      <c r="AA32" s="28">
        <f>P32*P$7</f>
        <v>0</v>
      </c>
      <c r="AB32" s="287">
        <f>Q32*Q$7</f>
        <v>0.72</v>
      </c>
      <c r="AC32" s="98">
        <f>RANK(AD32,AD$8:AD$72)</f>
        <v>25</v>
      </c>
      <c r="AD32" s="99">
        <f>SUM(S32:AB32)</f>
        <v>2.2676876066762484</v>
      </c>
      <c r="AE32" s="165"/>
      <c r="AF32" s="165"/>
      <c r="AG32" s="165"/>
      <c r="AH32" s="165"/>
    </row>
    <row r="33" spans="1:34" ht="18" thickBot="1" x14ac:dyDescent="0.35">
      <c r="A33" s="572" t="s">
        <v>101</v>
      </c>
      <c r="B33" s="940">
        <f>RANK(C33,C$8:C$72)</f>
        <v>18</v>
      </c>
      <c r="C33" s="485">
        <f>SUM(S33:AB33)</f>
        <v>2.4060785031203018</v>
      </c>
      <c r="D33" s="682"/>
      <c r="E33" s="418">
        <v>2009</v>
      </c>
      <c r="F33" s="429" t="s">
        <v>218</v>
      </c>
      <c r="G33" s="424"/>
      <c r="H33" s="927">
        <f>Commercial!C32</f>
        <v>2.3906476332391247</v>
      </c>
      <c r="I33" s="929">
        <f>Recreational!C32</f>
        <v>2.6169088225099846</v>
      </c>
      <c r="J33" s="929">
        <f>Tribal!C32</f>
        <v>1.2978557054857338</v>
      </c>
      <c r="K33" s="28"/>
      <c r="L33" s="929">
        <f>Rebuilding!B32</f>
        <v>0</v>
      </c>
      <c r="M33" s="929">
        <f>'Stock Status'!C32</f>
        <v>1</v>
      </c>
      <c r="N33" s="929">
        <f>'Fishing mortality'!C30</f>
        <v>1</v>
      </c>
      <c r="O33" s="929">
        <f>Ecosystem!C31</f>
        <v>7.2558416798008923E-2</v>
      </c>
      <c r="P33" s="28"/>
      <c r="Q33" s="1223">
        <f>'Assess Freq'!U32</f>
        <v>8</v>
      </c>
      <c r="R33" s="150"/>
      <c r="S33" s="28">
        <f>H33*H$7</f>
        <v>0.50203600298021611</v>
      </c>
      <c r="T33" s="28">
        <f>I33*I$7</f>
        <v>0.2355217940258986</v>
      </c>
      <c r="U33" s="28">
        <f>J33*J$7</f>
        <v>6.4892785274286699E-2</v>
      </c>
      <c r="V33" s="28">
        <f>K33*K$7</f>
        <v>0</v>
      </c>
      <c r="W33" s="28">
        <f>L33*L$7</f>
        <v>0</v>
      </c>
      <c r="X33" s="28">
        <f>M33*M$7</f>
        <v>0.08</v>
      </c>
      <c r="Y33" s="28">
        <f>N33*N$7</f>
        <v>0.08</v>
      </c>
      <c r="Z33" s="358">
        <f>O33*O$7</f>
        <v>3.6279208399004463E-3</v>
      </c>
      <c r="AA33" s="28">
        <f>P33*P$7</f>
        <v>0</v>
      </c>
      <c r="AB33" s="287">
        <f>Q33*Q$7</f>
        <v>1.44</v>
      </c>
      <c r="AC33" s="98">
        <f>RANK(AD33,AD$8:AD$72)</f>
        <v>18</v>
      </c>
      <c r="AD33" s="99">
        <f>SUM(S33:AB33)</f>
        <v>2.4060785031203018</v>
      </c>
      <c r="AE33" s="165"/>
      <c r="AF33" s="165"/>
      <c r="AG33" s="165"/>
      <c r="AH33" s="165"/>
    </row>
    <row r="34" spans="1:34" ht="18" thickBot="1" x14ac:dyDescent="0.35">
      <c r="A34" s="572" t="s">
        <v>108</v>
      </c>
      <c r="B34" s="940">
        <f>RANK(C34,C$8:C$72)</f>
        <v>46</v>
      </c>
      <c r="C34" s="485">
        <f>SUM(S34:AB34)</f>
        <v>1.873971365200682</v>
      </c>
      <c r="D34" s="682"/>
      <c r="E34" s="935"/>
      <c r="F34" s="430" t="s">
        <v>226</v>
      </c>
      <c r="G34" s="424"/>
      <c r="H34" s="927">
        <f>Commercial!C33</f>
        <v>1.2252211195711986</v>
      </c>
      <c r="I34" s="929">
        <f>Recreational!C33</f>
        <v>3.7383590120243206</v>
      </c>
      <c r="J34" s="929">
        <f>Tribal!C33</f>
        <v>0</v>
      </c>
      <c r="K34" s="654"/>
      <c r="L34" s="929">
        <f>Rebuilding!B33</f>
        <v>0</v>
      </c>
      <c r="M34" s="929">
        <f>'Stock Status'!C33</f>
        <v>4</v>
      </c>
      <c r="N34" s="929">
        <f>'Fishing mortality'!C31</f>
        <v>3</v>
      </c>
      <c r="O34" s="929">
        <f>Ecosystem!C32</f>
        <v>4.4523801708314832E-3</v>
      </c>
      <c r="P34" s="28"/>
      <c r="Q34" s="1223">
        <f>'Assess Freq'!U33</f>
        <v>4</v>
      </c>
      <c r="R34" s="150"/>
      <c r="S34" s="28">
        <f>H34*H$7</f>
        <v>0.2572964351099517</v>
      </c>
      <c r="T34" s="28">
        <f>I34*I$7</f>
        <v>0.33645231108218887</v>
      </c>
      <c r="U34" s="28">
        <f>J34*J$7</f>
        <v>0</v>
      </c>
      <c r="V34" s="28">
        <f>K34*K$7</f>
        <v>0</v>
      </c>
      <c r="W34" s="28">
        <f>L34*L$7</f>
        <v>0</v>
      </c>
      <c r="X34" s="28">
        <f>M34*M$7</f>
        <v>0.32</v>
      </c>
      <c r="Y34" s="28">
        <f>N34*N$7</f>
        <v>0.24</v>
      </c>
      <c r="Z34" s="358">
        <f>O34*O$7</f>
        <v>2.2261900854157418E-4</v>
      </c>
      <c r="AA34" s="28">
        <f>P34*P$7</f>
        <v>0</v>
      </c>
      <c r="AB34" s="287">
        <f>Q34*Q$7</f>
        <v>0.72</v>
      </c>
      <c r="AC34" s="98">
        <f>RANK(AD34,AD$8:AD$72)</f>
        <v>46</v>
      </c>
      <c r="AD34" s="99">
        <f>SUM(S34:AB34)</f>
        <v>1.873971365200682</v>
      </c>
      <c r="AE34" s="165"/>
      <c r="AF34" s="165"/>
      <c r="AG34" s="165"/>
      <c r="AH34" s="165"/>
    </row>
    <row r="35" spans="1:34" ht="18" thickBot="1" x14ac:dyDescent="0.35">
      <c r="A35" s="572" t="s">
        <v>258</v>
      </c>
      <c r="B35" s="940">
        <f>RANK(C35,C$8:C$72)</f>
        <v>47</v>
      </c>
      <c r="C35" s="485">
        <f>SUM(S35:AB35)</f>
        <v>1.8598076960160963</v>
      </c>
      <c r="D35" s="682" t="s">
        <v>290</v>
      </c>
      <c r="E35" s="418">
        <v>2015</v>
      </c>
      <c r="F35" s="429" t="s">
        <v>218</v>
      </c>
      <c r="G35" s="424"/>
      <c r="H35" s="927">
        <f>Commercial!C34</f>
        <v>4.1465464252566093</v>
      </c>
      <c r="I35" s="929">
        <f>Recreational!C34</f>
        <v>4.09448469339734</v>
      </c>
      <c r="J35" s="929">
        <f>Tribal!C34</f>
        <v>2</v>
      </c>
      <c r="K35" s="28"/>
      <c r="L35" s="929">
        <f>Rebuilding!B34</f>
        <v>0</v>
      </c>
      <c r="M35" s="929">
        <f>'Stock Status'!C34</f>
        <v>1</v>
      </c>
      <c r="N35" s="929">
        <f>'Fishing mortality'!C32</f>
        <v>1</v>
      </c>
      <c r="O35" s="929">
        <f>Ecosystem!C33</f>
        <v>1.0586486128951285E-2</v>
      </c>
      <c r="P35" s="654"/>
      <c r="Q35" s="1223">
        <f>'Assess Freq'!U34</f>
        <v>2</v>
      </c>
      <c r="R35" s="150"/>
      <c r="S35" s="28">
        <f>H35*H$7</f>
        <v>0.87077474930388787</v>
      </c>
      <c r="T35" s="28">
        <f>I35*I$7</f>
        <v>0.36850362240576057</v>
      </c>
      <c r="U35" s="28">
        <f>J35*J$7</f>
        <v>0.1</v>
      </c>
      <c r="V35" s="28">
        <f>K35*K$7</f>
        <v>0</v>
      </c>
      <c r="W35" s="28">
        <f>L35*L$7</f>
        <v>0</v>
      </c>
      <c r="X35" s="28">
        <f>M35*M$7</f>
        <v>0.08</v>
      </c>
      <c r="Y35" s="28">
        <f>N35*N$7</f>
        <v>0.08</v>
      </c>
      <c r="Z35" s="358">
        <f>O35*O$7</f>
        <v>5.2932430644756423E-4</v>
      </c>
      <c r="AA35" s="28">
        <f>P35*P$7</f>
        <v>0</v>
      </c>
      <c r="AB35" s="287">
        <f>Q35*Q$7</f>
        <v>0.36</v>
      </c>
      <c r="AC35" s="98">
        <f>RANK(AD35,AD$8:AD$72)</f>
        <v>47</v>
      </c>
      <c r="AD35" s="99">
        <f>SUM(S35:AB35)</f>
        <v>1.8598076960160963</v>
      </c>
      <c r="AE35" s="165"/>
      <c r="AF35" s="165"/>
      <c r="AG35" s="165"/>
      <c r="AH35" s="165"/>
    </row>
    <row r="36" spans="1:34" ht="18" thickBot="1" x14ac:dyDescent="0.35">
      <c r="A36" s="572" t="s">
        <v>245</v>
      </c>
      <c r="B36" s="940">
        <f>RANK(C36,C$8:C$72)</f>
        <v>37</v>
      </c>
      <c r="C36" s="485">
        <f>SUM(S36:AB36)</f>
        <v>1.9986860125342185</v>
      </c>
      <c r="D36" s="682"/>
      <c r="E36" s="418">
        <v>2010</v>
      </c>
      <c r="F36" s="430" t="s">
        <v>226</v>
      </c>
      <c r="G36" s="424"/>
      <c r="H36" s="927">
        <f>Commercial!C35</f>
        <v>2.4864349743936369</v>
      </c>
      <c r="I36" s="929">
        <f>Recreational!C35</f>
        <v>3.9608130045718664</v>
      </c>
      <c r="J36" s="929">
        <f>Tribal!C35</f>
        <v>0</v>
      </c>
      <c r="K36" s="28"/>
      <c r="L36" s="929">
        <f>Rebuilding!B35</f>
        <v>0</v>
      </c>
      <c r="M36" s="929">
        <f>'Stock Status'!C35</f>
        <v>3</v>
      </c>
      <c r="N36" s="929">
        <f>'Fishing mortality'!C33</f>
        <v>2</v>
      </c>
      <c r="O36" s="929">
        <f>Ecosystem!C34</f>
        <v>1.2299500017344841E-3</v>
      </c>
      <c r="P36" s="28"/>
      <c r="Q36" s="1223">
        <f>'Assess Freq'!U35</f>
        <v>4</v>
      </c>
      <c r="R36" s="150"/>
      <c r="S36" s="28">
        <f>H36*H$7</f>
        <v>0.52215134462266377</v>
      </c>
      <c r="T36" s="28">
        <f>I36*I$7</f>
        <v>0.35647317041146798</v>
      </c>
      <c r="U36" s="28">
        <f>J36*J$7</f>
        <v>0</v>
      </c>
      <c r="V36" s="28">
        <f>K36*K$7</f>
        <v>0</v>
      </c>
      <c r="W36" s="28">
        <f>L36*L$7</f>
        <v>0</v>
      </c>
      <c r="X36" s="28">
        <f>M36*M$7</f>
        <v>0.24</v>
      </c>
      <c r="Y36" s="28">
        <f>N36*N$7</f>
        <v>0.16</v>
      </c>
      <c r="Z36" s="358">
        <f>O36*O$7</f>
        <v>6.1497500086724212E-5</v>
      </c>
      <c r="AA36" s="28">
        <f>P36*P$7</f>
        <v>0</v>
      </c>
      <c r="AB36" s="287">
        <f>Q36*Q$7</f>
        <v>0.72</v>
      </c>
      <c r="AC36" s="98">
        <f>RANK(AD36,AD$8:AD$72)</f>
        <v>37</v>
      </c>
      <c r="AD36" s="99">
        <f>SUM(S36:AB36)</f>
        <v>1.9986860125342185</v>
      </c>
      <c r="AE36" s="165"/>
      <c r="AF36" s="165"/>
      <c r="AG36" s="165"/>
      <c r="AH36" s="165"/>
    </row>
    <row r="37" spans="1:34" ht="18" thickBot="1" x14ac:dyDescent="0.35">
      <c r="A37" s="572" t="s">
        <v>347</v>
      </c>
      <c r="B37" s="940">
        <f>RANK(C37,C$8:C$72)</f>
        <v>44</v>
      </c>
      <c r="C37" s="485">
        <f>SUM(S37:AB37)</f>
        <v>1.8953245771372078</v>
      </c>
      <c r="D37" s="682"/>
      <c r="E37" s="935"/>
      <c r="F37" s="430" t="s">
        <v>226</v>
      </c>
      <c r="G37" s="424"/>
      <c r="H37" s="927">
        <f>Commercial!C36</f>
        <v>2.4406802339261571</v>
      </c>
      <c r="I37" s="929">
        <f>Recreational!C36</f>
        <v>0</v>
      </c>
      <c r="J37" s="929">
        <f>Tribal!C36</f>
        <v>0</v>
      </c>
      <c r="K37" s="28"/>
      <c r="L37" s="929">
        <f>Rebuilding!B36</f>
        <v>0</v>
      </c>
      <c r="M37" s="929">
        <f>'Stock Status'!C36</f>
        <v>6</v>
      </c>
      <c r="N37" s="929">
        <f>'Fishing mortality'!C34</f>
        <v>2</v>
      </c>
      <c r="O37" s="929">
        <f>Ecosystem!C35</f>
        <v>0.45563456025429744</v>
      </c>
      <c r="P37" s="28"/>
      <c r="Q37" s="1223">
        <f>'Assess Freq'!U36</f>
        <v>4</v>
      </c>
      <c r="R37" s="150"/>
      <c r="S37" s="28">
        <f>H37*H$7</f>
        <v>0.51254284912449299</v>
      </c>
      <c r="T37" s="28">
        <f>I37*I$7</f>
        <v>0</v>
      </c>
      <c r="U37" s="28">
        <f>J37*J$7</f>
        <v>0</v>
      </c>
      <c r="V37" s="28">
        <f>K37*K$7</f>
        <v>0</v>
      </c>
      <c r="W37" s="28">
        <f>L37*L$7</f>
        <v>0</v>
      </c>
      <c r="X37" s="28">
        <f>M37*M$7</f>
        <v>0.48</v>
      </c>
      <c r="Y37" s="28">
        <f>N37*N$7</f>
        <v>0.16</v>
      </c>
      <c r="Z37" s="358">
        <f>O37*O$7</f>
        <v>2.2781728012714872E-2</v>
      </c>
      <c r="AA37" s="28">
        <f>P37*P$7</f>
        <v>0</v>
      </c>
      <c r="AB37" s="287">
        <f>Q37*Q$7</f>
        <v>0.72</v>
      </c>
      <c r="AC37" s="98">
        <f>RANK(AD37,AD$8:AD$72)</f>
        <v>44</v>
      </c>
      <c r="AD37" s="99">
        <f>SUM(S37:AB37)</f>
        <v>1.8953245771372078</v>
      </c>
      <c r="AE37" s="165"/>
      <c r="AF37" s="165"/>
      <c r="AG37" s="165"/>
      <c r="AH37" s="165"/>
    </row>
    <row r="38" spans="1:34" ht="18" thickBot="1" x14ac:dyDescent="0.35">
      <c r="A38" s="573" t="s">
        <v>89</v>
      </c>
      <c r="B38" s="940">
        <f>RANK(C38,C$8:C$72)</f>
        <v>10</v>
      </c>
      <c r="C38" s="485">
        <f>SUM(S38:AB38)</f>
        <v>2.5995025935573901</v>
      </c>
      <c r="D38" s="682"/>
      <c r="E38" s="418">
        <v>2021</v>
      </c>
      <c r="F38" s="429" t="s">
        <v>218</v>
      </c>
      <c r="G38" s="424"/>
      <c r="H38" s="927">
        <f>Commercial!C37</f>
        <v>6.4486785436726324</v>
      </c>
      <c r="I38" s="929">
        <f>Recreational!C37</f>
        <v>10</v>
      </c>
      <c r="J38" s="929">
        <f>Tribal!C37</f>
        <v>6.5980471260433582</v>
      </c>
      <c r="K38" s="654"/>
      <c r="L38" s="929">
        <f>Rebuilding!B37</f>
        <v>0</v>
      </c>
      <c r="M38" s="929">
        <f>'Stock Status'!C37</f>
        <v>3</v>
      </c>
      <c r="N38" s="929">
        <f>'Fishing mortality'!C35</f>
        <v>2</v>
      </c>
      <c r="O38" s="929">
        <f>Ecosystem!C36</f>
        <v>3.1075548616793864</v>
      </c>
      <c r="P38" s="28"/>
      <c r="Q38" s="1223">
        <f>'Assess Freq'!U37</f>
        <v>-3</v>
      </c>
      <c r="R38" s="150"/>
      <c r="S38" s="28">
        <f>H38*H$7</f>
        <v>1.3542224941712528</v>
      </c>
      <c r="T38" s="28">
        <f>I38*I$7</f>
        <v>0.89999999999999991</v>
      </c>
      <c r="U38" s="28">
        <f>J38*J$7</f>
        <v>0.32990235630216791</v>
      </c>
      <c r="V38" s="28">
        <f>K38*K$7</f>
        <v>0</v>
      </c>
      <c r="W38" s="28">
        <f>L38*L$7</f>
        <v>0</v>
      </c>
      <c r="X38" s="28">
        <f>M38*M$7</f>
        <v>0.24</v>
      </c>
      <c r="Y38" s="28">
        <f>N38*N$7</f>
        <v>0.16</v>
      </c>
      <c r="Z38" s="358">
        <f>O38*O$7</f>
        <v>0.15537774308396934</v>
      </c>
      <c r="AA38" s="28">
        <f>P38*P$7</f>
        <v>0</v>
      </c>
      <c r="AB38" s="287">
        <f>Q38*Q$7</f>
        <v>-0.54</v>
      </c>
      <c r="AC38" s="98">
        <f>RANK(AD38,AD$8:AD$72)</f>
        <v>10</v>
      </c>
      <c r="AD38" s="99">
        <f>SUM(S38:AB38)</f>
        <v>2.5995025935573901</v>
      </c>
      <c r="AE38" s="165"/>
      <c r="AF38" s="165"/>
      <c r="AG38" s="165"/>
      <c r="AH38" s="165"/>
    </row>
    <row r="39" spans="1:34" ht="18" thickBot="1" x14ac:dyDescent="0.35">
      <c r="A39" s="574" t="s">
        <v>97</v>
      </c>
      <c r="B39" s="940">
        <f>RANK(C39,C$8:C$72)</f>
        <v>51</v>
      </c>
      <c r="C39" s="485">
        <f>SUM(S39:AB39)</f>
        <v>1.8166412544196233</v>
      </c>
      <c r="D39" s="682"/>
      <c r="E39" s="418">
        <v>2019</v>
      </c>
      <c r="F39" s="429" t="s">
        <v>218</v>
      </c>
      <c r="G39" s="424"/>
      <c r="H39" s="927">
        <f>Commercial!C38</f>
        <v>5.0385552059698941</v>
      </c>
      <c r="I39" s="929">
        <f>Recreational!C38</f>
        <v>1.6086065735683588</v>
      </c>
      <c r="J39" s="929">
        <f>Tribal!C38</f>
        <v>4.4282538111655025</v>
      </c>
      <c r="K39" s="28"/>
      <c r="L39" s="929">
        <f>Rebuilding!B38</f>
        <v>0</v>
      </c>
      <c r="M39" s="929">
        <f>'Stock Status'!C38</f>
        <v>3</v>
      </c>
      <c r="N39" s="929">
        <f>'Fishing mortality'!C36</f>
        <v>3</v>
      </c>
      <c r="O39" s="929">
        <f>Ecosystem!C37</f>
        <v>1.8471475797303629</v>
      </c>
      <c r="P39" s="654"/>
      <c r="Q39" s="1223">
        <f>'Assess Freq'!U38</f>
        <v>-1</v>
      </c>
      <c r="R39" s="150"/>
      <c r="S39" s="28">
        <f>H39*H$7</f>
        <v>1.0580965932536777</v>
      </c>
      <c r="T39" s="28">
        <f>I39*I$7</f>
        <v>0.14477459162115228</v>
      </c>
      <c r="U39" s="28">
        <f>J39*J$7</f>
        <v>0.22141269055827514</v>
      </c>
      <c r="V39" s="28">
        <f>K39*K$7</f>
        <v>0</v>
      </c>
      <c r="W39" s="28">
        <f>L39*L$7</f>
        <v>0</v>
      </c>
      <c r="X39" s="28">
        <f>M39*M$7</f>
        <v>0.24</v>
      </c>
      <c r="Y39" s="28">
        <f>N39*N$7</f>
        <v>0.24</v>
      </c>
      <c r="Z39" s="358">
        <f>O39*O$7</f>
        <v>9.2357378986518149E-2</v>
      </c>
      <c r="AA39" s="28">
        <f>P39*P$7</f>
        <v>0</v>
      </c>
      <c r="AB39" s="287">
        <f>Q39*Q$7</f>
        <v>-0.18</v>
      </c>
      <c r="AC39" s="98">
        <f>RANK(AD39,AD$8:AD$72)</f>
        <v>51</v>
      </c>
      <c r="AD39" s="99">
        <f>SUM(S39:AB39)</f>
        <v>1.8166412544196233</v>
      </c>
      <c r="AE39" s="165"/>
      <c r="AF39" s="165"/>
      <c r="AG39" s="165"/>
      <c r="AH39" s="165"/>
    </row>
    <row r="40" spans="1:34" ht="18" thickBot="1" x14ac:dyDescent="0.35">
      <c r="A40" s="573" t="s">
        <v>86</v>
      </c>
      <c r="B40" s="940">
        <f>RANK(C40,C$8:C$72)</f>
        <v>41</v>
      </c>
      <c r="C40" s="485">
        <f>SUM(S40:AB40)</f>
        <v>1.9638637378446679</v>
      </c>
      <c r="D40" s="682"/>
      <c r="E40" s="418">
        <v>2013</v>
      </c>
      <c r="F40" s="429" t="s">
        <v>218</v>
      </c>
      <c r="G40" s="424"/>
      <c r="H40" s="927">
        <f>Commercial!C39</f>
        <v>5.1898813583921326</v>
      </c>
      <c r="I40" s="929">
        <f>Recreational!C39</f>
        <v>0</v>
      </c>
      <c r="J40" s="929">
        <f>Tribal!C39</f>
        <v>1.6561716645136388</v>
      </c>
      <c r="K40" s="28"/>
      <c r="L40" s="929">
        <f>Rebuilding!B39</f>
        <v>0</v>
      </c>
      <c r="M40" s="929">
        <f>'Stock Status'!C39</f>
        <v>2</v>
      </c>
      <c r="N40" s="929">
        <f>'Fishing mortality'!C37</f>
        <v>1</v>
      </c>
      <c r="O40" s="929">
        <f>Ecosystem!C38</f>
        <v>0.22360138713276501</v>
      </c>
      <c r="P40" s="28"/>
      <c r="Q40" s="1223">
        <f>'Assess Freq'!U39</f>
        <v>3</v>
      </c>
      <c r="R40" s="150"/>
      <c r="S40" s="28">
        <f>H40*H$7</f>
        <v>1.0898750852623478</v>
      </c>
      <c r="T40" s="28">
        <f>I40*I$7</f>
        <v>0</v>
      </c>
      <c r="U40" s="28">
        <f>J40*J$7</f>
        <v>8.280858322568195E-2</v>
      </c>
      <c r="V40" s="28">
        <f>K40*K$7</f>
        <v>0</v>
      </c>
      <c r="W40" s="28">
        <f>L40*L$7</f>
        <v>0</v>
      </c>
      <c r="X40" s="28">
        <f>M40*M$7</f>
        <v>0.16</v>
      </c>
      <c r="Y40" s="28">
        <f>N40*N$7</f>
        <v>0.08</v>
      </c>
      <c r="Z40" s="358">
        <f>O40*O$7</f>
        <v>1.1180069356638251E-2</v>
      </c>
      <c r="AA40" s="28">
        <f>P40*P$7</f>
        <v>0</v>
      </c>
      <c r="AB40" s="287">
        <f>Q40*Q$7</f>
        <v>0.54</v>
      </c>
      <c r="AC40" s="98">
        <f>RANK(AD40,AD$8:AD$72)</f>
        <v>41</v>
      </c>
      <c r="AD40" s="99">
        <f>SUM(S40:AB40)</f>
        <v>1.9638637378446679</v>
      </c>
      <c r="AE40" s="165"/>
      <c r="AF40" s="165"/>
      <c r="AG40" s="165"/>
      <c r="AH40" s="165"/>
    </row>
    <row r="41" spans="1:34" ht="18" thickBot="1" x14ac:dyDescent="0.35">
      <c r="A41" s="572" t="s">
        <v>109</v>
      </c>
      <c r="B41" s="940">
        <f>RANK(C41,C$8:C$72)</f>
        <v>19</v>
      </c>
      <c r="C41" s="485">
        <f>SUM(S41:AB41)</f>
        <v>2.3892568171331101</v>
      </c>
      <c r="D41" s="682"/>
      <c r="E41" s="935"/>
      <c r="F41" s="430" t="s">
        <v>226</v>
      </c>
      <c r="G41" s="424"/>
      <c r="H41" s="927">
        <f>Commercial!C40</f>
        <v>2.4501467036081692</v>
      </c>
      <c r="I41" s="929">
        <f>Recreational!C40</f>
        <v>5.489187628937751</v>
      </c>
      <c r="J41" s="929">
        <f>Tribal!C40</f>
        <v>0</v>
      </c>
      <c r="K41" s="654"/>
      <c r="L41" s="929">
        <f>Rebuilding!B40</f>
        <v>0</v>
      </c>
      <c r="M41" s="929">
        <f>'Stock Status'!C40</f>
        <v>4</v>
      </c>
      <c r="N41" s="929">
        <f>'Fishing mortality'!C38</f>
        <v>2</v>
      </c>
      <c r="O41" s="929">
        <f>Ecosystem!C39</f>
        <v>1.3982455419938708E-2</v>
      </c>
      <c r="P41" s="28"/>
      <c r="Q41" s="1223">
        <f>'Assess Freq'!U40</f>
        <v>5</v>
      </c>
      <c r="R41" s="150"/>
      <c r="S41" s="28">
        <f>H41*H$7</f>
        <v>0.51453080775771554</v>
      </c>
      <c r="T41" s="28">
        <f>I41*I$7</f>
        <v>0.49402688660439759</v>
      </c>
      <c r="U41" s="28">
        <f>J41*J$7</f>
        <v>0</v>
      </c>
      <c r="V41" s="28">
        <f>K41*K$7</f>
        <v>0</v>
      </c>
      <c r="W41" s="28">
        <f>L41*L$7</f>
        <v>0</v>
      </c>
      <c r="X41" s="28">
        <f>M41*M$7</f>
        <v>0.32</v>
      </c>
      <c r="Y41" s="28">
        <f>N41*N$7</f>
        <v>0.16</v>
      </c>
      <c r="Z41" s="358">
        <f>O41*O$7</f>
        <v>6.991227709969355E-4</v>
      </c>
      <c r="AA41" s="28">
        <f>P41*P$7</f>
        <v>0</v>
      </c>
      <c r="AB41" s="287">
        <f>Q41*Q$7</f>
        <v>0.89999999999999991</v>
      </c>
      <c r="AC41" s="98">
        <f>RANK(AD41,AD$8:AD$72)</f>
        <v>19</v>
      </c>
      <c r="AD41" s="99">
        <f>SUM(S41:AB41)</f>
        <v>2.3892568171331101</v>
      </c>
      <c r="AE41" s="165"/>
      <c r="AF41" s="165"/>
      <c r="AG41" s="165"/>
      <c r="AH41" s="165"/>
    </row>
    <row r="42" spans="1:34" ht="18" thickBot="1" x14ac:dyDescent="0.35">
      <c r="A42" s="573" t="s">
        <v>93</v>
      </c>
      <c r="B42" s="940">
        <f>RANK(C42,C$8:C$72)</f>
        <v>11</v>
      </c>
      <c r="C42" s="485">
        <f>SUM(S42:AB42)</f>
        <v>2.5991407319961217</v>
      </c>
      <c r="D42" s="682"/>
      <c r="E42" s="935"/>
      <c r="F42" s="430" t="s">
        <v>226</v>
      </c>
      <c r="G42" s="424"/>
      <c r="H42" s="927">
        <f>Commercial!C41</f>
        <v>3.8980282155473431</v>
      </c>
      <c r="I42" s="929">
        <f>Recreational!C41</f>
        <v>2.1475626147451341</v>
      </c>
      <c r="J42" s="929">
        <f>Tribal!C41</f>
        <v>6.9564711915295252</v>
      </c>
      <c r="K42" s="28"/>
      <c r="L42" s="929">
        <f>Rebuilding!B41</f>
        <v>0</v>
      </c>
      <c r="M42" s="929">
        <f>'Stock Status'!C41</f>
        <v>3</v>
      </c>
      <c r="N42" s="929">
        <f>'Fishing mortality'!C39</f>
        <v>1</v>
      </c>
      <c r="O42" s="929">
        <f>Ecosystem!C40</f>
        <v>0.3890122365528314</v>
      </c>
      <c r="P42" s="28"/>
      <c r="Q42" s="1223">
        <f>'Assess Freq'!U41</f>
        <v>5</v>
      </c>
      <c r="R42" s="150"/>
      <c r="S42" s="28">
        <f>H42*H$7</f>
        <v>0.818585925264942</v>
      </c>
      <c r="T42" s="28">
        <f>I42*I$7</f>
        <v>0.19328063532706205</v>
      </c>
      <c r="U42" s="28">
        <f>J42*J$7</f>
        <v>0.34782355957647626</v>
      </c>
      <c r="V42" s="28">
        <f>K42*K$7</f>
        <v>0</v>
      </c>
      <c r="W42" s="28">
        <f>L42*L$7</f>
        <v>0</v>
      </c>
      <c r="X42" s="28">
        <f>M42*M$7</f>
        <v>0.24</v>
      </c>
      <c r="Y42" s="28">
        <f>N42*N$7</f>
        <v>0.08</v>
      </c>
      <c r="Z42" s="358">
        <f>O42*O$7</f>
        <v>1.9450611827641573E-2</v>
      </c>
      <c r="AA42" s="28">
        <f>P42*P$7</f>
        <v>0</v>
      </c>
      <c r="AB42" s="287">
        <f>Q42*Q$7</f>
        <v>0.89999999999999991</v>
      </c>
      <c r="AC42" s="98">
        <f>RANK(AD42,AD$8:AD$72)</f>
        <v>11</v>
      </c>
      <c r="AD42" s="99">
        <f>SUM(S42:AB42)</f>
        <v>2.5991407319961217</v>
      </c>
      <c r="AE42" s="165"/>
      <c r="AF42" s="165"/>
      <c r="AG42" s="165"/>
      <c r="AH42" s="165"/>
    </row>
    <row r="43" spans="1:34" ht="18" thickBot="1" x14ac:dyDescent="0.35">
      <c r="A43" s="573" t="s">
        <v>17</v>
      </c>
      <c r="B43" s="940">
        <f>RANK(C43,C$8:C$72)</f>
        <v>61</v>
      </c>
      <c r="C43" s="485">
        <f>SUM(S43:AB43)</f>
        <v>1.3173092661037322</v>
      </c>
      <c r="D43" s="682"/>
      <c r="E43" s="418">
        <v>2017</v>
      </c>
      <c r="F43" s="429" t="s">
        <v>218</v>
      </c>
      <c r="G43" s="424"/>
      <c r="H43" s="927">
        <f>Commercial!C42</f>
        <v>4.1179185618759622</v>
      </c>
      <c r="I43" s="929">
        <f>Recreational!C42</f>
        <v>0</v>
      </c>
      <c r="J43" s="929">
        <f>Tribal!C42</f>
        <v>2.5736743349386773</v>
      </c>
      <c r="K43" s="28"/>
      <c r="L43" s="929">
        <f>Rebuilding!B42</f>
        <v>0</v>
      </c>
      <c r="M43" s="929">
        <f>'Stock Status'!C42</f>
        <v>2</v>
      </c>
      <c r="N43" s="929">
        <f>'Fishing mortality'!C40</f>
        <v>2</v>
      </c>
      <c r="O43" s="929">
        <f>Ecosystem!C41</f>
        <v>7.7253027256928508E-2</v>
      </c>
      <c r="P43" s="654"/>
      <c r="Q43" s="1223">
        <f>'Assess Freq'!U42</f>
        <v>0</v>
      </c>
      <c r="R43" s="150"/>
      <c r="S43" s="28">
        <f>H43*H$7</f>
        <v>0.86476289799395201</v>
      </c>
      <c r="T43" s="28">
        <f>I43*I$7</f>
        <v>0</v>
      </c>
      <c r="U43" s="28">
        <f>J43*J$7</f>
        <v>0.12868371674693388</v>
      </c>
      <c r="V43" s="28">
        <f>K43*K$7</f>
        <v>0</v>
      </c>
      <c r="W43" s="28">
        <f>L43*L$7</f>
        <v>0</v>
      </c>
      <c r="X43" s="28">
        <f>M43*M$7</f>
        <v>0.16</v>
      </c>
      <c r="Y43" s="28">
        <f>N43*N$7</f>
        <v>0.16</v>
      </c>
      <c r="Z43" s="358">
        <f>O43*O$7</f>
        <v>3.8626513628464256E-3</v>
      </c>
      <c r="AA43" s="28">
        <f>P43*P$7</f>
        <v>0</v>
      </c>
      <c r="AB43" s="287">
        <f>Q43*Q$7</f>
        <v>0</v>
      </c>
      <c r="AC43" s="98">
        <f>RANK(AD43,AD$8:AD$72)</f>
        <v>61</v>
      </c>
      <c r="AD43" s="99">
        <f>SUM(S43:AB43)</f>
        <v>1.3173092661037322</v>
      </c>
      <c r="AE43" s="165"/>
      <c r="AF43" s="165"/>
      <c r="AG43" s="165"/>
      <c r="AH43" s="165"/>
    </row>
    <row r="44" spans="1:34" ht="18" thickBot="1" x14ac:dyDescent="0.35">
      <c r="A44" s="572" t="s">
        <v>110</v>
      </c>
      <c r="B44" s="940">
        <f>RANK(C44,C$8:C$72)</f>
        <v>20</v>
      </c>
      <c r="C44" s="485">
        <f>SUM(S44:AB44)</f>
        <v>2.3854869099211866</v>
      </c>
      <c r="D44" s="682"/>
      <c r="E44" s="935"/>
      <c r="F44" s="430" t="s">
        <v>226</v>
      </c>
      <c r="G44" s="424"/>
      <c r="H44" s="927">
        <f>Commercial!C43</f>
        <v>3.9192649962602299</v>
      </c>
      <c r="I44" s="929">
        <f>Recreational!C43</f>
        <v>4.6676051953440671</v>
      </c>
      <c r="J44" s="929">
        <f>Tribal!C43</f>
        <v>2</v>
      </c>
      <c r="K44" s="28"/>
      <c r="L44" s="929">
        <f>Rebuilding!B43</f>
        <v>0</v>
      </c>
      <c r="M44" s="929">
        <f>'Stock Status'!C43</f>
        <v>3</v>
      </c>
      <c r="N44" s="929">
        <f>'Fishing mortality'!C41</f>
        <v>1</v>
      </c>
      <c r="O44" s="929">
        <f>Ecosystem!C42</f>
        <v>4.7135862511440869E-2</v>
      </c>
      <c r="P44" s="654"/>
      <c r="Q44" s="1223">
        <f>'Assess Freq'!U43</f>
        <v>4</v>
      </c>
      <c r="R44" s="150"/>
      <c r="S44" s="28">
        <f>H44*H$7</f>
        <v>0.82304564921464829</v>
      </c>
      <c r="T44" s="28">
        <f>I44*I$7</f>
        <v>0.42008446758096601</v>
      </c>
      <c r="U44" s="28">
        <f>J44*J$7</f>
        <v>0.1</v>
      </c>
      <c r="V44" s="28">
        <f>K44*K$7</f>
        <v>0</v>
      </c>
      <c r="W44" s="28">
        <f>L44*L$7</f>
        <v>0</v>
      </c>
      <c r="X44" s="28">
        <f>M44*M$7</f>
        <v>0.24</v>
      </c>
      <c r="Y44" s="28">
        <f>N44*N$7</f>
        <v>0.08</v>
      </c>
      <c r="Z44" s="358">
        <f>O44*O$7</f>
        <v>2.3567931255720435E-3</v>
      </c>
      <c r="AA44" s="28">
        <f>P44*P$7</f>
        <v>0</v>
      </c>
      <c r="AB44" s="287">
        <f>Q44*Q$7</f>
        <v>0.72</v>
      </c>
      <c r="AC44" s="98">
        <f>RANK(AD44,AD$8:AD$72)</f>
        <v>20</v>
      </c>
      <c r="AD44" s="99">
        <f>SUM(S44:AB44)</f>
        <v>2.3854869099211866</v>
      </c>
      <c r="AE44" s="165"/>
      <c r="AF44" s="165"/>
      <c r="AG44" s="165"/>
      <c r="AH44" s="165"/>
    </row>
    <row r="45" spans="1:34" ht="18" thickBot="1" x14ac:dyDescent="0.35">
      <c r="A45" s="572" t="s">
        <v>249</v>
      </c>
      <c r="B45" s="940">
        <f>RANK(C45,C$8:C$72)</f>
        <v>49</v>
      </c>
      <c r="C45" s="485">
        <f>SUM(S45:AB45)</f>
        <v>1.8537844739982243</v>
      </c>
      <c r="D45" s="682"/>
      <c r="E45" s="418">
        <v>2021</v>
      </c>
      <c r="F45" s="429" t="s">
        <v>218</v>
      </c>
      <c r="G45" s="424"/>
      <c r="H45" s="927">
        <f>Commercial!C44</f>
        <v>2.6963152743062522</v>
      </c>
      <c r="I45" s="929">
        <f>Recreational!C44</f>
        <v>2.7461000527396506</v>
      </c>
      <c r="J45" s="929">
        <f>Tribal!C44</f>
        <v>2.008185232946853</v>
      </c>
      <c r="K45" s="28"/>
      <c r="L45" s="929">
        <f>Rebuilding!B44</f>
        <v>0</v>
      </c>
      <c r="M45" s="929">
        <f>'Stock Status'!C44</f>
        <v>5</v>
      </c>
      <c r="N45" s="929">
        <f>'Fishing mortality'!C42</f>
        <v>5</v>
      </c>
      <c r="O45" s="929">
        <f>Ecosystem!C43</f>
        <v>10</v>
      </c>
      <c r="P45" s="28"/>
      <c r="Q45" s="1223">
        <f>'Assess Freq'!U44</f>
        <v>-2</v>
      </c>
      <c r="R45" s="150"/>
      <c r="S45" s="28">
        <f>H45*H$7</f>
        <v>0.56622620760431297</v>
      </c>
      <c r="T45" s="28">
        <f>I45*I$7</f>
        <v>0.24714900474656853</v>
      </c>
      <c r="U45" s="28">
        <f>J45*J$7</f>
        <v>0.10040926164734265</v>
      </c>
      <c r="V45" s="28">
        <f>K45*K$7</f>
        <v>0</v>
      </c>
      <c r="W45" s="28">
        <f>L45*L$7</f>
        <v>0</v>
      </c>
      <c r="X45" s="28">
        <f>M45*M$7</f>
        <v>0.4</v>
      </c>
      <c r="Y45" s="28">
        <f>N45*N$7</f>
        <v>0.4</v>
      </c>
      <c r="Z45" s="358">
        <f>O45*O$7</f>
        <v>0.5</v>
      </c>
      <c r="AA45" s="28">
        <f>P45*P$7</f>
        <v>0</v>
      </c>
      <c r="AB45" s="287">
        <f>Q45*Q$7</f>
        <v>-0.36</v>
      </c>
      <c r="AC45" s="98">
        <f>RANK(AD45,AD$8:AD$72)</f>
        <v>49</v>
      </c>
      <c r="AD45" s="99">
        <f>SUM(S45:AB45)</f>
        <v>1.8537844739982243</v>
      </c>
      <c r="AE45" s="165"/>
      <c r="AF45" s="165"/>
      <c r="AG45" s="165"/>
      <c r="AH45" s="165"/>
    </row>
    <row r="46" spans="1:34" ht="18" thickBot="1" x14ac:dyDescent="0.35">
      <c r="A46" s="573" t="s">
        <v>7</v>
      </c>
      <c r="B46" s="940">
        <f>RANK(C46,C$8:C$72)</f>
        <v>3</v>
      </c>
      <c r="C46" s="485">
        <f>SUM(S46:AB46)</f>
        <v>2.9288641515099894</v>
      </c>
      <c r="D46" s="682" t="s">
        <v>290</v>
      </c>
      <c r="E46" s="418">
        <v>2019</v>
      </c>
      <c r="F46" s="431" t="s">
        <v>219</v>
      </c>
      <c r="G46" s="424"/>
      <c r="H46" s="927">
        <f>Commercial!C45</f>
        <v>7.9799126043586641</v>
      </c>
      <c r="I46" s="929">
        <f>Recreational!C45</f>
        <v>3.4393268323190775</v>
      </c>
      <c r="J46" s="929">
        <f>Tribal!C45</f>
        <v>7.246455058400489</v>
      </c>
      <c r="K46" s="28"/>
      <c r="L46" s="929">
        <f>Rebuilding!B45</f>
        <v>0</v>
      </c>
      <c r="M46" s="929">
        <f>'Stock Status'!C45</f>
        <v>2</v>
      </c>
      <c r="N46" s="929">
        <f>'Fishing mortality'!C43</f>
        <v>7</v>
      </c>
      <c r="O46" s="929">
        <f>Ecosystem!C44</f>
        <v>0.82440673531856967</v>
      </c>
      <c r="P46" s="28"/>
      <c r="Q46" s="1223">
        <f>'Assess Freq'!U45</f>
        <v>-1</v>
      </c>
      <c r="R46" s="150"/>
      <c r="S46" s="28">
        <f>H46*H$7</f>
        <v>1.6757816469153195</v>
      </c>
      <c r="T46" s="28">
        <f>I46*I$7</f>
        <v>0.30953941490871695</v>
      </c>
      <c r="U46" s="28">
        <f>J46*J$7</f>
        <v>0.36232275292002447</v>
      </c>
      <c r="V46" s="28">
        <f>K46*K$7</f>
        <v>0</v>
      </c>
      <c r="W46" s="28">
        <f>L46*L$7</f>
        <v>0</v>
      </c>
      <c r="X46" s="28">
        <f>M46*M$7</f>
        <v>0.16</v>
      </c>
      <c r="Y46" s="28">
        <f>N46*N$7</f>
        <v>0.56000000000000005</v>
      </c>
      <c r="Z46" s="358">
        <f>O46*O$7</f>
        <v>4.1220336765928484E-2</v>
      </c>
      <c r="AA46" s="28">
        <f>P46*P$7</f>
        <v>0</v>
      </c>
      <c r="AB46" s="287">
        <f>Q46*Q$7</f>
        <v>-0.18</v>
      </c>
      <c r="AC46" s="98">
        <f>RANK(AD46,AD$8:AD$72)</f>
        <v>3</v>
      </c>
      <c r="AD46" s="99">
        <f>SUM(S46:AB46)</f>
        <v>2.9288641515099894</v>
      </c>
      <c r="AE46" s="165"/>
      <c r="AF46" s="165"/>
      <c r="AG46" s="165"/>
      <c r="AH46" s="165"/>
    </row>
    <row r="47" spans="1:34" ht="18" thickBot="1" x14ac:dyDescent="0.35">
      <c r="A47" s="572" t="s">
        <v>111</v>
      </c>
      <c r="B47" s="940">
        <f>RANK(C47,C$8:C$72)</f>
        <v>9</v>
      </c>
      <c r="C47" s="485">
        <f>SUM(S47:AB47)</f>
        <v>2.6268968564049171</v>
      </c>
      <c r="D47" s="682"/>
      <c r="E47" s="418">
        <v>2021</v>
      </c>
      <c r="F47" s="432" t="s">
        <v>225</v>
      </c>
      <c r="G47" s="424"/>
      <c r="H47" s="927">
        <f>Commercial!C46</f>
        <v>3.2932416817661561</v>
      </c>
      <c r="I47" s="929">
        <f>Recreational!C46</f>
        <v>4.3662328149163532</v>
      </c>
      <c r="J47" s="929">
        <f>Tribal!C46</f>
        <v>2.8395712727537563</v>
      </c>
      <c r="K47" s="28"/>
      <c r="L47" s="929">
        <f>Rebuilding!B46</f>
        <v>4</v>
      </c>
      <c r="M47" s="929">
        <f>'Stock Status'!C46</f>
        <v>7</v>
      </c>
      <c r="N47" s="929">
        <f>'Fishing mortality'!C44</f>
        <v>10</v>
      </c>
      <c r="O47" s="929">
        <f>Ecosystem!C45</f>
        <v>7.5317250772981899E-3</v>
      </c>
      <c r="P47" s="28"/>
      <c r="Q47" s="1223">
        <f>'Assess Freq'!U46</f>
        <v>-2</v>
      </c>
      <c r="R47" s="150"/>
      <c r="S47" s="28">
        <f>H47*H$7</f>
        <v>0.69158075317089274</v>
      </c>
      <c r="T47" s="28">
        <f>I47*I$7</f>
        <v>0.39296095334247177</v>
      </c>
      <c r="U47" s="28">
        <f>J47*J$7</f>
        <v>0.14197856363768782</v>
      </c>
      <c r="V47" s="28">
        <f>K47*K$7</f>
        <v>0</v>
      </c>
      <c r="W47" s="28">
        <f>L47*L$7</f>
        <v>0.4</v>
      </c>
      <c r="X47" s="28">
        <f>M47*M$7</f>
        <v>0.56000000000000005</v>
      </c>
      <c r="Y47" s="28">
        <f>N47*N$7</f>
        <v>0.8</v>
      </c>
      <c r="Z47" s="358">
        <f>O47*O$7</f>
        <v>3.765862538649095E-4</v>
      </c>
      <c r="AA47" s="28">
        <f>P47*P$7</f>
        <v>0</v>
      </c>
      <c r="AB47" s="287">
        <f>Q47*Q$7</f>
        <v>-0.36</v>
      </c>
      <c r="AC47" s="98">
        <f>RANK(AD47,AD$8:AD$72)</f>
        <v>9</v>
      </c>
      <c r="AD47" s="99">
        <f>SUM(S47:AB47)</f>
        <v>2.6268968564049171</v>
      </c>
      <c r="AE47" s="165"/>
      <c r="AF47" s="165"/>
      <c r="AG47" s="165"/>
      <c r="AH47" s="165"/>
    </row>
    <row r="48" spans="1:34" ht="18" thickBot="1" x14ac:dyDescent="0.35">
      <c r="A48" s="572" t="s">
        <v>112</v>
      </c>
      <c r="B48" s="940">
        <f>RANK(C48,C$8:C$72)</f>
        <v>17</v>
      </c>
      <c r="C48" s="485">
        <f>SUM(S48:AB48)</f>
        <v>2.4105388226163242</v>
      </c>
      <c r="D48" s="682"/>
      <c r="E48" s="935"/>
      <c r="F48" s="430" t="s">
        <v>226</v>
      </c>
      <c r="G48" s="424"/>
      <c r="H48" s="927">
        <f>Commercial!C47</f>
        <v>3.314870537172574</v>
      </c>
      <c r="I48" s="929">
        <f>Recreational!C47</f>
        <v>0</v>
      </c>
      <c r="J48" s="929">
        <f>Tribal!C47</f>
        <v>2.6811591046134167</v>
      </c>
      <c r="K48" s="28"/>
      <c r="L48" s="929">
        <f>Rebuilding!B47</f>
        <v>0</v>
      </c>
      <c r="M48" s="929">
        <f>'Stock Status'!C47</f>
        <v>6</v>
      </c>
      <c r="N48" s="929">
        <f>'Fishing mortality'!C45</f>
        <v>7</v>
      </c>
      <c r="O48" s="929">
        <f>Ecosystem!C46</f>
        <v>7.1610915882623456E-3</v>
      </c>
      <c r="P48" s="28"/>
      <c r="Q48" s="1223">
        <f>'Assess Freq'!U47</f>
        <v>3</v>
      </c>
      <c r="R48" s="150"/>
      <c r="S48" s="28">
        <f>H48*H$7</f>
        <v>0.69612281280624055</v>
      </c>
      <c r="T48" s="28">
        <f>I48*I$7</f>
        <v>0</v>
      </c>
      <c r="U48" s="28">
        <f>J48*J$7</f>
        <v>0.13405795523067085</v>
      </c>
      <c r="V48" s="28">
        <f>K48*K$7</f>
        <v>0</v>
      </c>
      <c r="W48" s="28">
        <f>L48*L$7</f>
        <v>0</v>
      </c>
      <c r="X48" s="28">
        <f>M48*M$7</f>
        <v>0.48</v>
      </c>
      <c r="Y48" s="28">
        <f>N48*N$7</f>
        <v>0.56000000000000005</v>
      </c>
      <c r="Z48" s="358">
        <f>O48*O$7</f>
        <v>3.5805457941311732E-4</v>
      </c>
      <c r="AA48" s="28">
        <f>P48*P$7</f>
        <v>0</v>
      </c>
      <c r="AB48" s="287">
        <f>Q48*Q$7</f>
        <v>0.54</v>
      </c>
      <c r="AC48" s="98">
        <f>RANK(AD48,AD$8:AD$72)</f>
        <v>17</v>
      </c>
      <c r="AD48" s="99">
        <f>SUM(S48:AB48)</f>
        <v>2.4105388226163242</v>
      </c>
      <c r="AE48" s="165"/>
      <c r="AF48" s="165"/>
      <c r="AG48" s="165"/>
      <c r="AH48" s="165"/>
    </row>
    <row r="49" spans="1:34" ht="18" thickBot="1" x14ac:dyDescent="0.35">
      <c r="A49" s="572" t="s">
        <v>352</v>
      </c>
      <c r="B49" s="940">
        <f>RANK(C49,C$8:C$72)</f>
        <v>39</v>
      </c>
      <c r="C49" s="485">
        <f>SUM(S49:AB49)</f>
        <v>1.9798500707811983</v>
      </c>
      <c r="D49" s="682"/>
      <c r="E49" s="935"/>
      <c r="F49" s="430"/>
      <c r="G49" s="424"/>
      <c r="H49" s="927">
        <f>Commercial!C48</f>
        <v>2.4310434819952547</v>
      </c>
      <c r="I49" s="929">
        <f>Recreational!C48</f>
        <v>0</v>
      </c>
      <c r="J49" s="929">
        <f>Tribal!C48</f>
        <v>2.1748436006599947</v>
      </c>
      <c r="K49" s="28"/>
      <c r="L49" s="929">
        <f>Rebuilding!B48</f>
        <v>0</v>
      </c>
      <c r="M49" s="929">
        <f>'Stock Status'!C48</f>
        <v>6</v>
      </c>
      <c r="N49" s="929">
        <f>'Fishing mortality'!C46</f>
        <v>2</v>
      </c>
      <c r="O49" s="929">
        <f>Ecosystem!C47</f>
        <v>1.1775190583908888E-2</v>
      </c>
      <c r="P49" s="28"/>
      <c r="Q49" s="1223">
        <f>'Assess Freq'!U48</f>
        <v>4</v>
      </c>
      <c r="R49" s="150"/>
      <c r="S49" s="28">
        <f>H49*H$7</f>
        <v>0.5105191312190035</v>
      </c>
      <c r="T49" s="28">
        <f>I49*I$7</f>
        <v>0</v>
      </c>
      <c r="U49" s="28">
        <f>J49*J$7</f>
        <v>0.10874218003299974</v>
      </c>
      <c r="V49" s="28">
        <f>K49*K$7</f>
        <v>0</v>
      </c>
      <c r="W49" s="28">
        <f>L49*L$7</f>
        <v>0</v>
      </c>
      <c r="X49" s="28">
        <f>M49*M$7</f>
        <v>0.48</v>
      </c>
      <c r="Y49" s="28">
        <f>N49*N$7</f>
        <v>0.16</v>
      </c>
      <c r="Z49" s="358">
        <f>O49*O$7</f>
        <v>5.8875952919544442E-4</v>
      </c>
      <c r="AA49" s="28">
        <f>P49*P$7</f>
        <v>0</v>
      </c>
      <c r="AB49" s="287">
        <f>Q49*Q$7</f>
        <v>0.72</v>
      </c>
      <c r="AC49" s="98">
        <f>RANK(AD49,AD$8:AD$72)</f>
        <v>39</v>
      </c>
      <c r="AD49" s="99">
        <f>SUM(S49:AB49)</f>
        <v>1.9798500707811983</v>
      </c>
      <c r="AE49" s="165"/>
      <c r="AF49" s="165"/>
      <c r="AG49" s="165"/>
      <c r="AH49" s="165"/>
    </row>
    <row r="50" spans="1:34" ht="18" thickBot="1" x14ac:dyDescent="0.35">
      <c r="A50" s="572" t="s">
        <v>11</v>
      </c>
      <c r="B50" s="940">
        <f>RANK(C50,C$8:C$72)</f>
        <v>21</v>
      </c>
      <c r="C50" s="485">
        <f>SUM(S50:AB50)</f>
        <v>2.3826443801625952</v>
      </c>
      <c r="D50" s="682"/>
      <c r="E50" s="418">
        <v>2013</v>
      </c>
      <c r="F50" s="432" t="s">
        <v>225</v>
      </c>
      <c r="G50" s="424"/>
      <c r="H50" s="927">
        <f>Commercial!C49</f>
        <v>4.6352355409937749</v>
      </c>
      <c r="I50" s="929">
        <f>Recreational!C49</f>
        <v>0</v>
      </c>
      <c r="J50" s="929">
        <f>Tribal!C49</f>
        <v>5.2275511804899297</v>
      </c>
      <c r="K50" s="28"/>
      <c r="L50" s="929">
        <f>Rebuilding!B49</f>
        <v>0</v>
      </c>
      <c r="M50" s="929">
        <f>'Stock Status'!C49</f>
        <v>1</v>
      </c>
      <c r="N50" s="929">
        <f>'Fishing mortality'!C47</f>
        <v>2</v>
      </c>
      <c r="O50" s="929">
        <f>Ecosystem!C48</f>
        <v>0.15734715058812349</v>
      </c>
      <c r="P50" s="28"/>
      <c r="Q50" s="1223">
        <f>'Assess Freq'!U49</f>
        <v>5</v>
      </c>
      <c r="R50" s="150"/>
      <c r="S50" s="28">
        <f>H50*H$7</f>
        <v>0.97339946360869267</v>
      </c>
      <c r="T50" s="28">
        <f>I50*I$7</f>
        <v>0</v>
      </c>
      <c r="U50" s="28">
        <f>J50*J$7</f>
        <v>0.2613775590244965</v>
      </c>
      <c r="V50" s="28">
        <f>K50*K$7</f>
        <v>0</v>
      </c>
      <c r="W50" s="28">
        <f>L50*L$7</f>
        <v>0</v>
      </c>
      <c r="X50" s="28">
        <f>M50*M$7</f>
        <v>0.08</v>
      </c>
      <c r="Y50" s="28">
        <f>N50*N$7</f>
        <v>0.16</v>
      </c>
      <c r="Z50" s="358">
        <f>O50*O$7</f>
        <v>7.8673575294061753E-3</v>
      </c>
      <c r="AA50" s="28">
        <f>P50*P$7</f>
        <v>0</v>
      </c>
      <c r="AB50" s="287">
        <f>Q50*Q$7</f>
        <v>0.89999999999999991</v>
      </c>
      <c r="AC50" s="98">
        <f>RANK(AD50,AD$8:AD$72)</f>
        <v>21</v>
      </c>
      <c r="AD50" s="99">
        <f>SUM(S50:AB50)</f>
        <v>2.3826443801625952</v>
      </c>
      <c r="AE50" s="165"/>
      <c r="AF50" s="165"/>
      <c r="AG50" s="165"/>
      <c r="AH50" s="165"/>
    </row>
    <row r="51" spans="1:34" ht="18" thickBot="1" x14ac:dyDescent="0.35">
      <c r="A51" s="572" t="s">
        <v>20</v>
      </c>
      <c r="B51" s="940">
        <f>RANK(C51,C$8:C$72)</f>
        <v>52</v>
      </c>
      <c r="C51" s="485">
        <f>SUM(S51:AB51)</f>
        <v>1.790953972717743</v>
      </c>
      <c r="D51" s="682"/>
      <c r="E51" s="935"/>
      <c r="F51" s="430" t="s">
        <v>226</v>
      </c>
      <c r="G51" s="424"/>
      <c r="H51" s="927">
        <f>Commercial!C50</f>
        <v>1.9702326905609353</v>
      </c>
      <c r="I51" s="929">
        <f>Recreational!C50</f>
        <v>2.5920820881734534</v>
      </c>
      <c r="J51" s="929">
        <f>Tribal!C50</f>
        <v>2.0771976302228232</v>
      </c>
      <c r="K51" s="28"/>
      <c r="L51" s="929">
        <f>Rebuilding!B50</f>
        <v>0</v>
      </c>
      <c r="M51" s="929">
        <f>'Stock Status'!C50</f>
        <v>3</v>
      </c>
      <c r="N51" s="929">
        <f>'Fishing mortality'!C48</f>
        <v>1</v>
      </c>
      <c r="O51" s="929">
        <f>Ecosystem!C49</f>
        <v>1.1567650638929026E-3</v>
      </c>
      <c r="P51" s="654"/>
      <c r="Q51" s="1223">
        <f>'Assess Freq'!U50</f>
        <v>4</v>
      </c>
      <c r="R51" s="150"/>
      <c r="S51" s="28">
        <f>H51*H$7</f>
        <v>0.4137488650177964</v>
      </c>
      <c r="T51" s="28">
        <f>I51*I$7</f>
        <v>0.2332873879356108</v>
      </c>
      <c r="U51" s="28">
        <f>J51*J$7</f>
        <v>0.10385988151114117</v>
      </c>
      <c r="V51" s="28">
        <f>K51*K$7</f>
        <v>0</v>
      </c>
      <c r="W51" s="28">
        <f>L51*L$7</f>
        <v>0</v>
      </c>
      <c r="X51" s="28">
        <f>M51*M$7</f>
        <v>0.24</v>
      </c>
      <c r="Y51" s="28">
        <f>N51*N$7</f>
        <v>0.08</v>
      </c>
      <c r="Z51" s="358">
        <f>O51*O$7</f>
        <v>5.7838253194645132E-5</v>
      </c>
      <c r="AA51" s="28">
        <f>P51*P$7</f>
        <v>0</v>
      </c>
      <c r="AB51" s="287">
        <f>Q51*Q$7</f>
        <v>0.72</v>
      </c>
      <c r="AC51" s="98">
        <f>RANK(AD51,AD$8:AD$72)</f>
        <v>52</v>
      </c>
      <c r="AD51" s="99">
        <f>SUM(S51:AB51)</f>
        <v>1.790953972717743</v>
      </c>
      <c r="AE51" s="165"/>
      <c r="AF51" s="165"/>
      <c r="AG51" s="165"/>
      <c r="AH51" s="165"/>
    </row>
    <row r="52" spans="1:34" ht="18" thickBot="1" x14ac:dyDescent="0.35">
      <c r="A52" s="572" t="s">
        <v>353</v>
      </c>
      <c r="B52" s="940">
        <f>RANK(C52,C$8:C$72)</f>
        <v>12</v>
      </c>
      <c r="C52" s="485">
        <f>SUM(S52:AB52)</f>
        <v>2.5915444874657636</v>
      </c>
      <c r="D52" s="682"/>
      <c r="E52" s="935"/>
      <c r="F52" s="430"/>
      <c r="G52" s="424"/>
      <c r="H52" s="927">
        <f>Commercial!C51</f>
        <v>2.4864349743936369</v>
      </c>
      <c r="I52" s="929">
        <f>Recreational!C51</f>
        <v>0</v>
      </c>
      <c r="J52" s="929">
        <f>Tribal!C51</f>
        <v>1.3586381664699048</v>
      </c>
      <c r="K52" s="28"/>
      <c r="L52" s="929">
        <f>Rebuilding!B51</f>
        <v>0</v>
      </c>
      <c r="M52" s="929">
        <f>'Stock Status'!C51</f>
        <v>6</v>
      </c>
      <c r="N52" s="929">
        <f>'Fishing mortality'!C49</f>
        <v>10</v>
      </c>
      <c r="O52" s="929">
        <f>Ecosystem!C50</f>
        <v>2.9224690392085289E-2</v>
      </c>
      <c r="P52" s="654"/>
      <c r="Q52" s="1223">
        <f>'Assess Freq'!U51</f>
        <v>4</v>
      </c>
      <c r="R52" s="150"/>
      <c r="S52" s="28">
        <f>H52*H$7</f>
        <v>0.52215134462266377</v>
      </c>
      <c r="T52" s="28">
        <f>I52*I$7</f>
        <v>0</v>
      </c>
      <c r="U52" s="28">
        <f>J52*J$7</f>
        <v>6.7931908323495244E-2</v>
      </c>
      <c r="V52" s="28">
        <f>K52*K$7</f>
        <v>0</v>
      </c>
      <c r="W52" s="28">
        <f>L52*L$7</f>
        <v>0</v>
      </c>
      <c r="X52" s="28">
        <f>M52*M$7</f>
        <v>0.48</v>
      </c>
      <c r="Y52" s="28">
        <f>N52*N$7</f>
        <v>0.8</v>
      </c>
      <c r="Z52" s="358">
        <f>O52*O$7</f>
        <v>1.4612345196042646E-3</v>
      </c>
      <c r="AA52" s="28">
        <f>P52*P$7</f>
        <v>0</v>
      </c>
      <c r="AB52" s="287">
        <f>Q52*Q$7</f>
        <v>0.72</v>
      </c>
      <c r="AC52" s="98">
        <f>RANK(AD52,AD$8:AD$72)</f>
        <v>12</v>
      </c>
      <c r="AD52" s="99">
        <f>SUM(S52:AB52)</f>
        <v>2.5915444874657636</v>
      </c>
      <c r="AE52" s="165"/>
      <c r="AF52" s="165"/>
      <c r="AG52" s="165"/>
      <c r="AH52" s="165"/>
    </row>
    <row r="53" spans="1:34" ht="18" thickBot="1" x14ac:dyDescent="0.35">
      <c r="A53" s="572" t="s">
        <v>354</v>
      </c>
      <c r="B53" s="940">
        <f>RANK(C53,C$8:C$72)</f>
        <v>55</v>
      </c>
      <c r="C53" s="485">
        <f>SUM(S53:AB53)</f>
        <v>1.6939237703659082</v>
      </c>
      <c r="D53" s="682"/>
      <c r="E53" s="935"/>
      <c r="F53" s="430"/>
      <c r="G53" s="424"/>
      <c r="H53" s="927">
        <f>Commercial!C52</f>
        <v>1.9702326905609353</v>
      </c>
      <c r="I53" s="929">
        <f>Recreational!C52</f>
        <v>0</v>
      </c>
      <c r="J53" s="929">
        <f>Tribal!C52</f>
        <v>0</v>
      </c>
      <c r="K53" s="28"/>
      <c r="L53" s="929">
        <f>Rebuilding!B52</f>
        <v>0</v>
      </c>
      <c r="M53" s="929">
        <f>'Stock Status'!C52</f>
        <v>4</v>
      </c>
      <c r="N53" s="929">
        <f>'Fishing mortality'!C50</f>
        <v>3</v>
      </c>
      <c r="O53" s="929">
        <f>Ecosystem!C51</f>
        <v>3.498106962235641E-3</v>
      </c>
      <c r="P53" s="654"/>
      <c r="Q53" s="1223">
        <f>'Assess Freq'!U52</f>
        <v>4</v>
      </c>
      <c r="R53" s="150"/>
      <c r="S53" s="28">
        <f>H53*H$7</f>
        <v>0.4137488650177964</v>
      </c>
      <c r="T53" s="28">
        <f>I53*I$7</f>
        <v>0</v>
      </c>
      <c r="U53" s="28">
        <f>J53*J$7</f>
        <v>0</v>
      </c>
      <c r="V53" s="28">
        <f>K53*K$7</f>
        <v>0</v>
      </c>
      <c r="W53" s="28">
        <f>L53*L$7</f>
        <v>0</v>
      </c>
      <c r="X53" s="28">
        <f>M53*M$7</f>
        <v>0.32</v>
      </c>
      <c r="Y53" s="28">
        <f>N53*N$7</f>
        <v>0.24</v>
      </c>
      <c r="Z53" s="358">
        <f>O53*O$7</f>
        <v>1.7490534811178207E-4</v>
      </c>
      <c r="AA53" s="28">
        <f>P53*P$7</f>
        <v>0</v>
      </c>
      <c r="AB53" s="287">
        <f>Q53*Q$7</f>
        <v>0.72</v>
      </c>
      <c r="AC53" s="98">
        <f>RANK(AD53,AD$8:AD$72)</f>
        <v>55</v>
      </c>
      <c r="AD53" s="99">
        <f>SUM(S53:AB53)</f>
        <v>1.6939237703659082</v>
      </c>
      <c r="AE53" s="165"/>
      <c r="AF53" s="165"/>
      <c r="AG53" s="165"/>
      <c r="AH53" s="165"/>
    </row>
    <row r="54" spans="1:34" ht="18" thickBot="1" x14ac:dyDescent="0.35">
      <c r="A54" s="572" t="s">
        <v>331</v>
      </c>
      <c r="B54" s="940">
        <f>RANK(C54,C$8:C$72)</f>
        <v>50</v>
      </c>
      <c r="C54" s="485">
        <f>SUM(S54:AB54)</f>
        <v>1.8387709252803888</v>
      </c>
      <c r="D54" s="682" t="s">
        <v>290</v>
      </c>
      <c r="E54" s="418">
        <v>2013</v>
      </c>
      <c r="F54" s="429" t="s">
        <v>218</v>
      </c>
      <c r="G54" s="424"/>
      <c r="H54" s="927">
        <f>Commercial!C53</f>
        <v>3.5990959698172982</v>
      </c>
      <c r="I54" s="929">
        <f>Recreational!C53</f>
        <v>0</v>
      </c>
      <c r="J54" s="929">
        <f>Tribal!C53</f>
        <v>2</v>
      </c>
      <c r="K54" s="28"/>
      <c r="L54" s="929">
        <f>Rebuilding!B53</f>
        <v>0</v>
      </c>
      <c r="M54" s="929">
        <f>'Stock Status'!C53</f>
        <v>3</v>
      </c>
      <c r="N54" s="929">
        <f>'Fishing mortality'!C51</f>
        <v>7</v>
      </c>
      <c r="O54" s="929">
        <f>Ecosystem!C52</f>
        <v>5.9215432375127754E-2</v>
      </c>
      <c r="P54" s="654"/>
      <c r="Q54" s="1223">
        <f>'Assess Freq'!U53</f>
        <v>1</v>
      </c>
      <c r="R54" s="150"/>
      <c r="S54" s="28">
        <f>H54*H$7</f>
        <v>0.75581015366163262</v>
      </c>
      <c r="T54" s="28">
        <f>I54*I$7</f>
        <v>0</v>
      </c>
      <c r="U54" s="28">
        <f>J54*J$7</f>
        <v>0.1</v>
      </c>
      <c r="V54" s="28">
        <f>K54*K$7</f>
        <v>0</v>
      </c>
      <c r="W54" s="28">
        <f>L54*L$7</f>
        <v>0</v>
      </c>
      <c r="X54" s="28">
        <f>M54*M$7</f>
        <v>0.24</v>
      </c>
      <c r="Y54" s="28">
        <f>N54*N$7</f>
        <v>0.56000000000000005</v>
      </c>
      <c r="Z54" s="358">
        <f>O54*O$7</f>
        <v>2.9607716187563878E-3</v>
      </c>
      <c r="AA54" s="28">
        <f>P54*P$7</f>
        <v>0</v>
      </c>
      <c r="AB54" s="287">
        <f>Q54*Q$7</f>
        <v>0.18</v>
      </c>
      <c r="AC54" s="98">
        <f>RANK(AD54,AD$8:AD$72)</f>
        <v>50</v>
      </c>
      <c r="AD54" s="99">
        <f>SUM(S54:AB54)</f>
        <v>1.8387709252803888</v>
      </c>
      <c r="AE54" s="165"/>
      <c r="AF54" s="165"/>
      <c r="AG54" s="165"/>
      <c r="AH54" s="165"/>
    </row>
    <row r="55" spans="1:34" ht="18" thickBot="1" x14ac:dyDescent="0.35">
      <c r="A55" s="574" t="s">
        <v>91</v>
      </c>
      <c r="B55" s="940">
        <f>RANK(C55,C$8:C$72)</f>
        <v>1</v>
      </c>
      <c r="C55" s="485">
        <f>SUM(S55:AB55)</f>
        <v>3.6223349636335604</v>
      </c>
      <c r="D55" s="682"/>
      <c r="E55" s="418">
        <v>2021</v>
      </c>
      <c r="F55" s="431" t="s">
        <v>219</v>
      </c>
      <c r="G55" s="424"/>
      <c r="H55" s="927">
        <f>Commercial!C54</f>
        <v>10</v>
      </c>
      <c r="I55" s="929">
        <f>Recreational!C54</f>
        <v>2.9048727277800404</v>
      </c>
      <c r="J55" s="929">
        <f>Tribal!C54</f>
        <v>10</v>
      </c>
      <c r="K55" s="28"/>
      <c r="L55" s="929">
        <f>Rebuilding!B54</f>
        <v>0</v>
      </c>
      <c r="M55" s="929">
        <f>'Stock Status'!C54</f>
        <v>3</v>
      </c>
      <c r="N55" s="929">
        <f>'Fishing mortality'!C52</f>
        <v>5</v>
      </c>
      <c r="O55" s="929">
        <f>Ecosystem!C53</f>
        <v>9.6179283626671275</v>
      </c>
      <c r="P55" s="654"/>
      <c r="Q55" s="1223">
        <f>'Assess Freq'!U54</f>
        <v>-2</v>
      </c>
      <c r="R55" s="150"/>
      <c r="S55" s="28">
        <f>H55*H$7</f>
        <v>2.1</v>
      </c>
      <c r="T55" s="28">
        <f>I55*I$7</f>
        <v>0.26143854550020362</v>
      </c>
      <c r="U55" s="28">
        <f>J55*J$7</f>
        <v>0.5</v>
      </c>
      <c r="V55" s="28">
        <f>K55*K$7</f>
        <v>0</v>
      </c>
      <c r="W55" s="28">
        <f>L55*L$7</f>
        <v>0</v>
      </c>
      <c r="X55" s="28">
        <f>M55*M$7</f>
        <v>0.24</v>
      </c>
      <c r="Y55" s="28">
        <f>N55*N$7</f>
        <v>0.4</v>
      </c>
      <c r="Z55" s="358">
        <f>O55*O$7</f>
        <v>0.48089641813335637</v>
      </c>
      <c r="AA55" s="28">
        <f>P55*P$7</f>
        <v>0</v>
      </c>
      <c r="AB55" s="287">
        <f>Q55*Q$7</f>
        <v>-0.36</v>
      </c>
      <c r="AC55" s="98">
        <f>RANK(AD55,AD$8:AD$72)</f>
        <v>1</v>
      </c>
      <c r="AD55" s="99">
        <f>SUM(S55:AB55)</f>
        <v>3.6223349636335604</v>
      </c>
      <c r="AE55" s="165"/>
      <c r="AF55" s="165"/>
      <c r="AG55" s="165"/>
      <c r="AH55" s="165"/>
    </row>
    <row r="56" spans="1:34" ht="18" thickBot="1" x14ac:dyDescent="0.35">
      <c r="A56" s="572" t="s">
        <v>367</v>
      </c>
      <c r="B56" s="940">
        <f>RANK(C56,C$8:C$72)</f>
        <v>43</v>
      </c>
      <c r="C56" s="485">
        <f>SUM(S56:AB56)</f>
        <v>1.9238380873979424</v>
      </c>
      <c r="D56" s="682"/>
      <c r="E56" s="935"/>
      <c r="F56" s="430" t="s">
        <v>226</v>
      </c>
      <c r="G56" s="424"/>
      <c r="H56" s="927">
        <f>Commercial!C55</f>
        <v>3.008372392430823</v>
      </c>
      <c r="I56" s="929">
        <f>Recreational!C55</f>
        <v>2.1422597983679901</v>
      </c>
      <c r="J56" s="929">
        <f>Tribal!C55</f>
        <v>4.7752314988646791</v>
      </c>
      <c r="K56" s="28"/>
      <c r="L56" s="929">
        <f>Rebuilding!B55</f>
        <v>0</v>
      </c>
      <c r="M56" s="929">
        <f>'Stock Status'!C55</f>
        <v>3</v>
      </c>
      <c r="N56" s="929">
        <f>'Fishing mortality'!C53</f>
        <v>1</v>
      </c>
      <c r="O56" s="929">
        <f>Ecosystem!C54</f>
        <v>1.0298563822329361E-2</v>
      </c>
      <c r="P56" s="28"/>
      <c r="Q56" s="1223">
        <f>'Assess Freq'!U55</f>
        <v>3</v>
      </c>
      <c r="R56" s="150"/>
      <c r="S56" s="28">
        <f>H56*H$7</f>
        <v>0.63175820241047276</v>
      </c>
      <c r="T56" s="28">
        <f>I56*I$7</f>
        <v>0.1928033818531191</v>
      </c>
      <c r="U56" s="28">
        <f>J56*J$7</f>
        <v>0.23876157494323397</v>
      </c>
      <c r="V56" s="28">
        <f>K56*K$7</f>
        <v>0</v>
      </c>
      <c r="W56" s="28">
        <f>L56*L$7</f>
        <v>0</v>
      </c>
      <c r="X56" s="28">
        <f>M56*M$7</f>
        <v>0.24</v>
      </c>
      <c r="Y56" s="28">
        <f>N56*N$7</f>
        <v>0.08</v>
      </c>
      <c r="Z56" s="358">
        <f>O56*O$7</f>
        <v>5.1492819111646803E-4</v>
      </c>
      <c r="AA56" s="28">
        <f>P56*P$7</f>
        <v>0</v>
      </c>
      <c r="AB56" s="287">
        <f>Q56*Q$7</f>
        <v>0.54</v>
      </c>
      <c r="AC56" s="98">
        <f>RANK(AD56,AD$8:AD$72)</f>
        <v>43</v>
      </c>
      <c r="AD56" s="99">
        <f>SUM(S56:AB56)</f>
        <v>1.9238380873979424</v>
      </c>
      <c r="AE56" s="165"/>
      <c r="AF56" s="165"/>
      <c r="AG56" s="165"/>
      <c r="AH56" s="165"/>
    </row>
    <row r="57" spans="1:34" ht="18" thickBot="1" x14ac:dyDescent="0.35">
      <c r="A57" s="572" t="s">
        <v>158</v>
      </c>
      <c r="B57" s="940">
        <f>RANK(C57,C$8:C$72)</f>
        <v>62</v>
      </c>
      <c r="C57" s="485">
        <f>SUM(S57:AB57)</f>
        <v>1.2857794127602755</v>
      </c>
      <c r="D57" s="682" t="s">
        <v>291</v>
      </c>
      <c r="E57" s="418">
        <v>2013</v>
      </c>
      <c r="F57" s="432" t="s">
        <v>225</v>
      </c>
      <c r="G57" s="424"/>
      <c r="H57" s="927">
        <f>Commercial!C56</f>
        <v>2.2174812270772075</v>
      </c>
      <c r="I57" s="929">
        <f>Recreational!C56</f>
        <v>0</v>
      </c>
      <c r="J57" s="929">
        <f>Tribal!C56</f>
        <v>0.7982621228296366</v>
      </c>
      <c r="K57" s="28"/>
      <c r="L57" s="929">
        <f>Rebuilding!B56</f>
        <v>0</v>
      </c>
      <c r="M57" s="929">
        <f>'Stock Status'!C56</f>
        <v>2</v>
      </c>
      <c r="N57" s="929">
        <f>'Fishing mortality'!C54</f>
        <v>1</v>
      </c>
      <c r="O57" s="929">
        <f>Ecosystem!C55</f>
        <v>3.9049786516020726E-3</v>
      </c>
      <c r="P57" s="28"/>
      <c r="Q57" s="1223">
        <f>'Assess Freq'!U56</f>
        <v>3</v>
      </c>
      <c r="R57" s="150"/>
      <c r="S57" s="28">
        <f>H57*H$7</f>
        <v>0.46567105768621359</v>
      </c>
      <c r="T57" s="28">
        <f>I57*I$7</f>
        <v>0</v>
      </c>
      <c r="U57" s="28">
        <f>J57*J$7</f>
        <v>3.991310614148183E-2</v>
      </c>
      <c r="V57" s="28">
        <f>K57*K$7</f>
        <v>0</v>
      </c>
      <c r="W57" s="28">
        <f>L57*L$7</f>
        <v>0</v>
      </c>
      <c r="X57" s="28">
        <f>M57*M$7</f>
        <v>0.16</v>
      </c>
      <c r="Y57" s="28">
        <f>N57*N$7</f>
        <v>0.08</v>
      </c>
      <c r="Z57" s="358">
        <f>O57*O$7</f>
        <v>1.9524893258010363E-4</v>
      </c>
      <c r="AA57" s="28">
        <f>P57*P$7</f>
        <v>0</v>
      </c>
      <c r="AB57" s="287">
        <f>Q57*Q$7</f>
        <v>0.54</v>
      </c>
      <c r="AC57" s="98">
        <f>RANK(AD57,AD$8:AD$72)</f>
        <v>62</v>
      </c>
      <c r="AD57" s="99">
        <f>SUM(S57:AB57)</f>
        <v>1.2857794127602755</v>
      </c>
      <c r="AE57" s="165"/>
      <c r="AF57" s="165"/>
      <c r="AG57" s="165"/>
      <c r="AH57" s="165"/>
    </row>
    <row r="58" spans="1:34" ht="18" thickBot="1" x14ac:dyDescent="0.35">
      <c r="A58" s="572" t="s">
        <v>113</v>
      </c>
      <c r="B58" s="940">
        <f>RANK(C58,C$8:C$72)</f>
        <v>24</v>
      </c>
      <c r="C58" s="485">
        <f>SUM(S58:AB58)</f>
        <v>2.316663141033406</v>
      </c>
      <c r="D58" s="682"/>
      <c r="E58" s="935"/>
      <c r="F58" s="430" t="s">
        <v>226</v>
      </c>
      <c r="G58" s="424"/>
      <c r="H58" s="927">
        <f>Commercial!C57</f>
        <v>2.5037106161254155</v>
      </c>
      <c r="I58" s="929">
        <f>Recreational!C57</f>
        <v>0</v>
      </c>
      <c r="J58" s="929">
        <f>Tribal!C57</f>
        <v>3.8160249694496433</v>
      </c>
      <c r="K58" s="654"/>
      <c r="L58" s="929">
        <f>Rebuilding!B57</f>
        <v>0</v>
      </c>
      <c r="M58" s="929">
        <f>'Stock Status'!C57</f>
        <v>6</v>
      </c>
      <c r="N58" s="929">
        <f>'Fishing mortality'!C55</f>
        <v>5</v>
      </c>
      <c r="O58" s="929">
        <f>Ecosystem!C56</f>
        <v>1.6532634917292119E-3</v>
      </c>
      <c r="P58" s="28"/>
      <c r="Q58" s="1223">
        <f>'Assess Freq'!U57</f>
        <v>4</v>
      </c>
      <c r="R58" s="150"/>
      <c r="S58" s="28">
        <f>H58*H$7</f>
        <v>0.52577922938633725</v>
      </c>
      <c r="T58" s="28">
        <f>I58*I$7</f>
        <v>0</v>
      </c>
      <c r="U58" s="28">
        <f>J58*J$7</f>
        <v>0.19080124847248217</v>
      </c>
      <c r="V58" s="28">
        <f>K58*K$7</f>
        <v>0</v>
      </c>
      <c r="W58" s="28">
        <f>L58*L$7</f>
        <v>0</v>
      </c>
      <c r="X58" s="28">
        <f>M58*M$7</f>
        <v>0.48</v>
      </c>
      <c r="Y58" s="28">
        <f>N58*N$7</f>
        <v>0.4</v>
      </c>
      <c r="Z58" s="358">
        <f>O58*O$7</f>
        <v>8.2663174586460595E-5</v>
      </c>
      <c r="AA58" s="28">
        <f>P58*P$7</f>
        <v>0</v>
      </c>
      <c r="AB58" s="287">
        <f>Q58*Q$7</f>
        <v>0.72</v>
      </c>
      <c r="AC58" s="98">
        <f>RANK(AD58,AD$8:AD$72)</f>
        <v>24</v>
      </c>
      <c r="AD58" s="99">
        <f>SUM(S58:AB58)</f>
        <v>2.316663141033406</v>
      </c>
      <c r="AE58" s="165"/>
      <c r="AF58" s="165"/>
      <c r="AG58" s="165"/>
      <c r="AH58" s="165"/>
    </row>
    <row r="59" spans="1:34" ht="18" thickBot="1" x14ac:dyDescent="0.35">
      <c r="A59" s="573" t="s">
        <v>87</v>
      </c>
      <c r="B59" s="940">
        <f>RANK(C59,C$8:C$72)</f>
        <v>27</v>
      </c>
      <c r="C59" s="485">
        <f>SUM(S59:AB59)</f>
        <v>2.2373482152870796</v>
      </c>
      <c r="D59" s="682"/>
      <c r="E59" s="418">
        <v>2013</v>
      </c>
      <c r="F59" s="429" t="s">
        <v>218</v>
      </c>
      <c r="G59" s="424"/>
      <c r="H59" s="927">
        <f>Commercial!C58</f>
        <v>6.9728714006232515</v>
      </c>
      <c r="I59" s="929">
        <f>Recreational!C58</f>
        <v>0</v>
      </c>
      <c r="J59" s="929">
        <f>Tribal!C58</f>
        <v>3.403082182990194</v>
      </c>
      <c r="K59" s="654"/>
      <c r="L59" s="929">
        <f>Rebuilding!B58</f>
        <v>0</v>
      </c>
      <c r="M59" s="929">
        <f>'Stock Status'!C58</f>
        <v>2</v>
      </c>
      <c r="N59" s="929">
        <f>'Fishing mortality'!C56</f>
        <v>2</v>
      </c>
      <c r="O59" s="929">
        <f>Ecosystem!C57</f>
        <v>2.057822240133742</v>
      </c>
      <c r="P59" s="28"/>
      <c r="Q59" s="1223">
        <f>'Assess Freq'!U58</f>
        <v>1</v>
      </c>
      <c r="R59" s="150"/>
      <c r="S59" s="28">
        <f>H59*H$7</f>
        <v>1.4643029941308827</v>
      </c>
      <c r="T59" s="28">
        <f>I59*I$7</f>
        <v>0</v>
      </c>
      <c r="U59" s="28">
        <f>J59*J$7</f>
        <v>0.17015410914950971</v>
      </c>
      <c r="V59" s="28">
        <f>K59*K$7</f>
        <v>0</v>
      </c>
      <c r="W59" s="28">
        <f>L59*L$7</f>
        <v>0</v>
      </c>
      <c r="X59" s="28">
        <f>M59*M$7</f>
        <v>0.16</v>
      </c>
      <c r="Y59" s="28">
        <f>N59*N$7</f>
        <v>0.16</v>
      </c>
      <c r="Z59" s="358">
        <f>O59*O$7</f>
        <v>0.1028911120066871</v>
      </c>
      <c r="AA59" s="28">
        <f>P59*P$7</f>
        <v>0</v>
      </c>
      <c r="AB59" s="287">
        <f>Q59*Q$7</f>
        <v>0.18</v>
      </c>
      <c r="AC59" s="98">
        <f>RANK(AD59,AD$8:AD$72)</f>
        <v>27</v>
      </c>
      <c r="AD59" s="99">
        <f>SUM(S59:AB59)</f>
        <v>2.2373482152870796</v>
      </c>
      <c r="AE59" s="165"/>
      <c r="AF59" s="165"/>
      <c r="AG59" s="165"/>
      <c r="AH59" s="165"/>
    </row>
    <row r="60" spans="1:34" ht="18" thickBot="1" x14ac:dyDescent="0.35">
      <c r="A60" s="573" t="s">
        <v>355</v>
      </c>
      <c r="B60" s="940">
        <f>RANK(C60,C$8:C$72)</f>
        <v>31</v>
      </c>
      <c r="C60" s="485">
        <f>SUM(S60:AB60)</f>
        <v>2.1906322923664452</v>
      </c>
      <c r="D60" s="682"/>
      <c r="E60" s="935"/>
      <c r="F60" s="430" t="s">
        <v>226</v>
      </c>
      <c r="G60" s="424"/>
      <c r="H60" s="927">
        <f>Commercial!C59</f>
        <v>3.1010826341308011</v>
      </c>
      <c r="I60" s="929">
        <f>Recreational!C59</f>
        <v>0</v>
      </c>
      <c r="J60" s="929">
        <f>Tribal!C59</f>
        <v>1.8908469644147663</v>
      </c>
      <c r="K60" s="654"/>
      <c r="L60" s="929">
        <f>Rebuilding!B59</f>
        <v>0</v>
      </c>
      <c r="M60" s="929">
        <f>'Stock Status'!C59</f>
        <v>6</v>
      </c>
      <c r="N60" s="929">
        <f>'Fishing mortality'!C57</f>
        <v>3</v>
      </c>
      <c r="O60" s="929">
        <f>Ecosystem!C58</f>
        <v>9.7251819564774453E-2</v>
      </c>
      <c r="P60" s="28"/>
      <c r="Q60" s="1223">
        <f>'Assess Freq'!U59</f>
        <v>4</v>
      </c>
      <c r="R60" s="150"/>
      <c r="S60" s="28">
        <f>H60*H$7</f>
        <v>0.65122735316746816</v>
      </c>
      <c r="T60" s="28">
        <f>I60*I$7</f>
        <v>0</v>
      </c>
      <c r="U60" s="28">
        <f>J60*J$7</f>
        <v>9.4542348220738315E-2</v>
      </c>
      <c r="V60" s="28">
        <f>K60*K$7</f>
        <v>0</v>
      </c>
      <c r="W60" s="28">
        <f>L60*L$7</f>
        <v>0</v>
      </c>
      <c r="X60" s="28">
        <f>M60*M$7</f>
        <v>0.48</v>
      </c>
      <c r="Y60" s="28">
        <f>N60*N$7</f>
        <v>0.24</v>
      </c>
      <c r="Z60" s="358">
        <f>O60*O$7</f>
        <v>4.8625909782387226E-3</v>
      </c>
      <c r="AA60" s="28">
        <f>P60*P$7</f>
        <v>0</v>
      </c>
      <c r="AB60" s="287">
        <f>Q60*Q$7</f>
        <v>0.72</v>
      </c>
      <c r="AC60" s="98">
        <f>RANK(AD60,AD$8:AD$72)</f>
        <v>31</v>
      </c>
      <c r="AD60" s="99">
        <f>SUM(S60:AB60)</f>
        <v>2.1906322923664452</v>
      </c>
      <c r="AE60" s="165"/>
      <c r="AF60" s="165"/>
      <c r="AG60" s="165"/>
      <c r="AH60" s="165"/>
    </row>
    <row r="61" spans="1:34" ht="18" thickBot="1" x14ac:dyDescent="0.35">
      <c r="A61" s="572" t="s">
        <v>114</v>
      </c>
      <c r="B61" s="940">
        <f>RANK(C61,C$8:C$72)</f>
        <v>23</v>
      </c>
      <c r="C61" s="485">
        <f>SUM(S61:AB61)</f>
        <v>2.3639938299944099</v>
      </c>
      <c r="D61" s="682"/>
      <c r="E61" s="935"/>
      <c r="F61" s="430" t="s">
        <v>226</v>
      </c>
      <c r="G61" s="424"/>
      <c r="H61" s="927">
        <f>Commercial!C60</f>
        <v>2.1008733573370164</v>
      </c>
      <c r="I61" s="929">
        <f>Recreational!C60</f>
        <v>4.2473801571754377</v>
      </c>
      <c r="J61" s="929">
        <f>Tribal!C60</f>
        <v>0</v>
      </c>
      <c r="K61" s="28"/>
      <c r="L61" s="929">
        <f>Rebuilding!B60</f>
        <v>0</v>
      </c>
      <c r="M61" s="929">
        <f>'Stock Status'!C60</f>
        <v>6</v>
      </c>
      <c r="N61" s="929">
        <f>'Fishing mortality'!C58</f>
        <v>2</v>
      </c>
      <c r="O61" s="929">
        <f>Ecosystem!C59</f>
        <v>1.0924216156941956E-2</v>
      </c>
      <c r="P61" s="28"/>
      <c r="Q61" s="1223">
        <f>'Assess Freq'!U60</f>
        <v>5</v>
      </c>
      <c r="R61" s="150"/>
      <c r="S61" s="28">
        <f>H61*H$7</f>
        <v>0.44118340504077341</v>
      </c>
      <c r="T61" s="28">
        <f>I61*I$7</f>
        <v>0.38226421414578937</v>
      </c>
      <c r="U61" s="28">
        <f>J61*J$7</f>
        <v>0</v>
      </c>
      <c r="V61" s="28">
        <f>K61*K$7</f>
        <v>0</v>
      </c>
      <c r="W61" s="28">
        <f>L61*L$7</f>
        <v>0</v>
      </c>
      <c r="X61" s="28">
        <f>M61*M$7</f>
        <v>0.48</v>
      </c>
      <c r="Y61" s="28">
        <f>N61*N$7</f>
        <v>0.16</v>
      </c>
      <c r="Z61" s="358">
        <f>O61*O$7</f>
        <v>5.462108078470978E-4</v>
      </c>
      <c r="AA61" s="28">
        <f>P61*P$7</f>
        <v>0</v>
      </c>
      <c r="AB61" s="287">
        <f>Q61*Q$7</f>
        <v>0.89999999999999991</v>
      </c>
      <c r="AC61" s="98">
        <f>RANK(AD61,AD$8:AD$72)</f>
        <v>23</v>
      </c>
      <c r="AD61" s="99">
        <f>SUM(S61:AB61)</f>
        <v>2.3639938299944099</v>
      </c>
      <c r="AE61" s="165"/>
      <c r="AF61" s="165"/>
      <c r="AG61" s="165"/>
      <c r="AH61" s="165"/>
    </row>
    <row r="62" spans="1:34" ht="18" thickBot="1" x14ac:dyDescent="0.35">
      <c r="A62" s="572" t="s">
        <v>160</v>
      </c>
      <c r="B62" s="940">
        <f>RANK(C62,C$8:C$72)</f>
        <v>6</v>
      </c>
      <c r="C62" s="485">
        <f>SUM(S62:AB62)</f>
        <v>2.721540646920996</v>
      </c>
      <c r="D62" s="682"/>
      <c r="E62" s="418">
        <v>2009</v>
      </c>
      <c r="F62" s="429" t="s">
        <v>218</v>
      </c>
      <c r="G62" s="424"/>
      <c r="H62" s="927">
        <f>Commercial!C61</f>
        <v>2.9546617478096158</v>
      </c>
      <c r="I62" s="929">
        <f>Recreational!C61</f>
        <v>0</v>
      </c>
      <c r="J62" s="929">
        <f>Tribal!C61</f>
        <v>1.0421128049010688</v>
      </c>
      <c r="K62" s="28"/>
      <c r="L62" s="929">
        <f>Rebuilding!B61</f>
        <v>0</v>
      </c>
      <c r="M62" s="929">
        <f>'Stock Status'!C61</f>
        <v>2</v>
      </c>
      <c r="N62" s="929">
        <f>'Fishing mortality'!C59</f>
        <v>1</v>
      </c>
      <c r="O62" s="929">
        <f>Ecosystem!C60</f>
        <v>0.17912079271846668</v>
      </c>
      <c r="P62" s="28"/>
      <c r="Q62" s="1223">
        <f>'Assess Freq'!U61</f>
        <v>10</v>
      </c>
      <c r="R62" s="150"/>
      <c r="S62" s="28">
        <f>H62*H$7</f>
        <v>0.62047896704001926</v>
      </c>
      <c r="T62" s="28">
        <f>I62*I$7</f>
        <v>0</v>
      </c>
      <c r="U62" s="28">
        <f>J62*J$7</f>
        <v>5.2105640245053444E-2</v>
      </c>
      <c r="V62" s="28">
        <f>K62*K$7</f>
        <v>0</v>
      </c>
      <c r="W62" s="28">
        <f>L62*L$7</f>
        <v>0</v>
      </c>
      <c r="X62" s="28">
        <f>M62*M$7</f>
        <v>0.16</v>
      </c>
      <c r="Y62" s="28">
        <f>N62*N$7</f>
        <v>0.08</v>
      </c>
      <c r="Z62" s="358">
        <f>O62*O$7</f>
        <v>8.9560396359233338E-3</v>
      </c>
      <c r="AA62" s="28">
        <f>P62*P$7</f>
        <v>0</v>
      </c>
      <c r="AB62" s="287">
        <f>Q62*Q$7</f>
        <v>1.7999999999999998</v>
      </c>
      <c r="AC62" s="98">
        <f>RANK(AD62,AD$8:AD$72)</f>
        <v>6</v>
      </c>
      <c r="AD62" s="99">
        <f>SUM(S62:AB62)</f>
        <v>2.721540646920996</v>
      </c>
      <c r="AE62" s="165"/>
      <c r="AF62" s="165"/>
      <c r="AG62" s="165"/>
      <c r="AH62" s="165"/>
    </row>
    <row r="63" spans="1:34" ht="18" thickBot="1" x14ac:dyDescent="0.35">
      <c r="A63" s="572" t="s">
        <v>115</v>
      </c>
      <c r="B63" s="940">
        <f>RANK(C63,C$8:C$72)</f>
        <v>63</v>
      </c>
      <c r="C63" s="485">
        <f>SUM(S63:AB63)</f>
        <v>1.2071088824787295</v>
      </c>
      <c r="D63" s="682"/>
      <c r="E63" s="418">
        <v>2021</v>
      </c>
      <c r="F63" s="432" t="s">
        <v>225</v>
      </c>
      <c r="G63" s="424"/>
      <c r="H63" s="927">
        <f>Commercial!C62</f>
        <v>0</v>
      </c>
      <c r="I63" s="929">
        <f>Recreational!C62</f>
        <v>4.9554365537253595</v>
      </c>
      <c r="J63" s="929">
        <f>Tribal!C62</f>
        <v>0</v>
      </c>
      <c r="K63" s="28"/>
      <c r="L63" s="929">
        <f>Rebuilding!B62</f>
        <v>0</v>
      </c>
      <c r="M63" s="929">
        <f>'Stock Status'!C62</f>
        <v>4</v>
      </c>
      <c r="N63" s="929">
        <f>'Fishing mortality'!C60</f>
        <v>10</v>
      </c>
      <c r="O63" s="929">
        <f>Ecosystem!C61</f>
        <v>2.2391852868937377E-2</v>
      </c>
      <c r="P63" s="28"/>
      <c r="Q63" s="1223">
        <f>'Assess Freq'!U62</f>
        <v>-2</v>
      </c>
      <c r="R63" s="150"/>
      <c r="S63" s="28">
        <f>H63*H$7</f>
        <v>0</v>
      </c>
      <c r="T63" s="28">
        <f>I63*I$7</f>
        <v>0.44598928983528235</v>
      </c>
      <c r="U63" s="28">
        <f>J63*J$7</f>
        <v>0</v>
      </c>
      <c r="V63" s="28">
        <f>K63*K$7</f>
        <v>0</v>
      </c>
      <c r="W63" s="28">
        <f>L63*L$7</f>
        <v>0</v>
      </c>
      <c r="X63" s="28">
        <f>M63*M$7</f>
        <v>0.32</v>
      </c>
      <c r="Y63" s="28">
        <f>N63*N$7</f>
        <v>0.8</v>
      </c>
      <c r="Z63" s="358">
        <f>O63*O$7</f>
        <v>1.1195926434468689E-3</v>
      </c>
      <c r="AA63" s="28">
        <f>P63*P$7</f>
        <v>0</v>
      </c>
      <c r="AB63" s="287">
        <f>Q63*Q$7</f>
        <v>-0.36</v>
      </c>
      <c r="AC63" s="98">
        <f>RANK(AD63,AD$8:AD$72)</f>
        <v>63</v>
      </c>
      <c r="AD63" s="99">
        <f>SUM(S63:AB63)</f>
        <v>1.2071088824787295</v>
      </c>
      <c r="AE63" s="165"/>
      <c r="AF63" s="165"/>
      <c r="AG63" s="165"/>
      <c r="AH63" s="165"/>
    </row>
    <row r="64" spans="1:34" ht="18" thickBot="1" x14ac:dyDescent="0.35">
      <c r="A64" s="573" t="s">
        <v>18</v>
      </c>
      <c r="B64" s="940">
        <f>RANK(C64,C$8:C$72)</f>
        <v>40</v>
      </c>
      <c r="C64" s="485">
        <f>SUM(S64:AB64)</f>
        <v>1.9747257630289667</v>
      </c>
      <c r="D64" s="682"/>
      <c r="E64" s="935"/>
      <c r="F64" s="430" t="s">
        <v>226</v>
      </c>
      <c r="G64" s="424"/>
      <c r="H64" s="927">
        <f>Commercial!C63</f>
        <v>2.7862706245289708</v>
      </c>
      <c r="I64" s="929">
        <f>Recreational!C63</f>
        <v>2.447011996948226</v>
      </c>
      <c r="J64" s="929">
        <f>Tribal!C63</f>
        <v>2.5841798094120407</v>
      </c>
      <c r="K64" s="28"/>
      <c r="L64" s="929">
        <f>Rebuilding!B63</f>
        <v>0</v>
      </c>
      <c r="M64" s="929">
        <f>'Stock Status'!C63</f>
        <v>3</v>
      </c>
      <c r="N64" s="929">
        <f>'Fishing mortality'!C61</f>
        <v>1</v>
      </c>
      <c r="O64" s="929">
        <f>Ecosystem!C62</f>
        <v>3.3772336388074014E-3</v>
      </c>
      <c r="P64" s="28"/>
      <c r="Q64" s="1223">
        <f>'Assess Freq'!U63</f>
        <v>4</v>
      </c>
      <c r="R64" s="150"/>
      <c r="S64" s="28">
        <f>H64*H$7</f>
        <v>0.58511683115108382</v>
      </c>
      <c r="T64" s="28">
        <f>I64*I$7</f>
        <v>0.22023107972534034</v>
      </c>
      <c r="U64" s="28">
        <f>J64*J$7</f>
        <v>0.12920899047060205</v>
      </c>
      <c r="V64" s="28">
        <f>K64*K$7</f>
        <v>0</v>
      </c>
      <c r="W64" s="28">
        <f>L64*L$7</f>
        <v>0</v>
      </c>
      <c r="X64" s="28">
        <f>M64*M$7</f>
        <v>0.24</v>
      </c>
      <c r="Y64" s="28">
        <f>N64*N$7</f>
        <v>0.08</v>
      </c>
      <c r="Z64" s="358">
        <f>O64*O$7</f>
        <v>1.6886168194037008E-4</v>
      </c>
      <c r="AA64" s="28">
        <f>P64*P$7</f>
        <v>0</v>
      </c>
      <c r="AB64" s="287">
        <f>Q64*Q$7</f>
        <v>0.72</v>
      </c>
      <c r="AC64" s="98">
        <f>RANK(AD64,AD$8:AD$72)</f>
        <v>40</v>
      </c>
      <c r="AD64" s="99">
        <f>SUM(S64:AB64)</f>
        <v>1.9747257630289667</v>
      </c>
      <c r="AE64" s="165"/>
      <c r="AF64" s="165"/>
      <c r="AG64" s="165"/>
      <c r="AH64" s="165"/>
    </row>
    <row r="65" spans="1:34" ht="18" thickBot="1" x14ac:dyDescent="0.35">
      <c r="A65" s="572" t="s">
        <v>116</v>
      </c>
      <c r="B65" s="940">
        <f>RANK(C65,C$8:C$72)</f>
        <v>14</v>
      </c>
      <c r="C65" s="485">
        <f>SUM(S65:AB65)</f>
        <v>2.5398425229379198</v>
      </c>
      <c r="D65" s="682"/>
      <c r="E65" s="935"/>
      <c r="F65" s="430" t="s">
        <v>226</v>
      </c>
      <c r="G65" s="424"/>
      <c r="H65" s="927">
        <f>Commercial!C64</f>
        <v>2.5446702539451307</v>
      </c>
      <c r="I65" s="929">
        <f>Recreational!C64</f>
        <v>5.1442296477140141</v>
      </c>
      <c r="J65" s="929">
        <f>Tribal!C64</f>
        <v>0</v>
      </c>
      <c r="K65" s="28"/>
      <c r="L65" s="929">
        <f>Rebuilding!B64</f>
        <v>0</v>
      </c>
      <c r="M65" s="929">
        <f>'Stock Status'!C64</f>
        <v>3</v>
      </c>
      <c r="N65" s="929">
        <f>'Fishing mortality'!C62</f>
        <v>5</v>
      </c>
      <c r="O65" s="929">
        <f>Ecosystem!C63</f>
        <v>4.9622026303617769E-2</v>
      </c>
      <c r="P65" s="28"/>
      <c r="Q65" s="1223">
        <f>'Assess Freq'!U64</f>
        <v>5</v>
      </c>
      <c r="R65" s="150"/>
      <c r="S65" s="28">
        <f>H65*H$7</f>
        <v>0.53438075332847745</v>
      </c>
      <c r="T65" s="28">
        <f>I65*I$7</f>
        <v>0.46298066829426127</v>
      </c>
      <c r="U65" s="28">
        <f>J65*J$7</f>
        <v>0</v>
      </c>
      <c r="V65" s="28">
        <f>K65*K$7</f>
        <v>0</v>
      </c>
      <c r="W65" s="28">
        <f>L65*L$7</f>
        <v>0</v>
      </c>
      <c r="X65" s="28">
        <f>M65*M$7</f>
        <v>0.24</v>
      </c>
      <c r="Y65" s="28">
        <f>N65*N$7</f>
        <v>0.4</v>
      </c>
      <c r="Z65" s="358">
        <f>O65*O$7</f>
        <v>2.4811013151808886E-3</v>
      </c>
      <c r="AA65" s="28">
        <f>P65*P$7</f>
        <v>0</v>
      </c>
      <c r="AB65" s="287">
        <f>Q65*Q$7</f>
        <v>0.89999999999999991</v>
      </c>
      <c r="AC65" s="98">
        <f>RANK(AD65,AD$8:AD$72)</f>
        <v>14</v>
      </c>
      <c r="AD65" s="99">
        <f>SUM(S65:AB65)</f>
        <v>2.5398425229379198</v>
      </c>
      <c r="AE65" s="165"/>
      <c r="AF65" s="165"/>
      <c r="AG65" s="165"/>
      <c r="AH65" s="165"/>
    </row>
    <row r="66" spans="1:34" ht="18" thickBot="1" x14ac:dyDescent="0.35">
      <c r="A66" s="572" t="s">
        <v>356</v>
      </c>
      <c r="B66" s="940">
        <f>RANK(C66,C$8:C$72)</f>
        <v>28</v>
      </c>
      <c r="C66" s="485">
        <f>SUM(S66:AB66)</f>
        <v>2.2195014763685874</v>
      </c>
      <c r="D66" s="682"/>
      <c r="E66" s="935"/>
      <c r="F66" s="430"/>
      <c r="G66" s="424"/>
      <c r="H66" s="927">
        <f>Commercial!C65</f>
        <v>1.7814378354969447</v>
      </c>
      <c r="I66" s="929">
        <f>Recreational!C65</f>
        <v>0</v>
      </c>
      <c r="J66" s="929">
        <f>Tribal!C65</f>
        <v>0</v>
      </c>
      <c r="K66" s="28"/>
      <c r="L66" s="929">
        <f>Rebuilding!B65</f>
        <v>0</v>
      </c>
      <c r="M66" s="929">
        <f>'Stock Status'!C65</f>
        <v>4</v>
      </c>
      <c r="N66" s="929">
        <f>'Fishing mortality'!C63</f>
        <v>10</v>
      </c>
      <c r="O66" s="929">
        <f>Ecosystem!C64</f>
        <v>0.10799061828458381</v>
      </c>
      <c r="P66" s="28"/>
      <c r="Q66" s="1223">
        <f>'Assess Freq'!U65</f>
        <v>4</v>
      </c>
      <c r="R66" s="150"/>
      <c r="S66" s="28">
        <f>H66*H$7</f>
        <v>0.37410194545435838</v>
      </c>
      <c r="T66" s="28">
        <f>I66*I$7</f>
        <v>0</v>
      </c>
      <c r="U66" s="28">
        <f>J66*J$7</f>
        <v>0</v>
      </c>
      <c r="V66" s="28">
        <f>K66*K$7</f>
        <v>0</v>
      </c>
      <c r="W66" s="28">
        <f>L66*L$7</f>
        <v>0</v>
      </c>
      <c r="X66" s="28">
        <f>M66*M$7</f>
        <v>0.32</v>
      </c>
      <c r="Y66" s="28">
        <f>N66*N$7</f>
        <v>0.8</v>
      </c>
      <c r="Z66" s="358">
        <f>O66*O$7</f>
        <v>5.3995309142291911E-3</v>
      </c>
      <c r="AA66" s="28">
        <f>P66*P$7</f>
        <v>0</v>
      </c>
      <c r="AB66" s="287">
        <f>Q66*Q$7</f>
        <v>0.72</v>
      </c>
      <c r="AC66" s="98">
        <f>RANK(AD66,AD$8:AD$72)</f>
        <v>28</v>
      </c>
      <c r="AD66" s="99">
        <f>SUM(S66:AB66)</f>
        <v>2.2195014763685874</v>
      </c>
      <c r="AE66" s="165"/>
      <c r="AF66" s="165"/>
      <c r="AG66" s="165"/>
      <c r="AH66" s="165"/>
    </row>
    <row r="67" spans="1:34" ht="18" thickBot="1" x14ac:dyDescent="0.35">
      <c r="A67" s="572" t="s">
        <v>246</v>
      </c>
      <c r="B67" s="940">
        <f>RANK(C67,C$8:C$72)</f>
        <v>22</v>
      </c>
      <c r="C67" s="485">
        <f>SUM(S67:AB67)</f>
        <v>2.3700322603610378</v>
      </c>
      <c r="D67" s="682"/>
      <c r="E67" s="935"/>
      <c r="F67" s="430" t="s">
        <v>226</v>
      </c>
      <c r="G67" s="424"/>
      <c r="H67" s="927">
        <f>Commercial!C66</f>
        <v>3.2608099292808879</v>
      </c>
      <c r="I67" s="929">
        <f>Recreational!C66</f>
        <v>3.8345323870782666</v>
      </c>
      <c r="J67" s="929">
        <f>Tribal!C66</f>
        <v>0</v>
      </c>
      <c r="K67" s="28"/>
      <c r="L67" s="929">
        <f>Rebuilding!B66</f>
        <v>0</v>
      </c>
      <c r="M67" s="929">
        <f>'Stock Status'!C66</f>
        <v>3</v>
      </c>
      <c r="N67" s="929">
        <f>'Fishing mortality'!C64</f>
        <v>7</v>
      </c>
      <c r="O67" s="929">
        <f>Ecosystem!C65</f>
        <v>3.0852075001502346E-3</v>
      </c>
      <c r="P67" s="28"/>
      <c r="Q67" s="1223">
        <f>'Assess Freq'!U66</f>
        <v>3</v>
      </c>
      <c r="R67" s="150"/>
      <c r="S67" s="28">
        <f>H67*H$7</f>
        <v>0.68477008514898641</v>
      </c>
      <c r="T67" s="28">
        <f>I67*I$7</f>
        <v>0.34510791483704401</v>
      </c>
      <c r="U67" s="28">
        <f>J67*J$7</f>
        <v>0</v>
      </c>
      <c r="V67" s="28">
        <f>K67*K$7</f>
        <v>0</v>
      </c>
      <c r="W67" s="28">
        <f>L67*L$7</f>
        <v>0</v>
      </c>
      <c r="X67" s="28">
        <f>M67*M$7</f>
        <v>0.24</v>
      </c>
      <c r="Y67" s="28">
        <f>N67*N$7</f>
        <v>0.56000000000000005</v>
      </c>
      <c r="Z67" s="358">
        <f>O67*O$7</f>
        <v>1.5426037500751173E-4</v>
      </c>
      <c r="AA67" s="28">
        <f>P67*P$7</f>
        <v>0</v>
      </c>
      <c r="AB67" s="287">
        <f>Q67*Q$7</f>
        <v>0.54</v>
      </c>
      <c r="AC67" s="98">
        <f>RANK(AD67,AD$8:AD$72)</f>
        <v>22</v>
      </c>
      <c r="AD67" s="99">
        <f>SUM(S67:AB67)</f>
        <v>2.3700322603610378</v>
      </c>
      <c r="AE67" s="165"/>
      <c r="AF67" s="165"/>
      <c r="AG67" s="165"/>
      <c r="AH67" s="165"/>
    </row>
    <row r="68" spans="1:34" ht="18" thickBot="1" x14ac:dyDescent="0.35">
      <c r="A68" s="572" t="s">
        <v>272</v>
      </c>
      <c r="B68" s="940">
        <f>RANK(C68,C$8:C$72)</f>
        <v>16</v>
      </c>
      <c r="C68" s="485">
        <f>SUM(S68:AB68)</f>
        <v>2.457053309184146</v>
      </c>
      <c r="D68" s="682"/>
      <c r="E68" s="418">
        <v>2021</v>
      </c>
      <c r="F68" s="429" t="s">
        <v>218</v>
      </c>
      <c r="G68" s="424"/>
      <c r="H68" s="927">
        <f>Commercial!C67</f>
        <v>4.7364795923450131</v>
      </c>
      <c r="I68" s="929">
        <f>Recreational!C67</f>
        <v>8.400410664692604</v>
      </c>
      <c r="J68" s="929">
        <f>Tribal!C67</f>
        <v>0</v>
      </c>
      <c r="K68" s="28"/>
      <c r="L68" s="929">
        <f>Rebuilding!B67</f>
        <v>0</v>
      </c>
      <c r="M68" s="929">
        <f>'Stock Status'!C67</f>
        <v>3</v>
      </c>
      <c r="N68" s="929">
        <f>'Fishing mortality'!C65</f>
        <v>10</v>
      </c>
      <c r="O68" s="929">
        <f>Ecosystem!C66</f>
        <v>0.52711269938717764</v>
      </c>
      <c r="P68" s="28"/>
      <c r="Q68" s="1223">
        <f>'Assess Freq'!U67</f>
        <v>-2</v>
      </c>
      <c r="R68" s="150"/>
      <c r="S68" s="28">
        <f>H68*H$7</f>
        <v>0.99466071439245274</v>
      </c>
      <c r="T68" s="28">
        <f>I68*I$7</f>
        <v>0.75603695982233432</v>
      </c>
      <c r="U68" s="28">
        <f>J68*J$7</f>
        <v>0</v>
      </c>
      <c r="V68" s="28">
        <f>K68*K$7</f>
        <v>0</v>
      </c>
      <c r="W68" s="28">
        <f>L68*L$7</f>
        <v>0</v>
      </c>
      <c r="X68" s="28">
        <f>M68*M$7</f>
        <v>0.24</v>
      </c>
      <c r="Y68" s="28">
        <f>N68*N$7</f>
        <v>0.8</v>
      </c>
      <c r="Z68" s="358">
        <f>O68*O$7</f>
        <v>2.6355634969358884E-2</v>
      </c>
      <c r="AA68" s="28">
        <f>P68*P$7</f>
        <v>0</v>
      </c>
      <c r="AB68" s="287">
        <f>Q68*Q$7</f>
        <v>-0.36</v>
      </c>
      <c r="AC68" s="98">
        <f>RANK(AD68,AD$8:AD$72)</f>
        <v>16</v>
      </c>
      <c r="AD68" s="99">
        <f>SUM(S68:AB68)</f>
        <v>2.457053309184146</v>
      </c>
      <c r="AE68" s="165"/>
      <c r="AF68" s="165"/>
      <c r="AG68" s="165"/>
      <c r="AH68" s="165"/>
    </row>
    <row r="69" spans="1:34" ht="18" thickBot="1" x14ac:dyDescent="0.35">
      <c r="A69" s="573" t="s">
        <v>98</v>
      </c>
      <c r="B69" s="940">
        <f>RANK(C69,C$8:C$72)</f>
        <v>8</v>
      </c>
      <c r="C69" s="485">
        <f>SUM(S69:AB69)</f>
        <v>2.6385384412982047</v>
      </c>
      <c r="D69" s="682" t="s">
        <v>290</v>
      </c>
      <c r="E69" s="418">
        <v>2019</v>
      </c>
      <c r="F69" s="431" t="s">
        <v>219</v>
      </c>
      <c r="G69" s="424"/>
      <c r="H69" s="927">
        <f>Commercial!C68</f>
        <v>7.2756927704275833</v>
      </c>
      <c r="I69" s="929">
        <f>Recreational!C68</f>
        <v>4.3790794009400651</v>
      </c>
      <c r="J69" s="929">
        <f>Tribal!C68</f>
        <v>4.4185624773641772</v>
      </c>
      <c r="K69" s="28"/>
      <c r="L69" s="929">
        <f>Rebuilding!B68</f>
        <v>0</v>
      </c>
      <c r="M69" s="929">
        <f>'Stock Status'!C68</f>
        <v>1</v>
      </c>
      <c r="N69" s="929">
        <f>'Fishing mortality'!C66</f>
        <v>7</v>
      </c>
      <c r="O69" s="929">
        <f>Ecosystem!C67</f>
        <v>0.71195379111194868</v>
      </c>
      <c r="P69" s="654"/>
      <c r="Q69" s="1223">
        <f>'Assess Freq'!U68</f>
        <v>-1</v>
      </c>
      <c r="R69" s="150"/>
      <c r="S69" s="28">
        <f>H69*H$7</f>
        <v>1.5278954817897925</v>
      </c>
      <c r="T69" s="28">
        <f>I69*I$7</f>
        <v>0.39411714608460585</v>
      </c>
      <c r="U69" s="28">
        <f>J69*J$7</f>
        <v>0.22092812386820887</v>
      </c>
      <c r="V69" s="28">
        <f>K69*K$7</f>
        <v>0</v>
      </c>
      <c r="W69" s="28">
        <f>L69*L$7</f>
        <v>0</v>
      </c>
      <c r="X69" s="28">
        <f>M69*M$7</f>
        <v>0.08</v>
      </c>
      <c r="Y69" s="28">
        <f>N69*N$7</f>
        <v>0.56000000000000005</v>
      </c>
      <c r="Z69" s="358">
        <f>O69*O$7</f>
        <v>3.5597689555597438E-2</v>
      </c>
      <c r="AA69" s="28">
        <f>P69*P$7</f>
        <v>0</v>
      </c>
      <c r="AB69" s="287">
        <f>Q69*Q$7</f>
        <v>-0.18</v>
      </c>
      <c r="AC69" s="98">
        <f>RANK(AD69,AD$8:AD$72)</f>
        <v>8</v>
      </c>
      <c r="AD69" s="99">
        <f>SUM(S69:AB69)</f>
        <v>2.6385384412982047</v>
      </c>
      <c r="AE69" s="165"/>
      <c r="AF69" s="165"/>
      <c r="AG69" s="165"/>
      <c r="AH69" s="165"/>
    </row>
    <row r="70" spans="1:34" ht="18" thickBot="1" x14ac:dyDescent="0.35">
      <c r="A70" s="573" t="s">
        <v>161</v>
      </c>
      <c r="B70" s="940">
        <f>RANK(C70,C$8:C$72)</f>
        <v>38</v>
      </c>
      <c r="C70" s="485">
        <f>SUM(S70:AB70)</f>
        <v>1.9903224774663146</v>
      </c>
      <c r="D70" s="682" t="s">
        <v>217</v>
      </c>
      <c r="E70" s="418">
        <v>2017</v>
      </c>
      <c r="F70" s="429" t="s">
        <v>218</v>
      </c>
      <c r="G70" s="424"/>
      <c r="H70" s="927">
        <f>Commercial!C69</f>
        <v>1.3880332622862877</v>
      </c>
      <c r="I70" s="929">
        <f>Recreational!C69</f>
        <v>2.9228134789117233</v>
      </c>
      <c r="J70" s="929">
        <f>Tribal!C69</f>
        <v>3.7979308041851887</v>
      </c>
      <c r="K70" s="28"/>
      <c r="L70" s="929">
        <f>Rebuilding!B69</f>
        <v>6</v>
      </c>
      <c r="M70" s="929">
        <f>'Stock Status'!C69</f>
        <v>5</v>
      </c>
      <c r="N70" s="929">
        <f>'Fishing mortality'!C67</f>
        <v>3</v>
      </c>
      <c r="O70" s="929">
        <f>Ecosystem!C68</f>
        <v>0.1177147814975929</v>
      </c>
      <c r="P70" s="654"/>
      <c r="Q70" s="1223">
        <f>'Assess Freq'!U69</f>
        <v>0</v>
      </c>
      <c r="R70" s="150"/>
      <c r="S70" s="28">
        <f>H70*H$7</f>
        <v>0.29148698508012039</v>
      </c>
      <c r="T70" s="28">
        <f>I70*I$7</f>
        <v>0.26305321310205509</v>
      </c>
      <c r="U70" s="28">
        <f>J70*J$7</f>
        <v>0.18989654020925945</v>
      </c>
      <c r="V70" s="28">
        <f>K70*K$7</f>
        <v>0</v>
      </c>
      <c r="W70" s="28">
        <f>L70*L$7</f>
        <v>0.60000000000000009</v>
      </c>
      <c r="X70" s="28">
        <f>M70*M$7</f>
        <v>0.4</v>
      </c>
      <c r="Y70" s="28">
        <f>N70*N$7</f>
        <v>0.24</v>
      </c>
      <c r="Z70" s="358">
        <f>O70*O$7</f>
        <v>5.8857390748796451E-3</v>
      </c>
      <c r="AA70" s="28">
        <f>P70*P$7</f>
        <v>0</v>
      </c>
      <c r="AB70" s="287">
        <f>Q70*Q$7</f>
        <v>0</v>
      </c>
      <c r="AC70" s="98">
        <f>RANK(AD70,AD$8:AD$72)</f>
        <v>38</v>
      </c>
      <c r="AD70" s="99">
        <f>SUM(S70:AB70)</f>
        <v>1.9903224774663146</v>
      </c>
      <c r="AE70" s="165"/>
      <c r="AF70" s="165"/>
      <c r="AG70" s="165"/>
      <c r="AH70" s="165"/>
    </row>
    <row r="71" spans="1:34" ht="18" thickBot="1" x14ac:dyDescent="0.35">
      <c r="A71" s="573" t="s">
        <v>364</v>
      </c>
      <c r="B71" s="940">
        <f>RANK(C71,C$8:C$72)</f>
        <v>54</v>
      </c>
      <c r="C71" s="485">
        <f>SUM(S71:AB71)</f>
        <v>1.7386606967433897</v>
      </c>
      <c r="D71" s="682"/>
      <c r="E71" s="935"/>
      <c r="F71" s="430" t="s">
        <v>226</v>
      </c>
      <c r="G71" s="424"/>
      <c r="H71" s="927">
        <f>Commercial!C70</f>
        <v>2.3800455715743873</v>
      </c>
      <c r="I71" s="929">
        <f>Recreational!C70</f>
        <v>0</v>
      </c>
      <c r="J71" s="929">
        <f>Tribal!C70</f>
        <v>0.77330602240743562</v>
      </c>
      <c r="K71" s="28"/>
      <c r="L71" s="929">
        <f>Rebuilding!B70</f>
        <v>0</v>
      </c>
      <c r="M71" s="929">
        <f>'Stock Status'!C70</f>
        <v>4</v>
      </c>
      <c r="N71" s="929">
        <f>'Fishing mortality'!C68</f>
        <v>2</v>
      </c>
      <c r="O71" s="929">
        <f>Ecosystem!C69</f>
        <v>3.7165118479342602E-3</v>
      </c>
      <c r="P71" s="654"/>
      <c r="Q71" s="1223">
        <f>'Assess Freq'!U70</f>
        <v>4</v>
      </c>
      <c r="R71" s="150"/>
      <c r="S71" s="28">
        <f>H71*H$7</f>
        <v>0.49980957003062132</v>
      </c>
      <c r="T71" s="28">
        <f>I71*I$7</f>
        <v>0</v>
      </c>
      <c r="U71" s="28">
        <f>J71*J$7</f>
        <v>3.8665301120371781E-2</v>
      </c>
      <c r="V71" s="28">
        <f>K71*K$7</f>
        <v>0</v>
      </c>
      <c r="W71" s="28">
        <f>L71*L$7</f>
        <v>0</v>
      </c>
      <c r="X71" s="28">
        <f>M71*M$7</f>
        <v>0.32</v>
      </c>
      <c r="Y71" s="28">
        <f>N71*N$7</f>
        <v>0.16</v>
      </c>
      <c r="Z71" s="358">
        <f>O71*O$7</f>
        <v>1.8582559239671301E-4</v>
      </c>
      <c r="AA71" s="28">
        <f>P71*P$7</f>
        <v>0</v>
      </c>
      <c r="AB71" s="287">
        <f>Q71*Q$7</f>
        <v>0.72</v>
      </c>
      <c r="AC71" s="98">
        <f>RANK(AD71,AD$8:AD$72)</f>
        <v>54</v>
      </c>
      <c r="AD71" s="99">
        <f>SUM(S71:AB71)</f>
        <v>1.7386606967433897</v>
      </c>
      <c r="AE71" s="165"/>
      <c r="AF71" s="165"/>
      <c r="AG71" s="165"/>
      <c r="AH71" s="165"/>
    </row>
    <row r="72" spans="1:34" ht="18" thickBot="1" x14ac:dyDescent="0.35">
      <c r="A72" s="573" t="s">
        <v>162</v>
      </c>
      <c r="B72" s="940">
        <f>RANK(C72,C$8:C$72)</f>
        <v>5</v>
      </c>
      <c r="C72" s="485">
        <f>SUM(S72:AB72)</f>
        <v>2.7773225075599046</v>
      </c>
      <c r="D72" s="682" t="s">
        <v>290</v>
      </c>
      <c r="E72" s="418">
        <v>2017</v>
      </c>
      <c r="F72" s="429" t="s">
        <v>218</v>
      </c>
      <c r="G72" s="424"/>
      <c r="H72" s="927">
        <f>Commercial!C71</f>
        <v>6.2650212340112255</v>
      </c>
      <c r="I72" s="1057">
        <f>Recreational!C71</f>
        <v>6.6925867798470557</v>
      </c>
      <c r="J72" s="929">
        <f>Tribal!C71</f>
        <v>7.1808768012513919</v>
      </c>
      <c r="K72" s="28"/>
      <c r="L72" s="1057">
        <f>Rebuilding!B71</f>
        <v>0</v>
      </c>
      <c r="M72" s="929">
        <f>'Stock Status'!C71</f>
        <v>2</v>
      </c>
      <c r="N72" s="1057">
        <f>'Fishing mortality'!C69</f>
        <v>3</v>
      </c>
      <c r="O72" s="929">
        <f>Ecosystem!C70</f>
        <v>2.005827963374843</v>
      </c>
      <c r="P72" s="654"/>
      <c r="Q72" s="1223">
        <f>'Assess Freq'!U71</f>
        <v>0</v>
      </c>
      <c r="R72" s="150"/>
      <c r="S72" s="28">
        <f>H72*H$7</f>
        <v>1.3156544591423573</v>
      </c>
      <c r="T72" s="28">
        <f>I72*I$7</f>
        <v>0.60233281018623497</v>
      </c>
      <c r="U72" s="28">
        <f>J72*J$7</f>
        <v>0.35904384006256962</v>
      </c>
      <c r="V72" s="28">
        <f>K72*K$7</f>
        <v>0</v>
      </c>
      <c r="W72" s="28">
        <f>L72*L$7</f>
        <v>0</v>
      </c>
      <c r="X72" s="28">
        <f>M72*M$7</f>
        <v>0.16</v>
      </c>
      <c r="Y72" s="28">
        <f>N72*N$7</f>
        <v>0.24</v>
      </c>
      <c r="Z72" s="358">
        <f>O72*O$7</f>
        <v>0.10029139816874216</v>
      </c>
      <c r="AA72" s="28">
        <f>P72*P$7</f>
        <v>0</v>
      </c>
      <c r="AB72" s="287">
        <f>Q72*Q$7</f>
        <v>0</v>
      </c>
      <c r="AC72" s="98">
        <f>RANK(AD72,AD$8:AD$72)</f>
        <v>5</v>
      </c>
      <c r="AD72" s="99">
        <f>SUM(S72:AB72)</f>
        <v>2.7773225075599046</v>
      </c>
      <c r="AE72" s="165"/>
      <c r="AF72" s="165"/>
      <c r="AG72" s="165"/>
      <c r="AH72" s="165"/>
    </row>
    <row r="73" spans="1:34" thickBot="1" x14ac:dyDescent="0.3">
      <c r="A73" s="398"/>
      <c r="B73" s="142"/>
      <c r="C73" s="397"/>
      <c r="E73" s="142"/>
      <c r="F73" s="142"/>
      <c r="H73" s="165"/>
      <c r="I73" s="1056"/>
      <c r="J73" s="404"/>
      <c r="K73" s="142"/>
      <c r="L73" s="1056"/>
      <c r="M73" s="1056"/>
      <c r="N73" s="1056"/>
      <c r="O73" s="929">
        <f>Ecosystem!C71</f>
        <v>0</v>
      </c>
      <c r="P73" s="142"/>
      <c r="Q73" s="661" t="s">
        <v>59</v>
      </c>
      <c r="R73" s="662"/>
      <c r="S73" s="662"/>
      <c r="T73" s="662"/>
      <c r="U73" s="165"/>
      <c r="V73" s="165"/>
      <c r="W73" s="165"/>
      <c r="X73" s="165"/>
      <c r="Y73" s="165"/>
      <c r="AA73" s="165"/>
      <c r="AB73" s="165"/>
      <c r="AC73" s="142"/>
      <c r="AD73" s="397"/>
      <c r="AE73" s="165"/>
      <c r="AF73" s="165"/>
      <c r="AG73" s="165"/>
      <c r="AH73" s="165"/>
    </row>
    <row r="74" spans="1:34" x14ac:dyDescent="0.25">
      <c r="A74" s="165"/>
      <c r="B74" s="165"/>
      <c r="C74" s="165"/>
      <c r="D74" s="165"/>
      <c r="E74" s="165"/>
      <c r="F74" s="165"/>
      <c r="G74" s="165"/>
      <c r="H74" s="495"/>
      <c r="I74" s="496"/>
      <c r="J74" s="142"/>
      <c r="K74" s="142"/>
      <c r="L74" s="165"/>
      <c r="M74" s="401"/>
      <c r="N74" s="165"/>
      <c r="O74" s="402"/>
      <c r="P74" s="142"/>
      <c r="Q74" s="142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</row>
    <row r="75" spans="1:34" x14ac:dyDescent="0.25">
      <c r="A75" s="165"/>
      <c r="B75" s="165"/>
      <c r="C75" s="165"/>
      <c r="D75" s="165"/>
      <c r="E75" s="165"/>
      <c r="F75" s="165"/>
      <c r="G75" s="165"/>
      <c r="H75" s="495"/>
      <c r="I75" s="496"/>
      <c r="J75" s="142"/>
      <c r="K75" s="142"/>
      <c r="L75" s="165"/>
      <c r="M75" s="401"/>
      <c r="N75" s="165"/>
      <c r="O75" s="402"/>
      <c r="P75" s="142"/>
      <c r="Q75" s="142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</row>
    <row r="76" spans="1:34" x14ac:dyDescent="0.25">
      <c r="A76" s="165"/>
      <c r="B76" s="165"/>
      <c r="C76" s="165"/>
      <c r="D76" s="165"/>
      <c r="E76" s="165"/>
      <c r="F76" s="165"/>
      <c r="G76" s="165"/>
      <c r="H76" s="495"/>
      <c r="I76" s="496"/>
      <c r="J76" s="142"/>
      <c r="K76" s="142"/>
      <c r="L76" s="165"/>
      <c r="M76" s="401"/>
      <c r="N76" s="165"/>
      <c r="O76" s="402"/>
      <c r="P76" s="142"/>
      <c r="Q76" s="142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</row>
    <row r="77" spans="1:34" x14ac:dyDescent="0.25">
      <c r="A77" s="165"/>
      <c r="B77" s="165"/>
      <c r="C77" s="165"/>
      <c r="D77" s="165"/>
      <c r="E77" s="165"/>
      <c r="F77" s="165"/>
      <c r="G77" s="165"/>
      <c r="H77" s="495"/>
      <c r="I77" s="496"/>
      <c r="J77" s="142"/>
      <c r="K77" s="142"/>
      <c r="L77" s="165"/>
      <c r="M77" s="401"/>
      <c r="N77" s="165"/>
      <c r="O77" s="402"/>
      <c r="P77" s="142"/>
      <c r="Q77" s="142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</row>
    <row r="78" spans="1:34" x14ac:dyDescent="0.25">
      <c r="A78" s="165"/>
      <c r="B78" s="165"/>
      <c r="C78" s="165"/>
      <c r="D78" s="165"/>
      <c r="E78" s="165"/>
      <c r="F78" s="165"/>
      <c r="G78" s="165"/>
      <c r="H78" s="495"/>
      <c r="I78" s="496"/>
      <c r="J78" s="142"/>
      <c r="K78" s="142"/>
      <c r="L78" s="165"/>
      <c r="M78" s="401"/>
      <c r="N78" s="165"/>
      <c r="O78" s="402"/>
      <c r="P78" s="142"/>
      <c r="Q78" s="142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</row>
    <row r="79" spans="1:34" x14ac:dyDescent="0.25">
      <c r="A79" s="398"/>
      <c r="B79" s="142"/>
      <c r="C79" s="397"/>
      <c r="E79" s="142"/>
      <c r="F79" s="142"/>
      <c r="H79" s="165"/>
      <c r="I79" s="400"/>
      <c r="J79" s="142"/>
      <c r="K79" s="142"/>
      <c r="L79" s="165"/>
      <c r="M79" s="401"/>
      <c r="N79" s="165"/>
      <c r="O79" s="402"/>
      <c r="P79" s="142"/>
      <c r="Q79" s="142"/>
      <c r="R79" s="165"/>
      <c r="S79" s="165"/>
      <c r="T79" s="165"/>
      <c r="U79" s="165"/>
      <c r="V79" s="165"/>
      <c r="W79" s="165"/>
      <c r="X79" s="165"/>
      <c r="Y79" s="165"/>
      <c r="AA79" s="165"/>
      <c r="AB79" s="165"/>
      <c r="AC79" s="142"/>
      <c r="AD79" s="397"/>
      <c r="AE79" s="165"/>
      <c r="AF79" s="165"/>
      <c r="AG79" s="165"/>
      <c r="AH79" s="165"/>
    </row>
    <row r="80" spans="1:34" x14ac:dyDescent="0.25">
      <c r="A80" s="398"/>
      <c r="B80" s="142"/>
      <c r="C80" s="397"/>
      <c r="E80" s="142"/>
      <c r="F80" s="142"/>
      <c r="H80" s="165"/>
      <c r="I80" s="400"/>
      <c r="J80" s="142"/>
      <c r="K80" s="142"/>
      <c r="L80" s="165"/>
      <c r="M80" s="401"/>
      <c r="N80" s="165"/>
      <c r="O80" s="402"/>
      <c r="P80" s="142"/>
      <c r="Q80" s="142"/>
      <c r="R80" s="165"/>
      <c r="S80" s="165"/>
      <c r="T80" s="165"/>
      <c r="U80" s="165"/>
      <c r="V80" s="165"/>
      <c r="W80" s="165"/>
      <c r="X80" s="165"/>
      <c r="Y80" s="165"/>
      <c r="AA80" s="165"/>
      <c r="AB80" s="165"/>
      <c r="AC80" s="142"/>
      <c r="AD80" s="397"/>
      <c r="AE80" s="165"/>
      <c r="AF80" s="165"/>
      <c r="AG80" s="165"/>
      <c r="AH80" s="165"/>
    </row>
  </sheetData>
  <autoFilter ref="A7:AH7">
    <sortState ref="A8:AH73">
      <sortCondition ref="A7"/>
    </sortState>
  </autoFilter>
  <sortState ref="A9:AI65">
    <sortCondition ref="B9:B65"/>
  </sortState>
  <conditionalFormatting sqref="AC9:AC72 B9:B72">
    <cfRule type="cellIs" dxfId="25" priority="105" stopIfTrue="1" operator="lessThanOrEqual">
      <formula>19</formula>
    </cfRule>
    <cfRule type="cellIs" dxfId="24" priority="106" stopIfTrue="1" operator="lessThanOrEqual">
      <formula>39</formula>
    </cfRule>
    <cfRule type="cellIs" dxfId="23" priority="107" operator="greaterThan">
      <formula>39</formula>
    </cfRule>
  </conditionalFormatting>
  <conditionalFormatting sqref="G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72">
    <cfRule type="colorScale" priority="15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S9:S72">
    <cfRule type="cellIs" dxfId="22" priority="1843" operator="equal">
      <formula>0</formula>
    </cfRule>
    <cfRule type="colorScale" priority="184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T9:T72">
    <cfRule type="cellIs" dxfId="21" priority="1845" operator="equal">
      <formula>0</formula>
    </cfRule>
    <cfRule type="colorScale" priority="184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U9:U72">
    <cfRule type="cellIs" dxfId="20" priority="1847" operator="equal">
      <formula>0</formula>
    </cfRule>
    <cfRule type="colorScale" priority="184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V9:V72">
    <cfRule type="cellIs" dxfId="19" priority="1849" operator="equal">
      <formula>0</formula>
    </cfRule>
    <cfRule type="colorScale" priority="185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W9:W72">
    <cfRule type="cellIs" dxfId="18" priority="1851" operator="equal">
      <formula>0</formula>
    </cfRule>
    <cfRule type="colorScale" priority="185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X9:X72">
    <cfRule type="cellIs" dxfId="17" priority="1853" operator="equal">
      <formula>0</formula>
    </cfRule>
    <cfRule type="colorScale" priority="1854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Y9:Y72">
    <cfRule type="cellIs" dxfId="16" priority="1855" operator="equal">
      <formula>0</formula>
    </cfRule>
    <cfRule type="colorScale" priority="1856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Z9:Z72">
    <cfRule type="cellIs" dxfId="15" priority="1857" operator="equal">
      <formula>0</formula>
    </cfRule>
    <cfRule type="colorScale" priority="1858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A9:AA72">
    <cfRule type="cellIs" dxfId="14" priority="1859" operator="equal">
      <formula>0</formula>
    </cfRule>
    <cfRule type="colorScale" priority="1860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AB9:AB72">
    <cfRule type="cellIs" dxfId="13" priority="1861" operator="equal">
      <formula>0</formula>
    </cfRule>
    <cfRule type="colorScale" priority="186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E9:E41 E72 E61:E70 E43:E59">
    <cfRule type="colorScale" priority="186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5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P9:P72">
    <cfRule type="colorScale" priority="1872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K9:K72">
    <cfRule type="colorScale" priority="1875">
      <colorScale>
        <cfvo type="min"/>
        <cfvo type="percentile" val="40"/>
        <cfvo type="max"/>
        <color rgb="FFFA9C9E"/>
        <color rgb="FFFFF2B3"/>
        <color rgb="FF9BD5AA"/>
      </colorScale>
    </cfRule>
  </conditionalFormatting>
  <conditionalFormatting sqref="B9:B72">
    <cfRule type="colorScale" priority="1877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AC7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41 E72 E61:E70 E43:E59">
    <cfRule type="colorScale" priority="14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S8:AC72">
    <cfRule type="colorScale" priority="13">
      <colorScale>
        <cfvo type="min"/>
        <cfvo type="percentile" val="50"/>
        <cfvo type="max"/>
        <color rgb="FF62BC2A"/>
        <color rgb="FFFFEB84"/>
        <color rgb="FFE95DAD"/>
      </colorScale>
    </cfRule>
  </conditionalFormatting>
  <conditionalFormatting sqref="E71">
    <cfRule type="colorScale" priority="10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71">
    <cfRule type="colorScale" priority="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60">
    <cfRule type="colorScale" priority="6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60">
    <cfRule type="colorScale" priority="5">
      <colorScale>
        <cfvo type="min"/>
        <cfvo type="percentile" val="50"/>
        <cfvo type="max"/>
        <color rgb="FFE95DAD"/>
        <color rgb="FFFFEB84"/>
        <color rgb="FF62BC2A"/>
      </colorScale>
    </cfRule>
  </conditionalFormatting>
  <conditionalFormatting sqref="E42">
    <cfRule type="colorScale" priority="2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40"/>
        <cfvo type="max"/>
        <color rgb="FFF8696B"/>
        <color rgb="FFFFEB84"/>
        <color rgb="FF63BE7B"/>
      </colorScale>
    </cfRule>
  </conditionalFormatting>
  <conditionalFormatting sqref="E42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A1:H71"/>
  <sheetViews>
    <sheetView zoomScaleNormal="100" workbookViewId="0">
      <pane ySplit="6" topLeftCell="A49" activePane="bottomLeft" state="frozen"/>
      <selection activeCell="A22" sqref="A22"/>
      <selection pane="bottomLeft" activeCell="J7" sqref="J7:J71"/>
    </sheetView>
  </sheetViews>
  <sheetFormatPr defaultColWidth="8.85546875" defaultRowHeight="18.75" x14ac:dyDescent="0.3"/>
  <cols>
    <col min="1" max="1" width="36.7109375" style="31" customWidth="1"/>
    <col min="2" max="3" width="10.28515625" style="4" customWidth="1"/>
    <col min="4" max="4" width="13" style="29" bestFit="1" customWidth="1"/>
    <col min="5" max="5" width="23.5703125" style="1" customWidth="1"/>
    <col min="6" max="8" width="12.28515625" style="1" customWidth="1"/>
    <col min="9" max="16384" width="8.85546875" style="1"/>
  </cols>
  <sheetData>
    <row r="1" spans="1:8" ht="21" x14ac:dyDescent="0.35">
      <c r="A1" s="102" t="s">
        <v>220</v>
      </c>
      <c r="B1" s="34"/>
      <c r="C1" s="34"/>
      <c r="E1" s="31"/>
      <c r="F1" s="31"/>
    </row>
    <row r="2" spans="1:8" ht="21" x14ac:dyDescent="0.35">
      <c r="A2" s="102"/>
      <c r="B2" s="34"/>
      <c r="C2" s="34"/>
      <c r="E2" s="31"/>
      <c r="F2" s="31"/>
    </row>
    <row r="3" spans="1:8" x14ac:dyDescent="0.3">
      <c r="A3" s="66"/>
      <c r="B3" s="885"/>
      <c r="C3" s="185"/>
      <c r="D3" s="270" t="s">
        <v>188</v>
      </c>
      <c r="E3" s="1189" t="s">
        <v>315</v>
      </c>
      <c r="F3" s="1188" t="s">
        <v>61</v>
      </c>
      <c r="G3" s="1186"/>
      <c r="H3" s="1186"/>
    </row>
    <row r="4" spans="1:8" x14ac:dyDescent="0.3">
      <c r="A4" s="69"/>
      <c r="B4" s="885"/>
      <c r="C4" s="186"/>
      <c r="D4" s="267">
        <v>0.18</v>
      </c>
      <c r="E4" s="1189" t="s">
        <v>270</v>
      </c>
      <c r="F4" s="105"/>
      <c r="G4" s="1187"/>
      <c r="H4" s="1187"/>
    </row>
    <row r="5" spans="1:8" ht="19.5" thickBot="1" x14ac:dyDescent="0.35">
      <c r="A5" s="89"/>
      <c r="B5" s="885"/>
      <c r="C5" s="186" t="s">
        <v>1</v>
      </c>
      <c r="D5" s="268" t="s">
        <v>60</v>
      </c>
      <c r="E5" s="1190" t="s">
        <v>269</v>
      </c>
      <c r="F5" s="105"/>
      <c r="G5" s="1187"/>
      <c r="H5" s="1187"/>
    </row>
    <row r="6" spans="1:8" ht="19.5" thickBot="1" x14ac:dyDescent="0.35">
      <c r="A6" s="89" t="s">
        <v>4</v>
      </c>
      <c r="B6" s="886" t="s">
        <v>3</v>
      </c>
      <c r="C6" s="187" t="s">
        <v>2</v>
      </c>
      <c r="D6" s="269">
        <f>MAX(D7:D71)</f>
        <v>8.1617920555432377</v>
      </c>
      <c r="E6" s="1191" t="s">
        <v>268</v>
      </c>
      <c r="F6" s="1192" t="s">
        <v>25</v>
      </c>
      <c r="G6" s="1193" t="s">
        <v>26</v>
      </c>
      <c r="H6" s="1193" t="s">
        <v>27</v>
      </c>
    </row>
    <row r="7" spans="1:8" ht="19.5" thickBot="1" x14ac:dyDescent="0.35">
      <c r="A7" s="151" t="s">
        <v>10</v>
      </c>
      <c r="B7" s="40">
        <f>RANK(E7,E$7:E$71,0)</f>
        <v>25</v>
      </c>
      <c r="C7" s="188">
        <f>D7*10/D$6</f>
        <v>4.0212272981087569</v>
      </c>
      <c r="D7" s="39">
        <f>E7^D$4</f>
        <v>3.2820421015237646</v>
      </c>
      <c r="E7" s="882">
        <v>737</v>
      </c>
      <c r="F7" s="1194">
        <v>33.949760699999999</v>
      </c>
      <c r="G7" s="1194">
        <v>680.22634760000005</v>
      </c>
      <c r="H7" s="1194">
        <v>23.171723400000001</v>
      </c>
    </row>
    <row r="8" spans="1:8" ht="19.5" thickBot="1" x14ac:dyDescent="0.35">
      <c r="A8" s="184" t="s">
        <v>156</v>
      </c>
      <c r="B8" s="40">
        <f>RANK(E8,E$7:E$71,0)</f>
        <v>41</v>
      </c>
      <c r="C8" s="188">
        <f>D8*10/D$6</f>
        <v>2.8315781219829477</v>
      </c>
      <c r="D8" s="39">
        <f>E8^D$4</f>
        <v>2.3110751820650464</v>
      </c>
      <c r="E8" s="883">
        <v>105</v>
      </c>
      <c r="F8" s="1195">
        <v>55.684246199999997</v>
      </c>
      <c r="G8" s="1195">
        <v>45.879823399999999</v>
      </c>
      <c r="H8" s="1195">
        <v>3.3158235</v>
      </c>
    </row>
    <row r="9" spans="1:8" ht="19.5" thickBot="1" x14ac:dyDescent="0.35">
      <c r="A9" s="184" t="s">
        <v>102</v>
      </c>
      <c r="B9" s="40">
        <f>RANK(E9,E$7:E$71,0)</f>
        <v>33</v>
      </c>
      <c r="C9" s="188">
        <f>D9*10/D$6</f>
        <v>3.3450200987511782</v>
      </c>
      <c r="D9" s="39">
        <f>E9^D$4</f>
        <v>2.7301358467619825</v>
      </c>
      <c r="E9" s="883">
        <v>265</v>
      </c>
      <c r="F9" s="1195">
        <v>260.3072545</v>
      </c>
      <c r="G9" s="1195">
        <v>4.5857637999999996</v>
      </c>
      <c r="H9" s="1195">
        <v>0.18199689999999999</v>
      </c>
    </row>
    <row r="10" spans="1:8" ht="19.5" thickBot="1" x14ac:dyDescent="0.35">
      <c r="A10" s="184" t="s">
        <v>103</v>
      </c>
      <c r="B10" s="40">
        <f>RANK(E10,E$7:E$71,0)</f>
        <v>23</v>
      </c>
      <c r="C10" s="188">
        <f>D10*10/D$6</f>
        <v>4.1117278675998499</v>
      </c>
      <c r="D10" s="39">
        <f>E10^D$4</f>
        <v>3.3559067844332189</v>
      </c>
      <c r="E10" s="883">
        <v>834</v>
      </c>
      <c r="F10" s="1195">
        <v>81.049069500000002</v>
      </c>
      <c r="G10" s="1195">
        <v>749.8357724</v>
      </c>
      <c r="H10" s="1195">
        <v>3.4280653000000001</v>
      </c>
    </row>
    <row r="11" spans="1:8" ht="19.5" thickBot="1" x14ac:dyDescent="0.35">
      <c r="A11" s="87" t="s">
        <v>5</v>
      </c>
      <c r="B11" s="40">
        <f>RANK(E11,E$7:E$71,0)</f>
        <v>8</v>
      </c>
      <c r="C11" s="188">
        <f>D11*10/D$6</f>
        <v>5.4587317502185577</v>
      </c>
      <c r="D11" s="39">
        <f>E11^D$4</f>
        <v>4.4553033432275457</v>
      </c>
      <c r="E11" s="883">
        <v>4026</v>
      </c>
      <c r="F11" s="1195">
        <v>1216.567634</v>
      </c>
      <c r="G11" s="1195">
        <v>2809.5958243</v>
      </c>
      <c r="H11" s="1195">
        <v>9.1505000000000006E-3</v>
      </c>
    </row>
    <row r="12" spans="1:8" ht="19.5" thickBot="1" x14ac:dyDescent="0.35">
      <c r="A12" s="184" t="s">
        <v>157</v>
      </c>
      <c r="B12" s="40">
        <f>RANK(E12,E$7:E$71,0)</f>
        <v>26</v>
      </c>
      <c r="C12" s="188">
        <f>D12*10/D$6</f>
        <v>3.946432950400161</v>
      </c>
      <c r="D12" s="39">
        <f>E12^D$4</f>
        <v>3.220996510231009</v>
      </c>
      <c r="E12" s="883">
        <v>664</v>
      </c>
      <c r="F12" s="1195">
        <v>645.56495099999995</v>
      </c>
      <c r="G12" s="1195">
        <v>18.3907031</v>
      </c>
      <c r="H12" s="1195">
        <v>0.35179709999999997</v>
      </c>
    </row>
    <row r="13" spans="1:8" ht="19.5" thickBot="1" x14ac:dyDescent="0.35">
      <c r="A13" s="184" t="s">
        <v>247</v>
      </c>
      <c r="B13" s="40">
        <f>RANK(E13,E$7:E$71,0)</f>
        <v>30</v>
      </c>
      <c r="C13" s="188">
        <f>D13*10/D$6</f>
        <v>3.751329954629671</v>
      </c>
      <c r="D13" s="39">
        <f>E13^D$4</f>
        <v>3.0617575021417824</v>
      </c>
      <c r="E13" s="883">
        <v>501</v>
      </c>
      <c r="F13" s="1195">
        <v>412.64130110000002</v>
      </c>
      <c r="G13" s="1195">
        <v>88.856213199999999</v>
      </c>
      <c r="H13" s="1195">
        <v>0</v>
      </c>
    </row>
    <row r="14" spans="1:8" ht="19.5" thickBot="1" x14ac:dyDescent="0.35">
      <c r="A14" s="87" t="s">
        <v>94</v>
      </c>
      <c r="B14" s="40">
        <f>RANK(E14,E$7:E$71,0)</f>
        <v>16</v>
      </c>
      <c r="C14" s="188">
        <f>D14*10/D$6</f>
        <v>4.5868021627512965</v>
      </c>
      <c r="D14" s="39">
        <f>E14^D$4</f>
        <v>3.7436525452292075</v>
      </c>
      <c r="E14" s="883">
        <v>1531</v>
      </c>
      <c r="F14" s="1195">
        <v>1488.599532</v>
      </c>
      <c r="G14" s="1195">
        <v>30.918385000000001</v>
      </c>
      <c r="H14" s="1195">
        <v>11.4949694</v>
      </c>
    </row>
    <row r="15" spans="1:8" ht="19.5" thickBot="1" x14ac:dyDescent="0.35">
      <c r="A15" s="184" t="s">
        <v>104</v>
      </c>
      <c r="B15" s="40">
        <f>RANK(E15,E$7:E$71,0)</f>
        <v>18</v>
      </c>
      <c r="C15" s="188">
        <f>D15*10/D$6</f>
        <v>4.4870772599962532</v>
      </c>
      <c r="D15" s="39">
        <f>E15^D$4</f>
        <v>3.662259153324614</v>
      </c>
      <c r="E15" s="883">
        <v>1355</v>
      </c>
      <c r="F15" s="1195">
        <v>1353.9019263</v>
      </c>
      <c r="G15" s="1195">
        <v>0.89762260000000005</v>
      </c>
      <c r="H15" s="1195">
        <v>0</v>
      </c>
    </row>
    <row r="16" spans="1:8" ht="19.5" thickBot="1" x14ac:dyDescent="0.35">
      <c r="A16" s="184" t="s">
        <v>9</v>
      </c>
      <c r="B16" s="40">
        <f>RANK(E16,E$7:E$71,0)</f>
        <v>11</v>
      </c>
      <c r="C16" s="188">
        <f>D16*10/D$6</f>
        <v>5.0860353657661559</v>
      </c>
      <c r="D16" s="39">
        <f>E16^D$4</f>
        <v>4.1511163042522154</v>
      </c>
      <c r="E16" s="883">
        <v>2718</v>
      </c>
      <c r="F16" s="1195">
        <v>1679.1244558000001</v>
      </c>
      <c r="G16" s="1195">
        <v>1038.8069840000001</v>
      </c>
      <c r="H16" s="1195">
        <v>0</v>
      </c>
    </row>
    <row r="17" spans="1:8" ht="19.5" thickBot="1" x14ac:dyDescent="0.35">
      <c r="A17" s="87" t="s">
        <v>90</v>
      </c>
      <c r="B17" s="40">
        <f>RANK(E17,E$7:E$71,0)</f>
        <v>40</v>
      </c>
      <c r="C17" s="188">
        <f>D17*10/D$6</f>
        <v>2.8553881813797837</v>
      </c>
      <c r="D17" s="39">
        <f>E17^D$4</f>
        <v>2.330508457427757</v>
      </c>
      <c r="E17" s="883">
        <v>110</v>
      </c>
      <c r="F17" s="1195">
        <v>110.0233365</v>
      </c>
      <c r="G17" s="1195">
        <v>0</v>
      </c>
      <c r="H17" s="1195">
        <v>0</v>
      </c>
    </row>
    <row r="18" spans="1:8" ht="19.5" thickBot="1" x14ac:dyDescent="0.35">
      <c r="A18" s="87" t="s">
        <v>14</v>
      </c>
      <c r="B18" s="40">
        <f>RANK(E18,E$7:E$71,0)</f>
        <v>17</v>
      </c>
      <c r="C18" s="188">
        <f>D18*10/D$6</f>
        <v>4.5835613234585573</v>
      </c>
      <c r="D18" s="39">
        <f>E18^D$4</f>
        <v>3.7410074395899304</v>
      </c>
      <c r="E18" s="883">
        <v>1525</v>
      </c>
      <c r="F18" s="1195">
        <v>704.26600719999999</v>
      </c>
      <c r="G18" s="1195">
        <v>733.22780950000003</v>
      </c>
      <c r="H18" s="1195">
        <v>87.522883300000004</v>
      </c>
    </row>
    <row r="19" spans="1:8" ht="19.5" thickBot="1" x14ac:dyDescent="0.35">
      <c r="A19" s="87" t="s">
        <v>96</v>
      </c>
      <c r="B19" s="40">
        <f>RANK(E19,E$7:E$71,0)</f>
        <v>13</v>
      </c>
      <c r="C19" s="188">
        <f>D19*10/D$6</f>
        <v>4.7807186184641459</v>
      </c>
      <c r="D19" s="39">
        <f>E19^D$4</f>
        <v>3.9019231239968306</v>
      </c>
      <c r="E19" s="883">
        <v>1927</v>
      </c>
      <c r="F19" s="1195">
        <v>1848.8629145</v>
      </c>
      <c r="G19" s="1195">
        <v>77.719089699999998</v>
      </c>
      <c r="H19" s="1195">
        <v>5.5315999999999997E-2</v>
      </c>
    </row>
    <row r="20" spans="1:8" ht="19.5" thickBot="1" x14ac:dyDescent="0.35">
      <c r="A20" s="184" t="s">
        <v>99</v>
      </c>
      <c r="B20" s="40">
        <f>RANK(E20,E$7:E$71,0)</f>
        <v>31</v>
      </c>
      <c r="C20" s="188">
        <f>D20*10/D$6</f>
        <v>3.702746152095171</v>
      </c>
      <c r="D20" s="39">
        <f>E20^D$4</f>
        <v>3.0221044127863661</v>
      </c>
      <c r="E20" s="883">
        <v>466</v>
      </c>
      <c r="F20" s="1195">
        <v>110.5172924</v>
      </c>
      <c r="G20" s="1195">
        <v>355.68209359999997</v>
      </c>
      <c r="H20" s="1195">
        <v>0</v>
      </c>
    </row>
    <row r="21" spans="1:8" ht="19.5" thickBot="1" x14ac:dyDescent="0.35">
      <c r="A21" s="184" t="s">
        <v>105</v>
      </c>
      <c r="B21" s="40">
        <f>RANK(E21,E$7:E$71,0)</f>
        <v>24</v>
      </c>
      <c r="C21" s="188">
        <f>D21*10/D$6</f>
        <v>4.0910824110525459</v>
      </c>
      <c r="D21" s="39">
        <f>E21^D$4</f>
        <v>3.3390563921101344</v>
      </c>
      <c r="E21" s="883">
        <v>811</v>
      </c>
      <c r="F21" s="1195">
        <v>741.18059579999999</v>
      </c>
      <c r="G21" s="1195">
        <v>69.608777700000005</v>
      </c>
      <c r="H21" s="1195">
        <v>0</v>
      </c>
    </row>
    <row r="22" spans="1:8" ht="19.5" thickBot="1" x14ac:dyDescent="0.35">
      <c r="A22" s="87" t="s">
        <v>92</v>
      </c>
      <c r="B22" s="40">
        <f>RANK(E22,E$7:E$71,0)</f>
        <v>62</v>
      </c>
      <c r="C22" s="188">
        <f>D22*10/D$6</f>
        <v>1.4931254574072874</v>
      </c>
      <c r="D22" s="39">
        <f>E22^D$4</f>
        <v>1.2186579496196162</v>
      </c>
      <c r="E22" s="883">
        <v>3</v>
      </c>
      <c r="F22" s="1195">
        <v>2.6124486999999998</v>
      </c>
      <c r="G22" s="1195">
        <v>2.4581800000000001E-2</v>
      </c>
      <c r="H22" s="1195">
        <v>0</v>
      </c>
    </row>
    <row r="23" spans="1:8" ht="19.5" thickBot="1" x14ac:dyDescent="0.35">
      <c r="A23" s="87" t="s">
        <v>22</v>
      </c>
      <c r="B23" s="40">
        <f>RANK(E23,E$7:E$71,0)</f>
        <v>59</v>
      </c>
      <c r="C23" s="188">
        <f>D23*10/D$6</f>
        <v>1.8196092084488162</v>
      </c>
      <c r="D23" s="39">
        <f>E23^D$4</f>
        <v>1.4851271981710867</v>
      </c>
      <c r="E23" s="883">
        <v>9</v>
      </c>
      <c r="F23" s="1195">
        <v>9.1402642000000007</v>
      </c>
      <c r="G23" s="1195">
        <v>0.30427749999999998</v>
      </c>
      <c r="H23" s="1195">
        <v>0</v>
      </c>
    </row>
    <row r="24" spans="1:8" ht="19.5" thickBot="1" x14ac:dyDescent="0.35">
      <c r="A24" s="87" t="s">
        <v>13</v>
      </c>
      <c r="B24" s="40">
        <f>RANK(E24,E$7:E$71,0)</f>
        <v>20</v>
      </c>
      <c r="C24" s="188">
        <f>D24*10/D$6</f>
        <v>4.1923477804301443</v>
      </c>
      <c r="D24" s="39">
        <f>E24^D$4</f>
        <v>3.4217070808389081</v>
      </c>
      <c r="E24" s="883">
        <v>929</v>
      </c>
      <c r="F24" s="1195">
        <v>101.96832759999999</v>
      </c>
      <c r="G24" s="1195">
        <v>775.68790060000003</v>
      </c>
      <c r="H24" s="1195">
        <v>51.6052477</v>
      </c>
    </row>
    <row r="25" spans="1:8" ht="19.5" thickBot="1" x14ac:dyDescent="0.35">
      <c r="A25" s="87" t="s">
        <v>6</v>
      </c>
      <c r="B25" s="40">
        <f>RANK(E25,E$7:E$71,0)</f>
        <v>3</v>
      </c>
      <c r="C25" s="188">
        <f>D25*10/D$6</f>
        <v>7.8708016664396272</v>
      </c>
      <c r="D25" s="39">
        <f>E25^D$4</f>
        <v>6.4239846511903425</v>
      </c>
      <c r="E25" s="883">
        <v>30747</v>
      </c>
      <c r="F25" s="1195">
        <v>8730.4249600999992</v>
      </c>
      <c r="G25" s="1195">
        <v>20722.6392605</v>
      </c>
      <c r="H25" s="1195">
        <v>1294.3690568</v>
      </c>
    </row>
    <row r="26" spans="1:8" ht="19.5" thickBot="1" x14ac:dyDescent="0.35">
      <c r="A26" s="87" t="s">
        <v>16</v>
      </c>
      <c r="B26" s="40">
        <f>RANK(E26,E$7:E$71,0)</f>
        <v>27</v>
      </c>
      <c r="C26" s="188">
        <f>D26*10/D$6</f>
        <v>3.9367506537991726</v>
      </c>
      <c r="D26" s="39">
        <f>E26^D$4</f>
        <v>3.2130940210832732</v>
      </c>
      <c r="E26" s="883">
        <v>655</v>
      </c>
      <c r="F26" s="1195">
        <v>290.89079880000003</v>
      </c>
      <c r="G26" s="1195">
        <v>359.85265550000003</v>
      </c>
      <c r="H26" s="1195">
        <v>4.3059837999999999</v>
      </c>
    </row>
    <row r="27" spans="1:8" ht="19.5" thickBot="1" x14ac:dyDescent="0.35">
      <c r="A27" s="184" t="s">
        <v>106</v>
      </c>
      <c r="B27" s="40">
        <f>RANK(E27,E$7:E$71,0)</f>
        <v>61</v>
      </c>
      <c r="C27" s="188">
        <f>D27*10/D$6</f>
        <v>1.691537769421634</v>
      </c>
      <c r="D27" s="39">
        <f>E27^D$4</f>
        <v>1.3805979528116823</v>
      </c>
      <c r="E27" s="883">
        <v>6</v>
      </c>
      <c r="F27" s="1195">
        <v>6.2818626000000002</v>
      </c>
      <c r="G27" s="1195">
        <v>0</v>
      </c>
      <c r="H27" s="1195">
        <v>0</v>
      </c>
    </row>
    <row r="28" spans="1:8" ht="19.5" thickBot="1" x14ac:dyDescent="0.35">
      <c r="A28" s="184" t="s">
        <v>23</v>
      </c>
      <c r="B28" s="40">
        <f>RANK(E28,E$7:E$71,0)</f>
        <v>54</v>
      </c>
      <c r="C28" s="188">
        <f>D28*10/D$6</f>
        <v>2.3692238919922302</v>
      </c>
      <c r="D28" s="39">
        <f>E28^D$4</f>
        <v>1.9337112739465414</v>
      </c>
      <c r="E28" s="883">
        <v>39</v>
      </c>
      <c r="F28" s="1195">
        <v>1.18096E-2</v>
      </c>
      <c r="G28" s="1195">
        <v>39.198984000000003</v>
      </c>
      <c r="H28" s="1195">
        <v>0</v>
      </c>
    </row>
    <row r="29" spans="1:8" ht="19.5" thickBot="1" x14ac:dyDescent="0.35">
      <c r="A29" s="184" t="s">
        <v>330</v>
      </c>
      <c r="B29" s="40">
        <f>RANK(E29,E$7:E$71,0)</f>
        <v>9</v>
      </c>
      <c r="C29" s="188">
        <f>D29*10/D$6</f>
        <v>5.2090722667887102</v>
      </c>
      <c r="D29" s="39">
        <f>E29^D$4</f>
        <v>4.2515364643826699</v>
      </c>
      <c r="E29" s="883">
        <v>3104</v>
      </c>
      <c r="F29" s="1195">
        <v>3101.4049466000001</v>
      </c>
      <c r="G29" s="1195">
        <v>2.5774938000000001</v>
      </c>
      <c r="H29" s="1195">
        <v>0</v>
      </c>
    </row>
    <row r="30" spans="1:8" ht="19.5" thickBot="1" x14ac:dyDescent="0.35">
      <c r="A30" s="184" t="s">
        <v>107</v>
      </c>
      <c r="B30" s="40">
        <f>RANK(E30,E$7:E$71,0)</f>
        <v>19</v>
      </c>
      <c r="C30" s="188">
        <f>D30*10/D$6</f>
        <v>4.3309543275807032</v>
      </c>
      <c r="D30" s="39">
        <f>E30^D$4</f>
        <v>3.5348348623768784</v>
      </c>
      <c r="E30" s="883">
        <v>1113</v>
      </c>
      <c r="F30" s="1195">
        <v>1109.1373028</v>
      </c>
      <c r="G30" s="1195">
        <v>3.9975299</v>
      </c>
      <c r="H30" s="1195">
        <v>0</v>
      </c>
    </row>
    <row r="31" spans="1:8" ht="19.5" thickBot="1" x14ac:dyDescent="0.35">
      <c r="A31" s="184" t="s">
        <v>100</v>
      </c>
      <c r="B31" s="40">
        <f>RANK(E31,E$7:E$71,0)</f>
        <v>44</v>
      </c>
      <c r="C31" s="188">
        <f>D31*10/D$6</f>
        <v>2.6390096424648002</v>
      </c>
      <c r="D31" s="39">
        <f>E31^D$4</f>
        <v>2.1539047934371207</v>
      </c>
      <c r="E31" s="883">
        <v>71</v>
      </c>
      <c r="F31" s="1195">
        <v>69.609410400000002</v>
      </c>
      <c r="G31" s="1195">
        <v>1.1002158</v>
      </c>
      <c r="H31" s="1195">
        <v>3.5972000000000001E-3</v>
      </c>
    </row>
    <row r="32" spans="1:8" ht="19.5" thickBot="1" x14ac:dyDescent="0.35">
      <c r="A32" s="184" t="s">
        <v>101</v>
      </c>
      <c r="B32" s="40">
        <f>RANK(E32,E$7:E$71,0)</f>
        <v>52</v>
      </c>
      <c r="C32" s="188">
        <f>D32*10/D$6</f>
        <v>2.3906476332391247</v>
      </c>
      <c r="D32" s="39">
        <f>E32^D$4</f>
        <v>1.9511968860574331</v>
      </c>
      <c r="E32" s="883">
        <v>41</v>
      </c>
      <c r="F32" s="1195">
        <v>21.545334100000002</v>
      </c>
      <c r="G32" s="1195">
        <v>18.924258699999999</v>
      </c>
      <c r="H32" s="1195">
        <v>0.97968900000000003</v>
      </c>
    </row>
    <row r="33" spans="1:8" ht="19.5" thickBot="1" x14ac:dyDescent="0.35">
      <c r="A33" s="184" t="s">
        <v>108</v>
      </c>
      <c r="B33" s="40">
        <f>RANK(E33,E$7:E$71,0)</f>
        <v>64</v>
      </c>
      <c r="C33" s="188">
        <f>D33*10/D$6</f>
        <v>1.2252211195711986</v>
      </c>
      <c r="D33" s="39">
        <f>E33^D$4</f>
        <v>1</v>
      </c>
      <c r="E33" s="883">
        <v>1</v>
      </c>
      <c r="F33" s="1195">
        <v>1.1572172999999999</v>
      </c>
      <c r="G33" s="1195">
        <v>0</v>
      </c>
      <c r="H33" s="1195">
        <v>0</v>
      </c>
    </row>
    <row r="34" spans="1:8" ht="19.5" thickBot="1" x14ac:dyDescent="0.35">
      <c r="A34" s="184" t="s">
        <v>258</v>
      </c>
      <c r="B34" s="40">
        <f>RANK(E34,E$7:E$71,0)</f>
        <v>21</v>
      </c>
      <c r="C34" s="188">
        <f>D34*10/D$6</f>
        <v>4.1465464252566093</v>
      </c>
      <c r="D34" s="39">
        <f>E34^D$4</f>
        <v>3.3843249671600604</v>
      </c>
      <c r="E34" s="883">
        <v>874</v>
      </c>
      <c r="F34" s="1195">
        <v>244.65323430000001</v>
      </c>
      <c r="G34" s="1195">
        <v>628.88355530000001</v>
      </c>
      <c r="H34" s="1195">
        <v>0</v>
      </c>
    </row>
    <row r="35" spans="1:8" ht="19.5" thickBot="1" x14ac:dyDescent="0.35">
      <c r="A35" s="184" t="s">
        <v>245</v>
      </c>
      <c r="B35" s="40">
        <f>RANK(E35,E$7:E$71,0)</f>
        <v>47</v>
      </c>
      <c r="C35" s="188">
        <f>D35*10/D$6</f>
        <v>2.4864349743936369</v>
      </c>
      <c r="D35" s="39">
        <f>E35^D$4</f>
        <v>2.0293765220630839</v>
      </c>
      <c r="E35" s="883">
        <v>51</v>
      </c>
      <c r="F35" s="1195">
        <v>51.372356099999998</v>
      </c>
      <c r="G35" s="1195">
        <v>0</v>
      </c>
      <c r="H35" s="1195">
        <v>0</v>
      </c>
    </row>
    <row r="36" spans="1:8" ht="19.5" thickBot="1" x14ac:dyDescent="0.35">
      <c r="A36" s="184" t="s">
        <v>347</v>
      </c>
      <c r="B36" s="40">
        <f>RANK(E36,E$7:E$71,0)</f>
        <v>50</v>
      </c>
      <c r="C36" s="188">
        <f>D36*10/D$6</f>
        <v>2.4406802339261571</v>
      </c>
      <c r="D36" s="39">
        <f>E36^D$4</f>
        <v>1.9920324543379919</v>
      </c>
      <c r="E36" s="883">
        <v>46</v>
      </c>
      <c r="F36" s="1195">
        <v>45.647288199999998</v>
      </c>
      <c r="G36" s="1195">
        <v>0</v>
      </c>
      <c r="H36" s="1195">
        <v>0</v>
      </c>
    </row>
    <row r="37" spans="1:8" ht="19.5" thickBot="1" x14ac:dyDescent="0.35">
      <c r="A37" s="87" t="s">
        <v>89</v>
      </c>
      <c r="B37" s="40">
        <f>RANK(E37,E$7:E$71,0)</f>
        <v>6</v>
      </c>
      <c r="C37" s="188">
        <f>D37*10/D$6</f>
        <v>6.4486785436726324</v>
      </c>
      <c r="D37" s="39">
        <f>E37^D$4</f>
        <v>5.2632773306499425</v>
      </c>
      <c r="E37" s="883">
        <v>10162</v>
      </c>
      <c r="F37" s="1195">
        <v>3844.1629862</v>
      </c>
      <c r="G37" s="1195">
        <v>5464.2139291000003</v>
      </c>
      <c r="H37" s="1195">
        <v>853.84922710000001</v>
      </c>
    </row>
    <row r="38" spans="1:8" ht="19.5" thickBot="1" x14ac:dyDescent="0.35">
      <c r="A38" s="88" t="s">
        <v>97</v>
      </c>
      <c r="B38" s="40">
        <f>RANK(E38,E$7:E$71,0)</f>
        <v>12</v>
      </c>
      <c r="C38" s="188">
        <f>D38*10/D$6</f>
        <v>5.0385552059698941</v>
      </c>
      <c r="D38" s="39">
        <f>E38^D$4</f>
        <v>4.1123639851501101</v>
      </c>
      <c r="E38" s="883">
        <v>2580</v>
      </c>
      <c r="F38" s="1195">
        <v>448.55504459999997</v>
      </c>
      <c r="G38" s="1195">
        <v>1906.7854187</v>
      </c>
      <c r="H38" s="1195">
        <v>224.73481889999999</v>
      </c>
    </row>
    <row r="39" spans="1:8" ht="19.5" thickBot="1" x14ac:dyDescent="0.35">
      <c r="A39" s="87" t="s">
        <v>86</v>
      </c>
      <c r="B39" s="40">
        <f>RANK(E39,E$7:E$71,0)</f>
        <v>10</v>
      </c>
      <c r="C39" s="188">
        <f>D39*10/D$6</f>
        <v>5.1898813583921326</v>
      </c>
      <c r="D39" s="39">
        <f>E39^D$4</f>
        <v>4.2358732440136855</v>
      </c>
      <c r="E39" s="883">
        <v>3041</v>
      </c>
      <c r="F39" s="1195">
        <v>2254.5423257000002</v>
      </c>
      <c r="G39" s="1195">
        <v>778.20718150000005</v>
      </c>
      <c r="H39" s="1195">
        <v>8.5015929000000003</v>
      </c>
    </row>
    <row r="40" spans="1:8" ht="19.5" thickBot="1" x14ac:dyDescent="0.35">
      <c r="A40" s="184" t="s">
        <v>109</v>
      </c>
      <c r="B40" s="40">
        <f>RANK(E40,E$7:E$71,0)</f>
        <v>49</v>
      </c>
      <c r="C40" s="188">
        <f>D40*10/D$6</f>
        <v>2.4501467036081692</v>
      </c>
      <c r="D40" s="39">
        <f>E40^D$4</f>
        <v>1.9997587900424609</v>
      </c>
      <c r="E40" s="883">
        <v>47</v>
      </c>
      <c r="F40" s="1195">
        <v>46.666991199999998</v>
      </c>
      <c r="G40" s="1195">
        <v>0.34894950000000002</v>
      </c>
      <c r="H40" s="1195">
        <v>0</v>
      </c>
    </row>
    <row r="41" spans="1:8" ht="19.5" thickBot="1" x14ac:dyDescent="0.35">
      <c r="A41" s="87" t="s">
        <v>93</v>
      </c>
      <c r="B41" s="40">
        <f>RANK(E41,E$7:E$71,0)</f>
        <v>29</v>
      </c>
      <c r="C41" s="188">
        <f>D41*10/D$6</f>
        <v>3.8980282155473431</v>
      </c>
      <c r="D41" s="39">
        <f>E41^D$4</f>
        <v>3.1814895721937688</v>
      </c>
      <c r="E41" s="883">
        <v>620</v>
      </c>
      <c r="F41" s="1195">
        <v>0.10233150000000001</v>
      </c>
      <c r="G41" s="1195">
        <v>605.51776310000002</v>
      </c>
      <c r="H41" s="1195">
        <v>14.3781216</v>
      </c>
    </row>
    <row r="42" spans="1:8" ht="19.5" thickBot="1" x14ac:dyDescent="0.35">
      <c r="A42" s="87" t="s">
        <v>259</v>
      </c>
      <c r="B42" s="40">
        <f>RANK(E42,E$7:E$71,0)</f>
        <v>22</v>
      </c>
      <c r="C42" s="188">
        <f>D42*10/D$6</f>
        <v>4.1179185618759622</v>
      </c>
      <c r="D42" s="39">
        <f>E42^D$4</f>
        <v>3.3609595003693262</v>
      </c>
      <c r="E42" s="883">
        <v>841</v>
      </c>
      <c r="F42" s="1195">
        <v>1.3779908000000001</v>
      </c>
      <c r="G42" s="1195">
        <v>654.25337720000005</v>
      </c>
      <c r="H42" s="1195">
        <v>185.8580432</v>
      </c>
    </row>
    <row r="43" spans="1:8" ht="19.5" thickBot="1" x14ac:dyDescent="0.35">
      <c r="A43" s="184" t="s">
        <v>110</v>
      </c>
      <c r="B43" s="40">
        <f>RANK(E43,E$7:E$71,0)</f>
        <v>28</v>
      </c>
      <c r="C43" s="188">
        <f>D43*10/D$6</f>
        <v>3.9192649962602299</v>
      </c>
      <c r="D43" s="39">
        <f>E43^D$4</f>
        <v>3.1988225910045442</v>
      </c>
      <c r="E43" s="883">
        <v>639</v>
      </c>
      <c r="F43" s="1195">
        <v>469.24487169999998</v>
      </c>
      <c r="G43" s="1195">
        <v>169.95239620000001</v>
      </c>
      <c r="H43" s="1195">
        <v>0</v>
      </c>
    </row>
    <row r="44" spans="1:8" ht="19.5" thickBot="1" x14ac:dyDescent="0.35">
      <c r="A44" s="184" t="s">
        <v>249</v>
      </c>
      <c r="B44" s="40">
        <f>RANK(E44,E$7:E$71,0)</f>
        <v>43</v>
      </c>
      <c r="C44" s="188">
        <f>D44*10/D$6</f>
        <v>2.6963152743062522</v>
      </c>
      <c r="D44" s="39">
        <f>E44^D$4</f>
        <v>2.2006764585072656</v>
      </c>
      <c r="E44" s="883">
        <v>80</v>
      </c>
      <c r="F44" s="1195">
        <v>12.6051149</v>
      </c>
      <c r="G44" s="1195">
        <v>2.5263355999999999</v>
      </c>
      <c r="H44" s="1195">
        <v>65.358930900000004</v>
      </c>
    </row>
    <row r="45" spans="1:8" ht="19.5" thickBot="1" x14ac:dyDescent="0.35">
      <c r="A45" s="87" t="s">
        <v>7</v>
      </c>
      <c r="B45" s="40">
        <f>RANK(E45,E$7:E$71,0)</f>
        <v>2</v>
      </c>
      <c r="C45" s="188">
        <f>D45*10/D$6</f>
        <v>7.9799126043586641</v>
      </c>
      <c r="D45" s="39">
        <f>E45^D$4</f>
        <v>6.5130387298183896</v>
      </c>
      <c r="E45" s="883">
        <v>33191</v>
      </c>
      <c r="F45" s="1195">
        <v>7735.3108008999998</v>
      </c>
      <c r="G45" s="1195">
        <v>23840.3837714</v>
      </c>
      <c r="H45" s="1195">
        <v>1614.8419696000001</v>
      </c>
    </row>
    <row r="46" spans="1:8" ht="19.5" thickBot="1" x14ac:dyDescent="0.35">
      <c r="A46" s="184" t="s">
        <v>111</v>
      </c>
      <c r="B46" s="40">
        <f>RANK(E46,E$7:E$71,0)</f>
        <v>35</v>
      </c>
      <c r="C46" s="188">
        <f>D46*10/D$6</f>
        <v>3.2932416817661561</v>
      </c>
      <c r="D46" s="39">
        <f>E46^D$4</f>
        <v>2.6878753795222865</v>
      </c>
      <c r="E46" s="883">
        <v>243</v>
      </c>
      <c r="F46" s="1195">
        <v>149.9265388</v>
      </c>
      <c r="G46" s="1195">
        <v>92.777351300000007</v>
      </c>
      <c r="H46" s="1195">
        <v>3.1075999999999999E-3</v>
      </c>
    </row>
    <row r="47" spans="1:8" ht="19.5" thickBot="1" x14ac:dyDescent="0.35">
      <c r="A47" s="184" t="s">
        <v>112</v>
      </c>
      <c r="B47" s="40">
        <f>RANK(E47,E$7:E$71,0)</f>
        <v>34</v>
      </c>
      <c r="C47" s="188">
        <f>D47*10/D$6</f>
        <v>3.314870537172574</v>
      </c>
      <c r="D47" s="39">
        <f>E47^D$4</f>
        <v>2.7055284015449459</v>
      </c>
      <c r="E47" s="883">
        <v>252</v>
      </c>
      <c r="F47" s="1195">
        <v>68.645829699999993</v>
      </c>
      <c r="G47" s="1195">
        <v>123.08364709999999</v>
      </c>
      <c r="H47" s="1195">
        <v>59.995663499999999</v>
      </c>
    </row>
    <row r="48" spans="1:8" ht="19.5" thickBot="1" x14ac:dyDescent="0.35">
      <c r="A48" s="184" t="s">
        <v>360</v>
      </c>
      <c r="B48" s="40">
        <f>RANK(E48,E$7:E$71,0)</f>
        <v>51</v>
      </c>
      <c r="C48" s="188">
        <f>D48*10/D$6</f>
        <v>2.4310434819952547</v>
      </c>
      <c r="D48" s="39">
        <f>E48^D$4</f>
        <v>1.984167137802904</v>
      </c>
      <c r="E48" s="883">
        <v>45</v>
      </c>
      <c r="F48" s="1195">
        <v>0</v>
      </c>
      <c r="G48" s="1195">
        <v>38.260322299999999</v>
      </c>
      <c r="H48" s="1195">
        <v>6.4989613000000004</v>
      </c>
    </row>
    <row r="49" spans="1:8" ht="19.5" thickBot="1" x14ac:dyDescent="0.35">
      <c r="A49" s="184" t="s">
        <v>365</v>
      </c>
      <c r="B49" s="40">
        <f>RANK(E49,E$7:E$71,0)</f>
        <v>15</v>
      </c>
      <c r="C49" s="188">
        <f>D49*10/D$6</f>
        <v>4.6352355409937749</v>
      </c>
      <c r="D49" s="39">
        <f>E49^D$4</f>
        <v>3.7831828614054652</v>
      </c>
      <c r="E49" s="883">
        <v>1623</v>
      </c>
      <c r="F49" s="1195">
        <v>344.39540849999997</v>
      </c>
      <c r="G49" s="1195">
        <v>1253.4616931</v>
      </c>
      <c r="H49" s="1195">
        <v>24.786750300000001</v>
      </c>
    </row>
    <row r="50" spans="1:8" ht="19.5" thickBot="1" x14ac:dyDescent="0.35">
      <c r="A50" s="184" t="s">
        <v>366</v>
      </c>
      <c r="B50" s="40">
        <f>RANK(E50,E$7:E$71,0)</f>
        <v>57</v>
      </c>
      <c r="C50" s="188">
        <f>D50*10/D$6</f>
        <v>1.9702326905609353</v>
      </c>
      <c r="D50" s="39">
        <f>E50^D$4</f>
        <v>1.608062952139182</v>
      </c>
      <c r="E50" s="883">
        <v>14</v>
      </c>
      <c r="F50" s="1195">
        <v>10.7399749</v>
      </c>
      <c r="G50" s="1195">
        <v>2.546208</v>
      </c>
      <c r="H50" s="1195">
        <v>0.3378486</v>
      </c>
    </row>
    <row r="51" spans="1:8" ht="19.5" thickBot="1" x14ac:dyDescent="0.35">
      <c r="A51" s="184" t="s">
        <v>353</v>
      </c>
      <c r="B51" s="40">
        <f>RANK(E51,E$7:E$71,0)</f>
        <v>47</v>
      </c>
      <c r="C51" s="188">
        <f>D51*10/D$6</f>
        <v>2.4864349743936369</v>
      </c>
      <c r="D51" s="39">
        <f>E51^D$4</f>
        <v>2.0293765220630839</v>
      </c>
      <c r="E51" s="883">
        <v>51</v>
      </c>
      <c r="F51" s="1195">
        <v>3.8880976</v>
      </c>
      <c r="G51" s="1195">
        <v>14.026210000000001</v>
      </c>
      <c r="H51" s="1195">
        <v>32.858896600000001</v>
      </c>
    </row>
    <row r="52" spans="1:8" ht="19.5" thickBot="1" x14ac:dyDescent="0.35">
      <c r="A52" s="184" t="s">
        <v>354</v>
      </c>
      <c r="B52" s="40">
        <f>RANK(E52,E$7:E$71,0)</f>
        <v>57</v>
      </c>
      <c r="C52" s="188">
        <f>D52*10/D$6</f>
        <v>1.9702326905609353</v>
      </c>
      <c r="D52" s="39">
        <f>E52^D$4</f>
        <v>1.608062952139182</v>
      </c>
      <c r="E52" s="883">
        <v>14</v>
      </c>
      <c r="F52" s="1195">
        <v>14.399824300000001</v>
      </c>
      <c r="G52" s="1195">
        <v>1.13674E-2</v>
      </c>
      <c r="H52" s="1195">
        <v>0</v>
      </c>
    </row>
    <row r="53" spans="1:8" ht="19.5" thickBot="1" x14ac:dyDescent="0.35">
      <c r="A53" s="184" t="s">
        <v>326</v>
      </c>
      <c r="B53" s="40">
        <f>RANK(E53,E$7:E$71,0)</f>
        <v>32</v>
      </c>
      <c r="C53" s="188">
        <f>D53*10/D$6</f>
        <v>3.5990959698172982</v>
      </c>
      <c r="D53" s="39">
        <f>E53^D$4</f>
        <v>2.9375072893592509</v>
      </c>
      <c r="E53" s="883">
        <v>398</v>
      </c>
      <c r="F53" s="1195">
        <v>16.576509399999999</v>
      </c>
      <c r="G53" s="1195">
        <v>250.13380040000001</v>
      </c>
      <c r="H53" s="1195">
        <v>131.66527719999999</v>
      </c>
    </row>
    <row r="54" spans="1:8" ht="19.5" thickBot="1" x14ac:dyDescent="0.35">
      <c r="A54" s="88" t="s">
        <v>91</v>
      </c>
      <c r="B54" s="40">
        <f>RANK(E54,E$7:E$71,0)</f>
        <v>1</v>
      </c>
      <c r="C54" s="188">
        <f>D54*10/D$6</f>
        <v>10</v>
      </c>
      <c r="D54" s="39">
        <f>E54^D$4</f>
        <v>8.1617920555432377</v>
      </c>
      <c r="E54" s="883">
        <v>116272</v>
      </c>
      <c r="F54" s="1195">
        <v>37112.474040599998</v>
      </c>
      <c r="G54" s="1195">
        <v>58914.219807000001</v>
      </c>
      <c r="H54" s="1195">
        <v>20244.8634213</v>
      </c>
    </row>
    <row r="55" spans="1:8" ht="19.5" thickBot="1" x14ac:dyDescent="0.35">
      <c r="A55" s="184" t="s">
        <v>367</v>
      </c>
      <c r="B55" s="40">
        <f>RANK(E55,E$7:E$71,0)</f>
        <v>38</v>
      </c>
      <c r="C55" s="188">
        <f>D55*10/D$6</f>
        <v>3.008372392430823</v>
      </c>
      <c r="D55" s="39">
        <f>E55^D$4</f>
        <v>2.4553709892657496</v>
      </c>
      <c r="E55" s="883">
        <v>147</v>
      </c>
      <c r="F55" s="1195">
        <v>76.700004899999996</v>
      </c>
      <c r="G55" s="1195">
        <v>70.532713599999994</v>
      </c>
      <c r="H55" s="1195">
        <v>0</v>
      </c>
    </row>
    <row r="56" spans="1:8" ht="19.5" thickBot="1" x14ac:dyDescent="0.35">
      <c r="A56" s="184" t="s">
        <v>158</v>
      </c>
      <c r="B56" s="40">
        <f>RANK(E56,E$7:E$71,0)</f>
        <v>55</v>
      </c>
      <c r="C56" s="188">
        <f>D56*10/D$6</f>
        <v>2.2174812270772075</v>
      </c>
      <c r="D56" s="39">
        <f>E56^D$4</f>
        <v>1.809862066247502</v>
      </c>
      <c r="E56" s="883">
        <v>27</v>
      </c>
      <c r="F56" s="1195">
        <v>8.15057E-2</v>
      </c>
      <c r="G56" s="1195">
        <v>23.410688</v>
      </c>
      <c r="H56" s="1195">
        <v>3.5066106000000001</v>
      </c>
    </row>
    <row r="57" spans="1:8" ht="19.5" thickBot="1" x14ac:dyDescent="0.35">
      <c r="A57" s="184" t="s">
        <v>113</v>
      </c>
      <c r="B57" s="40">
        <f>RANK(E57,E$7:E$71,0)</f>
        <v>46</v>
      </c>
      <c r="C57" s="188">
        <f>D57*10/D$6</f>
        <v>2.5037106161254155</v>
      </c>
      <c r="D57" s="39">
        <f>E57^D$4</f>
        <v>2.0434765416071681</v>
      </c>
      <c r="E57" s="883">
        <v>53</v>
      </c>
      <c r="F57" s="1195">
        <v>0.36848049999999999</v>
      </c>
      <c r="G57" s="1195">
        <v>35.765573600000003</v>
      </c>
      <c r="H57" s="1195">
        <v>16.463865800000001</v>
      </c>
    </row>
    <row r="58" spans="1:8" ht="19.5" thickBot="1" x14ac:dyDescent="0.35">
      <c r="A58" s="87" t="s">
        <v>87</v>
      </c>
      <c r="B58" s="40">
        <f>RANK(E58,E$7:E$71,0)</f>
        <v>5</v>
      </c>
      <c r="C58" s="188">
        <f>D58*10/D$6</f>
        <v>6.9728714006232515</v>
      </c>
      <c r="D58" s="39">
        <f>E58^D$4</f>
        <v>5.6911126401931504</v>
      </c>
      <c r="E58" s="883">
        <v>15687</v>
      </c>
      <c r="F58" s="1195">
        <v>12725.623730900001</v>
      </c>
      <c r="G58" s="1195">
        <v>2767.4415064999998</v>
      </c>
      <c r="H58" s="1195">
        <v>194.33613650000001</v>
      </c>
    </row>
    <row r="59" spans="1:8" ht="19.5" thickBot="1" x14ac:dyDescent="0.35">
      <c r="A59" s="87" t="s">
        <v>355</v>
      </c>
      <c r="B59" s="40">
        <f>RANK(E59,E$7:E$71,0)</f>
        <v>37</v>
      </c>
      <c r="C59" s="188">
        <f>D59*10/D$6</f>
        <v>3.1010826341308011</v>
      </c>
      <c r="D59" s="39">
        <f>E59^D$4</f>
        <v>2.531039160683187</v>
      </c>
      <c r="E59" s="883">
        <v>174</v>
      </c>
      <c r="F59" s="1195">
        <v>0.20365920000000001</v>
      </c>
      <c r="G59" s="1195">
        <v>91.991282400000003</v>
      </c>
      <c r="H59" s="1195">
        <v>82.254590100000001</v>
      </c>
    </row>
    <row r="60" spans="1:8" ht="19.5" thickBot="1" x14ac:dyDescent="0.35">
      <c r="A60" s="184" t="s">
        <v>114</v>
      </c>
      <c r="B60" s="40">
        <f>RANK(E60,E$7:E$71,0)</f>
        <v>56</v>
      </c>
      <c r="C60" s="188">
        <f>D60*10/D$6</f>
        <v>2.1008733573370164</v>
      </c>
      <c r="D60" s="39">
        <f>E60^D$4</f>
        <v>1.7146891477615709</v>
      </c>
      <c r="E60" s="883">
        <v>20</v>
      </c>
      <c r="F60" s="1195">
        <v>19.5128229</v>
      </c>
      <c r="G60" s="1195">
        <v>0</v>
      </c>
      <c r="H60" s="1195">
        <v>0</v>
      </c>
    </row>
    <row r="61" spans="1:8" ht="19.5" thickBot="1" x14ac:dyDescent="0.35">
      <c r="A61" s="184" t="s">
        <v>160</v>
      </c>
      <c r="B61" s="40">
        <f>RANK(E61,E$7:E$71,0)</f>
        <v>39</v>
      </c>
      <c r="C61" s="188">
        <f>D61*10/D$6</f>
        <v>2.9546617478096158</v>
      </c>
      <c r="D61" s="39">
        <f>E61^D$4</f>
        <v>2.4115334780090021</v>
      </c>
      <c r="E61" s="883">
        <v>133</v>
      </c>
      <c r="F61" s="1195">
        <v>23.762128199999999</v>
      </c>
      <c r="G61" s="1195">
        <v>88.769979599999999</v>
      </c>
      <c r="H61" s="1195">
        <v>20.3851446</v>
      </c>
    </row>
    <row r="62" spans="1:8" ht="19.5" thickBot="1" x14ac:dyDescent="0.35">
      <c r="A62" s="184" t="s">
        <v>115</v>
      </c>
      <c r="B62" s="40">
        <f>RANK(E62,E$7:E$71,0)</f>
        <v>65</v>
      </c>
      <c r="C62" s="188">
        <f>D62*10/D$6</f>
        <v>0</v>
      </c>
      <c r="D62" s="39">
        <f>E62^D$4</f>
        <v>0</v>
      </c>
      <c r="E62" s="1058">
        <v>0</v>
      </c>
      <c r="F62" s="1195">
        <v>0.23133139999999999</v>
      </c>
      <c r="G62" s="1195">
        <v>0</v>
      </c>
      <c r="H62" s="1195">
        <v>0</v>
      </c>
    </row>
    <row r="63" spans="1:8" ht="19.5" thickBot="1" x14ac:dyDescent="0.35">
      <c r="A63" s="87" t="s">
        <v>18</v>
      </c>
      <c r="B63" s="40">
        <f>RANK(E63,E$7:E$71,0)</f>
        <v>42</v>
      </c>
      <c r="C63" s="188">
        <f>D63*10/D$6</f>
        <v>2.7862706245289708</v>
      </c>
      <c r="D63" s="39">
        <f>E63^D$4</f>
        <v>2.2740961447874048</v>
      </c>
      <c r="E63" s="883">
        <v>96</v>
      </c>
      <c r="F63" s="1195">
        <v>79.629350400000007</v>
      </c>
      <c r="G63" s="1195">
        <v>16.728212899999999</v>
      </c>
      <c r="H63" s="1195">
        <v>1.8864000000000001E-3</v>
      </c>
    </row>
    <row r="64" spans="1:8" ht="19.5" thickBot="1" x14ac:dyDescent="0.35">
      <c r="A64" s="184" t="s">
        <v>116</v>
      </c>
      <c r="B64" s="40">
        <f>RANK(E64,E$7:E$71,0)</f>
        <v>45</v>
      </c>
      <c r="C64" s="188">
        <f>D64*10/D$6</f>
        <v>2.5446702539451307</v>
      </c>
      <c r="D64" s="39">
        <f>E64^D$4</f>
        <v>2.0769069462626559</v>
      </c>
      <c r="E64" s="883">
        <v>58</v>
      </c>
      <c r="F64" s="1195">
        <v>58.346368300000002</v>
      </c>
      <c r="G64" s="1195">
        <v>0</v>
      </c>
      <c r="H64" s="1195">
        <v>0</v>
      </c>
    </row>
    <row r="65" spans="1:8" ht="19.5" thickBot="1" x14ac:dyDescent="0.35">
      <c r="A65" s="184" t="s">
        <v>356</v>
      </c>
      <c r="B65" s="40">
        <f>RANK(E65,E$7:E$71,0)</f>
        <v>60</v>
      </c>
      <c r="C65" s="188">
        <f>D65*10/D$6</f>
        <v>1.7814378354969447</v>
      </c>
      <c r="D65" s="39">
        <f>E65^D$4</f>
        <v>1.4539725173203104</v>
      </c>
      <c r="E65" s="883">
        <v>8</v>
      </c>
      <c r="F65" s="1195">
        <v>5.6428701999999999</v>
      </c>
      <c r="G65" s="1195">
        <v>2.2435345</v>
      </c>
      <c r="H65" s="1195">
        <v>0</v>
      </c>
    </row>
    <row r="66" spans="1:8" ht="19.5" thickBot="1" x14ac:dyDescent="0.35">
      <c r="A66" s="184" t="s">
        <v>246</v>
      </c>
      <c r="B66" s="40">
        <f>RANK(E66,E$7:E$71,0)</f>
        <v>36</v>
      </c>
      <c r="C66" s="188">
        <f>D66*10/D$6</f>
        <v>3.2608099292808879</v>
      </c>
      <c r="D66" s="39">
        <f>E66^D$4</f>
        <v>2.6614052575441258</v>
      </c>
      <c r="E66" s="883">
        <v>230</v>
      </c>
      <c r="F66" s="1195">
        <v>229.8631584</v>
      </c>
      <c r="G66" s="1195">
        <v>0</v>
      </c>
      <c r="H66" s="1195">
        <v>0</v>
      </c>
    </row>
    <row r="67" spans="1:8" ht="19.5" thickBot="1" x14ac:dyDescent="0.35">
      <c r="A67" s="184" t="s">
        <v>272</v>
      </c>
      <c r="B67" s="40">
        <f>RANK(E67,E$7:E$71,0)</f>
        <v>14</v>
      </c>
      <c r="C67" s="188">
        <f>D67*10/D$6</f>
        <v>4.7364795923450131</v>
      </c>
      <c r="D67" s="39">
        <f>E67^D$4</f>
        <v>3.8658161508044202</v>
      </c>
      <c r="E67" s="883">
        <v>1830</v>
      </c>
      <c r="F67" s="1195">
        <v>1797.3326608</v>
      </c>
      <c r="G67" s="1195">
        <v>32.560830699999997</v>
      </c>
      <c r="H67" s="1195">
        <v>0</v>
      </c>
    </row>
    <row r="68" spans="1:8" ht="19.5" thickBot="1" x14ac:dyDescent="0.35">
      <c r="A68" s="87" t="s">
        <v>98</v>
      </c>
      <c r="B68" s="40">
        <f>RANK(E68,E$7:E$71,0)</f>
        <v>4</v>
      </c>
      <c r="C68" s="188">
        <f>D68*10/D$6</f>
        <v>7.2756927704275833</v>
      </c>
      <c r="D68" s="39">
        <f>E68^D$4</f>
        <v>5.9382691452249219</v>
      </c>
      <c r="E68" s="883">
        <v>19866</v>
      </c>
      <c r="F68" s="1195">
        <v>494.91360880000002</v>
      </c>
      <c r="G68" s="1195">
        <v>17054.101529899999</v>
      </c>
      <c r="H68" s="1195">
        <v>2317.0306940999999</v>
      </c>
    </row>
    <row r="69" spans="1:8" ht="19.5" thickBot="1" x14ac:dyDescent="0.35">
      <c r="A69" s="87" t="s">
        <v>161</v>
      </c>
      <c r="B69" s="40">
        <f>RANK(E69,E$7:E$71,0)</f>
        <v>63</v>
      </c>
      <c r="C69" s="188">
        <f>D69*10/D$6</f>
        <v>1.3880332622862877</v>
      </c>
      <c r="D69" s="39">
        <f>E69^D$4</f>
        <v>1.1328838852957985</v>
      </c>
      <c r="E69" s="883">
        <v>2</v>
      </c>
      <c r="F69" s="1195">
        <v>0.67627479999999995</v>
      </c>
      <c r="G69" s="1195">
        <v>0.92176190000000002</v>
      </c>
      <c r="H69" s="1195">
        <v>5.3991499999999998E-2</v>
      </c>
    </row>
    <row r="70" spans="1:8" ht="19.5" thickBot="1" x14ac:dyDescent="0.35">
      <c r="A70" s="1001" t="s">
        <v>359</v>
      </c>
      <c r="B70" s="40">
        <f>RANK(E70,E$7:E$71,0)</f>
        <v>53</v>
      </c>
      <c r="C70" s="188">
        <f>D70*10/D$6</f>
        <v>2.3800455715743873</v>
      </c>
      <c r="D70" s="39">
        <f>E70^D$4</f>
        <v>1.9425437037906701</v>
      </c>
      <c r="E70" s="1010">
        <v>40</v>
      </c>
      <c r="F70" s="1195">
        <v>0.18059339999999999</v>
      </c>
      <c r="G70" s="1195">
        <v>34.483409799999997</v>
      </c>
      <c r="H70" s="1195">
        <v>5.3844462000000002</v>
      </c>
    </row>
    <row r="71" spans="1:8" ht="19.5" thickBot="1" x14ac:dyDescent="0.35">
      <c r="A71" s="152" t="s">
        <v>162</v>
      </c>
      <c r="B71" s="40">
        <f>RANK(E71,E$7:E$71,0)</f>
        <v>7</v>
      </c>
      <c r="C71" s="188">
        <f>D71*10/D$6</f>
        <v>6.2650212340112255</v>
      </c>
      <c r="D71" s="39">
        <f>E71^D$4</f>
        <v>5.1133800535562512</v>
      </c>
      <c r="E71" s="884">
        <v>8655</v>
      </c>
      <c r="F71" s="1195">
        <v>295.38690550000001</v>
      </c>
      <c r="G71" s="1195">
        <v>7028.5661584999998</v>
      </c>
      <c r="H71" s="1195">
        <v>1330.9259617</v>
      </c>
    </row>
  </sheetData>
  <conditionalFormatting sqref="B7:B71">
    <cfRule type="colorScale" priority="7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2BC2A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97B7E"/>
        <color rgb="FFFFEB84"/>
        <color rgb="FF6AC281"/>
      </colorScale>
    </cfRule>
  </conditionalFormatting>
  <conditionalFormatting sqref="B7:C71">
    <cfRule type="colorScale" priority="5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71">
    <cfRule type="colorScale" priority="3">
      <colorScale>
        <cfvo type="min"/>
        <cfvo type="percentile" val="50"/>
        <cfvo type="max"/>
        <color rgb="FFF8696B"/>
        <color rgb="FFFFEB84"/>
        <color rgb="FF62BC2A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A1:T71"/>
  <sheetViews>
    <sheetView zoomScaleNormal="100" workbookViewId="0">
      <pane xSplit="1" ySplit="6" topLeftCell="B34" activePane="bottomRight" state="frozen"/>
      <selection activeCell="A22" sqref="A22"/>
      <selection pane="topRight" activeCell="A22" sqref="A22"/>
      <selection pane="bottomLeft" activeCell="A22" sqref="A22"/>
      <selection pane="bottomRight" activeCell="K18" sqref="K18"/>
    </sheetView>
  </sheetViews>
  <sheetFormatPr defaultColWidth="8.85546875" defaultRowHeight="18.75" x14ac:dyDescent="0.3"/>
  <cols>
    <col min="1" max="1" width="36.85546875" style="8" customWidth="1"/>
    <col min="2" max="2" width="12.140625" style="35" customWidth="1"/>
    <col min="3" max="3" width="9.42578125" style="1" customWidth="1"/>
    <col min="4" max="4" width="17.7109375" style="1" customWidth="1"/>
    <col min="5" max="5" width="13.28515625" style="1" customWidth="1"/>
    <col min="6" max="8" width="9.42578125" style="7" customWidth="1"/>
    <col min="9" max="9" width="0.85546875" style="1" customWidth="1"/>
    <col min="10" max="10" width="7.28515625" style="53" customWidth="1"/>
    <col min="11" max="12" width="7.28515625" style="52" customWidth="1"/>
    <col min="13" max="13" width="0.85546875" style="1" customWidth="1"/>
    <col min="14" max="14" width="11.85546875" style="126" customWidth="1"/>
    <col min="15" max="17" width="9.42578125" style="1" customWidth="1"/>
    <col min="18" max="18" width="4.7109375" style="1" customWidth="1"/>
    <col min="19" max="16384" width="8.85546875" style="1"/>
  </cols>
  <sheetData>
    <row r="1" spans="1:18" s="79" customFormat="1" ht="21" x14ac:dyDescent="0.25">
      <c r="A1" s="101" t="s">
        <v>332</v>
      </c>
      <c r="B1" s="119"/>
      <c r="C1" s="120"/>
      <c r="D1" s="121"/>
      <c r="E1" s="121"/>
      <c r="F1" s="122"/>
      <c r="G1" s="122"/>
      <c r="H1" s="122"/>
      <c r="I1" s="121"/>
      <c r="J1" s="123"/>
      <c r="K1" s="120"/>
      <c r="L1" s="120"/>
      <c r="M1" s="121"/>
      <c r="N1" s="125"/>
      <c r="O1" s="121"/>
      <c r="P1" s="121"/>
      <c r="Q1" s="121"/>
      <c r="R1" s="121"/>
    </row>
    <row r="2" spans="1:18" s="79" customFormat="1" ht="21" x14ac:dyDescent="0.25">
      <c r="A2" s="101"/>
      <c r="B2" s="119"/>
      <c r="C2" s="120"/>
      <c r="D2" s="121"/>
      <c r="E2" s="121"/>
      <c r="F2" s="122"/>
      <c r="G2" s="122"/>
      <c r="H2" s="122"/>
      <c r="I2" s="121"/>
      <c r="J2" s="123"/>
      <c r="K2" s="120"/>
      <c r="L2" s="120"/>
      <c r="M2" s="121"/>
      <c r="N2" s="125"/>
      <c r="O2" s="121"/>
      <c r="P2" s="121"/>
      <c r="Q2" s="121"/>
      <c r="R2" s="121"/>
    </row>
    <row r="3" spans="1:18" x14ac:dyDescent="0.3">
      <c r="A3" s="69"/>
      <c r="B3" s="104"/>
      <c r="C3" s="408"/>
      <c r="D3" s="270" t="s">
        <v>188</v>
      </c>
      <c r="E3" s="31"/>
      <c r="F3" s="117"/>
      <c r="G3" s="103"/>
      <c r="H3" s="103"/>
      <c r="I3" s="118"/>
      <c r="J3" s="100" t="s">
        <v>62</v>
      </c>
      <c r="K3" s="115"/>
      <c r="L3" s="100"/>
      <c r="M3" s="118"/>
      <c r="N3" s="155"/>
      <c r="O3" s="156"/>
      <c r="P3" s="156"/>
      <c r="Q3" s="156"/>
      <c r="R3" s="31"/>
    </row>
    <row r="4" spans="1:18" x14ac:dyDescent="0.3">
      <c r="A4" s="69"/>
      <c r="B4" s="104"/>
      <c r="C4" s="408"/>
      <c r="D4" s="267">
        <v>0.18</v>
      </c>
      <c r="E4" s="265" t="s">
        <v>63</v>
      </c>
      <c r="F4" s="115"/>
      <c r="G4" s="106"/>
      <c r="H4" s="106"/>
      <c r="I4" s="118"/>
      <c r="J4" s="115" t="s">
        <v>189</v>
      </c>
      <c r="K4" s="115"/>
      <c r="L4" s="115"/>
      <c r="M4" s="118"/>
      <c r="N4" s="115" t="s">
        <v>164</v>
      </c>
      <c r="O4" s="92"/>
      <c r="P4" s="91"/>
      <c r="Q4" s="92"/>
      <c r="R4" s="31"/>
    </row>
    <row r="5" spans="1:18" ht="19.5" thickBot="1" x14ac:dyDescent="0.35">
      <c r="A5" s="69"/>
      <c r="B5" s="299" t="s">
        <v>236</v>
      </c>
      <c r="C5" s="335"/>
      <c r="D5" s="268" t="s">
        <v>60</v>
      </c>
      <c r="E5" s="266" t="s">
        <v>64</v>
      </c>
      <c r="F5" s="109"/>
      <c r="G5" s="108"/>
      <c r="H5" s="107"/>
      <c r="I5" s="116"/>
      <c r="J5" s="107" t="s">
        <v>65</v>
      </c>
      <c r="K5" s="107"/>
      <c r="L5" s="107"/>
      <c r="M5" s="116"/>
      <c r="N5" s="153" t="s">
        <v>316</v>
      </c>
      <c r="O5" s="111"/>
      <c r="P5" s="110"/>
      <c r="Q5" s="111"/>
      <c r="R5" s="31"/>
    </row>
    <row r="6" spans="1:18" ht="19.5" thickBot="1" x14ac:dyDescent="0.35">
      <c r="A6" s="54" t="s">
        <v>4</v>
      </c>
      <c r="B6" s="38" t="s">
        <v>3</v>
      </c>
      <c r="C6" s="36" t="s">
        <v>235</v>
      </c>
      <c r="D6" s="269">
        <f>MAX(D7:D71)</f>
        <v>4.9636083258534702</v>
      </c>
      <c r="E6" s="585" t="s">
        <v>66</v>
      </c>
      <c r="F6" s="262" t="s">
        <v>25</v>
      </c>
      <c r="G6" s="263" t="s">
        <v>26</v>
      </c>
      <c r="H6" s="264" t="s">
        <v>27</v>
      </c>
      <c r="I6" s="43"/>
      <c r="J6" s="114" t="s">
        <v>25</v>
      </c>
      <c r="K6" s="113" t="s">
        <v>26</v>
      </c>
      <c r="L6" s="112" t="s">
        <v>27</v>
      </c>
      <c r="M6" s="43"/>
      <c r="N6" s="154" t="s">
        <v>66</v>
      </c>
      <c r="O6" s="640" t="s">
        <v>25</v>
      </c>
      <c r="P6" s="261" t="s">
        <v>26</v>
      </c>
      <c r="Q6" s="645" t="s">
        <v>27</v>
      </c>
      <c r="R6" s="31"/>
    </row>
    <row r="7" spans="1:18" ht="19.5" thickBot="1" x14ac:dyDescent="0.35">
      <c r="A7" s="151" t="s">
        <v>10</v>
      </c>
      <c r="B7" s="214">
        <f t="shared" ref="B7" si="0">RANK(C7,C$7:C$71,0)</f>
        <v>41</v>
      </c>
      <c r="C7" s="42">
        <f>D7*10/D$6</f>
        <v>1.5066921456690607</v>
      </c>
      <c r="D7" s="1059">
        <f>E7^0.18</f>
        <v>0.74786296787409801</v>
      </c>
      <c r="E7" s="586">
        <f t="shared" ref="E7:E40" si="1">SUM(F7:H7)</f>
        <v>0.19907250000000001</v>
      </c>
      <c r="F7" s="447">
        <v>0</v>
      </c>
      <c r="G7" s="446">
        <v>0.19907250000000001</v>
      </c>
      <c r="H7" s="445">
        <v>0</v>
      </c>
      <c r="I7" s="43"/>
      <c r="J7" s="45"/>
      <c r="K7" s="44">
        <v>0.5</v>
      </c>
      <c r="L7" s="887"/>
      <c r="M7" s="43"/>
      <c r="N7" s="904">
        <f>SUM(O7:Q7)</f>
        <v>0.39814500000000003</v>
      </c>
      <c r="O7" s="906">
        <v>0</v>
      </c>
      <c r="P7" s="908">
        <v>0.39814500000000003</v>
      </c>
      <c r="Q7" s="904">
        <v>0</v>
      </c>
      <c r="R7" s="31"/>
    </row>
    <row r="8" spans="1:18" ht="19.5" thickBot="1" x14ac:dyDescent="0.35">
      <c r="A8" s="184" t="s">
        <v>156</v>
      </c>
      <c r="B8" s="214">
        <f t="shared" ref="B8:B71" si="2">RANK(C8,C$7:C$71,0)</f>
        <v>44</v>
      </c>
      <c r="C8" s="42">
        <f t="shared" ref="C8:C71" si="3">D8*10/D$6</f>
        <v>0</v>
      </c>
      <c r="D8" s="1059">
        <f t="shared" ref="D8:D71" si="4">E8^0.18</f>
        <v>0</v>
      </c>
      <c r="E8" s="586">
        <f t="shared" si="1"/>
        <v>0</v>
      </c>
      <c r="F8" s="448">
        <v>0</v>
      </c>
      <c r="G8" s="437">
        <v>0</v>
      </c>
      <c r="H8" s="436">
        <v>0</v>
      </c>
      <c r="I8" s="46"/>
      <c r="J8" s="48"/>
      <c r="K8" s="47"/>
      <c r="L8" s="889"/>
      <c r="M8" s="46"/>
      <c r="N8" s="904">
        <f t="shared" ref="N8:N71" si="5">SUM(O8:Q8)</f>
        <v>0</v>
      </c>
      <c r="O8" s="643">
        <v>0</v>
      </c>
      <c r="P8" s="434">
        <v>0</v>
      </c>
      <c r="Q8" s="433">
        <v>0</v>
      </c>
      <c r="R8" s="31"/>
    </row>
    <row r="9" spans="1:18" ht="19.5" thickBot="1" x14ac:dyDescent="0.35">
      <c r="A9" s="184" t="s">
        <v>102</v>
      </c>
      <c r="B9" s="214">
        <f t="shared" si="2"/>
        <v>35</v>
      </c>
      <c r="C9" s="42">
        <f t="shared" si="3"/>
        <v>2.4591344959510311</v>
      </c>
      <c r="D9" s="1059">
        <f t="shared" si="4"/>
        <v>1.2206180458496014</v>
      </c>
      <c r="E9" s="586">
        <f t="shared" si="1"/>
        <v>3.0269051558361002</v>
      </c>
      <c r="F9" s="448">
        <v>3.0269051558361002</v>
      </c>
      <c r="G9" s="437">
        <v>0</v>
      </c>
      <c r="H9" s="436">
        <v>0</v>
      </c>
      <c r="I9" s="46"/>
      <c r="J9" s="48">
        <v>0.9</v>
      </c>
      <c r="K9" s="47"/>
      <c r="L9" s="889"/>
      <c r="M9" s="46"/>
      <c r="N9" s="904">
        <f t="shared" si="5"/>
        <v>3.3632279509290002</v>
      </c>
      <c r="O9" s="643">
        <v>3.3632279509290002</v>
      </c>
      <c r="P9" s="434">
        <v>0</v>
      </c>
      <c r="Q9" s="433">
        <v>0</v>
      </c>
      <c r="R9" s="31"/>
    </row>
    <row r="10" spans="1:18" ht="19.5" thickBot="1" x14ac:dyDescent="0.35">
      <c r="A10" s="184" t="s">
        <v>103</v>
      </c>
      <c r="B10" s="214">
        <f t="shared" si="2"/>
        <v>44</v>
      </c>
      <c r="C10" s="42">
        <f t="shared" si="3"/>
        <v>0</v>
      </c>
      <c r="D10" s="1059">
        <f t="shared" si="4"/>
        <v>0</v>
      </c>
      <c r="E10" s="586">
        <f t="shared" si="1"/>
        <v>0</v>
      </c>
      <c r="F10" s="448">
        <v>0</v>
      </c>
      <c r="G10" s="437">
        <v>0</v>
      </c>
      <c r="H10" s="436">
        <v>0</v>
      </c>
      <c r="I10" s="46"/>
      <c r="J10" s="50">
        <v>0.5</v>
      </c>
      <c r="K10" s="49"/>
      <c r="L10" s="888">
        <v>0.5</v>
      </c>
      <c r="M10" s="46"/>
      <c r="N10" s="904">
        <f t="shared" si="5"/>
        <v>0.32605666666666699</v>
      </c>
      <c r="O10" s="643">
        <v>0</v>
      </c>
      <c r="P10" s="434">
        <v>0.32605666666666699</v>
      </c>
      <c r="Q10" s="433">
        <v>0</v>
      </c>
      <c r="R10" s="31"/>
    </row>
    <row r="11" spans="1:18" ht="19.5" thickBot="1" x14ac:dyDescent="0.35">
      <c r="A11" s="87" t="s">
        <v>5</v>
      </c>
      <c r="B11" s="214">
        <f t="shared" si="2"/>
        <v>2</v>
      </c>
      <c r="C11" s="42">
        <f t="shared" si="3"/>
        <v>9.7465731314616111</v>
      </c>
      <c r="D11" s="1059">
        <f t="shared" si="4"/>
        <v>4.8378171543862587</v>
      </c>
      <c r="E11" s="586">
        <f t="shared" si="1"/>
        <v>6362.2108267927706</v>
      </c>
      <c r="F11" s="448">
        <v>1011.41449437425</v>
      </c>
      <c r="G11" s="437">
        <v>3248.6045133283201</v>
      </c>
      <c r="H11" s="436">
        <v>2102.1918190902002</v>
      </c>
      <c r="I11" s="46"/>
      <c r="J11" s="50">
        <v>2</v>
      </c>
      <c r="K11" s="49">
        <v>1.9</v>
      </c>
      <c r="L11" s="888">
        <v>1.8</v>
      </c>
      <c r="M11" s="46"/>
      <c r="N11" s="904">
        <f t="shared" si="5"/>
        <v>3383.3834402462935</v>
      </c>
      <c r="O11" s="641">
        <v>505.70724718712398</v>
      </c>
      <c r="P11" s="436">
        <v>1709.7918491201699</v>
      </c>
      <c r="Q11" s="435">
        <v>1167.884343939</v>
      </c>
      <c r="R11" s="31"/>
    </row>
    <row r="12" spans="1:18" ht="19.5" thickBot="1" x14ac:dyDescent="0.35">
      <c r="A12" s="184" t="s">
        <v>157</v>
      </c>
      <c r="B12" s="214">
        <f t="shared" si="2"/>
        <v>44</v>
      </c>
      <c r="C12" s="42">
        <f t="shared" si="3"/>
        <v>0</v>
      </c>
      <c r="D12" s="1059">
        <f t="shared" si="4"/>
        <v>0</v>
      </c>
      <c r="E12" s="586">
        <f t="shared" si="1"/>
        <v>0</v>
      </c>
      <c r="F12" s="448">
        <v>0</v>
      </c>
      <c r="G12" s="437">
        <v>0</v>
      </c>
      <c r="H12" s="436">
        <v>0</v>
      </c>
      <c r="I12" s="46"/>
      <c r="J12" s="48"/>
      <c r="K12" s="47"/>
      <c r="L12" s="889"/>
      <c r="M12" s="46"/>
      <c r="N12" s="904">
        <f t="shared" si="5"/>
        <v>0</v>
      </c>
      <c r="O12" s="643">
        <v>0</v>
      </c>
      <c r="P12" s="434">
        <v>0</v>
      </c>
      <c r="Q12" s="433">
        <v>0</v>
      </c>
      <c r="R12" s="31"/>
    </row>
    <row r="13" spans="1:18" ht="19.5" thickBot="1" x14ac:dyDescent="0.35">
      <c r="A13" s="184" t="s">
        <v>247</v>
      </c>
      <c r="B13" s="214">
        <f t="shared" si="2"/>
        <v>4</v>
      </c>
      <c r="C13" s="42">
        <f t="shared" si="3"/>
        <v>7.5754008245066089</v>
      </c>
      <c r="D13" s="1059">
        <f t="shared" si="4"/>
        <v>3.7601322604198248</v>
      </c>
      <c r="E13" s="586">
        <f t="shared" si="1"/>
        <v>1568.8192000326521</v>
      </c>
      <c r="F13" s="448">
        <v>1391.0350904383899</v>
      </c>
      <c r="G13" s="437">
        <v>166.676103008262</v>
      </c>
      <c r="H13" s="436">
        <v>11.108006586</v>
      </c>
      <c r="I13" s="46"/>
      <c r="J13" s="50">
        <v>1.8181516936671573</v>
      </c>
      <c r="K13" s="49">
        <v>1.9</v>
      </c>
      <c r="L13" s="888">
        <v>1.8</v>
      </c>
      <c r="M13" s="46"/>
      <c r="N13" s="904">
        <f t="shared" si="5"/>
        <v>858.20037425755652</v>
      </c>
      <c r="O13" s="641">
        <v>764.30499474636599</v>
      </c>
      <c r="P13" s="436">
        <v>87.724264741190495</v>
      </c>
      <c r="Q13" s="435">
        <v>6.17111477</v>
      </c>
      <c r="R13" s="31"/>
    </row>
    <row r="14" spans="1:18" ht="19.5" thickBot="1" x14ac:dyDescent="0.35">
      <c r="A14" s="87" t="s">
        <v>94</v>
      </c>
      <c r="B14" s="214">
        <f t="shared" si="2"/>
        <v>6</v>
      </c>
      <c r="C14" s="42">
        <f t="shared" si="3"/>
        <v>6.910398455791162</v>
      </c>
      <c r="D14" s="1059">
        <f t="shared" si="4"/>
        <v>3.4300511310129975</v>
      </c>
      <c r="E14" s="586">
        <f t="shared" si="1"/>
        <v>941.65580713306019</v>
      </c>
      <c r="F14" s="448">
        <v>934.51564790229099</v>
      </c>
      <c r="G14" s="437">
        <v>0.78168265306921303</v>
      </c>
      <c r="H14" s="436">
        <v>6.3584765777000003</v>
      </c>
      <c r="I14" s="46"/>
      <c r="J14" s="50">
        <v>1.8607329842931937</v>
      </c>
      <c r="K14" s="49">
        <v>0.6</v>
      </c>
      <c r="L14" s="888">
        <v>1.3</v>
      </c>
      <c r="M14" s="46"/>
      <c r="N14" s="904">
        <f t="shared" si="5"/>
        <v>508.62170794018601</v>
      </c>
      <c r="O14" s="641">
        <v>502.42776768940399</v>
      </c>
      <c r="P14" s="436">
        <v>1.3028044217820201</v>
      </c>
      <c r="Q14" s="435">
        <v>4.8911358290000004</v>
      </c>
      <c r="R14" s="31"/>
    </row>
    <row r="15" spans="1:18" ht="19.5" thickBot="1" x14ac:dyDescent="0.35">
      <c r="A15" s="184" t="s">
        <v>104</v>
      </c>
      <c r="B15" s="214">
        <f t="shared" si="2"/>
        <v>10</v>
      </c>
      <c r="C15" s="42">
        <f t="shared" si="3"/>
        <v>6.1895336926856821</v>
      </c>
      <c r="D15" s="1059">
        <f t="shared" si="4"/>
        <v>3.0722420970165225</v>
      </c>
      <c r="E15" s="586">
        <f t="shared" si="1"/>
        <v>510.60581218580307</v>
      </c>
      <c r="F15" s="448">
        <v>510.377657052247</v>
      </c>
      <c r="G15" s="437">
        <v>0.22815513355605399</v>
      </c>
      <c r="H15" s="436">
        <v>0</v>
      </c>
      <c r="I15" s="46"/>
      <c r="J15" s="50">
        <v>1.4514375738479715</v>
      </c>
      <c r="K15" s="44">
        <v>0.5</v>
      </c>
      <c r="L15" s="889"/>
      <c r="M15" s="46"/>
      <c r="N15" s="904">
        <f t="shared" si="5"/>
        <v>352.44090133762711</v>
      </c>
      <c r="O15" s="641">
        <v>351.98459107051502</v>
      </c>
      <c r="P15" s="436">
        <v>0.45631026711210698</v>
      </c>
      <c r="Q15" s="435">
        <v>0</v>
      </c>
      <c r="R15" s="31"/>
    </row>
    <row r="16" spans="1:18" ht="19.5" thickBot="1" x14ac:dyDescent="0.35">
      <c r="A16" s="184" t="s">
        <v>9</v>
      </c>
      <c r="B16" s="214">
        <f t="shared" si="2"/>
        <v>11</v>
      </c>
      <c r="C16" s="42">
        <f t="shared" si="3"/>
        <v>5.5655533943911708</v>
      </c>
      <c r="D16" s="1059">
        <f t="shared" si="4"/>
        <v>2.7625227166382058</v>
      </c>
      <c r="E16" s="586">
        <f t="shared" si="1"/>
        <v>282.94316743981096</v>
      </c>
      <c r="F16" s="449">
        <v>155.704510563638</v>
      </c>
      <c r="G16" s="440">
        <v>105.78640478892299</v>
      </c>
      <c r="H16" s="439">
        <v>21.452252087249999</v>
      </c>
      <c r="I16" s="118"/>
      <c r="J16" s="452">
        <v>1.1414343928280359</v>
      </c>
      <c r="K16" s="451">
        <v>1.5</v>
      </c>
      <c r="L16" s="890">
        <v>0.75</v>
      </c>
      <c r="M16" s="118"/>
      <c r="N16" s="904">
        <f t="shared" si="5"/>
        <v>235.71017664547279</v>
      </c>
      <c r="O16" s="642">
        <v>136.582904003191</v>
      </c>
      <c r="P16" s="439">
        <v>70.524269859281802</v>
      </c>
      <c r="Q16" s="438">
        <v>28.603002783000001</v>
      </c>
      <c r="R16" s="31"/>
    </row>
    <row r="17" spans="1:18" ht="19.5" thickBot="1" x14ac:dyDescent="0.35">
      <c r="A17" s="87" t="s">
        <v>90</v>
      </c>
      <c r="B17" s="214">
        <f t="shared" si="2"/>
        <v>7</v>
      </c>
      <c r="C17" s="42">
        <f t="shared" si="3"/>
        <v>6.7617436956895336</v>
      </c>
      <c r="D17" s="1059">
        <f t="shared" si="4"/>
        <v>3.3562647305211786</v>
      </c>
      <c r="E17" s="586">
        <f t="shared" si="1"/>
        <v>834.49431841495402</v>
      </c>
      <c r="F17" s="448">
        <v>834.49431841495402</v>
      </c>
      <c r="G17" s="437">
        <v>0</v>
      </c>
      <c r="H17" s="436">
        <v>0</v>
      </c>
      <c r="I17" s="46"/>
      <c r="J17" s="50">
        <v>2</v>
      </c>
      <c r="K17" s="47"/>
      <c r="L17" s="889"/>
      <c r="M17" s="46"/>
      <c r="N17" s="904">
        <f t="shared" si="5"/>
        <v>417.24715920747701</v>
      </c>
      <c r="O17" s="641">
        <v>417.24715920747701</v>
      </c>
      <c r="P17" s="436">
        <v>0</v>
      </c>
      <c r="Q17" s="435">
        <v>0</v>
      </c>
      <c r="R17" s="31"/>
    </row>
    <row r="18" spans="1:18" ht="19.5" thickBot="1" x14ac:dyDescent="0.35">
      <c r="A18" s="87" t="s">
        <v>333</v>
      </c>
      <c r="B18" s="214">
        <f t="shared" si="2"/>
        <v>9</v>
      </c>
      <c r="C18" s="42">
        <f t="shared" si="3"/>
        <v>6.6650644551654752</v>
      </c>
      <c r="D18" s="1059">
        <f t="shared" si="4"/>
        <v>3.3082769422009379</v>
      </c>
      <c r="E18" s="586">
        <f t="shared" si="1"/>
        <v>770.33031488303311</v>
      </c>
      <c r="F18" s="449">
        <v>406.94442560705602</v>
      </c>
      <c r="G18" s="440">
        <v>311.34751884557699</v>
      </c>
      <c r="H18" s="439">
        <v>52.038370430400001</v>
      </c>
      <c r="I18" s="118"/>
      <c r="J18" s="452">
        <v>1.78</v>
      </c>
      <c r="K18" s="451">
        <v>1.8</v>
      </c>
      <c r="L18" s="890">
        <v>1.9</v>
      </c>
      <c r="M18" s="118"/>
      <c r="N18" s="904">
        <f t="shared" si="5"/>
        <v>428.97992364328798</v>
      </c>
      <c r="O18" s="642">
        <v>228.62046382418899</v>
      </c>
      <c r="P18" s="439">
        <v>172.970843803099</v>
      </c>
      <c r="Q18" s="438">
        <v>27.388616016</v>
      </c>
      <c r="R18" s="31"/>
    </row>
    <row r="19" spans="1:18" ht="19.5" thickBot="1" x14ac:dyDescent="0.35">
      <c r="A19" s="87" t="s">
        <v>96</v>
      </c>
      <c r="B19" s="214">
        <f t="shared" si="2"/>
        <v>27</v>
      </c>
      <c r="C19" s="42">
        <f t="shared" si="3"/>
        <v>3.6094088780762541</v>
      </c>
      <c r="D19" s="1059">
        <f t="shared" si="4"/>
        <v>1.7915691958628728</v>
      </c>
      <c r="E19" s="586">
        <f t="shared" si="1"/>
        <v>25.518389317875201</v>
      </c>
      <c r="F19" s="448">
        <v>25.518389317875201</v>
      </c>
      <c r="G19" s="437">
        <v>0</v>
      </c>
      <c r="H19" s="436">
        <v>0</v>
      </c>
      <c r="I19" s="46"/>
      <c r="J19" s="50">
        <v>1.6</v>
      </c>
      <c r="K19" s="47"/>
      <c r="L19" s="889"/>
      <c r="M19" s="46"/>
      <c r="N19" s="904">
        <f t="shared" si="5"/>
        <v>16.012834879227555</v>
      </c>
      <c r="O19" s="641">
        <v>15.948993323671999</v>
      </c>
      <c r="P19" s="436">
        <v>6.3841555555555596E-2</v>
      </c>
      <c r="Q19" s="435">
        <v>0</v>
      </c>
      <c r="R19" s="31"/>
    </row>
    <row r="20" spans="1:18" ht="19.5" thickBot="1" x14ac:dyDescent="0.35">
      <c r="A20" s="184" t="s">
        <v>99</v>
      </c>
      <c r="B20" s="214">
        <f t="shared" si="2"/>
        <v>18</v>
      </c>
      <c r="C20" s="42">
        <f t="shared" si="3"/>
        <v>4.4411624389622686</v>
      </c>
      <c r="D20" s="1059">
        <f t="shared" si="4"/>
        <v>2.2044190858500818</v>
      </c>
      <c r="E20" s="586">
        <f t="shared" si="1"/>
        <v>80.758787819304032</v>
      </c>
      <c r="F20" s="448">
        <v>67.320771118976793</v>
      </c>
      <c r="G20" s="437">
        <v>7.6979444293272401</v>
      </c>
      <c r="H20" s="436">
        <v>5.7400722709999998</v>
      </c>
      <c r="I20" s="46"/>
      <c r="J20" s="50">
        <v>1.06</v>
      </c>
      <c r="K20" s="49">
        <v>1</v>
      </c>
      <c r="L20" s="888">
        <v>1</v>
      </c>
      <c r="M20" s="46"/>
      <c r="N20" s="904">
        <f t="shared" si="5"/>
        <v>76.948178133324248</v>
      </c>
      <c r="O20" s="641">
        <v>63.510161432997002</v>
      </c>
      <c r="P20" s="436">
        <v>7.6979444293272401</v>
      </c>
      <c r="Q20" s="435">
        <v>5.7400722709999998</v>
      </c>
      <c r="R20" s="31"/>
    </row>
    <row r="21" spans="1:18" ht="19.5" thickBot="1" x14ac:dyDescent="0.35">
      <c r="A21" s="184" t="s">
        <v>105</v>
      </c>
      <c r="B21" s="214">
        <f t="shared" si="2"/>
        <v>5</v>
      </c>
      <c r="C21" s="42">
        <f t="shared" si="3"/>
        <v>7.3585966636466793</v>
      </c>
      <c r="D21" s="1059">
        <f t="shared" si="4"/>
        <v>3.6525191666274228</v>
      </c>
      <c r="E21" s="586">
        <f t="shared" si="1"/>
        <v>1335.1003469351108</v>
      </c>
      <c r="F21" s="448">
        <v>1301.9929255064601</v>
      </c>
      <c r="G21" s="437">
        <v>26.1896343596507</v>
      </c>
      <c r="H21" s="436">
        <v>6.9177870690000001</v>
      </c>
      <c r="I21" s="46"/>
      <c r="J21" s="50">
        <v>1.6546696696696699</v>
      </c>
      <c r="K21" s="49">
        <v>1</v>
      </c>
      <c r="L21" s="888">
        <v>1</v>
      </c>
      <c r="M21" s="46"/>
      <c r="N21" s="904">
        <f t="shared" si="5"/>
        <v>822.19404294771766</v>
      </c>
      <c r="O21" s="641">
        <v>789.08662151906697</v>
      </c>
      <c r="P21" s="436">
        <v>26.1896343596507</v>
      </c>
      <c r="Q21" s="435">
        <v>6.9177870690000001</v>
      </c>
      <c r="R21" s="31"/>
    </row>
    <row r="22" spans="1:18" ht="19.5" thickBot="1" x14ac:dyDescent="0.35">
      <c r="A22" s="87" t="s">
        <v>92</v>
      </c>
      <c r="B22" s="214">
        <f t="shared" si="2"/>
        <v>39</v>
      </c>
      <c r="C22" s="42">
        <f t="shared" si="3"/>
        <v>1.8763705310950614</v>
      </c>
      <c r="D22" s="1059">
        <f t="shared" si="4"/>
        <v>0.93135683905295452</v>
      </c>
      <c r="E22" s="586">
        <f t="shared" si="1"/>
        <v>0.673632174601</v>
      </c>
      <c r="F22" s="448">
        <v>0.673632174601</v>
      </c>
      <c r="G22" s="437">
        <v>0</v>
      </c>
      <c r="H22" s="436">
        <v>0</v>
      </c>
      <c r="I22" s="46"/>
      <c r="J22" s="48">
        <v>1.9</v>
      </c>
      <c r="K22" s="47"/>
      <c r="L22" s="889"/>
      <c r="M22" s="46"/>
      <c r="N22" s="904">
        <f t="shared" si="5"/>
        <v>0.36914804978999999</v>
      </c>
      <c r="O22" s="643">
        <v>0.35454324979000001</v>
      </c>
      <c r="P22" s="434">
        <v>1.4604799999999999E-2</v>
      </c>
      <c r="Q22" s="433">
        <v>0</v>
      </c>
      <c r="R22" s="31"/>
    </row>
    <row r="23" spans="1:18" ht="19.5" thickBot="1" x14ac:dyDescent="0.35">
      <c r="A23" s="87" t="s">
        <v>22</v>
      </c>
      <c r="B23" s="214">
        <f t="shared" si="2"/>
        <v>44</v>
      </c>
      <c r="C23" s="42">
        <f t="shared" si="3"/>
        <v>0</v>
      </c>
      <c r="D23" s="1059">
        <f t="shared" si="4"/>
        <v>0</v>
      </c>
      <c r="E23" s="586">
        <f t="shared" si="1"/>
        <v>0</v>
      </c>
      <c r="F23" s="448">
        <v>0</v>
      </c>
      <c r="G23" s="437">
        <v>0</v>
      </c>
      <c r="H23" s="436">
        <v>0</v>
      </c>
      <c r="I23" s="46"/>
      <c r="J23" s="48"/>
      <c r="K23" s="47"/>
      <c r="L23" s="889"/>
      <c r="M23" s="46"/>
      <c r="N23" s="904"/>
      <c r="O23" s="643">
        <v>0</v>
      </c>
      <c r="P23" s="434">
        <v>0</v>
      </c>
      <c r="Q23" s="433">
        <v>0</v>
      </c>
      <c r="R23" s="31"/>
    </row>
    <row r="24" spans="1:18" ht="19.5" thickBot="1" x14ac:dyDescent="0.35">
      <c r="A24" s="87" t="s">
        <v>13</v>
      </c>
      <c r="B24" s="214">
        <f t="shared" si="2"/>
        <v>44</v>
      </c>
      <c r="C24" s="42">
        <f t="shared" si="3"/>
        <v>0</v>
      </c>
      <c r="D24" s="1059">
        <f t="shared" si="4"/>
        <v>0</v>
      </c>
      <c r="E24" s="586">
        <f t="shared" si="1"/>
        <v>0</v>
      </c>
      <c r="F24" s="448">
        <v>0</v>
      </c>
      <c r="G24" s="437">
        <v>0</v>
      </c>
      <c r="H24" s="436">
        <v>0</v>
      </c>
      <c r="I24" s="46"/>
      <c r="J24" s="48"/>
      <c r="K24" s="47"/>
      <c r="L24" s="889"/>
      <c r="M24" s="46"/>
      <c r="N24" s="904">
        <f t="shared" si="5"/>
        <v>4.4099999999999999E-3</v>
      </c>
      <c r="O24" s="643">
        <v>0</v>
      </c>
      <c r="P24" s="434">
        <v>4.4099999999999999E-3</v>
      </c>
      <c r="Q24" s="433">
        <v>0</v>
      </c>
      <c r="R24" s="31"/>
    </row>
    <row r="25" spans="1:18" ht="19.5" thickBot="1" x14ac:dyDescent="0.35">
      <c r="A25" s="87" t="s">
        <v>6</v>
      </c>
      <c r="B25" s="214">
        <f t="shared" si="2"/>
        <v>42</v>
      </c>
      <c r="C25" s="42">
        <f t="shared" si="3"/>
        <v>1.3637010661504583</v>
      </c>
      <c r="D25" s="1059">
        <f t="shared" si="4"/>
        <v>0.67688779659196685</v>
      </c>
      <c r="E25" s="586">
        <f t="shared" si="1"/>
        <v>0.1144</v>
      </c>
      <c r="F25" s="448">
        <v>0</v>
      </c>
      <c r="G25" s="437">
        <v>0.1144</v>
      </c>
      <c r="H25" s="436">
        <v>0</v>
      </c>
      <c r="I25" s="46"/>
      <c r="J25" s="50">
        <v>0.5</v>
      </c>
      <c r="K25" s="49">
        <v>0.7</v>
      </c>
      <c r="L25" s="888">
        <v>0.5</v>
      </c>
      <c r="M25" s="46"/>
      <c r="N25" s="904">
        <f t="shared" si="5"/>
        <v>0.16342857142857101</v>
      </c>
      <c r="O25" s="643">
        <v>0</v>
      </c>
      <c r="P25" s="434">
        <v>0.16342857142857101</v>
      </c>
      <c r="Q25" s="433">
        <v>0</v>
      </c>
      <c r="R25" s="31"/>
    </row>
    <row r="26" spans="1:18" ht="19.5" thickBot="1" x14ac:dyDescent="0.35">
      <c r="A26" s="87" t="s">
        <v>16</v>
      </c>
      <c r="B26" s="214">
        <f t="shared" si="2"/>
        <v>43</v>
      </c>
      <c r="C26" s="42">
        <f t="shared" si="3"/>
        <v>0.83351239774091856</v>
      </c>
      <c r="D26" s="1059">
        <f t="shared" si="4"/>
        <v>0.41372290771289127</v>
      </c>
      <c r="E26" s="586">
        <f t="shared" si="1"/>
        <v>7.4235000000000004E-3</v>
      </c>
      <c r="F26" s="449">
        <v>0</v>
      </c>
      <c r="G26" s="440">
        <v>7.4235000000000004E-3</v>
      </c>
      <c r="H26" s="439">
        <v>0</v>
      </c>
      <c r="I26" s="118"/>
      <c r="J26" s="452">
        <v>0.5</v>
      </c>
      <c r="K26" s="451">
        <v>0.7</v>
      </c>
      <c r="L26" s="890">
        <v>0.5</v>
      </c>
      <c r="M26" s="118"/>
      <c r="N26" s="904">
        <f t="shared" si="5"/>
        <v>1.0605E-2</v>
      </c>
      <c r="O26" s="644">
        <v>0</v>
      </c>
      <c r="P26" s="442">
        <v>1.0605E-2</v>
      </c>
      <c r="Q26" s="441">
        <v>0</v>
      </c>
      <c r="R26" s="31"/>
    </row>
    <row r="27" spans="1:18" ht="19.5" thickBot="1" x14ac:dyDescent="0.35">
      <c r="A27" s="184" t="s">
        <v>106</v>
      </c>
      <c r="B27" s="214">
        <f t="shared" si="2"/>
        <v>21</v>
      </c>
      <c r="C27" s="42">
        <f t="shared" si="3"/>
        <v>4.2782868806890608</v>
      </c>
      <c r="D27" s="1059">
        <f t="shared" si="4"/>
        <v>2.1235740381377894</v>
      </c>
      <c r="E27" s="586">
        <f t="shared" si="1"/>
        <v>65.620744169802606</v>
      </c>
      <c r="F27" s="448">
        <v>65.620744169802606</v>
      </c>
      <c r="G27" s="437">
        <v>0</v>
      </c>
      <c r="H27" s="436">
        <v>0</v>
      </c>
      <c r="I27" s="46"/>
      <c r="J27" s="50">
        <v>1.476923076923077</v>
      </c>
      <c r="K27" s="47"/>
      <c r="L27" s="889"/>
      <c r="M27" s="46"/>
      <c r="N27" s="904">
        <f t="shared" si="5"/>
        <v>44.376354940986282</v>
      </c>
      <c r="O27" s="641">
        <v>44.338340655271999</v>
      </c>
      <c r="P27" s="436">
        <v>3.8014285714285702E-2</v>
      </c>
      <c r="Q27" s="435">
        <v>0</v>
      </c>
      <c r="R27" s="31"/>
    </row>
    <row r="28" spans="1:18" ht="19.5" thickBot="1" x14ac:dyDescent="0.35">
      <c r="A28" s="184" t="s">
        <v>23</v>
      </c>
      <c r="B28" s="214">
        <f t="shared" si="2"/>
        <v>44</v>
      </c>
      <c r="C28" s="42">
        <f t="shared" si="3"/>
        <v>0</v>
      </c>
      <c r="D28" s="1059">
        <f t="shared" si="4"/>
        <v>0</v>
      </c>
      <c r="E28" s="586">
        <f t="shared" si="1"/>
        <v>0</v>
      </c>
      <c r="F28" s="448">
        <v>0</v>
      </c>
      <c r="G28" s="437">
        <v>0</v>
      </c>
      <c r="H28" s="436">
        <v>0</v>
      </c>
      <c r="I28" s="46"/>
      <c r="J28" s="50"/>
      <c r="K28" s="49">
        <v>0.7</v>
      </c>
      <c r="L28" s="888">
        <v>0.5</v>
      </c>
      <c r="M28" s="46"/>
      <c r="N28" s="904">
        <f t="shared" si="5"/>
        <v>0</v>
      </c>
      <c r="O28" s="643">
        <v>0</v>
      </c>
      <c r="P28" s="434">
        <v>0</v>
      </c>
      <c r="Q28" s="433">
        <v>0</v>
      </c>
      <c r="R28" s="31"/>
    </row>
    <row r="29" spans="1:18" ht="19.5" thickBot="1" x14ac:dyDescent="0.35">
      <c r="A29" s="184" t="s">
        <v>330</v>
      </c>
      <c r="B29" s="214">
        <f t="shared" si="2"/>
        <v>12</v>
      </c>
      <c r="C29" s="42">
        <f t="shared" si="3"/>
        <v>5.5407256284111082</v>
      </c>
      <c r="D29" s="1059">
        <f t="shared" si="4"/>
        <v>2.7501991860451076</v>
      </c>
      <c r="E29" s="586">
        <f t="shared" si="1"/>
        <v>276.00181626308199</v>
      </c>
      <c r="F29" s="448">
        <v>276.00181626308199</v>
      </c>
      <c r="G29" s="437">
        <v>0</v>
      </c>
      <c r="H29" s="436">
        <v>0</v>
      </c>
      <c r="I29" s="46"/>
      <c r="J29" s="50">
        <v>1.1299999999999999</v>
      </c>
      <c r="K29" s="47"/>
      <c r="L29" s="889"/>
      <c r="M29" s="46"/>
      <c r="N29" s="904">
        <f t="shared" si="5"/>
        <v>244.33844358379531</v>
      </c>
      <c r="O29" s="641">
        <v>244.24939492308101</v>
      </c>
      <c r="P29" s="436">
        <v>8.9048660714285702E-2</v>
      </c>
      <c r="Q29" s="435">
        <v>0</v>
      </c>
      <c r="R29" s="31"/>
    </row>
    <row r="30" spans="1:18" ht="19.5" thickBot="1" x14ac:dyDescent="0.35">
      <c r="A30" s="184" t="s">
        <v>107</v>
      </c>
      <c r="B30" s="214">
        <f t="shared" si="2"/>
        <v>29</v>
      </c>
      <c r="C30" s="42">
        <f t="shared" si="3"/>
        <v>3.2990870779938382</v>
      </c>
      <c r="D30" s="1059">
        <f t="shared" si="4"/>
        <v>1.637537608804581</v>
      </c>
      <c r="E30" s="586">
        <f t="shared" si="1"/>
        <v>15.486439230383001</v>
      </c>
      <c r="F30" s="448">
        <v>15.486439230383001</v>
      </c>
      <c r="G30" s="437">
        <v>0</v>
      </c>
      <c r="H30" s="436">
        <v>0</v>
      </c>
      <c r="I30" s="46"/>
      <c r="J30" s="50">
        <v>0.90936170212765954</v>
      </c>
      <c r="K30" s="47"/>
      <c r="L30" s="889"/>
      <c r="M30" s="46"/>
      <c r="N30" s="904">
        <f t="shared" si="5"/>
        <v>17.18100449511266</v>
      </c>
      <c r="O30" s="641">
        <v>17.018065088333</v>
      </c>
      <c r="P30" s="436">
        <v>0.16293940677966101</v>
      </c>
      <c r="Q30" s="435">
        <v>0</v>
      </c>
      <c r="R30" s="31"/>
    </row>
    <row r="31" spans="1:18" ht="19.5" thickBot="1" x14ac:dyDescent="0.35">
      <c r="A31" s="184" t="s">
        <v>100</v>
      </c>
      <c r="B31" s="214">
        <f t="shared" si="2"/>
        <v>17</v>
      </c>
      <c r="C31" s="42">
        <f t="shared" si="3"/>
        <v>4.4892936782077753</v>
      </c>
      <c r="D31" s="1059">
        <f t="shared" si="4"/>
        <v>2.2283095478353463</v>
      </c>
      <c r="E31" s="586">
        <f t="shared" si="1"/>
        <v>85.742736434811405</v>
      </c>
      <c r="F31" s="449">
        <v>85.742736434811405</v>
      </c>
      <c r="G31" s="440">
        <v>0</v>
      </c>
      <c r="H31" s="439">
        <v>0</v>
      </c>
      <c r="I31" s="118"/>
      <c r="J31" s="452">
        <v>1.3667590027700829</v>
      </c>
      <c r="K31" s="453"/>
      <c r="L31" s="891"/>
      <c r="M31" s="118"/>
      <c r="N31" s="904">
        <f t="shared" si="5"/>
        <v>62.767207185330186</v>
      </c>
      <c r="O31" s="642">
        <v>62.585939003512003</v>
      </c>
      <c r="P31" s="439">
        <v>0.18126818181818199</v>
      </c>
      <c r="Q31" s="438">
        <v>0</v>
      </c>
      <c r="R31" s="31"/>
    </row>
    <row r="32" spans="1:18" ht="19.5" thickBot="1" x14ac:dyDescent="0.35">
      <c r="A32" s="184" t="s">
        <v>101</v>
      </c>
      <c r="B32" s="214">
        <f t="shared" si="2"/>
        <v>33</v>
      </c>
      <c r="C32" s="42">
        <f t="shared" si="3"/>
        <v>2.6169088225099846</v>
      </c>
      <c r="D32" s="1059">
        <f t="shared" si="4"/>
        <v>1.2989310419409961</v>
      </c>
      <c r="E32" s="586">
        <f t="shared" si="1"/>
        <v>4.275962276684</v>
      </c>
      <c r="F32" s="448">
        <v>4.275962276684</v>
      </c>
      <c r="G32" s="437">
        <v>0</v>
      </c>
      <c r="H32" s="436">
        <v>0</v>
      </c>
      <c r="I32" s="46"/>
      <c r="J32" s="48">
        <v>1</v>
      </c>
      <c r="K32" s="47"/>
      <c r="L32" s="889"/>
      <c r="M32" s="46"/>
      <c r="N32" s="904">
        <f t="shared" si="5"/>
        <v>4.5835904936551861</v>
      </c>
      <c r="O32" s="643">
        <v>4.275962276684</v>
      </c>
      <c r="P32" s="434">
        <v>0.30762821697118597</v>
      </c>
      <c r="Q32" s="433">
        <v>0</v>
      </c>
      <c r="R32" s="31"/>
    </row>
    <row r="33" spans="1:18" ht="19.5" thickBot="1" x14ac:dyDescent="0.35">
      <c r="A33" s="184" t="s">
        <v>108</v>
      </c>
      <c r="B33" s="214">
        <f t="shared" si="2"/>
        <v>26</v>
      </c>
      <c r="C33" s="42">
        <f t="shared" si="3"/>
        <v>3.7383590120243206</v>
      </c>
      <c r="D33" s="1059">
        <f t="shared" si="4"/>
        <v>1.8555749917113271</v>
      </c>
      <c r="E33" s="586">
        <f t="shared" si="1"/>
        <v>31.0132501296656</v>
      </c>
      <c r="F33" s="448">
        <v>31.0132501296656</v>
      </c>
      <c r="G33" s="437">
        <v>0</v>
      </c>
      <c r="H33" s="436">
        <v>0</v>
      </c>
      <c r="I33" s="46"/>
      <c r="J33" s="50">
        <v>1.6</v>
      </c>
      <c r="K33" s="47"/>
      <c r="L33" s="889"/>
      <c r="M33" s="46"/>
      <c r="N33" s="904">
        <f t="shared" si="5"/>
        <v>19.383281331041001</v>
      </c>
      <c r="O33" s="641">
        <v>19.383281331041001</v>
      </c>
      <c r="P33" s="436">
        <v>0</v>
      </c>
      <c r="Q33" s="435">
        <v>0</v>
      </c>
      <c r="R33" s="31"/>
    </row>
    <row r="34" spans="1:18" ht="19.5" thickBot="1" x14ac:dyDescent="0.35">
      <c r="A34" s="184" t="s">
        <v>258</v>
      </c>
      <c r="B34" s="214">
        <f t="shared" si="2"/>
        <v>23</v>
      </c>
      <c r="C34" s="42">
        <f t="shared" si="3"/>
        <v>4.09448469339734</v>
      </c>
      <c r="D34" s="1059">
        <f t="shared" si="4"/>
        <v>2.0323418314226629</v>
      </c>
      <c r="E34" s="586">
        <f t="shared" si="1"/>
        <v>51.415384794402698</v>
      </c>
      <c r="F34" s="449">
        <v>35.056659589637398</v>
      </c>
      <c r="G34" s="440">
        <v>11.5869817871653</v>
      </c>
      <c r="H34" s="439">
        <v>4.7717434175999998</v>
      </c>
      <c r="I34" s="118"/>
      <c r="J34" s="452">
        <v>1.1916528925619834</v>
      </c>
      <c r="K34" s="451">
        <v>0.8</v>
      </c>
      <c r="L34" s="890">
        <v>0.8</v>
      </c>
      <c r="M34" s="118"/>
      <c r="N34" s="904">
        <f t="shared" si="5"/>
        <v>49.907784312374602</v>
      </c>
      <c r="O34" s="642">
        <v>29.459377806418001</v>
      </c>
      <c r="P34" s="439">
        <v>14.4837272339566</v>
      </c>
      <c r="Q34" s="438">
        <v>5.9646792719999997</v>
      </c>
      <c r="R34" s="31"/>
    </row>
    <row r="35" spans="1:18" ht="19.5" thickBot="1" x14ac:dyDescent="0.35">
      <c r="A35" s="184" t="s">
        <v>245</v>
      </c>
      <c r="B35" s="214">
        <f t="shared" si="2"/>
        <v>24</v>
      </c>
      <c r="C35" s="42">
        <f t="shared" si="3"/>
        <v>3.9608130045718664</v>
      </c>
      <c r="D35" s="1059">
        <f t="shared" si="4"/>
        <v>1.9659924406641613</v>
      </c>
      <c r="E35" s="586">
        <f t="shared" si="1"/>
        <v>42.7572969825478</v>
      </c>
      <c r="F35" s="448">
        <v>42.7572969825478</v>
      </c>
      <c r="G35" s="437">
        <v>0</v>
      </c>
      <c r="H35" s="436">
        <v>0</v>
      </c>
      <c r="I35" s="46"/>
      <c r="J35" s="50">
        <v>1.138175046554935</v>
      </c>
      <c r="K35" s="47"/>
      <c r="L35" s="892">
        <v>0.75</v>
      </c>
      <c r="M35" s="46"/>
      <c r="N35" s="904">
        <f t="shared" si="5"/>
        <v>37.528842561884005</v>
      </c>
      <c r="O35" s="641">
        <v>37.506400861884003</v>
      </c>
      <c r="P35" s="436">
        <v>2.2441699999999998E-2</v>
      </c>
      <c r="Q35" s="435">
        <v>0</v>
      </c>
      <c r="R35" s="31"/>
    </row>
    <row r="36" spans="1:18" ht="19.5" thickBot="1" x14ac:dyDescent="0.35">
      <c r="A36" s="184" t="s">
        <v>347</v>
      </c>
      <c r="B36" s="214">
        <f t="shared" si="2"/>
        <v>44</v>
      </c>
      <c r="C36" s="42">
        <f t="shared" si="3"/>
        <v>0</v>
      </c>
      <c r="D36" s="1059">
        <f t="shared" si="4"/>
        <v>0</v>
      </c>
      <c r="E36" s="586">
        <f t="shared" si="1"/>
        <v>0</v>
      </c>
      <c r="F36" s="448">
        <v>0</v>
      </c>
      <c r="G36" s="437">
        <v>0</v>
      </c>
      <c r="H36" s="436">
        <v>0</v>
      </c>
      <c r="I36" s="46"/>
      <c r="J36" s="50"/>
      <c r="K36" s="47"/>
      <c r="L36" s="892"/>
      <c r="M36" s="46"/>
      <c r="N36" s="904"/>
      <c r="O36" s="641">
        <v>17.69494642203</v>
      </c>
      <c r="P36" s="436">
        <v>0</v>
      </c>
      <c r="Q36" s="435">
        <v>0</v>
      </c>
      <c r="R36" s="31"/>
    </row>
    <row r="37" spans="1:18" ht="19.5" thickBot="1" x14ac:dyDescent="0.35">
      <c r="A37" s="87" t="s">
        <v>89</v>
      </c>
      <c r="B37" s="214">
        <f t="shared" si="2"/>
        <v>1</v>
      </c>
      <c r="C37" s="42">
        <f t="shared" si="3"/>
        <v>10</v>
      </c>
      <c r="D37" s="1059">
        <f t="shared" si="4"/>
        <v>4.9636083258534702</v>
      </c>
      <c r="E37" s="586">
        <f t="shared" si="1"/>
        <v>7337.39147731922</v>
      </c>
      <c r="F37" s="448">
        <v>4100.0422491192903</v>
      </c>
      <c r="G37" s="437">
        <v>1709.78939576993</v>
      </c>
      <c r="H37" s="436">
        <v>1527.5598324299999</v>
      </c>
      <c r="I37" s="46"/>
      <c r="J37" s="50">
        <v>1.9669477982954542</v>
      </c>
      <c r="K37" s="49">
        <v>2</v>
      </c>
      <c r="L37" s="888">
        <v>2</v>
      </c>
      <c r="M37" s="46"/>
      <c r="N37" s="904">
        <f t="shared" si="5"/>
        <v>3699.9143344650861</v>
      </c>
      <c r="O37" s="641">
        <v>2081.2397203651199</v>
      </c>
      <c r="P37" s="436">
        <v>854.89469788496604</v>
      </c>
      <c r="Q37" s="435">
        <v>763.77991621499996</v>
      </c>
      <c r="R37" s="31"/>
    </row>
    <row r="38" spans="1:18" ht="19.5" thickBot="1" x14ac:dyDescent="0.35">
      <c r="A38" s="88" t="s">
        <v>97</v>
      </c>
      <c r="B38" s="214">
        <f t="shared" si="2"/>
        <v>40</v>
      </c>
      <c r="C38" s="42">
        <f t="shared" si="3"/>
        <v>1.6086065735683588</v>
      </c>
      <c r="D38" s="1059">
        <f t="shared" si="4"/>
        <v>0.79844929815865284</v>
      </c>
      <c r="E38" s="586">
        <f t="shared" si="1"/>
        <v>0.286371428571429</v>
      </c>
      <c r="F38" s="448">
        <v>0</v>
      </c>
      <c r="G38" s="437">
        <v>0.286371428571429</v>
      </c>
      <c r="H38" s="436">
        <v>0</v>
      </c>
      <c r="I38" s="46"/>
      <c r="J38" s="48"/>
      <c r="K38" s="49">
        <v>0.5</v>
      </c>
      <c r="L38" s="889"/>
      <c r="M38" s="46"/>
      <c r="N38" s="904">
        <f t="shared" si="5"/>
        <v>0.572742857142857</v>
      </c>
      <c r="O38" s="643">
        <v>0</v>
      </c>
      <c r="P38" s="434">
        <v>0.572742857142857</v>
      </c>
      <c r="Q38" s="433">
        <v>0</v>
      </c>
      <c r="R38" s="31"/>
    </row>
    <row r="39" spans="1:18" ht="19.5" thickBot="1" x14ac:dyDescent="0.35">
      <c r="A39" s="87" t="s">
        <v>86</v>
      </c>
      <c r="B39" s="214">
        <f t="shared" si="2"/>
        <v>44</v>
      </c>
      <c r="C39" s="42">
        <f t="shared" si="3"/>
        <v>0</v>
      </c>
      <c r="D39" s="1059">
        <f t="shared" si="4"/>
        <v>0</v>
      </c>
      <c r="E39" s="586">
        <f t="shared" si="1"/>
        <v>0</v>
      </c>
      <c r="F39" s="448">
        <v>0</v>
      </c>
      <c r="G39" s="437">
        <v>0</v>
      </c>
      <c r="H39" s="436">
        <v>0</v>
      </c>
      <c r="I39" s="46"/>
      <c r="J39" s="48"/>
      <c r="K39" s="47"/>
      <c r="L39" s="889"/>
      <c r="M39" s="46"/>
      <c r="N39" s="904">
        <f t="shared" si="5"/>
        <v>0</v>
      </c>
      <c r="O39" s="643">
        <v>0</v>
      </c>
      <c r="P39" s="434">
        <v>0</v>
      </c>
      <c r="Q39" s="433">
        <v>0</v>
      </c>
      <c r="R39" s="31"/>
    </row>
    <row r="40" spans="1:18" ht="19.5" thickBot="1" x14ac:dyDescent="0.35">
      <c r="A40" s="184" t="s">
        <v>109</v>
      </c>
      <c r="B40" s="214">
        <f t="shared" si="2"/>
        <v>13</v>
      </c>
      <c r="C40" s="42">
        <f t="shared" si="3"/>
        <v>5.489187628937751</v>
      </c>
      <c r="D40" s="1059">
        <f t="shared" si="4"/>
        <v>2.7246177417167292</v>
      </c>
      <c r="E40" s="586">
        <f t="shared" si="1"/>
        <v>262.0380354508867</v>
      </c>
      <c r="F40" s="448">
        <v>261.99978478422003</v>
      </c>
      <c r="G40" s="437">
        <v>3.8250666666666697E-2</v>
      </c>
      <c r="H40" s="436">
        <v>0</v>
      </c>
      <c r="I40" s="46"/>
      <c r="J40" s="50">
        <v>1.1553153153153153</v>
      </c>
      <c r="K40" s="47">
        <v>0.8</v>
      </c>
      <c r="L40" s="889"/>
      <c r="M40" s="46"/>
      <c r="N40" s="904">
        <f t="shared" si="5"/>
        <v>225.90969676800532</v>
      </c>
      <c r="O40" s="641">
        <v>225.861883434672</v>
      </c>
      <c r="P40" s="436">
        <v>4.7813333333333298E-2</v>
      </c>
      <c r="Q40" s="435">
        <v>0</v>
      </c>
      <c r="R40" s="31"/>
    </row>
    <row r="41" spans="1:18" ht="19.5" thickBot="1" x14ac:dyDescent="0.35">
      <c r="A41" s="87" t="s">
        <v>93</v>
      </c>
      <c r="B41" s="214">
        <f t="shared" si="2"/>
        <v>37</v>
      </c>
      <c r="C41" s="42">
        <f t="shared" si="3"/>
        <v>2.1475626147451341</v>
      </c>
      <c r="D41" s="1059">
        <f t="shared" si="4"/>
        <v>1.0659659674840596</v>
      </c>
      <c r="E41" s="586">
        <f t="shared" ref="E41:E71" si="6">SUM(F41:H41)</f>
        <v>1.4260332882857141</v>
      </c>
      <c r="F41" s="449">
        <v>0</v>
      </c>
      <c r="G41" s="440">
        <v>0.19403196428571401</v>
      </c>
      <c r="H41" s="439">
        <v>1.2320013240000001</v>
      </c>
      <c r="I41" s="118"/>
      <c r="J41" s="452"/>
      <c r="K41" s="451">
        <v>0.5</v>
      </c>
      <c r="L41" s="890">
        <v>0.6</v>
      </c>
      <c r="M41" s="118"/>
      <c r="N41" s="904">
        <f t="shared" si="5"/>
        <v>2.4413994685714289</v>
      </c>
      <c r="O41" s="644">
        <v>0</v>
      </c>
      <c r="P41" s="442">
        <v>0.38806392857142902</v>
      </c>
      <c r="Q41" s="441">
        <v>2.05333554</v>
      </c>
      <c r="R41" s="31"/>
    </row>
    <row r="42" spans="1:18" ht="19.5" thickBot="1" x14ac:dyDescent="0.35">
      <c r="A42" s="87" t="s">
        <v>17</v>
      </c>
      <c r="B42" s="214">
        <f t="shared" si="2"/>
        <v>44</v>
      </c>
      <c r="C42" s="42">
        <f t="shared" si="3"/>
        <v>0</v>
      </c>
      <c r="D42" s="1059">
        <f t="shared" si="4"/>
        <v>0</v>
      </c>
      <c r="E42" s="586">
        <f t="shared" si="6"/>
        <v>0</v>
      </c>
      <c r="F42" s="448">
        <v>0</v>
      </c>
      <c r="G42" s="437">
        <v>0</v>
      </c>
      <c r="H42" s="436">
        <v>0</v>
      </c>
      <c r="I42" s="46"/>
      <c r="J42" s="48"/>
      <c r="K42" s="47"/>
      <c r="L42" s="889"/>
      <c r="M42" s="46"/>
      <c r="N42" s="904">
        <f t="shared" si="5"/>
        <v>0</v>
      </c>
      <c r="O42" s="643">
        <v>0</v>
      </c>
      <c r="P42" s="434">
        <v>0</v>
      </c>
      <c r="Q42" s="433">
        <v>0</v>
      </c>
      <c r="R42" s="31"/>
    </row>
    <row r="43" spans="1:18" ht="19.5" thickBot="1" x14ac:dyDescent="0.35">
      <c r="A43" s="184" t="s">
        <v>110</v>
      </c>
      <c r="B43" s="214">
        <f t="shared" si="2"/>
        <v>16</v>
      </c>
      <c r="C43" s="42">
        <f t="shared" si="3"/>
        <v>4.6676051953440671</v>
      </c>
      <c r="D43" s="1059">
        <f t="shared" si="4"/>
        <v>2.3168164009406724</v>
      </c>
      <c r="E43" s="586">
        <f t="shared" si="6"/>
        <v>106.45735232864848</v>
      </c>
      <c r="F43" s="448">
        <v>104.436186212474</v>
      </c>
      <c r="G43" s="437">
        <v>2.02116611617449</v>
      </c>
      <c r="H43" s="436">
        <v>0</v>
      </c>
      <c r="I43" s="46"/>
      <c r="J43" s="50">
        <v>0.8171940298507463</v>
      </c>
      <c r="K43" s="44">
        <v>0.5</v>
      </c>
      <c r="L43" s="889"/>
      <c r="M43" s="46"/>
      <c r="N43" s="904">
        <f t="shared" si="5"/>
        <v>131.40353493048798</v>
      </c>
      <c r="O43" s="641">
        <v>127.361202698139</v>
      </c>
      <c r="P43" s="436">
        <v>4.0423322323489801</v>
      </c>
      <c r="Q43" s="435">
        <v>0</v>
      </c>
      <c r="R43" s="31"/>
    </row>
    <row r="44" spans="1:18" ht="19.5" thickBot="1" x14ac:dyDescent="0.35">
      <c r="A44" s="184" t="s">
        <v>249</v>
      </c>
      <c r="B44" s="214">
        <f t="shared" si="2"/>
        <v>32</v>
      </c>
      <c r="C44" s="42">
        <f t="shared" si="3"/>
        <v>2.7461000527396506</v>
      </c>
      <c r="D44" s="1059">
        <f t="shared" si="4"/>
        <v>1.3630565085405184</v>
      </c>
      <c r="E44" s="586">
        <f t="shared" si="6"/>
        <v>5.5885511079060004</v>
      </c>
      <c r="F44" s="448">
        <v>5.5885511079060004</v>
      </c>
      <c r="G44" s="437">
        <v>0</v>
      </c>
      <c r="H44" s="436">
        <v>0</v>
      </c>
      <c r="I44" s="46"/>
      <c r="J44" s="50">
        <v>0.3</v>
      </c>
      <c r="K44" s="47"/>
      <c r="L44" s="889"/>
      <c r="M44" s="46"/>
      <c r="N44" s="904">
        <f t="shared" si="5"/>
        <v>18.695486861020001</v>
      </c>
      <c r="O44" s="643">
        <v>18.628503693020001</v>
      </c>
      <c r="P44" s="434">
        <v>6.6983167999999996E-2</v>
      </c>
      <c r="Q44" s="433">
        <v>0</v>
      </c>
      <c r="R44" s="31"/>
    </row>
    <row r="45" spans="1:18" ht="19.5" thickBot="1" x14ac:dyDescent="0.35">
      <c r="A45" s="87" t="s">
        <v>7</v>
      </c>
      <c r="B45" s="214">
        <f t="shared" si="2"/>
        <v>28</v>
      </c>
      <c r="C45" s="42">
        <f t="shared" si="3"/>
        <v>3.4393268323190775</v>
      </c>
      <c r="D45" s="1059">
        <f t="shared" si="4"/>
        <v>1.7071471300230214</v>
      </c>
      <c r="E45" s="586">
        <f t="shared" si="6"/>
        <v>19.516151434966041</v>
      </c>
      <c r="F45" s="448">
        <v>9.0343067064617397</v>
      </c>
      <c r="G45" s="437">
        <v>10.481844728504299</v>
      </c>
      <c r="H45" s="436">
        <v>0</v>
      </c>
      <c r="I45" s="46"/>
      <c r="J45" s="50">
        <v>0.62444444444444458</v>
      </c>
      <c r="K45" s="49">
        <v>0.7</v>
      </c>
      <c r="L45" s="888">
        <v>0.5</v>
      </c>
      <c r="M45" s="46"/>
      <c r="N45" s="904">
        <f t="shared" si="5"/>
        <v>29.5455263276402</v>
      </c>
      <c r="O45" s="643">
        <v>14.571462429777</v>
      </c>
      <c r="P45" s="434">
        <v>14.9740638978632</v>
      </c>
      <c r="Q45" s="433">
        <v>0</v>
      </c>
      <c r="R45" s="31"/>
    </row>
    <row r="46" spans="1:18" ht="19.5" thickBot="1" x14ac:dyDescent="0.35">
      <c r="A46" s="184" t="s">
        <v>111</v>
      </c>
      <c r="B46" s="214">
        <f t="shared" si="2"/>
        <v>20</v>
      </c>
      <c r="C46" s="42">
        <f t="shared" si="3"/>
        <v>4.3662328149163532</v>
      </c>
      <c r="D46" s="1059">
        <f t="shared" si="4"/>
        <v>2.1672269552733447</v>
      </c>
      <c r="E46" s="586">
        <f t="shared" si="6"/>
        <v>73.474310697631807</v>
      </c>
      <c r="F46" s="448">
        <v>39.047939425560301</v>
      </c>
      <c r="G46" s="437">
        <v>26.6497900230715</v>
      </c>
      <c r="H46" s="436">
        <v>7.7765812490000004</v>
      </c>
      <c r="I46" s="46"/>
      <c r="J46" s="50">
        <v>0.82000000000000006</v>
      </c>
      <c r="K46" s="49">
        <v>1</v>
      </c>
      <c r="L46" s="888">
        <v>1</v>
      </c>
      <c r="M46" s="46"/>
      <c r="N46" s="904">
        <f t="shared" si="5"/>
        <v>82.045809595925505</v>
      </c>
      <c r="O46" s="641">
        <v>47.619438323853998</v>
      </c>
      <c r="P46" s="436">
        <v>26.6497900230715</v>
      </c>
      <c r="Q46" s="435">
        <v>7.7765812490000004</v>
      </c>
      <c r="R46" s="31"/>
    </row>
    <row r="47" spans="1:18" ht="19.5" thickBot="1" x14ac:dyDescent="0.35">
      <c r="A47" s="184" t="s">
        <v>112</v>
      </c>
      <c r="B47" s="214">
        <f t="shared" si="2"/>
        <v>44</v>
      </c>
      <c r="C47" s="42">
        <f t="shared" si="3"/>
        <v>0</v>
      </c>
      <c r="D47" s="1059">
        <f t="shared" si="4"/>
        <v>0</v>
      </c>
      <c r="E47" s="586">
        <f t="shared" si="6"/>
        <v>0</v>
      </c>
      <c r="F47" s="448">
        <v>0</v>
      </c>
      <c r="G47" s="437">
        <v>0</v>
      </c>
      <c r="H47" s="436">
        <v>0</v>
      </c>
      <c r="I47" s="46"/>
      <c r="J47" s="50">
        <v>0.8</v>
      </c>
      <c r="K47" s="47"/>
      <c r="L47" s="889"/>
      <c r="M47" s="46"/>
      <c r="N47" s="904">
        <f t="shared" si="5"/>
        <v>1.31235555555556E-2</v>
      </c>
      <c r="O47" s="643">
        <v>0</v>
      </c>
      <c r="P47" s="434">
        <v>1.31235555555556E-2</v>
      </c>
      <c r="Q47" s="433">
        <v>0</v>
      </c>
      <c r="R47" s="31"/>
    </row>
    <row r="48" spans="1:18" ht="19.5" thickBot="1" x14ac:dyDescent="0.35">
      <c r="A48" s="184" t="s">
        <v>352</v>
      </c>
      <c r="B48" s="214">
        <f t="shared" si="2"/>
        <v>44</v>
      </c>
      <c r="C48" s="42">
        <f t="shared" si="3"/>
        <v>0</v>
      </c>
      <c r="D48" s="1059">
        <f t="shared" si="4"/>
        <v>0</v>
      </c>
      <c r="E48" s="586">
        <f t="shared" si="6"/>
        <v>0</v>
      </c>
      <c r="F48" s="448">
        <v>0</v>
      </c>
      <c r="G48" s="437">
        <v>0</v>
      </c>
      <c r="H48" s="436">
        <v>0</v>
      </c>
      <c r="I48" s="46"/>
      <c r="J48" s="50"/>
      <c r="K48" s="47"/>
      <c r="L48" s="889"/>
      <c r="M48" s="46"/>
      <c r="N48" s="904"/>
      <c r="O48" s="643">
        <v>0</v>
      </c>
      <c r="P48" s="434">
        <v>0.11408291497975701</v>
      </c>
      <c r="Q48" s="433">
        <v>0</v>
      </c>
      <c r="R48" s="31"/>
    </row>
    <row r="49" spans="1:18" ht="19.5" thickBot="1" x14ac:dyDescent="0.35">
      <c r="A49" s="184" t="s">
        <v>365</v>
      </c>
      <c r="B49" s="214">
        <f t="shared" si="2"/>
        <v>44</v>
      </c>
      <c r="C49" s="42">
        <f t="shared" si="3"/>
        <v>0</v>
      </c>
      <c r="D49" s="1059">
        <f t="shared" si="4"/>
        <v>0</v>
      </c>
      <c r="E49" s="586">
        <f t="shared" si="6"/>
        <v>0</v>
      </c>
      <c r="F49" s="448">
        <v>0</v>
      </c>
      <c r="G49" s="437">
        <v>0</v>
      </c>
      <c r="H49" s="436">
        <v>0</v>
      </c>
      <c r="I49" s="46"/>
      <c r="J49" s="50">
        <v>0.5</v>
      </c>
      <c r="K49" s="49">
        <v>0.7</v>
      </c>
      <c r="L49" s="888">
        <v>0.5</v>
      </c>
      <c r="M49" s="46"/>
      <c r="N49" s="904">
        <f t="shared" si="5"/>
        <v>0</v>
      </c>
      <c r="O49" s="643">
        <v>0</v>
      </c>
      <c r="P49" s="434">
        <v>0</v>
      </c>
      <c r="Q49" s="433">
        <v>0</v>
      </c>
      <c r="R49" s="31"/>
    </row>
    <row r="50" spans="1:18" ht="19.5" thickBot="1" x14ac:dyDescent="0.35">
      <c r="A50" s="184" t="s">
        <v>366</v>
      </c>
      <c r="B50" s="214">
        <f t="shared" si="2"/>
        <v>34</v>
      </c>
      <c r="C50" s="42">
        <f t="shared" si="3"/>
        <v>2.5920820881734534</v>
      </c>
      <c r="D50" s="1059">
        <f t="shared" si="4"/>
        <v>1.2866080234153403</v>
      </c>
      <c r="E50" s="586">
        <f t="shared" si="6"/>
        <v>4.0554098539595334</v>
      </c>
      <c r="F50" s="448">
        <v>3.9823975206262001</v>
      </c>
      <c r="G50" s="437">
        <v>7.3012333333333304E-2</v>
      </c>
      <c r="H50" s="436">
        <v>0</v>
      </c>
      <c r="I50" s="46"/>
      <c r="J50" s="50">
        <v>0.64799999999999991</v>
      </c>
      <c r="K50" s="49">
        <v>0.7</v>
      </c>
      <c r="L50" s="888">
        <v>0.5</v>
      </c>
      <c r="M50" s="46"/>
      <c r="N50" s="904">
        <f t="shared" si="5"/>
        <v>6.2310687496813335</v>
      </c>
      <c r="O50" s="643">
        <v>6.1267654163480003</v>
      </c>
      <c r="P50" s="434">
        <v>0.104303333333333</v>
      </c>
      <c r="Q50" s="433">
        <v>0</v>
      </c>
      <c r="R50" s="31"/>
    </row>
    <row r="51" spans="1:18" ht="19.5" thickBot="1" x14ac:dyDescent="0.35">
      <c r="A51" s="184" t="s">
        <v>353</v>
      </c>
      <c r="B51" s="214">
        <f t="shared" si="2"/>
        <v>44</v>
      </c>
      <c r="C51" s="42">
        <f t="shared" si="3"/>
        <v>0</v>
      </c>
      <c r="D51" s="1059">
        <f t="shared" si="4"/>
        <v>0</v>
      </c>
      <c r="E51" s="586">
        <f t="shared" si="6"/>
        <v>0</v>
      </c>
      <c r="F51" s="448">
        <v>0</v>
      </c>
      <c r="G51" s="437">
        <v>0</v>
      </c>
      <c r="H51" s="436">
        <v>0</v>
      </c>
      <c r="I51" s="46"/>
      <c r="J51" s="50"/>
      <c r="K51" s="49"/>
      <c r="L51" s="888"/>
      <c r="M51" s="46"/>
      <c r="N51" s="904"/>
      <c r="O51" s="643">
        <v>0</v>
      </c>
      <c r="P51" s="434">
        <v>0.22432966887400099</v>
      </c>
      <c r="Q51" s="433">
        <v>0</v>
      </c>
      <c r="R51" s="31"/>
    </row>
    <row r="52" spans="1:18" ht="19.5" thickBot="1" x14ac:dyDescent="0.35">
      <c r="A52" s="184" t="s">
        <v>354</v>
      </c>
      <c r="B52" s="214">
        <f t="shared" si="2"/>
        <v>44</v>
      </c>
      <c r="C52" s="42">
        <f t="shared" si="3"/>
        <v>0</v>
      </c>
      <c r="D52" s="1059">
        <f t="shared" si="4"/>
        <v>0</v>
      </c>
      <c r="E52" s="586">
        <f t="shared" si="6"/>
        <v>0</v>
      </c>
      <c r="F52" s="448">
        <v>0</v>
      </c>
      <c r="G52" s="437">
        <v>0</v>
      </c>
      <c r="H52" s="436">
        <v>0</v>
      </c>
      <c r="I52" s="46"/>
      <c r="J52" s="50"/>
      <c r="K52" s="49"/>
      <c r="L52" s="888"/>
      <c r="M52" s="46"/>
      <c r="N52" s="904"/>
      <c r="O52" s="643">
        <v>41.436582750611002</v>
      </c>
      <c r="P52" s="434">
        <v>4.4586926829268299E-2</v>
      </c>
      <c r="Q52" s="433">
        <v>0</v>
      </c>
      <c r="R52" s="31"/>
    </row>
    <row r="53" spans="1:18" ht="19.5" thickBot="1" x14ac:dyDescent="0.35">
      <c r="A53" s="184" t="s">
        <v>326</v>
      </c>
      <c r="B53" s="214">
        <f t="shared" si="2"/>
        <v>44</v>
      </c>
      <c r="C53" s="42">
        <f t="shared" si="3"/>
        <v>0</v>
      </c>
      <c r="D53" s="1059">
        <f t="shared" si="4"/>
        <v>0</v>
      </c>
      <c r="E53" s="586">
        <f t="shared" si="6"/>
        <v>0</v>
      </c>
      <c r="F53" s="448">
        <v>0</v>
      </c>
      <c r="G53" s="437">
        <v>0</v>
      </c>
      <c r="H53" s="436">
        <v>0</v>
      </c>
      <c r="I53" s="46"/>
      <c r="J53" s="48"/>
      <c r="K53" s="47"/>
      <c r="L53" s="889"/>
      <c r="M53" s="46"/>
      <c r="N53" s="904">
        <f t="shared" si="5"/>
        <v>0</v>
      </c>
      <c r="O53" s="643">
        <v>0</v>
      </c>
      <c r="P53" s="434">
        <v>0</v>
      </c>
      <c r="Q53" s="433">
        <v>0</v>
      </c>
      <c r="R53" s="31"/>
    </row>
    <row r="54" spans="1:18" ht="19.5" thickBot="1" x14ac:dyDescent="0.35">
      <c r="A54" s="88" t="s">
        <v>91</v>
      </c>
      <c r="B54" s="214">
        <f t="shared" si="2"/>
        <v>31</v>
      </c>
      <c r="C54" s="42">
        <f t="shared" si="3"/>
        <v>2.9048727277800404</v>
      </c>
      <c r="D54" s="1059">
        <f t="shared" si="4"/>
        <v>1.441865045715369</v>
      </c>
      <c r="E54" s="586">
        <f t="shared" si="6"/>
        <v>7.6368545653466597</v>
      </c>
      <c r="F54" s="448">
        <v>0</v>
      </c>
      <c r="G54" s="437">
        <v>7.6368545653466597</v>
      </c>
      <c r="H54" s="436">
        <v>0</v>
      </c>
      <c r="I54" s="46"/>
      <c r="J54" s="51">
        <v>0.5</v>
      </c>
      <c r="K54" s="51">
        <v>0.7</v>
      </c>
      <c r="L54" s="892">
        <v>0.7</v>
      </c>
      <c r="M54" s="46"/>
      <c r="N54" s="904">
        <f t="shared" si="5"/>
        <v>10.909792236209499</v>
      </c>
      <c r="O54" s="643">
        <v>0</v>
      </c>
      <c r="P54" s="434">
        <v>10.909792236209499</v>
      </c>
      <c r="Q54" s="433">
        <v>0</v>
      </c>
      <c r="R54" s="31"/>
    </row>
    <row r="55" spans="1:18" ht="19.5" thickBot="1" x14ac:dyDescent="0.35">
      <c r="A55" s="184" t="s">
        <v>367</v>
      </c>
      <c r="B55" s="214">
        <f t="shared" si="2"/>
        <v>38</v>
      </c>
      <c r="C55" s="42">
        <f t="shared" si="3"/>
        <v>2.1422597983679901</v>
      </c>
      <c r="D55" s="1059">
        <f t="shared" si="4"/>
        <v>1.0633338571320532</v>
      </c>
      <c r="E55" s="586">
        <f t="shared" si="6"/>
        <v>1.4065807816670202</v>
      </c>
      <c r="F55" s="449">
        <v>0.38879401941120001</v>
      </c>
      <c r="G55" s="440">
        <v>1.0177867622558201</v>
      </c>
      <c r="H55" s="439">
        <v>0</v>
      </c>
      <c r="I55" s="118"/>
      <c r="J55" s="452">
        <v>0.65</v>
      </c>
      <c r="K55" s="451">
        <v>0.7</v>
      </c>
      <c r="L55" s="890">
        <v>0.5</v>
      </c>
      <c r="M55" s="118"/>
      <c r="N55" s="904">
        <f t="shared" si="5"/>
        <v>2.0521257341848802</v>
      </c>
      <c r="O55" s="644">
        <v>0.59814464524800004</v>
      </c>
      <c r="P55" s="442">
        <v>1.4539810889368801</v>
      </c>
      <c r="Q55" s="441">
        <v>0</v>
      </c>
      <c r="R55" s="31"/>
    </row>
    <row r="56" spans="1:18" ht="19.5" thickBot="1" x14ac:dyDescent="0.35">
      <c r="A56" s="184" t="s">
        <v>158</v>
      </c>
      <c r="B56" s="214">
        <f t="shared" si="2"/>
        <v>44</v>
      </c>
      <c r="C56" s="42">
        <f t="shared" si="3"/>
        <v>0</v>
      </c>
      <c r="D56" s="1059">
        <f t="shared" si="4"/>
        <v>0</v>
      </c>
      <c r="E56" s="586">
        <f t="shared" si="6"/>
        <v>0</v>
      </c>
      <c r="F56" s="448">
        <v>0</v>
      </c>
      <c r="G56" s="437">
        <v>0</v>
      </c>
      <c r="H56" s="436">
        <v>0</v>
      </c>
      <c r="I56" s="46"/>
      <c r="J56" s="48"/>
      <c r="K56" s="47"/>
      <c r="L56" s="889"/>
      <c r="M56" s="46"/>
      <c r="N56" s="904">
        <f t="shared" si="5"/>
        <v>0</v>
      </c>
      <c r="O56" s="643">
        <v>0</v>
      </c>
      <c r="P56" s="434">
        <v>0</v>
      </c>
      <c r="Q56" s="433">
        <v>0</v>
      </c>
      <c r="R56" s="31"/>
    </row>
    <row r="57" spans="1:18" ht="19.5" thickBot="1" x14ac:dyDescent="0.35">
      <c r="A57" s="184" t="s">
        <v>355</v>
      </c>
      <c r="B57" s="214">
        <f t="shared" si="2"/>
        <v>44</v>
      </c>
      <c r="C57" s="42">
        <f t="shared" si="3"/>
        <v>0</v>
      </c>
      <c r="D57" s="1059">
        <f t="shared" si="4"/>
        <v>0</v>
      </c>
      <c r="E57" s="586">
        <f t="shared" si="6"/>
        <v>0</v>
      </c>
      <c r="F57" s="448">
        <v>0</v>
      </c>
      <c r="G57" s="437">
        <v>0</v>
      </c>
      <c r="H57" s="436">
        <v>0</v>
      </c>
      <c r="I57" s="46"/>
      <c r="J57" s="48"/>
      <c r="K57" s="47"/>
      <c r="L57" s="889"/>
      <c r="M57" s="46"/>
      <c r="N57" s="904"/>
      <c r="O57" s="643">
        <v>0</v>
      </c>
      <c r="P57" s="434">
        <v>0</v>
      </c>
      <c r="Q57" s="433">
        <v>0</v>
      </c>
      <c r="R57" s="31"/>
    </row>
    <row r="58" spans="1:18" ht="19.5" thickBot="1" x14ac:dyDescent="0.35">
      <c r="A58" s="184" t="s">
        <v>113</v>
      </c>
      <c r="B58" s="214">
        <f t="shared" si="2"/>
        <v>44</v>
      </c>
      <c r="C58" s="42">
        <f t="shared" si="3"/>
        <v>0</v>
      </c>
      <c r="D58" s="1059">
        <f t="shared" si="4"/>
        <v>0</v>
      </c>
      <c r="E58" s="586">
        <f t="shared" si="6"/>
        <v>0</v>
      </c>
      <c r="F58" s="448">
        <v>0</v>
      </c>
      <c r="G58" s="437">
        <v>0</v>
      </c>
      <c r="H58" s="436">
        <v>0</v>
      </c>
      <c r="I58" s="46"/>
      <c r="J58" s="48"/>
      <c r="K58" s="47"/>
      <c r="L58" s="889"/>
      <c r="M58" s="46"/>
      <c r="N58" s="904">
        <f t="shared" si="5"/>
        <v>0</v>
      </c>
      <c r="O58" s="643">
        <v>0</v>
      </c>
      <c r="P58" s="434">
        <v>0</v>
      </c>
      <c r="Q58" s="433">
        <v>0</v>
      </c>
      <c r="R58" s="31"/>
    </row>
    <row r="59" spans="1:18" ht="19.5" thickBot="1" x14ac:dyDescent="0.35">
      <c r="A59" s="87" t="s">
        <v>87</v>
      </c>
      <c r="B59" s="214">
        <f t="shared" si="2"/>
        <v>44</v>
      </c>
      <c r="C59" s="42">
        <f t="shared" si="3"/>
        <v>0</v>
      </c>
      <c r="D59" s="1059">
        <f t="shared" si="4"/>
        <v>0</v>
      </c>
      <c r="E59" s="586">
        <f t="shared" si="6"/>
        <v>0</v>
      </c>
      <c r="F59" s="449">
        <v>0</v>
      </c>
      <c r="G59" s="440">
        <v>0</v>
      </c>
      <c r="H59" s="439">
        <v>0</v>
      </c>
      <c r="I59" s="118"/>
      <c r="J59" s="454"/>
      <c r="K59" s="453"/>
      <c r="L59" s="891"/>
      <c r="M59" s="118"/>
      <c r="N59" s="904">
        <f t="shared" si="5"/>
        <v>0.62007775051613601</v>
      </c>
      <c r="O59" s="644">
        <v>0</v>
      </c>
      <c r="P59" s="442">
        <v>0.62007775051613601</v>
      </c>
      <c r="Q59" s="441">
        <v>0</v>
      </c>
      <c r="R59" s="31"/>
    </row>
    <row r="60" spans="1:18" ht="19.5" thickBot="1" x14ac:dyDescent="0.35">
      <c r="A60" s="184" t="s">
        <v>114</v>
      </c>
      <c r="B60" s="214">
        <f t="shared" si="2"/>
        <v>22</v>
      </c>
      <c r="C60" s="42">
        <f t="shared" si="3"/>
        <v>4.2473801571754377</v>
      </c>
      <c r="D60" s="1059">
        <f t="shared" si="4"/>
        <v>2.1082331511220822</v>
      </c>
      <c r="E60" s="586">
        <f t="shared" si="6"/>
        <v>63.030099071907202</v>
      </c>
      <c r="F60" s="449">
        <v>63.030099071907202</v>
      </c>
      <c r="G60" s="440">
        <v>0</v>
      </c>
      <c r="H60" s="439">
        <v>0</v>
      </c>
      <c r="I60" s="118"/>
      <c r="J60" s="452">
        <v>1.6</v>
      </c>
      <c r="K60" s="453"/>
      <c r="L60" s="891"/>
      <c r="M60" s="118"/>
      <c r="N60" s="904">
        <f t="shared" si="5"/>
        <v>39.397261919942004</v>
      </c>
      <c r="O60" s="642">
        <v>39.393811919942003</v>
      </c>
      <c r="P60" s="439">
        <v>3.4499999999999999E-3</v>
      </c>
      <c r="Q60" s="438">
        <v>0</v>
      </c>
      <c r="R60" s="31"/>
    </row>
    <row r="61" spans="1:18" ht="19.5" thickBot="1" x14ac:dyDescent="0.35">
      <c r="A61" s="184" t="s">
        <v>160</v>
      </c>
      <c r="B61" s="214">
        <f t="shared" si="2"/>
        <v>44</v>
      </c>
      <c r="C61" s="42">
        <f t="shared" si="3"/>
        <v>0</v>
      </c>
      <c r="D61" s="1059">
        <f t="shared" si="4"/>
        <v>0</v>
      </c>
      <c r="E61" s="586">
        <f t="shared" si="6"/>
        <v>0</v>
      </c>
      <c r="F61" s="448">
        <v>0</v>
      </c>
      <c r="G61" s="437">
        <v>0</v>
      </c>
      <c r="H61" s="436">
        <v>0</v>
      </c>
      <c r="I61" s="46"/>
      <c r="J61" s="48"/>
      <c r="K61" s="47"/>
      <c r="L61" s="889"/>
      <c r="M61" s="46"/>
      <c r="N61" s="904">
        <f t="shared" si="5"/>
        <v>0</v>
      </c>
      <c r="O61" s="643">
        <v>0</v>
      </c>
      <c r="P61" s="434">
        <v>0</v>
      </c>
      <c r="Q61" s="433">
        <v>0</v>
      </c>
      <c r="R61" s="31"/>
    </row>
    <row r="62" spans="1:18" ht="19.5" thickBot="1" x14ac:dyDescent="0.35">
      <c r="A62" s="184" t="s">
        <v>115</v>
      </c>
      <c r="B62" s="214">
        <f t="shared" si="2"/>
        <v>15</v>
      </c>
      <c r="C62" s="42">
        <f t="shared" si="3"/>
        <v>4.9554365537253595</v>
      </c>
      <c r="D62" s="1059">
        <f t="shared" si="4"/>
        <v>2.4596846136309822</v>
      </c>
      <c r="E62" s="586">
        <f t="shared" si="6"/>
        <v>148.440482735503</v>
      </c>
      <c r="F62" s="448">
        <v>148.440482735503</v>
      </c>
      <c r="G62" s="437">
        <v>0</v>
      </c>
      <c r="H62" s="436">
        <v>0</v>
      </c>
      <c r="I62" s="46"/>
      <c r="J62" s="50">
        <v>1.8</v>
      </c>
      <c r="K62" s="47"/>
      <c r="L62" s="889"/>
      <c r="M62" s="46"/>
      <c r="N62" s="904">
        <f t="shared" si="5"/>
        <v>82.466934853056998</v>
      </c>
      <c r="O62" s="641">
        <v>82.466934853056998</v>
      </c>
      <c r="P62" s="436">
        <v>0</v>
      </c>
      <c r="Q62" s="435">
        <v>0</v>
      </c>
      <c r="R62" s="31"/>
    </row>
    <row r="63" spans="1:18" ht="19.5" thickBot="1" x14ac:dyDescent="0.35">
      <c r="A63" s="87" t="s">
        <v>18</v>
      </c>
      <c r="B63" s="214">
        <f t="shared" si="2"/>
        <v>36</v>
      </c>
      <c r="C63" s="42">
        <f t="shared" si="3"/>
        <v>2.447011996948226</v>
      </c>
      <c r="D63" s="1059">
        <f t="shared" si="4"/>
        <v>1.2146009121515542</v>
      </c>
      <c r="E63" s="586">
        <f t="shared" si="6"/>
        <v>2.9449340391469501</v>
      </c>
      <c r="F63" s="448">
        <v>2.8387300391469501</v>
      </c>
      <c r="G63" s="437">
        <v>0.10620400000000001</v>
      </c>
      <c r="H63" s="436">
        <v>0</v>
      </c>
      <c r="I63" s="46"/>
      <c r="J63" s="50">
        <v>0.65</v>
      </c>
      <c r="K63" s="49">
        <v>0.7</v>
      </c>
      <c r="L63" s="888">
        <v>0.5</v>
      </c>
      <c r="M63" s="46"/>
      <c r="N63" s="904">
        <f t="shared" si="5"/>
        <v>4.5189969833030004</v>
      </c>
      <c r="O63" s="643">
        <v>4.3672769833030003</v>
      </c>
      <c r="P63" s="434">
        <v>0.15171999999999999</v>
      </c>
      <c r="Q63" s="433">
        <v>0</v>
      </c>
      <c r="R63" s="31"/>
    </row>
    <row r="64" spans="1:18" ht="19.5" thickBot="1" x14ac:dyDescent="0.35">
      <c r="A64" s="184" t="s">
        <v>116</v>
      </c>
      <c r="B64" s="214">
        <f t="shared" si="2"/>
        <v>14</v>
      </c>
      <c r="C64" s="42">
        <f t="shared" si="3"/>
        <v>5.1442296477140141</v>
      </c>
      <c r="D64" s="1059">
        <f t="shared" si="4"/>
        <v>2.5533941109495544</v>
      </c>
      <c r="E64" s="586">
        <f t="shared" si="6"/>
        <v>182.71148471642999</v>
      </c>
      <c r="F64" s="448">
        <v>182.71148471642999</v>
      </c>
      <c r="G64" s="437">
        <v>0</v>
      </c>
      <c r="H64" s="436">
        <v>0</v>
      </c>
      <c r="I64" s="46"/>
      <c r="J64" s="48">
        <v>1.1000000000000001</v>
      </c>
      <c r="K64" s="47"/>
      <c r="L64" s="889"/>
      <c r="M64" s="46"/>
      <c r="N64" s="904">
        <f t="shared" si="5"/>
        <v>166.10134974220901</v>
      </c>
      <c r="O64" s="641">
        <v>166.10134974220901</v>
      </c>
      <c r="P64" s="436">
        <v>0</v>
      </c>
      <c r="Q64" s="435">
        <v>0</v>
      </c>
      <c r="R64" s="31"/>
    </row>
    <row r="65" spans="1:20" ht="19.5" thickBot="1" x14ac:dyDescent="0.35">
      <c r="A65" s="184" t="s">
        <v>356</v>
      </c>
      <c r="B65" s="214">
        <f t="shared" si="2"/>
        <v>44</v>
      </c>
      <c r="C65" s="42">
        <f t="shared" si="3"/>
        <v>0</v>
      </c>
      <c r="D65" s="1059">
        <f t="shared" si="4"/>
        <v>0</v>
      </c>
      <c r="E65" s="586">
        <f t="shared" si="6"/>
        <v>0</v>
      </c>
      <c r="F65" s="448">
        <v>0</v>
      </c>
      <c r="G65" s="437">
        <v>0</v>
      </c>
      <c r="H65" s="436">
        <v>0</v>
      </c>
      <c r="I65" s="46"/>
      <c r="J65" s="48"/>
      <c r="K65" s="47"/>
      <c r="L65" s="889"/>
      <c r="M65" s="46"/>
      <c r="N65" s="904"/>
      <c r="O65" s="641">
        <v>0</v>
      </c>
      <c r="P65" s="436">
        <v>0</v>
      </c>
      <c r="Q65" s="435">
        <v>0</v>
      </c>
      <c r="R65" s="31"/>
    </row>
    <row r="66" spans="1:20" ht="19.5" thickBot="1" x14ac:dyDescent="0.35">
      <c r="A66" s="184" t="s">
        <v>246</v>
      </c>
      <c r="B66" s="214">
        <f t="shared" si="2"/>
        <v>25</v>
      </c>
      <c r="C66" s="42">
        <f t="shared" si="3"/>
        <v>3.8345323870782666</v>
      </c>
      <c r="D66" s="1059">
        <f t="shared" si="4"/>
        <v>1.9033116882256467</v>
      </c>
      <c r="E66" s="586">
        <f t="shared" si="6"/>
        <v>35.713536583095703</v>
      </c>
      <c r="F66" s="448">
        <v>35.713536583095703</v>
      </c>
      <c r="G66" s="437">
        <v>0</v>
      </c>
      <c r="H66" s="436">
        <v>0</v>
      </c>
      <c r="I66" s="46"/>
      <c r="J66" s="50">
        <v>0.7</v>
      </c>
      <c r="K66" s="47"/>
      <c r="L66" s="889"/>
      <c r="M66" s="46"/>
      <c r="N66" s="904">
        <f t="shared" si="5"/>
        <v>51.019337975851002</v>
      </c>
      <c r="O66" s="643">
        <v>51.019337975851002</v>
      </c>
      <c r="P66" s="434">
        <v>0</v>
      </c>
      <c r="Q66" s="433">
        <v>0</v>
      </c>
      <c r="R66" s="31"/>
    </row>
    <row r="67" spans="1:20" ht="19.5" thickBot="1" x14ac:dyDescent="0.35">
      <c r="A67" s="184" t="s">
        <v>272</v>
      </c>
      <c r="B67" s="214">
        <f t="shared" si="2"/>
        <v>3</v>
      </c>
      <c r="C67" s="42">
        <f t="shared" si="3"/>
        <v>8.400410664692604</v>
      </c>
      <c r="D67" s="1059">
        <f t="shared" si="4"/>
        <v>4.1696348315856495</v>
      </c>
      <c r="E67" s="586">
        <f t="shared" si="6"/>
        <v>2786.0506721033325</v>
      </c>
      <c r="F67" s="449">
        <v>2736.7773365452399</v>
      </c>
      <c r="G67" s="440">
        <v>43.209837841592702</v>
      </c>
      <c r="H67" s="439">
        <v>6.0634977164999997</v>
      </c>
      <c r="I67" s="118"/>
      <c r="J67" s="50">
        <v>1.8972652218782251</v>
      </c>
      <c r="K67" s="49">
        <v>1.1499999999999999</v>
      </c>
      <c r="L67" s="888">
        <v>1.1499999999999999</v>
      </c>
      <c r="M67" s="118"/>
      <c r="N67" s="904">
        <f t="shared" si="5"/>
        <v>1483.2555032436574</v>
      </c>
      <c r="O67" s="642">
        <v>1440.40912449749</v>
      </c>
      <c r="P67" s="439">
        <v>37.573772036167497</v>
      </c>
      <c r="Q67" s="433">
        <v>5.2726067099999998</v>
      </c>
      <c r="R67" s="31"/>
      <c r="T67" s="1" t="s">
        <v>31</v>
      </c>
    </row>
    <row r="68" spans="1:20" ht="19.5" thickBot="1" x14ac:dyDescent="0.35">
      <c r="A68" s="87" t="s">
        <v>98</v>
      </c>
      <c r="B68" s="214">
        <f t="shared" si="2"/>
        <v>19</v>
      </c>
      <c r="C68" s="42">
        <f t="shared" si="3"/>
        <v>4.3790794009400651</v>
      </c>
      <c r="D68" s="1059">
        <f t="shared" si="4"/>
        <v>2.1736034974079534</v>
      </c>
      <c r="E68" s="586">
        <f t="shared" si="6"/>
        <v>74.6833900539105</v>
      </c>
      <c r="F68" s="448">
        <v>60.390254984491897</v>
      </c>
      <c r="G68" s="437">
        <v>14.2931350694186</v>
      </c>
      <c r="H68" s="436">
        <v>0</v>
      </c>
      <c r="I68" s="46"/>
      <c r="J68" s="48">
        <v>1.1527894736842106</v>
      </c>
      <c r="K68" s="51">
        <v>0.7</v>
      </c>
      <c r="L68" s="888">
        <v>0.5</v>
      </c>
      <c r="M68" s="46"/>
      <c r="N68" s="904">
        <f t="shared" si="5"/>
        <v>72.932029588789703</v>
      </c>
      <c r="O68" s="641">
        <v>52.513265203906002</v>
      </c>
      <c r="P68" s="436">
        <v>20.418764384883701</v>
      </c>
      <c r="Q68" s="435">
        <v>0</v>
      </c>
      <c r="R68" s="31"/>
    </row>
    <row r="69" spans="1:20" ht="19.5" thickBot="1" x14ac:dyDescent="0.35">
      <c r="A69" s="87" t="s">
        <v>161</v>
      </c>
      <c r="B69" s="214">
        <f t="shared" si="2"/>
        <v>30</v>
      </c>
      <c r="C69" s="42">
        <f t="shared" si="3"/>
        <v>2.9228134789117233</v>
      </c>
      <c r="D69" s="1059">
        <f t="shared" si="4"/>
        <v>1.4507701318842976</v>
      </c>
      <c r="E69" s="586">
        <f t="shared" si="6"/>
        <v>7.9026005886371102</v>
      </c>
      <c r="F69" s="448">
        <v>5.3113355578946999</v>
      </c>
      <c r="G69" s="437">
        <v>2.0753664127424098</v>
      </c>
      <c r="H69" s="436">
        <v>0.51589861800000003</v>
      </c>
      <c r="I69" s="46"/>
      <c r="J69" s="50">
        <v>1.9</v>
      </c>
      <c r="K69" s="49">
        <v>1.8</v>
      </c>
      <c r="L69" s="888">
        <v>2</v>
      </c>
      <c r="M69" s="46"/>
      <c r="N69" s="904">
        <f t="shared" si="5"/>
        <v>4.2063704167254494</v>
      </c>
      <c r="O69" s="643">
        <v>2.7954397673129998</v>
      </c>
      <c r="P69" s="434">
        <v>1.15298134041245</v>
      </c>
      <c r="Q69" s="433">
        <v>0.25794930900000002</v>
      </c>
      <c r="R69" s="31"/>
    </row>
    <row r="70" spans="1:20" ht="19.5" thickBot="1" x14ac:dyDescent="0.35">
      <c r="A70" s="1001" t="s">
        <v>359</v>
      </c>
      <c r="B70" s="214">
        <f t="shared" si="2"/>
        <v>44</v>
      </c>
      <c r="C70" s="42">
        <f t="shared" si="3"/>
        <v>0</v>
      </c>
      <c r="D70" s="1059">
        <f t="shared" si="4"/>
        <v>0</v>
      </c>
      <c r="E70" s="586">
        <f t="shared" si="6"/>
        <v>0</v>
      </c>
      <c r="F70" s="437">
        <v>0</v>
      </c>
      <c r="G70" s="437">
        <v>0</v>
      </c>
      <c r="H70" s="437">
        <v>0</v>
      </c>
      <c r="I70" s="118"/>
      <c r="J70" s="452"/>
      <c r="K70" s="451"/>
      <c r="L70" s="890"/>
      <c r="M70" s="118"/>
      <c r="N70" s="904"/>
      <c r="O70" s="644">
        <v>0</v>
      </c>
      <c r="P70" s="442">
        <v>0.105066666666667</v>
      </c>
      <c r="Q70" s="441">
        <v>0</v>
      </c>
      <c r="R70" s="31"/>
    </row>
    <row r="71" spans="1:20" ht="19.5" thickBot="1" x14ac:dyDescent="0.35">
      <c r="A71" s="152" t="s">
        <v>162</v>
      </c>
      <c r="B71" s="214">
        <f t="shared" si="2"/>
        <v>8</v>
      </c>
      <c r="C71" s="42">
        <f t="shared" si="3"/>
        <v>6.6925867798470557</v>
      </c>
      <c r="D71" s="1059">
        <f t="shared" si="4"/>
        <v>3.3219379461945713</v>
      </c>
      <c r="E71" s="586">
        <f t="shared" si="6"/>
        <v>788.16932957694007</v>
      </c>
      <c r="F71" s="450">
        <v>288.397055055816</v>
      </c>
      <c r="G71" s="444">
        <v>161.806319780124</v>
      </c>
      <c r="H71" s="443">
        <v>337.96595474100002</v>
      </c>
      <c r="I71" s="271"/>
      <c r="J71" s="901">
        <v>1</v>
      </c>
      <c r="K71" s="902">
        <v>1.3</v>
      </c>
      <c r="L71" s="903">
        <v>1.5</v>
      </c>
      <c r="M71" s="271"/>
      <c r="N71" s="904">
        <f t="shared" si="5"/>
        <v>638.17409138068001</v>
      </c>
      <c r="O71" s="907">
        <v>288.397055055816</v>
      </c>
      <c r="P71" s="443">
        <v>124.46639983086401</v>
      </c>
      <c r="Q71" s="905">
        <v>225.31063649399999</v>
      </c>
      <c r="R71" s="31"/>
    </row>
  </sheetData>
  <sortState ref="A7:R63">
    <sortCondition ref="B7:B63"/>
  </sortState>
  <conditionalFormatting sqref="F7:H71">
    <cfRule type="cellIs" dxfId="11" priority="29" operator="equal">
      <formula>0</formula>
    </cfRule>
  </conditionalFormatting>
  <conditionalFormatting sqref="C7:C71">
    <cfRule type="colorScale" priority="1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30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J17:L17 J19:L25 J27:L30 J32:L33 J35:L40 J42:L54 J56:L58 J61:L66 J68:L70 J7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3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28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J7:L71">
    <cfRule type="colorScale" priority="5">
      <colorScale>
        <cfvo type="min"/>
        <cfvo type="max"/>
        <color rgb="FFF236D7"/>
        <color rgb="FF2FCB50"/>
      </colorScale>
    </cfRule>
  </conditionalFormatting>
  <conditionalFormatting sqref="J7:L42">
    <cfRule type="colorScale" priority="4">
      <colorScale>
        <cfvo type="min"/>
        <cfvo type="percentile" val="50"/>
        <cfvo type="max"/>
        <color rgb="FFE95DAD"/>
        <color rgb="FFFFFBE7"/>
        <color rgb="FF62BC2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J288"/>
  <sheetViews>
    <sheetView zoomScaleNormal="100" workbookViewId="0">
      <pane xSplit="1" ySplit="6" topLeftCell="B7" activePane="bottomRight" state="frozen"/>
      <selection activeCell="A22" sqref="A22"/>
      <selection pane="topRight" activeCell="A22" sqref="A22"/>
      <selection pane="bottomLeft" activeCell="A22" sqref="A22"/>
      <selection pane="bottomRight" activeCell="C7" sqref="C7"/>
    </sheetView>
  </sheetViews>
  <sheetFormatPr defaultColWidth="8.85546875" defaultRowHeight="18.75" x14ac:dyDescent="0.3"/>
  <cols>
    <col min="1" max="1" width="37.42578125" style="1" customWidth="1"/>
    <col min="2" max="2" width="13.140625" style="4" customWidth="1"/>
    <col min="3" max="3" width="13" style="4" customWidth="1"/>
    <col min="4" max="4" width="0.5703125" style="4" hidden="1" customWidth="1"/>
    <col min="5" max="5" width="17.42578125" style="3" customWidth="1"/>
    <col min="6" max="6" width="10.28515625" style="65" customWidth="1"/>
    <col min="7" max="7" width="13" style="3" customWidth="1"/>
    <col min="8" max="8" width="29" style="1" customWidth="1"/>
    <col min="9" max="16384" width="8.85546875" style="1"/>
  </cols>
  <sheetData>
    <row r="1" spans="1:8" ht="21" x14ac:dyDescent="0.35">
      <c r="A1" s="102" t="s">
        <v>248</v>
      </c>
      <c r="B1" s="34"/>
      <c r="C1" s="34"/>
      <c r="D1" s="34"/>
      <c r="E1" s="30"/>
      <c r="F1" s="31"/>
      <c r="G1" s="31"/>
      <c r="H1" s="31"/>
    </row>
    <row r="2" spans="1:8" x14ac:dyDescent="0.3">
      <c r="A2" s="344"/>
      <c r="B2" s="34"/>
      <c r="C2" s="34"/>
      <c r="D2" s="34"/>
      <c r="E2" s="30"/>
      <c r="F2" s="31"/>
      <c r="G2" s="31"/>
      <c r="H2" s="31"/>
    </row>
    <row r="3" spans="1:8" x14ac:dyDescent="0.3">
      <c r="A3" s="69"/>
      <c r="B3" s="168"/>
      <c r="C3" s="506"/>
      <c r="D3" s="894"/>
      <c r="E3" s="190" t="s">
        <v>67</v>
      </c>
      <c r="F3" s="405"/>
      <c r="G3" s="106"/>
      <c r="H3" s="405"/>
    </row>
    <row r="4" spans="1:8" x14ac:dyDescent="0.3">
      <c r="A4" s="69"/>
      <c r="B4" s="366"/>
      <c r="C4" s="190" t="s">
        <v>47</v>
      </c>
      <c r="D4" s="895"/>
      <c r="E4" s="33" t="s">
        <v>324</v>
      </c>
      <c r="F4" s="366" t="s">
        <v>69</v>
      </c>
      <c r="G4" s="406">
        <v>0.18</v>
      </c>
      <c r="H4" s="893" t="s">
        <v>68</v>
      </c>
    </row>
    <row r="5" spans="1:8" x14ac:dyDescent="0.3">
      <c r="A5" s="69"/>
      <c r="B5" s="933"/>
      <c r="C5" s="885" t="s">
        <v>54</v>
      </c>
      <c r="D5" s="900"/>
      <c r="E5" s="190" t="s">
        <v>323</v>
      </c>
      <c r="F5" s="33" t="s">
        <v>54</v>
      </c>
      <c r="G5" s="124" t="s">
        <v>325</v>
      </c>
      <c r="H5" s="893" t="s">
        <v>317</v>
      </c>
    </row>
    <row r="6" spans="1:8" ht="19.5" thickBot="1" x14ac:dyDescent="0.35">
      <c r="A6" s="456" t="s">
        <v>4</v>
      </c>
      <c r="B6" s="934" t="s">
        <v>3</v>
      </c>
      <c r="C6" s="37" t="s">
        <v>2</v>
      </c>
      <c r="D6" s="896"/>
      <c r="E6" s="71" t="s">
        <v>165</v>
      </c>
      <c r="F6" s="37" t="s">
        <v>2</v>
      </c>
      <c r="G6" s="407">
        <f>MAX(G7:G71)</f>
        <v>18.74149026257567</v>
      </c>
      <c r="H6" s="71" t="s">
        <v>70</v>
      </c>
    </row>
    <row r="7" spans="1:8" x14ac:dyDescent="0.3">
      <c r="A7" s="151" t="s">
        <v>10</v>
      </c>
      <c r="B7" s="922">
        <f t="shared" ref="B7:B38" si="0">RANK(C7,C$7:C$71)</f>
        <v>39</v>
      </c>
      <c r="C7" s="58">
        <f>SUM(E7:F7)</f>
        <v>1.1851718734724539</v>
      </c>
      <c r="D7" s="897"/>
      <c r="E7" s="57">
        <v>0</v>
      </c>
      <c r="F7" s="56">
        <f>G7*7/G$6</f>
        <v>1.1851718734724539</v>
      </c>
      <c r="G7" s="55">
        <f>H7^G$4</f>
        <v>3.1731267323089369</v>
      </c>
      <c r="H7" s="9">
        <v>611</v>
      </c>
    </row>
    <row r="8" spans="1:8" x14ac:dyDescent="0.3">
      <c r="A8" s="184" t="s">
        <v>156</v>
      </c>
      <c r="B8" s="922">
        <f t="shared" si="0"/>
        <v>48</v>
      </c>
      <c r="C8" s="58">
        <f t="shared" ref="C8:C71" si="1">SUM(E8:F8)</f>
        <v>0</v>
      </c>
      <c r="D8" s="898"/>
      <c r="E8" s="59">
        <v>0</v>
      </c>
      <c r="F8" s="56">
        <f t="shared" ref="F8:F40" si="2">G8*7/G$6</f>
        <v>0</v>
      </c>
      <c r="G8" s="55">
        <f t="shared" ref="G8:G40" si="3">H8^G$4</f>
        <v>0</v>
      </c>
      <c r="H8" s="10">
        <v>0</v>
      </c>
    </row>
    <row r="9" spans="1:8" x14ac:dyDescent="0.3">
      <c r="A9" s="184" t="s">
        <v>102</v>
      </c>
      <c r="B9" s="922">
        <f t="shared" si="0"/>
        <v>45</v>
      </c>
      <c r="C9" s="58">
        <f t="shared" si="1"/>
        <v>0.58417980941204062</v>
      </c>
      <c r="D9" s="898"/>
      <c r="E9" s="59">
        <v>0</v>
      </c>
      <c r="F9" s="56">
        <f t="shared" si="2"/>
        <v>0.58417980941204062</v>
      </c>
      <c r="G9" s="55">
        <f t="shared" si="3"/>
        <v>1.5640571728127244</v>
      </c>
      <c r="H9" s="10">
        <v>12</v>
      </c>
    </row>
    <row r="10" spans="1:8" x14ac:dyDescent="0.3">
      <c r="A10" s="184" t="s">
        <v>103</v>
      </c>
      <c r="B10" s="922">
        <f t="shared" si="0"/>
        <v>11</v>
      </c>
      <c r="C10" s="58">
        <f t="shared" si="1"/>
        <v>4.6536245798412406</v>
      </c>
      <c r="D10" s="898"/>
      <c r="E10" s="59">
        <v>2.5</v>
      </c>
      <c r="F10" s="56">
        <f t="shared" si="2"/>
        <v>2.153624579841241</v>
      </c>
      <c r="G10" s="55">
        <f t="shared" si="3"/>
        <v>5.7660191560483192</v>
      </c>
      <c r="H10" s="10">
        <v>16869</v>
      </c>
    </row>
    <row r="11" spans="1:8" x14ac:dyDescent="0.3">
      <c r="A11" s="87" t="s">
        <v>5</v>
      </c>
      <c r="B11" s="922">
        <f t="shared" si="0"/>
        <v>14</v>
      </c>
      <c r="C11" s="58">
        <f t="shared" si="1"/>
        <v>4.2860724393700362</v>
      </c>
      <c r="D11" s="898"/>
      <c r="E11" s="59">
        <v>3</v>
      </c>
      <c r="F11" s="56">
        <f t="shared" si="2"/>
        <v>1.2860724393700358</v>
      </c>
      <c r="G11" s="55">
        <f t="shared" si="3"/>
        <v>3.4432734427743519</v>
      </c>
      <c r="H11" s="10">
        <v>962</v>
      </c>
    </row>
    <row r="12" spans="1:8" x14ac:dyDescent="0.3">
      <c r="A12" s="184" t="s">
        <v>157</v>
      </c>
      <c r="B12" s="922">
        <f t="shared" si="0"/>
        <v>40</v>
      </c>
      <c r="C12" s="58">
        <f t="shared" si="1"/>
        <v>1.0775275143020195</v>
      </c>
      <c r="D12" s="898"/>
      <c r="E12" s="59">
        <v>0</v>
      </c>
      <c r="F12" s="56">
        <f t="shared" si="2"/>
        <v>1.0775275143020195</v>
      </c>
      <c r="G12" s="55">
        <f t="shared" si="3"/>
        <v>2.8849244881355238</v>
      </c>
      <c r="H12" s="10">
        <v>360</v>
      </c>
    </row>
    <row r="13" spans="1:8" x14ac:dyDescent="0.3">
      <c r="A13" s="184" t="s">
        <v>247</v>
      </c>
      <c r="B13" s="922">
        <f t="shared" si="0"/>
        <v>23</v>
      </c>
      <c r="C13" s="58">
        <f t="shared" si="1"/>
        <v>2.5</v>
      </c>
      <c r="D13" s="898"/>
      <c r="E13" s="59">
        <v>2.5</v>
      </c>
      <c r="F13" s="56">
        <f t="shared" si="2"/>
        <v>0</v>
      </c>
      <c r="G13" s="55">
        <f t="shared" si="3"/>
        <v>0</v>
      </c>
      <c r="H13" s="10">
        <v>0</v>
      </c>
    </row>
    <row r="14" spans="1:8" x14ac:dyDescent="0.3">
      <c r="A14" s="87" t="s">
        <v>94</v>
      </c>
      <c r="B14" s="922">
        <f t="shared" si="0"/>
        <v>33</v>
      </c>
      <c r="C14" s="58">
        <f t="shared" si="1"/>
        <v>1.9861869644245502</v>
      </c>
      <c r="D14" s="898"/>
      <c r="E14" s="59">
        <v>0</v>
      </c>
      <c r="F14" s="56">
        <f t="shared" si="2"/>
        <v>1.9861869644245502</v>
      </c>
      <c r="G14" s="55">
        <f t="shared" si="3"/>
        <v>5.3177290933453483</v>
      </c>
      <c r="H14" s="10">
        <v>10760</v>
      </c>
    </row>
    <row r="15" spans="1:8" x14ac:dyDescent="0.3">
      <c r="A15" s="184" t="s">
        <v>104</v>
      </c>
      <c r="B15" s="922">
        <f t="shared" si="0"/>
        <v>23</v>
      </c>
      <c r="C15" s="58">
        <f t="shared" si="1"/>
        <v>2.5</v>
      </c>
      <c r="D15" s="898"/>
      <c r="E15" s="59">
        <v>2.5</v>
      </c>
      <c r="F15" s="56">
        <f t="shared" si="2"/>
        <v>0</v>
      </c>
      <c r="G15" s="55">
        <f t="shared" si="3"/>
        <v>0</v>
      </c>
      <c r="H15" s="10">
        <v>0</v>
      </c>
    </row>
    <row r="16" spans="1:8" x14ac:dyDescent="0.3">
      <c r="A16" s="184" t="s">
        <v>9</v>
      </c>
      <c r="B16" s="922">
        <f t="shared" si="0"/>
        <v>29</v>
      </c>
      <c r="C16" s="58">
        <f t="shared" si="1"/>
        <v>2</v>
      </c>
      <c r="D16" s="898"/>
      <c r="E16" s="59">
        <v>2</v>
      </c>
      <c r="F16" s="56">
        <f t="shared" si="2"/>
        <v>0</v>
      </c>
      <c r="G16" s="55">
        <f t="shared" si="3"/>
        <v>0</v>
      </c>
      <c r="H16" s="10">
        <v>0</v>
      </c>
    </row>
    <row r="17" spans="1:10" x14ac:dyDescent="0.3">
      <c r="A17" s="87" t="s">
        <v>90</v>
      </c>
      <c r="B17" s="922">
        <f t="shared" si="0"/>
        <v>48</v>
      </c>
      <c r="C17" s="58">
        <f t="shared" si="1"/>
        <v>0</v>
      </c>
      <c r="D17" s="898"/>
      <c r="E17" s="59">
        <v>0</v>
      </c>
      <c r="F17" s="56">
        <f t="shared" si="2"/>
        <v>0</v>
      </c>
      <c r="G17" s="55">
        <f t="shared" si="3"/>
        <v>0</v>
      </c>
      <c r="H17" s="10">
        <v>0</v>
      </c>
    </row>
    <row r="18" spans="1:10" x14ac:dyDescent="0.3">
      <c r="A18" s="87" t="s">
        <v>14</v>
      </c>
      <c r="B18" s="922">
        <f t="shared" si="0"/>
        <v>6</v>
      </c>
      <c r="C18" s="58">
        <f t="shared" si="1"/>
        <v>5.6431955339837554</v>
      </c>
      <c r="D18" s="898"/>
      <c r="E18" s="59">
        <v>3</v>
      </c>
      <c r="F18" s="56">
        <f t="shared" si="2"/>
        <v>2.6431955339837558</v>
      </c>
      <c r="G18" s="55">
        <f t="shared" si="3"/>
        <v>7.076774766034295</v>
      </c>
      <c r="H18" s="10">
        <v>52639</v>
      </c>
    </row>
    <row r="19" spans="1:10" x14ac:dyDescent="0.3">
      <c r="A19" s="87" t="s">
        <v>96</v>
      </c>
      <c r="B19" s="922">
        <f t="shared" si="0"/>
        <v>47</v>
      </c>
      <c r="C19" s="58">
        <f t="shared" si="1"/>
        <v>0.49900916162059628</v>
      </c>
      <c r="D19" s="898"/>
      <c r="E19" s="59">
        <v>0</v>
      </c>
      <c r="F19" s="56">
        <f t="shared" si="2"/>
        <v>0.49900916162059628</v>
      </c>
      <c r="G19" s="55">
        <f t="shared" si="3"/>
        <v>1.3360250490640651</v>
      </c>
      <c r="H19" s="10">
        <v>5</v>
      </c>
    </row>
    <row r="20" spans="1:10" x14ac:dyDescent="0.3">
      <c r="A20" s="184" t="s">
        <v>99</v>
      </c>
      <c r="B20" s="922">
        <f t="shared" si="0"/>
        <v>23</v>
      </c>
      <c r="C20" s="58">
        <f t="shared" si="1"/>
        <v>2.5</v>
      </c>
      <c r="D20" s="898"/>
      <c r="E20" s="59">
        <v>2.5</v>
      </c>
      <c r="F20" s="56">
        <f t="shared" si="2"/>
        <v>0</v>
      </c>
      <c r="G20" s="55">
        <f t="shared" si="3"/>
        <v>0</v>
      </c>
      <c r="H20" s="10">
        <v>0</v>
      </c>
      <c r="J20" s="534"/>
    </row>
    <row r="21" spans="1:10" x14ac:dyDescent="0.3">
      <c r="A21" s="184" t="s">
        <v>105</v>
      </c>
      <c r="B21" s="922">
        <f t="shared" si="0"/>
        <v>18</v>
      </c>
      <c r="C21" s="58">
        <f t="shared" si="1"/>
        <v>3.054699239043805</v>
      </c>
      <c r="D21" s="898"/>
      <c r="E21" s="59">
        <v>2.5</v>
      </c>
      <c r="F21" s="56">
        <f t="shared" si="2"/>
        <v>0.55469923904380503</v>
      </c>
      <c r="G21" s="55">
        <f t="shared" si="3"/>
        <v>1.4851271981710867</v>
      </c>
      <c r="H21" s="10">
        <v>9</v>
      </c>
    </row>
    <row r="22" spans="1:10" x14ac:dyDescent="0.3">
      <c r="A22" s="87" t="s">
        <v>92</v>
      </c>
      <c r="B22" s="922">
        <f t="shared" si="0"/>
        <v>48</v>
      </c>
      <c r="C22" s="58">
        <f t="shared" si="1"/>
        <v>0</v>
      </c>
      <c r="D22" s="898"/>
      <c r="E22" s="59">
        <v>0</v>
      </c>
      <c r="F22" s="56">
        <f t="shared" si="2"/>
        <v>0</v>
      </c>
      <c r="G22" s="55">
        <f t="shared" si="3"/>
        <v>0</v>
      </c>
      <c r="H22" s="10">
        <v>0</v>
      </c>
    </row>
    <row r="23" spans="1:10" x14ac:dyDescent="0.3">
      <c r="A23" s="87" t="s">
        <v>22</v>
      </c>
      <c r="B23" s="922">
        <f t="shared" si="0"/>
        <v>42</v>
      </c>
      <c r="C23" s="58">
        <f t="shared" si="1"/>
        <v>1</v>
      </c>
      <c r="D23" s="898"/>
      <c r="E23" s="59">
        <v>1</v>
      </c>
      <c r="F23" s="56">
        <f t="shared" ref="F23" si="4">G23*7/G$6</f>
        <v>0</v>
      </c>
      <c r="G23" s="55">
        <f t="shared" ref="G23" si="5">H23^G$4</f>
        <v>0</v>
      </c>
      <c r="H23" s="10">
        <v>0</v>
      </c>
    </row>
    <row r="24" spans="1:10" x14ac:dyDescent="0.3">
      <c r="A24" s="87" t="s">
        <v>13</v>
      </c>
      <c r="B24" s="922">
        <f t="shared" si="0"/>
        <v>36</v>
      </c>
      <c r="C24" s="58">
        <f t="shared" si="1"/>
        <v>1.4852683221811402</v>
      </c>
      <c r="D24" s="898"/>
      <c r="E24" s="59">
        <v>0</v>
      </c>
      <c r="F24" s="56">
        <f t="shared" si="2"/>
        <v>1.4852683221811402</v>
      </c>
      <c r="G24" s="55">
        <f t="shared" si="3"/>
        <v>3.9765916853528487</v>
      </c>
      <c r="H24" s="10">
        <v>2141</v>
      </c>
    </row>
    <row r="25" spans="1:10" x14ac:dyDescent="0.3">
      <c r="A25" s="87" t="s">
        <v>6</v>
      </c>
      <c r="B25" s="922">
        <f t="shared" si="0"/>
        <v>8</v>
      </c>
      <c r="C25" s="58">
        <f t="shared" si="1"/>
        <v>5.1148126511596264</v>
      </c>
      <c r="D25" s="898"/>
      <c r="E25" s="59">
        <v>1.5</v>
      </c>
      <c r="F25" s="56">
        <f t="shared" si="2"/>
        <v>3.6148126511596268</v>
      </c>
      <c r="G25" s="55">
        <f t="shared" si="3"/>
        <v>9.6781394432490693</v>
      </c>
      <c r="H25" s="10">
        <v>299655</v>
      </c>
    </row>
    <row r="26" spans="1:10" x14ac:dyDescent="0.3">
      <c r="A26" s="87" t="s">
        <v>16</v>
      </c>
      <c r="B26" s="922">
        <f t="shared" si="0"/>
        <v>10</v>
      </c>
      <c r="C26" s="58">
        <f t="shared" si="1"/>
        <v>4.7630882431826631</v>
      </c>
      <c r="D26" s="898"/>
      <c r="E26" s="59">
        <v>1.5</v>
      </c>
      <c r="F26" s="56">
        <f t="shared" si="2"/>
        <v>3.2630882431826636</v>
      </c>
      <c r="G26" s="55">
        <f t="shared" si="3"/>
        <v>8.7364480765047201</v>
      </c>
      <c r="H26" s="10">
        <v>169683</v>
      </c>
    </row>
    <row r="27" spans="1:10" x14ac:dyDescent="0.3">
      <c r="A27" s="184" t="s">
        <v>106</v>
      </c>
      <c r="B27" s="922">
        <f t="shared" si="0"/>
        <v>48</v>
      </c>
      <c r="C27" s="58">
        <f t="shared" si="1"/>
        <v>0</v>
      </c>
      <c r="D27" s="898"/>
      <c r="E27" s="59">
        <v>0</v>
      </c>
      <c r="F27" s="56">
        <f t="shared" si="2"/>
        <v>0</v>
      </c>
      <c r="G27" s="55">
        <f t="shared" si="3"/>
        <v>0</v>
      </c>
      <c r="H27" s="10">
        <v>0</v>
      </c>
    </row>
    <row r="28" spans="1:10" x14ac:dyDescent="0.3">
      <c r="A28" s="184" t="s">
        <v>23</v>
      </c>
      <c r="B28" s="922">
        <f t="shared" si="0"/>
        <v>48</v>
      </c>
      <c r="C28" s="58">
        <f t="shared" si="1"/>
        <v>0</v>
      </c>
      <c r="D28" s="898"/>
      <c r="E28" s="59">
        <v>0</v>
      </c>
      <c r="F28" s="56">
        <f t="shared" si="2"/>
        <v>0</v>
      </c>
      <c r="G28" s="55">
        <f t="shared" si="3"/>
        <v>0</v>
      </c>
      <c r="H28" s="10">
        <v>0</v>
      </c>
    </row>
    <row r="29" spans="1:10" x14ac:dyDescent="0.3">
      <c r="A29" s="184" t="s">
        <v>330</v>
      </c>
      <c r="B29" s="922">
        <f t="shared" si="0"/>
        <v>48</v>
      </c>
      <c r="C29" s="58">
        <f t="shared" si="1"/>
        <v>0</v>
      </c>
      <c r="D29" s="898"/>
      <c r="E29" s="59">
        <v>0</v>
      </c>
      <c r="F29" s="56">
        <f t="shared" si="2"/>
        <v>0</v>
      </c>
      <c r="G29" s="55">
        <f t="shared" si="3"/>
        <v>0</v>
      </c>
      <c r="H29" s="10">
        <v>0</v>
      </c>
    </row>
    <row r="30" spans="1:10" x14ac:dyDescent="0.3">
      <c r="A30" s="184" t="s">
        <v>107</v>
      </c>
      <c r="B30" s="922">
        <f t="shared" si="0"/>
        <v>48</v>
      </c>
      <c r="C30" s="58">
        <f t="shared" si="1"/>
        <v>0</v>
      </c>
      <c r="D30" s="898"/>
      <c r="E30" s="59">
        <v>0</v>
      </c>
      <c r="F30" s="56">
        <f t="shared" si="2"/>
        <v>0</v>
      </c>
      <c r="G30" s="55">
        <f t="shared" si="3"/>
        <v>0</v>
      </c>
      <c r="H30" s="10">
        <v>0</v>
      </c>
    </row>
    <row r="31" spans="1:10" x14ac:dyDescent="0.3">
      <c r="A31" s="184" t="s">
        <v>100</v>
      </c>
      <c r="B31" s="922">
        <f t="shared" si="0"/>
        <v>45</v>
      </c>
      <c r="C31" s="58">
        <f t="shared" si="1"/>
        <v>0.58417980941204062</v>
      </c>
      <c r="D31" s="898"/>
      <c r="E31" s="59">
        <v>0</v>
      </c>
      <c r="F31" s="56">
        <f t="shared" si="2"/>
        <v>0.58417980941204062</v>
      </c>
      <c r="G31" s="55">
        <f t="shared" si="3"/>
        <v>1.5640571728127244</v>
      </c>
      <c r="H31" s="10">
        <v>12</v>
      </c>
    </row>
    <row r="32" spans="1:10" x14ac:dyDescent="0.3">
      <c r="A32" s="184" t="s">
        <v>101</v>
      </c>
      <c r="B32" s="922">
        <f t="shared" si="0"/>
        <v>38</v>
      </c>
      <c r="C32" s="58">
        <f t="shared" si="1"/>
        <v>1.2978557054857338</v>
      </c>
      <c r="D32" s="898"/>
      <c r="E32" s="59">
        <v>0</v>
      </c>
      <c r="F32" s="56">
        <f t="shared" si="2"/>
        <v>1.2978557054857338</v>
      </c>
      <c r="G32" s="55">
        <f t="shared" si="3"/>
        <v>3.4748214380841649</v>
      </c>
      <c r="H32" s="10">
        <v>1012</v>
      </c>
    </row>
    <row r="33" spans="1:8" x14ac:dyDescent="0.3">
      <c r="A33" s="184" t="s">
        <v>108</v>
      </c>
      <c r="B33" s="922">
        <f t="shared" si="0"/>
        <v>48</v>
      </c>
      <c r="C33" s="58">
        <f t="shared" si="1"/>
        <v>0</v>
      </c>
      <c r="D33" s="898"/>
      <c r="E33" s="59">
        <v>0</v>
      </c>
      <c r="F33" s="56">
        <f t="shared" si="2"/>
        <v>0</v>
      </c>
      <c r="G33" s="55">
        <f t="shared" si="3"/>
        <v>0</v>
      </c>
      <c r="H33" s="10">
        <v>0</v>
      </c>
    </row>
    <row r="34" spans="1:8" x14ac:dyDescent="0.3">
      <c r="A34" s="184" t="s">
        <v>258</v>
      </c>
      <c r="B34" s="922">
        <f t="shared" si="0"/>
        <v>29</v>
      </c>
      <c r="C34" s="58">
        <f t="shared" si="1"/>
        <v>2</v>
      </c>
      <c r="D34" s="898"/>
      <c r="E34" s="59">
        <v>2</v>
      </c>
      <c r="F34" s="56">
        <f t="shared" si="2"/>
        <v>0</v>
      </c>
      <c r="G34" s="55">
        <f t="shared" si="3"/>
        <v>0</v>
      </c>
      <c r="H34" s="10">
        <v>0</v>
      </c>
    </row>
    <row r="35" spans="1:8" x14ac:dyDescent="0.3">
      <c r="A35" s="184" t="s">
        <v>245</v>
      </c>
      <c r="B35" s="922">
        <f t="shared" si="0"/>
        <v>48</v>
      </c>
      <c r="C35" s="58">
        <f t="shared" si="1"/>
        <v>0</v>
      </c>
      <c r="D35" s="898"/>
      <c r="E35" s="59">
        <v>0</v>
      </c>
      <c r="F35" s="56">
        <f t="shared" si="2"/>
        <v>0</v>
      </c>
      <c r="G35" s="55">
        <f t="shared" si="3"/>
        <v>0</v>
      </c>
      <c r="H35" s="10">
        <v>0</v>
      </c>
    </row>
    <row r="36" spans="1:8" x14ac:dyDescent="0.3">
      <c r="A36" s="184" t="s">
        <v>347</v>
      </c>
      <c r="B36" s="922">
        <f t="shared" si="0"/>
        <v>48</v>
      </c>
      <c r="C36" s="58">
        <f t="shared" si="1"/>
        <v>0</v>
      </c>
      <c r="D36" s="898"/>
      <c r="E36" s="59">
        <v>0</v>
      </c>
      <c r="F36" s="56">
        <f t="shared" ref="F36" si="6">G36*7/G$6</f>
        <v>0</v>
      </c>
      <c r="G36" s="55">
        <f t="shared" ref="G36" si="7">H36^G$4</f>
        <v>0</v>
      </c>
      <c r="H36" s="10">
        <v>0</v>
      </c>
    </row>
    <row r="37" spans="1:8" x14ac:dyDescent="0.3">
      <c r="A37" s="87" t="s">
        <v>89</v>
      </c>
      <c r="B37" s="922">
        <f t="shared" si="0"/>
        <v>5</v>
      </c>
      <c r="C37" s="58">
        <f t="shared" si="1"/>
        <v>6.5980471260433582</v>
      </c>
      <c r="D37" s="898"/>
      <c r="E37" s="59">
        <v>3</v>
      </c>
      <c r="F37" s="56">
        <f t="shared" si="2"/>
        <v>3.5980471260433577</v>
      </c>
      <c r="G37" s="55">
        <f t="shared" si="3"/>
        <v>9.6332521681471377</v>
      </c>
      <c r="H37" s="10">
        <v>292015</v>
      </c>
    </row>
    <row r="38" spans="1:8" x14ac:dyDescent="0.3">
      <c r="A38" s="88" t="s">
        <v>97</v>
      </c>
      <c r="B38" s="922">
        <f t="shared" si="0"/>
        <v>12</v>
      </c>
      <c r="C38" s="58">
        <f t="shared" si="1"/>
        <v>4.4282538111655025</v>
      </c>
      <c r="D38" s="898"/>
      <c r="E38" s="59">
        <v>2</v>
      </c>
      <c r="F38" s="56">
        <f t="shared" si="2"/>
        <v>2.4282538111655025</v>
      </c>
      <c r="G38" s="55">
        <f t="shared" si="3"/>
        <v>6.5012993081457893</v>
      </c>
      <c r="H38" s="10">
        <v>32860</v>
      </c>
    </row>
    <row r="39" spans="1:8" x14ac:dyDescent="0.3">
      <c r="A39" s="87" t="s">
        <v>86</v>
      </c>
      <c r="B39" s="922">
        <f t="shared" ref="B39:B70" si="8">RANK(C39,C$7:C$71)</f>
        <v>35</v>
      </c>
      <c r="C39" s="58">
        <f t="shared" si="1"/>
        <v>1.6561716645136388</v>
      </c>
      <c r="D39" s="898"/>
      <c r="E39" s="59">
        <v>0</v>
      </c>
      <c r="F39" s="56">
        <f t="shared" si="2"/>
        <v>1.6561716645136388</v>
      </c>
      <c r="G39" s="55">
        <f t="shared" si="3"/>
        <v>4.4341607319480145</v>
      </c>
      <c r="H39" s="10">
        <v>3921</v>
      </c>
    </row>
    <row r="40" spans="1:8" x14ac:dyDescent="0.3">
      <c r="A40" s="184" t="s">
        <v>109</v>
      </c>
      <c r="B40" s="922">
        <f t="shared" si="8"/>
        <v>48</v>
      </c>
      <c r="C40" s="58">
        <f t="shared" si="1"/>
        <v>0</v>
      </c>
      <c r="D40" s="898"/>
      <c r="E40" s="59">
        <v>0</v>
      </c>
      <c r="F40" s="56">
        <f t="shared" si="2"/>
        <v>0</v>
      </c>
      <c r="G40" s="55">
        <f t="shared" si="3"/>
        <v>0</v>
      </c>
      <c r="H40" s="10">
        <v>0</v>
      </c>
    </row>
    <row r="41" spans="1:8" x14ac:dyDescent="0.3">
      <c r="A41" s="87" t="s">
        <v>93</v>
      </c>
      <c r="B41" s="922">
        <f t="shared" si="8"/>
        <v>4</v>
      </c>
      <c r="C41" s="58">
        <f t="shared" si="1"/>
        <v>6.9564711915295252</v>
      </c>
      <c r="D41" s="898"/>
      <c r="E41" s="59">
        <v>3</v>
      </c>
      <c r="F41" s="56">
        <f t="shared" ref="F41:F71" si="9">G41*7/G$6</f>
        <v>3.9564711915295248</v>
      </c>
      <c r="G41" s="55">
        <f t="shared" ref="G41:G71" si="10">H41^G$4</f>
        <v>10.59288090145882</v>
      </c>
      <c r="H41" s="10">
        <v>494906</v>
      </c>
    </row>
    <row r="42" spans="1:8" x14ac:dyDescent="0.3">
      <c r="A42" s="87" t="s">
        <v>259</v>
      </c>
      <c r="B42" s="922">
        <f t="shared" si="8"/>
        <v>22</v>
      </c>
      <c r="C42" s="58">
        <f t="shared" si="1"/>
        <v>2.5736743349386773</v>
      </c>
      <c r="D42" s="898"/>
      <c r="E42" s="59">
        <v>1</v>
      </c>
      <c r="F42" s="56">
        <f t="shared" si="9"/>
        <v>1.5736743349386775</v>
      </c>
      <c r="G42" s="55">
        <f t="shared" si="10"/>
        <v>4.213286032102638</v>
      </c>
      <c r="H42" s="10">
        <v>2952</v>
      </c>
    </row>
    <row r="43" spans="1:8" x14ac:dyDescent="0.3">
      <c r="A43" s="184" t="s">
        <v>110</v>
      </c>
      <c r="B43" s="922">
        <f t="shared" si="8"/>
        <v>29</v>
      </c>
      <c r="C43" s="58">
        <f t="shared" si="1"/>
        <v>2</v>
      </c>
      <c r="D43" s="898"/>
      <c r="E43" s="59">
        <v>2</v>
      </c>
      <c r="F43" s="56">
        <f t="shared" si="9"/>
        <v>0</v>
      </c>
      <c r="G43" s="55">
        <f t="shared" si="10"/>
        <v>0</v>
      </c>
      <c r="H43" s="10">
        <v>0</v>
      </c>
    </row>
    <row r="44" spans="1:8" x14ac:dyDescent="0.3">
      <c r="A44" s="184" t="s">
        <v>249</v>
      </c>
      <c r="B44" s="922">
        <f t="shared" si="8"/>
        <v>28</v>
      </c>
      <c r="C44" s="58">
        <f t="shared" si="1"/>
        <v>2.008185232946853</v>
      </c>
      <c r="D44" s="898"/>
      <c r="E44" s="59">
        <v>0</v>
      </c>
      <c r="F44" s="56">
        <f t="shared" si="9"/>
        <v>2.008185232946853</v>
      </c>
      <c r="G44" s="55">
        <f t="shared" si="10"/>
        <v>5.3766262841031001</v>
      </c>
      <c r="H44" s="10">
        <v>11439</v>
      </c>
    </row>
    <row r="45" spans="1:8" x14ac:dyDescent="0.3">
      <c r="A45" s="87" t="s">
        <v>7</v>
      </c>
      <c r="B45" s="922">
        <f t="shared" si="8"/>
        <v>2</v>
      </c>
      <c r="C45" s="58">
        <f t="shared" si="1"/>
        <v>7.246455058400489</v>
      </c>
      <c r="D45" s="898"/>
      <c r="E45" s="59">
        <v>2</v>
      </c>
      <c r="F45" s="56">
        <f t="shared" si="9"/>
        <v>5.246455058400489</v>
      </c>
      <c r="G45" s="55">
        <f t="shared" si="10"/>
        <v>14.046626627150518</v>
      </c>
      <c r="H45" s="10">
        <v>2373560</v>
      </c>
    </row>
    <row r="46" spans="1:8" x14ac:dyDescent="0.3">
      <c r="A46" s="184" t="s">
        <v>111</v>
      </c>
      <c r="B46" s="922">
        <f t="shared" si="8"/>
        <v>19</v>
      </c>
      <c r="C46" s="58">
        <f t="shared" si="1"/>
        <v>2.8395712727537563</v>
      </c>
      <c r="D46" s="898"/>
      <c r="E46" s="59">
        <v>2</v>
      </c>
      <c r="F46" s="56">
        <f>G46*7/G$6</f>
        <v>0.83957127275375643</v>
      </c>
      <c r="G46" s="55">
        <f t="shared" si="10"/>
        <v>2.2478309761503983</v>
      </c>
      <c r="H46" s="10">
        <v>90</v>
      </c>
    </row>
    <row r="47" spans="1:8" x14ac:dyDescent="0.3">
      <c r="A47" s="184" t="s">
        <v>112</v>
      </c>
      <c r="B47" s="922">
        <f t="shared" si="8"/>
        <v>20</v>
      </c>
      <c r="C47" s="58">
        <f t="shared" si="1"/>
        <v>2.6811591046134167</v>
      </c>
      <c r="D47" s="898"/>
      <c r="E47" s="59">
        <v>0</v>
      </c>
      <c r="F47" s="56">
        <f t="shared" si="9"/>
        <v>2.6811591046134167</v>
      </c>
      <c r="G47" s="55">
        <f t="shared" si="10"/>
        <v>7.17841675021835</v>
      </c>
      <c r="H47" s="10">
        <v>56979</v>
      </c>
    </row>
    <row r="48" spans="1:8" x14ac:dyDescent="0.3">
      <c r="A48" s="184" t="s">
        <v>352</v>
      </c>
      <c r="B48" s="922">
        <f t="shared" si="8"/>
        <v>26</v>
      </c>
      <c r="C48" s="58">
        <f t="shared" si="1"/>
        <v>2.1748436006599947</v>
      </c>
      <c r="D48" s="898"/>
      <c r="E48" s="59">
        <v>1</v>
      </c>
      <c r="F48" s="56">
        <f t="shared" ref="F48" si="11">G48*7/G$6</f>
        <v>1.1748436006599949</v>
      </c>
      <c r="G48" s="55">
        <f t="shared" ref="G48" si="12">H48^G$4</f>
        <v>3.1454742716883763</v>
      </c>
      <c r="H48" s="10">
        <v>582</v>
      </c>
    </row>
    <row r="49" spans="1:8" x14ac:dyDescent="0.3">
      <c r="A49" s="184" t="s">
        <v>11</v>
      </c>
      <c r="B49" s="922">
        <f t="shared" si="8"/>
        <v>7</v>
      </c>
      <c r="C49" s="58">
        <f t="shared" si="1"/>
        <v>5.2275511804899297</v>
      </c>
      <c r="D49" s="898"/>
      <c r="E49" s="59">
        <v>2</v>
      </c>
      <c r="F49" s="56">
        <f t="shared" si="9"/>
        <v>3.2275511804899297</v>
      </c>
      <c r="G49" s="55">
        <f t="shared" si="10"/>
        <v>8.6413027173023753</v>
      </c>
      <c r="H49" s="10">
        <v>159668</v>
      </c>
    </row>
    <row r="50" spans="1:8" x14ac:dyDescent="0.3">
      <c r="A50" s="184" t="s">
        <v>20</v>
      </c>
      <c r="B50" s="922">
        <f t="shared" si="8"/>
        <v>27</v>
      </c>
      <c r="C50" s="58">
        <f t="shared" si="1"/>
        <v>2.0771976302228232</v>
      </c>
      <c r="D50" s="898"/>
      <c r="E50" s="59">
        <v>0</v>
      </c>
      <c r="F50" s="56">
        <f t="shared" si="9"/>
        <v>2.0771976302228232</v>
      </c>
      <c r="G50" s="55">
        <f t="shared" si="10"/>
        <v>5.5613970228951857</v>
      </c>
      <c r="H50" s="10">
        <v>13801</v>
      </c>
    </row>
    <row r="51" spans="1:8" x14ac:dyDescent="0.3">
      <c r="A51" s="184" t="s">
        <v>353</v>
      </c>
      <c r="B51" s="922">
        <f t="shared" si="8"/>
        <v>37</v>
      </c>
      <c r="C51" s="58">
        <f t="shared" si="1"/>
        <v>1.3586381664699048</v>
      </c>
      <c r="D51" s="898"/>
      <c r="E51" s="59">
        <v>0</v>
      </c>
      <c r="F51" s="56">
        <f t="shared" ref="F51:F52" si="13">G51*7/G$6</f>
        <v>1.3586381664699048</v>
      </c>
      <c r="G51" s="55">
        <f t="shared" ref="G51:G52" si="14">H51^G$4</f>
        <v>3.6375577096084832</v>
      </c>
      <c r="H51" s="10">
        <v>1305</v>
      </c>
    </row>
    <row r="52" spans="1:8" x14ac:dyDescent="0.3">
      <c r="A52" s="184" t="s">
        <v>354</v>
      </c>
      <c r="B52" s="922">
        <f t="shared" si="8"/>
        <v>48</v>
      </c>
      <c r="C52" s="58">
        <f t="shared" si="1"/>
        <v>0</v>
      </c>
      <c r="D52" s="898"/>
      <c r="E52" s="59">
        <v>0</v>
      </c>
      <c r="F52" s="56">
        <f t="shared" si="13"/>
        <v>0</v>
      </c>
      <c r="G52" s="55">
        <f t="shared" si="14"/>
        <v>0</v>
      </c>
      <c r="H52" s="10">
        <v>0</v>
      </c>
    </row>
    <row r="53" spans="1:8" x14ac:dyDescent="0.3">
      <c r="A53" s="184" t="s">
        <v>326</v>
      </c>
      <c r="B53" s="922">
        <f t="shared" si="8"/>
        <v>29</v>
      </c>
      <c r="C53" s="58">
        <f t="shared" si="1"/>
        <v>2</v>
      </c>
      <c r="D53" s="898"/>
      <c r="E53" s="59">
        <v>2</v>
      </c>
      <c r="F53" s="56">
        <f t="shared" si="9"/>
        <v>0</v>
      </c>
      <c r="G53" s="55">
        <f t="shared" si="10"/>
        <v>0</v>
      </c>
      <c r="H53" s="10">
        <v>0</v>
      </c>
    </row>
    <row r="54" spans="1:8" x14ac:dyDescent="0.3">
      <c r="A54" s="88" t="s">
        <v>91</v>
      </c>
      <c r="B54" s="922">
        <f t="shared" si="8"/>
        <v>1</v>
      </c>
      <c r="C54" s="58">
        <f t="shared" si="1"/>
        <v>10</v>
      </c>
      <c r="D54" s="898"/>
      <c r="E54" s="59">
        <v>3</v>
      </c>
      <c r="F54" s="56">
        <f t="shared" si="9"/>
        <v>7</v>
      </c>
      <c r="G54" s="55">
        <f t="shared" si="10"/>
        <v>18.74149026257567</v>
      </c>
      <c r="H54" s="10">
        <v>11779694</v>
      </c>
    </row>
    <row r="55" spans="1:8" x14ac:dyDescent="0.3">
      <c r="A55" s="184" t="s">
        <v>15</v>
      </c>
      <c r="B55" s="922">
        <f t="shared" si="8"/>
        <v>9</v>
      </c>
      <c r="C55" s="58">
        <f t="shared" si="1"/>
        <v>4.7752314988646791</v>
      </c>
      <c r="D55" s="898"/>
      <c r="E55" s="59">
        <v>2</v>
      </c>
      <c r="F55" s="56">
        <f t="shared" si="9"/>
        <v>2.7752314988646787</v>
      </c>
      <c r="G55" s="55">
        <f t="shared" si="10"/>
        <v>7.4302820160522369</v>
      </c>
      <c r="H55" s="10">
        <v>69011</v>
      </c>
    </row>
    <row r="56" spans="1:8" x14ac:dyDescent="0.3">
      <c r="A56" s="184" t="s">
        <v>158</v>
      </c>
      <c r="B56" s="922">
        <f t="shared" si="8"/>
        <v>43</v>
      </c>
      <c r="C56" s="58">
        <f t="shared" si="1"/>
        <v>0.7982621228296366</v>
      </c>
      <c r="D56" s="898"/>
      <c r="E56" s="59">
        <v>0</v>
      </c>
      <c r="F56" s="56">
        <f t="shared" si="9"/>
        <v>0.7982621228296366</v>
      </c>
      <c r="G56" s="55">
        <f t="shared" si="10"/>
        <v>2.1372316859992311</v>
      </c>
      <c r="H56" s="10">
        <v>68</v>
      </c>
    </row>
    <row r="57" spans="1:8" x14ac:dyDescent="0.3">
      <c r="A57" s="184" t="s">
        <v>113</v>
      </c>
      <c r="B57" s="922">
        <f t="shared" si="8"/>
        <v>15</v>
      </c>
      <c r="C57" s="58">
        <f t="shared" si="1"/>
        <v>3.8160249694496433</v>
      </c>
      <c r="D57" s="898"/>
      <c r="E57" s="59">
        <v>2</v>
      </c>
      <c r="F57" s="56">
        <f t="shared" si="9"/>
        <v>1.8160249694496433</v>
      </c>
      <c r="G57" s="55">
        <f t="shared" si="10"/>
        <v>4.8621448973621106</v>
      </c>
      <c r="H57" s="10">
        <v>6542</v>
      </c>
    </row>
    <row r="58" spans="1:8" x14ac:dyDescent="0.3">
      <c r="A58" s="87" t="s">
        <v>87</v>
      </c>
      <c r="B58" s="922">
        <f t="shared" si="8"/>
        <v>17</v>
      </c>
      <c r="C58" s="58">
        <f t="shared" si="1"/>
        <v>3.403082182990194</v>
      </c>
      <c r="D58" s="898"/>
      <c r="E58" s="59">
        <v>0</v>
      </c>
      <c r="F58" s="56">
        <f t="shared" si="9"/>
        <v>3.403082182990194</v>
      </c>
      <c r="G58" s="55">
        <f t="shared" si="10"/>
        <v>9.1112616564650679</v>
      </c>
      <c r="H58" s="10">
        <v>214285</v>
      </c>
    </row>
    <row r="59" spans="1:8" x14ac:dyDescent="0.3">
      <c r="A59" s="87" t="s">
        <v>355</v>
      </c>
      <c r="B59" s="922">
        <f t="shared" si="8"/>
        <v>34</v>
      </c>
      <c r="C59" s="58">
        <f t="shared" ref="C59" si="15">SUM(E59:F59)</f>
        <v>1.8908469644147663</v>
      </c>
      <c r="D59" s="898"/>
      <c r="E59" s="59">
        <v>0</v>
      </c>
      <c r="F59" s="56">
        <f t="shared" ref="F59" si="16">G59*7/G$6</f>
        <v>1.8908469644147663</v>
      </c>
      <c r="G59" s="55">
        <f t="shared" ref="G59" si="17">H59^G$4</f>
        <v>5.0624699959428723</v>
      </c>
      <c r="H59" s="10">
        <v>8187</v>
      </c>
    </row>
    <row r="60" spans="1:8" x14ac:dyDescent="0.3">
      <c r="A60" s="184" t="s">
        <v>114</v>
      </c>
      <c r="B60" s="922">
        <f t="shared" si="8"/>
        <v>48</v>
      </c>
      <c r="C60" s="58">
        <f t="shared" si="1"/>
        <v>0</v>
      </c>
      <c r="D60" s="898"/>
      <c r="E60" s="59">
        <v>0</v>
      </c>
      <c r="F60" s="56">
        <f t="shared" si="9"/>
        <v>0</v>
      </c>
      <c r="G60" s="55">
        <f t="shared" si="10"/>
        <v>0</v>
      </c>
      <c r="H60" s="10">
        <v>0</v>
      </c>
    </row>
    <row r="61" spans="1:8" x14ac:dyDescent="0.3">
      <c r="A61" s="184" t="s">
        <v>160</v>
      </c>
      <c r="B61" s="922">
        <f t="shared" si="8"/>
        <v>41</v>
      </c>
      <c r="C61" s="58">
        <f t="shared" si="1"/>
        <v>1.0421128049010688</v>
      </c>
      <c r="D61" s="898"/>
      <c r="E61" s="59">
        <v>0</v>
      </c>
      <c r="F61" s="56">
        <f t="shared" si="9"/>
        <v>1.0421128049010688</v>
      </c>
      <c r="G61" s="55">
        <f t="shared" si="10"/>
        <v>2.7901067122226859</v>
      </c>
      <c r="H61" s="10">
        <v>299</v>
      </c>
    </row>
    <row r="62" spans="1:8" x14ac:dyDescent="0.3">
      <c r="A62" s="184" t="s">
        <v>115</v>
      </c>
      <c r="B62" s="922">
        <f t="shared" si="8"/>
        <v>48</v>
      </c>
      <c r="C62" s="58">
        <f t="shared" si="1"/>
        <v>0</v>
      </c>
      <c r="D62" s="898"/>
      <c r="E62" s="59">
        <v>0</v>
      </c>
      <c r="F62" s="56">
        <f t="shared" si="9"/>
        <v>0</v>
      </c>
      <c r="G62" s="55">
        <f t="shared" si="10"/>
        <v>0</v>
      </c>
      <c r="H62" s="10">
        <v>0</v>
      </c>
    </row>
    <row r="63" spans="1:8" x14ac:dyDescent="0.3">
      <c r="A63" s="87" t="s">
        <v>18</v>
      </c>
      <c r="B63" s="922">
        <f t="shared" si="8"/>
        <v>21</v>
      </c>
      <c r="C63" s="58">
        <f t="shared" si="1"/>
        <v>2.5841798094120407</v>
      </c>
      <c r="D63" s="898"/>
      <c r="E63" s="59">
        <v>2</v>
      </c>
      <c r="F63" s="56">
        <f t="shared" si="9"/>
        <v>0.58417980941204062</v>
      </c>
      <c r="G63" s="55">
        <f t="shared" si="10"/>
        <v>1.5640571728127244</v>
      </c>
      <c r="H63" s="10">
        <v>12</v>
      </c>
    </row>
    <row r="64" spans="1:8" x14ac:dyDescent="0.3">
      <c r="A64" s="184" t="s">
        <v>116</v>
      </c>
      <c r="B64" s="922">
        <f t="shared" si="8"/>
        <v>48</v>
      </c>
      <c r="C64" s="58">
        <f t="shared" si="1"/>
        <v>0</v>
      </c>
      <c r="D64" s="898"/>
      <c r="E64" s="59">
        <v>0</v>
      </c>
      <c r="F64" s="56">
        <f t="shared" si="9"/>
        <v>0</v>
      </c>
      <c r="G64" s="55">
        <f t="shared" si="10"/>
        <v>0</v>
      </c>
      <c r="H64" s="10">
        <v>0</v>
      </c>
    </row>
    <row r="65" spans="1:8" x14ac:dyDescent="0.3">
      <c r="A65" s="184" t="s">
        <v>356</v>
      </c>
      <c r="B65" s="922">
        <f t="shared" si="8"/>
        <v>48</v>
      </c>
      <c r="C65" s="58">
        <f t="shared" si="1"/>
        <v>0</v>
      </c>
      <c r="D65" s="898"/>
      <c r="E65" s="59">
        <v>0</v>
      </c>
      <c r="F65" s="56">
        <f t="shared" ref="F65" si="18">G65*7/G$6</f>
        <v>0</v>
      </c>
      <c r="G65" s="55">
        <f t="shared" ref="G65" si="19">H65^G$4</f>
        <v>0</v>
      </c>
      <c r="H65" s="10">
        <v>0</v>
      </c>
    </row>
    <row r="66" spans="1:8" x14ac:dyDescent="0.3">
      <c r="A66" s="184" t="s">
        <v>246</v>
      </c>
      <c r="B66" s="922">
        <f t="shared" si="8"/>
        <v>48</v>
      </c>
      <c r="C66" s="58">
        <f t="shared" si="1"/>
        <v>0</v>
      </c>
      <c r="D66" s="898"/>
      <c r="E66" s="59">
        <v>0</v>
      </c>
      <c r="F66" s="56">
        <f t="shared" si="9"/>
        <v>0</v>
      </c>
      <c r="G66" s="55">
        <f t="shared" si="10"/>
        <v>0</v>
      </c>
      <c r="H66" s="10">
        <v>0</v>
      </c>
    </row>
    <row r="67" spans="1:8" x14ac:dyDescent="0.3">
      <c r="A67" s="184" t="s">
        <v>272</v>
      </c>
      <c r="B67" s="922">
        <f t="shared" si="8"/>
        <v>48</v>
      </c>
      <c r="C67" s="58">
        <f t="shared" si="1"/>
        <v>0</v>
      </c>
      <c r="D67" s="898"/>
      <c r="E67" s="59">
        <v>0</v>
      </c>
      <c r="F67" s="56">
        <f t="shared" si="9"/>
        <v>0</v>
      </c>
      <c r="G67" s="55">
        <f t="shared" si="10"/>
        <v>0</v>
      </c>
      <c r="H67" s="10">
        <v>0</v>
      </c>
    </row>
    <row r="68" spans="1:8" x14ac:dyDescent="0.3">
      <c r="A68" s="87" t="s">
        <v>98</v>
      </c>
      <c r="B68" s="922">
        <f t="shared" si="8"/>
        <v>13</v>
      </c>
      <c r="C68" s="58">
        <f t="shared" si="1"/>
        <v>4.4185624773641772</v>
      </c>
      <c r="D68" s="898"/>
      <c r="E68" s="59">
        <v>2</v>
      </c>
      <c r="F68" s="56">
        <f t="shared" si="9"/>
        <v>2.4185624773641772</v>
      </c>
      <c r="G68" s="55">
        <f t="shared" si="10"/>
        <v>6.4753521598502308</v>
      </c>
      <c r="H68" s="10">
        <v>32138</v>
      </c>
    </row>
    <row r="69" spans="1:8" x14ac:dyDescent="0.3">
      <c r="A69" s="87" t="s">
        <v>161</v>
      </c>
      <c r="B69" s="922">
        <f t="shared" si="8"/>
        <v>16</v>
      </c>
      <c r="C69" s="58">
        <f t="shared" si="1"/>
        <v>3.7979308041851887</v>
      </c>
      <c r="D69" s="898"/>
      <c r="E69" s="59">
        <v>2</v>
      </c>
      <c r="F69" s="56">
        <f t="shared" si="9"/>
        <v>1.7979308041851889</v>
      </c>
      <c r="G69" s="55">
        <f t="shared" si="10"/>
        <v>4.8137003799173659</v>
      </c>
      <c r="H69" s="10">
        <v>6188</v>
      </c>
    </row>
    <row r="70" spans="1:8" x14ac:dyDescent="0.3">
      <c r="A70" s="1001" t="s">
        <v>359</v>
      </c>
      <c r="B70" s="922">
        <f t="shared" si="8"/>
        <v>44</v>
      </c>
      <c r="C70" s="58">
        <f t="shared" si="1"/>
        <v>0.77330602240743562</v>
      </c>
      <c r="D70" s="1012"/>
      <c r="E70" s="1013">
        <v>0</v>
      </c>
      <c r="F70" s="56">
        <f t="shared" ref="F70" si="20">G70*7/G$6</f>
        <v>0.77330602240743562</v>
      </c>
      <c r="G70" s="55">
        <f t="shared" ref="G70" si="21">H70^G$4</f>
        <v>2.0704153269914398</v>
      </c>
      <c r="H70" s="1014">
        <v>57</v>
      </c>
    </row>
    <row r="71" spans="1:8" ht="19.5" thickBot="1" x14ac:dyDescent="0.35">
      <c r="A71" s="152" t="s">
        <v>162</v>
      </c>
      <c r="B71" s="922">
        <f t="shared" ref="B71" si="22">RANK(C71,C$7:C$71)</f>
        <v>3</v>
      </c>
      <c r="C71" s="58">
        <f t="shared" si="1"/>
        <v>7.1808768012513919</v>
      </c>
      <c r="D71" s="899"/>
      <c r="E71" s="60">
        <v>3</v>
      </c>
      <c r="F71" s="56">
        <f t="shared" si="9"/>
        <v>4.1808768012513919</v>
      </c>
      <c r="G71" s="55">
        <f t="shared" si="10"/>
        <v>11.193694551383068</v>
      </c>
      <c r="H71" s="11">
        <v>672404</v>
      </c>
    </row>
    <row r="72" spans="1:8" s="61" customFormat="1" x14ac:dyDescent="0.3">
      <c r="B72" s="64"/>
      <c r="C72" s="64"/>
      <c r="D72" s="64"/>
      <c r="E72" s="62"/>
      <c r="F72" s="63"/>
      <c r="G72" s="62"/>
    </row>
    <row r="73" spans="1:8" s="61" customFormat="1" x14ac:dyDescent="0.3">
      <c r="B73" s="64"/>
      <c r="C73" s="64"/>
      <c r="D73" s="64"/>
      <c r="E73" s="62"/>
      <c r="F73" s="63"/>
      <c r="G73" s="62"/>
    </row>
    <row r="74" spans="1:8" s="61" customFormat="1" x14ac:dyDescent="0.3">
      <c r="B74" s="64"/>
      <c r="C74" s="64"/>
      <c r="D74" s="64"/>
      <c r="E74" s="62"/>
      <c r="F74" s="63"/>
      <c r="G74" s="62"/>
    </row>
    <row r="75" spans="1:8" s="61" customFormat="1" x14ac:dyDescent="0.3">
      <c r="B75" s="64"/>
      <c r="C75" s="64"/>
      <c r="D75" s="64"/>
      <c r="E75" s="62"/>
      <c r="F75" s="63"/>
      <c r="G75" s="62"/>
    </row>
    <row r="76" spans="1:8" s="61" customFormat="1" x14ac:dyDescent="0.3">
      <c r="B76" s="64"/>
      <c r="C76" s="64"/>
      <c r="D76" s="64"/>
      <c r="E76" s="62"/>
      <c r="F76" s="63"/>
      <c r="G76" s="62"/>
    </row>
    <row r="77" spans="1:8" s="61" customFormat="1" x14ac:dyDescent="0.3">
      <c r="B77" s="64"/>
      <c r="C77" s="64"/>
      <c r="D77" s="64"/>
      <c r="E77" s="62"/>
      <c r="F77" s="63"/>
      <c r="G77" s="62"/>
    </row>
    <row r="78" spans="1:8" s="61" customFormat="1" x14ac:dyDescent="0.3">
      <c r="B78" s="64"/>
      <c r="C78" s="64"/>
      <c r="D78" s="64"/>
      <c r="E78" s="62"/>
      <c r="F78" s="63"/>
      <c r="G78" s="62"/>
    </row>
    <row r="79" spans="1:8" s="61" customFormat="1" x14ac:dyDescent="0.3">
      <c r="B79" s="64"/>
      <c r="C79" s="64"/>
      <c r="D79" s="64"/>
      <c r="E79" s="62"/>
      <c r="F79" s="63"/>
      <c r="G79" s="62"/>
    </row>
    <row r="80" spans="1:8" s="61" customFormat="1" x14ac:dyDescent="0.3">
      <c r="B80" s="64"/>
      <c r="C80" s="64"/>
      <c r="D80" s="64"/>
      <c r="E80" s="62"/>
      <c r="F80" s="63"/>
      <c r="G80" s="62"/>
    </row>
    <row r="81" spans="2:7" s="61" customFormat="1" x14ac:dyDescent="0.3">
      <c r="B81" s="64"/>
      <c r="C81" s="64"/>
      <c r="D81" s="64"/>
      <c r="E81" s="62"/>
      <c r="F81" s="63"/>
      <c r="G81" s="62"/>
    </row>
    <row r="82" spans="2:7" s="61" customFormat="1" x14ac:dyDescent="0.3">
      <c r="B82" s="64"/>
      <c r="C82" s="64"/>
      <c r="D82" s="64"/>
      <c r="E82" s="62"/>
      <c r="F82" s="63"/>
      <c r="G82" s="62"/>
    </row>
    <row r="83" spans="2:7" s="61" customFormat="1" x14ac:dyDescent="0.3">
      <c r="B83" s="64"/>
      <c r="C83" s="64"/>
      <c r="D83" s="64"/>
      <c r="E83" s="62"/>
      <c r="F83" s="63"/>
      <c r="G83" s="62"/>
    </row>
    <row r="84" spans="2:7" s="61" customFormat="1" x14ac:dyDescent="0.3">
      <c r="B84" s="64"/>
      <c r="C84" s="64"/>
      <c r="D84" s="64"/>
      <c r="E84" s="62"/>
      <c r="F84" s="63"/>
      <c r="G84" s="62"/>
    </row>
    <row r="85" spans="2:7" s="61" customFormat="1" x14ac:dyDescent="0.3">
      <c r="B85" s="64"/>
      <c r="C85" s="64"/>
      <c r="D85" s="64"/>
      <c r="E85" s="62"/>
      <c r="F85" s="63"/>
      <c r="G85" s="62"/>
    </row>
    <row r="86" spans="2:7" s="61" customFormat="1" x14ac:dyDescent="0.3">
      <c r="B86" s="64"/>
      <c r="C86" s="64"/>
      <c r="D86" s="64"/>
      <c r="E86" s="62"/>
      <c r="F86" s="63"/>
      <c r="G86" s="62"/>
    </row>
    <row r="87" spans="2:7" s="61" customFormat="1" x14ac:dyDescent="0.3">
      <c r="B87" s="64"/>
      <c r="C87" s="64"/>
      <c r="D87" s="64"/>
      <c r="E87" s="62"/>
      <c r="F87" s="63"/>
      <c r="G87" s="62"/>
    </row>
    <row r="88" spans="2:7" s="61" customFormat="1" x14ac:dyDescent="0.3">
      <c r="B88" s="64"/>
      <c r="C88" s="64"/>
      <c r="D88" s="64"/>
      <c r="E88" s="62"/>
      <c r="F88" s="63"/>
      <c r="G88" s="62"/>
    </row>
    <row r="89" spans="2:7" s="61" customFormat="1" x14ac:dyDescent="0.3">
      <c r="B89" s="64"/>
      <c r="C89" s="64"/>
      <c r="D89" s="64"/>
      <c r="E89" s="62"/>
      <c r="F89" s="63"/>
      <c r="G89" s="62"/>
    </row>
    <row r="90" spans="2:7" s="61" customFormat="1" x14ac:dyDescent="0.3">
      <c r="B90" s="64"/>
      <c r="C90" s="64"/>
      <c r="D90" s="64"/>
      <c r="E90" s="62"/>
      <c r="F90" s="63"/>
      <c r="G90" s="62"/>
    </row>
    <row r="91" spans="2:7" s="61" customFormat="1" x14ac:dyDescent="0.3">
      <c r="B91" s="64"/>
      <c r="C91" s="64"/>
      <c r="D91" s="64"/>
      <c r="E91" s="62"/>
      <c r="F91" s="63"/>
      <c r="G91" s="62"/>
    </row>
    <row r="92" spans="2:7" s="61" customFormat="1" x14ac:dyDescent="0.3">
      <c r="B92" s="64"/>
      <c r="C92" s="64"/>
      <c r="D92" s="64"/>
      <c r="E92" s="62"/>
      <c r="F92" s="63"/>
      <c r="G92" s="62"/>
    </row>
    <row r="93" spans="2:7" s="61" customFormat="1" x14ac:dyDescent="0.3">
      <c r="B93" s="64"/>
      <c r="C93" s="64"/>
      <c r="D93" s="64"/>
      <c r="E93" s="62"/>
      <c r="F93" s="63"/>
      <c r="G93" s="62"/>
    </row>
    <row r="94" spans="2:7" s="61" customFormat="1" x14ac:dyDescent="0.3">
      <c r="B94" s="64"/>
      <c r="C94" s="64"/>
      <c r="D94" s="64"/>
      <c r="E94" s="62"/>
      <c r="F94" s="63"/>
      <c r="G94" s="62"/>
    </row>
    <row r="95" spans="2:7" s="61" customFormat="1" x14ac:dyDescent="0.3">
      <c r="B95" s="64"/>
      <c r="C95" s="64"/>
      <c r="D95" s="64"/>
      <c r="E95" s="62"/>
      <c r="F95" s="63"/>
      <c r="G95" s="62"/>
    </row>
    <row r="96" spans="2:7" s="61" customFormat="1" x14ac:dyDescent="0.3">
      <c r="B96" s="64"/>
      <c r="C96" s="64"/>
      <c r="D96" s="64"/>
      <c r="E96" s="62"/>
      <c r="F96" s="63"/>
      <c r="G96" s="62"/>
    </row>
    <row r="97" spans="2:7" s="61" customFormat="1" x14ac:dyDescent="0.3">
      <c r="B97" s="64"/>
      <c r="C97" s="64"/>
      <c r="D97" s="64"/>
      <c r="E97" s="62"/>
      <c r="F97" s="63"/>
      <c r="G97" s="62"/>
    </row>
    <row r="98" spans="2:7" s="61" customFormat="1" x14ac:dyDescent="0.3">
      <c r="B98" s="64"/>
      <c r="C98" s="64"/>
      <c r="D98" s="64"/>
      <c r="E98" s="62"/>
      <c r="F98" s="63"/>
      <c r="G98" s="62"/>
    </row>
    <row r="99" spans="2:7" s="61" customFormat="1" x14ac:dyDescent="0.3">
      <c r="B99" s="64"/>
      <c r="C99" s="64"/>
      <c r="D99" s="64"/>
      <c r="E99" s="62"/>
      <c r="F99" s="63"/>
      <c r="G99" s="62"/>
    </row>
    <row r="100" spans="2:7" s="61" customFormat="1" x14ac:dyDescent="0.3">
      <c r="B100" s="64"/>
      <c r="C100" s="64"/>
      <c r="D100" s="64"/>
      <c r="E100" s="62"/>
      <c r="F100" s="63"/>
      <c r="G100" s="62"/>
    </row>
    <row r="101" spans="2:7" s="61" customFormat="1" x14ac:dyDescent="0.3">
      <c r="B101" s="64"/>
      <c r="C101" s="64"/>
      <c r="D101" s="64"/>
      <c r="E101" s="62"/>
      <c r="F101" s="63"/>
      <c r="G101" s="62"/>
    </row>
    <row r="102" spans="2:7" s="61" customFormat="1" x14ac:dyDescent="0.3">
      <c r="B102" s="64"/>
      <c r="C102" s="64"/>
      <c r="D102" s="64"/>
      <c r="E102" s="62"/>
      <c r="F102" s="63"/>
      <c r="G102" s="62"/>
    </row>
    <row r="103" spans="2:7" s="61" customFormat="1" x14ac:dyDescent="0.3">
      <c r="B103" s="64"/>
      <c r="C103" s="64"/>
      <c r="D103" s="64"/>
      <c r="E103" s="62"/>
      <c r="F103" s="63"/>
      <c r="G103" s="62"/>
    </row>
    <row r="104" spans="2:7" s="61" customFormat="1" x14ac:dyDescent="0.3">
      <c r="B104" s="64"/>
      <c r="C104" s="64"/>
      <c r="D104" s="64"/>
      <c r="E104" s="62"/>
      <c r="F104" s="63"/>
      <c r="G104" s="62"/>
    </row>
    <row r="105" spans="2:7" s="61" customFormat="1" x14ac:dyDescent="0.3">
      <c r="B105" s="64"/>
      <c r="C105" s="64"/>
      <c r="D105" s="64"/>
      <c r="E105" s="62"/>
      <c r="F105" s="63"/>
      <c r="G105" s="62"/>
    </row>
    <row r="106" spans="2:7" s="61" customFormat="1" x14ac:dyDescent="0.3">
      <c r="B106" s="64"/>
      <c r="C106" s="64"/>
      <c r="D106" s="64"/>
      <c r="E106" s="62"/>
      <c r="F106" s="63"/>
      <c r="G106" s="62"/>
    </row>
    <row r="107" spans="2:7" s="61" customFormat="1" x14ac:dyDescent="0.3">
      <c r="B107" s="64"/>
      <c r="C107" s="64"/>
      <c r="D107" s="64"/>
      <c r="E107" s="62"/>
      <c r="F107" s="63"/>
      <c r="G107" s="62"/>
    </row>
    <row r="108" spans="2:7" s="61" customFormat="1" x14ac:dyDescent="0.3">
      <c r="B108" s="64"/>
      <c r="C108" s="64"/>
      <c r="D108" s="64"/>
      <c r="E108" s="62"/>
      <c r="F108" s="63"/>
      <c r="G108" s="62"/>
    </row>
    <row r="109" spans="2:7" s="61" customFormat="1" x14ac:dyDescent="0.3">
      <c r="B109" s="64"/>
      <c r="C109" s="64"/>
      <c r="D109" s="64"/>
      <c r="E109" s="62"/>
      <c r="F109" s="63"/>
      <c r="G109" s="62"/>
    </row>
    <row r="110" spans="2:7" s="61" customFormat="1" x14ac:dyDescent="0.3">
      <c r="B110" s="64"/>
      <c r="C110" s="64"/>
      <c r="D110" s="64"/>
      <c r="E110" s="62"/>
      <c r="F110" s="63"/>
      <c r="G110" s="62"/>
    </row>
    <row r="111" spans="2:7" s="61" customFormat="1" x14ac:dyDescent="0.3">
      <c r="B111" s="64"/>
      <c r="C111" s="64"/>
      <c r="D111" s="64"/>
      <c r="E111" s="62"/>
      <c r="F111" s="63"/>
      <c r="G111" s="62"/>
    </row>
    <row r="112" spans="2:7" s="61" customFormat="1" x14ac:dyDescent="0.3">
      <c r="B112" s="64"/>
      <c r="C112" s="64"/>
      <c r="D112" s="64"/>
      <c r="E112" s="62"/>
      <c r="F112" s="63"/>
      <c r="G112" s="62"/>
    </row>
    <row r="113" spans="2:7" s="61" customFormat="1" x14ac:dyDescent="0.3">
      <c r="B113" s="64"/>
      <c r="C113" s="64"/>
      <c r="D113" s="64"/>
      <c r="E113" s="62"/>
      <c r="F113" s="63"/>
      <c r="G113" s="62"/>
    </row>
    <row r="114" spans="2:7" s="61" customFormat="1" x14ac:dyDescent="0.3">
      <c r="B114" s="64"/>
      <c r="C114" s="64"/>
      <c r="D114" s="64"/>
      <c r="E114" s="62"/>
      <c r="F114" s="63"/>
      <c r="G114" s="62"/>
    </row>
    <row r="115" spans="2:7" s="61" customFormat="1" x14ac:dyDescent="0.3">
      <c r="B115" s="64"/>
      <c r="C115" s="64"/>
      <c r="D115" s="64"/>
      <c r="E115" s="62"/>
      <c r="F115" s="63"/>
      <c r="G115" s="62"/>
    </row>
    <row r="116" spans="2:7" s="61" customFormat="1" x14ac:dyDescent="0.3">
      <c r="B116" s="64"/>
      <c r="C116" s="64"/>
      <c r="D116" s="64"/>
      <c r="E116" s="62"/>
      <c r="F116" s="63"/>
      <c r="G116" s="62"/>
    </row>
    <row r="117" spans="2:7" s="61" customFormat="1" x14ac:dyDescent="0.3">
      <c r="B117" s="64"/>
      <c r="C117" s="64"/>
      <c r="D117" s="64"/>
      <c r="E117" s="62"/>
      <c r="F117" s="63"/>
      <c r="G117" s="62"/>
    </row>
    <row r="118" spans="2:7" s="61" customFormat="1" x14ac:dyDescent="0.3">
      <c r="B118" s="64"/>
      <c r="C118" s="64"/>
      <c r="D118" s="64"/>
      <c r="E118" s="62"/>
      <c r="F118" s="63"/>
      <c r="G118" s="62"/>
    </row>
    <row r="119" spans="2:7" s="61" customFormat="1" x14ac:dyDescent="0.3">
      <c r="B119" s="64"/>
      <c r="C119" s="64"/>
      <c r="D119" s="64"/>
      <c r="E119" s="62"/>
      <c r="F119" s="63"/>
      <c r="G119" s="62"/>
    </row>
    <row r="120" spans="2:7" s="61" customFormat="1" x14ac:dyDescent="0.3">
      <c r="B120" s="64"/>
      <c r="C120" s="64"/>
      <c r="D120" s="64"/>
      <c r="E120" s="62"/>
      <c r="F120" s="63"/>
      <c r="G120" s="62"/>
    </row>
    <row r="121" spans="2:7" s="61" customFormat="1" x14ac:dyDescent="0.3">
      <c r="B121" s="64"/>
      <c r="C121" s="64"/>
      <c r="D121" s="64"/>
      <c r="E121" s="62"/>
      <c r="F121" s="63"/>
      <c r="G121" s="62"/>
    </row>
    <row r="122" spans="2:7" s="61" customFormat="1" x14ac:dyDescent="0.3">
      <c r="B122" s="64"/>
      <c r="C122" s="64"/>
      <c r="D122" s="64"/>
      <c r="E122" s="62"/>
      <c r="F122" s="63"/>
      <c r="G122" s="62"/>
    </row>
    <row r="123" spans="2:7" s="61" customFormat="1" x14ac:dyDescent="0.3">
      <c r="B123" s="64"/>
      <c r="C123" s="64"/>
      <c r="D123" s="64"/>
      <c r="E123" s="62"/>
      <c r="F123" s="63"/>
      <c r="G123" s="62"/>
    </row>
    <row r="124" spans="2:7" s="61" customFormat="1" x14ac:dyDescent="0.3">
      <c r="B124" s="64"/>
      <c r="C124" s="64"/>
      <c r="D124" s="64"/>
      <c r="E124" s="62"/>
      <c r="F124" s="63"/>
      <c r="G124" s="62"/>
    </row>
    <row r="125" spans="2:7" s="61" customFormat="1" x14ac:dyDescent="0.3">
      <c r="B125" s="64"/>
      <c r="C125" s="64"/>
      <c r="D125" s="64"/>
      <c r="E125" s="62"/>
      <c r="F125" s="63"/>
      <c r="G125" s="62"/>
    </row>
    <row r="126" spans="2:7" s="61" customFormat="1" x14ac:dyDescent="0.3">
      <c r="B126" s="64"/>
      <c r="C126" s="64"/>
      <c r="D126" s="64"/>
      <c r="E126" s="62"/>
      <c r="F126" s="63"/>
      <c r="G126" s="62"/>
    </row>
    <row r="127" spans="2:7" s="61" customFormat="1" x14ac:dyDescent="0.3">
      <c r="B127" s="64"/>
      <c r="C127" s="64"/>
      <c r="D127" s="64"/>
      <c r="E127" s="62"/>
      <c r="F127" s="63"/>
      <c r="G127" s="62"/>
    </row>
    <row r="128" spans="2:7" s="61" customFormat="1" x14ac:dyDescent="0.3">
      <c r="B128" s="64"/>
      <c r="C128" s="64"/>
      <c r="D128" s="64"/>
      <c r="E128" s="62"/>
      <c r="F128" s="63"/>
      <c r="G128" s="62"/>
    </row>
    <row r="129" spans="2:7" s="61" customFormat="1" x14ac:dyDescent="0.3">
      <c r="B129" s="64"/>
      <c r="C129" s="64"/>
      <c r="D129" s="64"/>
      <c r="E129" s="62"/>
      <c r="F129" s="63"/>
      <c r="G129" s="62"/>
    </row>
    <row r="130" spans="2:7" s="61" customFormat="1" x14ac:dyDescent="0.3">
      <c r="B130" s="64"/>
      <c r="C130" s="64"/>
      <c r="D130" s="64"/>
      <c r="E130" s="62"/>
      <c r="F130" s="63"/>
      <c r="G130" s="62"/>
    </row>
    <row r="131" spans="2:7" s="61" customFormat="1" x14ac:dyDescent="0.3">
      <c r="B131" s="64"/>
      <c r="C131" s="64"/>
      <c r="D131" s="64"/>
      <c r="E131" s="62"/>
      <c r="F131" s="63"/>
      <c r="G131" s="62"/>
    </row>
    <row r="132" spans="2:7" s="61" customFormat="1" x14ac:dyDescent="0.3">
      <c r="B132" s="64"/>
      <c r="C132" s="64"/>
      <c r="D132" s="64"/>
      <c r="E132" s="62"/>
      <c r="F132" s="63"/>
      <c r="G132" s="62"/>
    </row>
    <row r="133" spans="2:7" s="61" customFormat="1" x14ac:dyDescent="0.3">
      <c r="B133" s="64"/>
      <c r="C133" s="64"/>
      <c r="D133" s="64"/>
      <c r="E133" s="62"/>
      <c r="F133" s="63"/>
      <c r="G133" s="62"/>
    </row>
    <row r="134" spans="2:7" s="61" customFormat="1" x14ac:dyDescent="0.3">
      <c r="B134" s="64"/>
      <c r="C134" s="64"/>
      <c r="D134" s="64"/>
      <c r="E134" s="62"/>
      <c r="F134" s="63"/>
      <c r="G134" s="62"/>
    </row>
    <row r="135" spans="2:7" s="61" customFormat="1" x14ac:dyDescent="0.3">
      <c r="B135" s="64"/>
      <c r="C135" s="64"/>
      <c r="D135" s="64"/>
      <c r="E135" s="62"/>
      <c r="F135" s="63"/>
      <c r="G135" s="62"/>
    </row>
    <row r="136" spans="2:7" s="61" customFormat="1" x14ac:dyDescent="0.3">
      <c r="B136" s="64"/>
      <c r="C136" s="64"/>
      <c r="D136" s="64"/>
      <c r="E136" s="62"/>
      <c r="F136" s="63"/>
      <c r="G136" s="62"/>
    </row>
    <row r="137" spans="2:7" s="61" customFormat="1" x14ac:dyDescent="0.3">
      <c r="B137" s="64"/>
      <c r="C137" s="64"/>
      <c r="D137" s="64"/>
      <c r="E137" s="62"/>
      <c r="F137" s="63"/>
      <c r="G137" s="62"/>
    </row>
    <row r="138" spans="2:7" s="61" customFormat="1" x14ac:dyDescent="0.3">
      <c r="B138" s="64"/>
      <c r="C138" s="64"/>
      <c r="D138" s="64"/>
      <c r="E138" s="62"/>
      <c r="F138" s="63"/>
      <c r="G138" s="62"/>
    </row>
    <row r="139" spans="2:7" s="61" customFormat="1" x14ac:dyDescent="0.3">
      <c r="B139" s="64"/>
      <c r="C139" s="64"/>
      <c r="D139" s="64"/>
      <c r="E139" s="62"/>
      <c r="F139" s="63"/>
      <c r="G139" s="62"/>
    </row>
    <row r="140" spans="2:7" s="61" customFormat="1" x14ac:dyDescent="0.3">
      <c r="B140" s="64"/>
      <c r="C140" s="64"/>
      <c r="D140" s="64"/>
      <c r="E140" s="62"/>
      <c r="F140" s="63"/>
      <c r="G140" s="62"/>
    </row>
    <row r="141" spans="2:7" s="61" customFormat="1" x14ac:dyDescent="0.3">
      <c r="B141" s="64"/>
      <c r="C141" s="64"/>
      <c r="D141" s="64"/>
      <c r="E141" s="62"/>
      <c r="F141" s="63"/>
      <c r="G141" s="62"/>
    </row>
    <row r="142" spans="2:7" s="61" customFormat="1" x14ac:dyDescent="0.3">
      <c r="B142" s="64"/>
      <c r="C142" s="64"/>
      <c r="D142" s="64"/>
      <c r="E142" s="62"/>
      <c r="F142" s="63"/>
      <c r="G142" s="62"/>
    </row>
    <row r="143" spans="2:7" s="61" customFormat="1" x14ac:dyDescent="0.3">
      <c r="B143" s="64"/>
      <c r="C143" s="64"/>
      <c r="D143" s="64"/>
      <c r="E143" s="62"/>
      <c r="F143" s="63"/>
      <c r="G143" s="62"/>
    </row>
    <row r="144" spans="2:7" s="61" customFormat="1" x14ac:dyDescent="0.3">
      <c r="B144" s="64"/>
      <c r="C144" s="64"/>
      <c r="D144" s="64"/>
      <c r="E144" s="62"/>
      <c r="F144" s="63"/>
      <c r="G144" s="62"/>
    </row>
    <row r="145" spans="2:7" s="61" customFormat="1" x14ac:dyDescent="0.3">
      <c r="B145" s="64"/>
      <c r="C145" s="64"/>
      <c r="D145" s="64"/>
      <c r="E145" s="62"/>
      <c r="F145" s="63"/>
      <c r="G145" s="62"/>
    </row>
    <row r="146" spans="2:7" s="61" customFormat="1" x14ac:dyDescent="0.3">
      <c r="B146" s="64"/>
      <c r="C146" s="64"/>
      <c r="D146" s="64"/>
      <c r="E146" s="62"/>
      <c r="F146" s="63"/>
      <c r="G146" s="62"/>
    </row>
    <row r="147" spans="2:7" s="61" customFormat="1" x14ac:dyDescent="0.3">
      <c r="B147" s="64"/>
      <c r="C147" s="64"/>
      <c r="D147" s="64"/>
      <c r="E147" s="62"/>
      <c r="F147" s="63"/>
      <c r="G147" s="62"/>
    </row>
    <row r="148" spans="2:7" s="61" customFormat="1" x14ac:dyDescent="0.3">
      <c r="B148" s="64"/>
      <c r="C148" s="64"/>
      <c r="D148" s="64"/>
      <c r="E148" s="62"/>
      <c r="F148" s="63"/>
      <c r="G148" s="62"/>
    </row>
    <row r="149" spans="2:7" s="61" customFormat="1" x14ac:dyDescent="0.3">
      <c r="B149" s="64"/>
      <c r="C149" s="64"/>
      <c r="D149" s="64"/>
      <c r="E149" s="62"/>
      <c r="F149" s="63"/>
      <c r="G149" s="62"/>
    </row>
    <row r="150" spans="2:7" s="61" customFormat="1" x14ac:dyDescent="0.3">
      <c r="B150" s="64"/>
      <c r="C150" s="64"/>
      <c r="D150" s="64"/>
      <c r="E150" s="62"/>
      <c r="F150" s="63"/>
      <c r="G150" s="62"/>
    </row>
    <row r="151" spans="2:7" s="61" customFormat="1" x14ac:dyDescent="0.3">
      <c r="B151" s="64"/>
      <c r="C151" s="64"/>
      <c r="D151" s="64"/>
      <c r="E151" s="62"/>
      <c r="F151" s="63"/>
      <c r="G151" s="62"/>
    </row>
    <row r="152" spans="2:7" s="61" customFormat="1" x14ac:dyDescent="0.3">
      <c r="B152" s="64"/>
      <c r="C152" s="64"/>
      <c r="D152" s="64"/>
      <c r="E152" s="62"/>
      <c r="F152" s="63"/>
      <c r="G152" s="62"/>
    </row>
    <row r="153" spans="2:7" s="61" customFormat="1" x14ac:dyDescent="0.3">
      <c r="B153" s="64"/>
      <c r="C153" s="64"/>
      <c r="D153" s="64"/>
      <c r="E153" s="62"/>
      <c r="F153" s="63"/>
      <c r="G153" s="62"/>
    </row>
    <row r="154" spans="2:7" s="61" customFormat="1" x14ac:dyDescent="0.3">
      <c r="B154" s="64"/>
      <c r="C154" s="64"/>
      <c r="D154" s="64"/>
      <c r="E154" s="62"/>
      <c r="F154" s="63"/>
      <c r="G154" s="62"/>
    </row>
    <row r="155" spans="2:7" s="61" customFormat="1" x14ac:dyDescent="0.3">
      <c r="B155" s="64"/>
      <c r="C155" s="64"/>
      <c r="D155" s="64"/>
      <c r="E155" s="62"/>
      <c r="F155" s="63"/>
      <c r="G155" s="62"/>
    </row>
    <row r="156" spans="2:7" s="61" customFormat="1" x14ac:dyDescent="0.3">
      <c r="B156" s="64"/>
      <c r="C156" s="64"/>
      <c r="D156" s="64"/>
      <c r="E156" s="62"/>
      <c r="F156" s="63"/>
      <c r="G156" s="62"/>
    </row>
    <row r="157" spans="2:7" s="61" customFormat="1" x14ac:dyDescent="0.3">
      <c r="B157" s="64"/>
      <c r="C157" s="64"/>
      <c r="D157" s="64"/>
      <c r="E157" s="62"/>
      <c r="F157" s="63"/>
      <c r="G157" s="62"/>
    </row>
    <row r="158" spans="2:7" s="61" customFormat="1" x14ac:dyDescent="0.3">
      <c r="B158" s="64"/>
      <c r="C158" s="64"/>
      <c r="D158" s="64"/>
      <c r="E158" s="62"/>
      <c r="F158" s="63"/>
      <c r="G158" s="62"/>
    </row>
    <row r="159" spans="2:7" s="61" customFormat="1" x14ac:dyDescent="0.3">
      <c r="B159" s="64"/>
      <c r="C159" s="64"/>
      <c r="D159" s="64"/>
      <c r="E159" s="62"/>
      <c r="F159" s="63"/>
      <c r="G159" s="62"/>
    </row>
    <row r="160" spans="2:7" s="61" customFormat="1" x14ac:dyDescent="0.3">
      <c r="B160" s="64"/>
      <c r="C160" s="64"/>
      <c r="D160" s="64"/>
      <c r="E160" s="62"/>
      <c r="F160" s="63"/>
      <c r="G160" s="62"/>
    </row>
    <row r="161" spans="2:7" s="61" customFormat="1" x14ac:dyDescent="0.3">
      <c r="B161" s="64"/>
      <c r="C161" s="64"/>
      <c r="D161" s="64"/>
      <c r="E161" s="62"/>
      <c r="F161" s="63"/>
      <c r="G161" s="62"/>
    </row>
    <row r="162" spans="2:7" s="61" customFormat="1" x14ac:dyDescent="0.3">
      <c r="B162" s="64"/>
      <c r="C162" s="64"/>
      <c r="D162" s="64"/>
      <c r="E162" s="62"/>
      <c r="F162" s="63"/>
      <c r="G162" s="62"/>
    </row>
    <row r="163" spans="2:7" s="61" customFormat="1" x14ac:dyDescent="0.3">
      <c r="B163" s="64"/>
      <c r="C163" s="64"/>
      <c r="D163" s="64"/>
      <c r="E163" s="62"/>
      <c r="F163" s="63"/>
      <c r="G163" s="62"/>
    </row>
    <row r="164" spans="2:7" s="61" customFormat="1" x14ac:dyDescent="0.3">
      <c r="B164" s="64"/>
      <c r="C164" s="64"/>
      <c r="D164" s="64"/>
      <c r="E164" s="62"/>
      <c r="F164" s="63"/>
      <c r="G164" s="62"/>
    </row>
    <row r="165" spans="2:7" s="61" customFormat="1" x14ac:dyDescent="0.3">
      <c r="B165" s="64"/>
      <c r="C165" s="64"/>
      <c r="D165" s="64"/>
      <c r="E165" s="62"/>
      <c r="F165" s="63"/>
      <c r="G165" s="62"/>
    </row>
    <row r="166" spans="2:7" s="61" customFormat="1" x14ac:dyDescent="0.3">
      <c r="B166" s="64"/>
      <c r="C166" s="64"/>
      <c r="D166" s="64"/>
      <c r="E166" s="62"/>
      <c r="F166" s="63"/>
      <c r="G166" s="62"/>
    </row>
    <row r="167" spans="2:7" s="61" customFormat="1" x14ac:dyDescent="0.3">
      <c r="B167" s="64"/>
      <c r="C167" s="64"/>
      <c r="D167" s="64"/>
      <c r="E167" s="62"/>
      <c r="F167" s="63"/>
      <c r="G167" s="62"/>
    </row>
    <row r="168" spans="2:7" s="61" customFormat="1" x14ac:dyDescent="0.3">
      <c r="B168" s="64"/>
      <c r="C168" s="64"/>
      <c r="D168" s="64"/>
      <c r="E168" s="62"/>
      <c r="F168" s="63"/>
      <c r="G168" s="62"/>
    </row>
    <row r="169" spans="2:7" s="61" customFormat="1" x14ac:dyDescent="0.3">
      <c r="B169" s="64"/>
      <c r="C169" s="64"/>
      <c r="D169" s="64"/>
      <c r="E169" s="62"/>
      <c r="F169" s="63"/>
      <c r="G169" s="62"/>
    </row>
    <row r="170" spans="2:7" s="61" customFormat="1" x14ac:dyDescent="0.3">
      <c r="B170" s="64"/>
      <c r="C170" s="64"/>
      <c r="D170" s="64"/>
      <c r="E170" s="62"/>
      <c r="F170" s="63"/>
      <c r="G170" s="62"/>
    </row>
    <row r="171" spans="2:7" s="61" customFormat="1" x14ac:dyDescent="0.3">
      <c r="B171" s="64"/>
      <c r="C171" s="64"/>
      <c r="D171" s="64"/>
      <c r="E171" s="62"/>
      <c r="F171" s="63"/>
      <c r="G171" s="62"/>
    </row>
    <row r="172" spans="2:7" s="61" customFormat="1" x14ac:dyDescent="0.3">
      <c r="B172" s="64"/>
      <c r="C172" s="64"/>
      <c r="D172" s="64"/>
      <c r="E172" s="62"/>
      <c r="F172" s="63"/>
      <c r="G172" s="62"/>
    </row>
    <row r="173" spans="2:7" s="61" customFormat="1" x14ac:dyDescent="0.3">
      <c r="B173" s="64"/>
      <c r="C173" s="64"/>
      <c r="D173" s="64"/>
      <c r="E173" s="62"/>
      <c r="F173" s="63"/>
      <c r="G173" s="62"/>
    </row>
    <row r="174" spans="2:7" s="61" customFormat="1" x14ac:dyDescent="0.3">
      <c r="B174" s="64"/>
      <c r="C174" s="64"/>
      <c r="D174" s="64"/>
      <c r="E174" s="62"/>
      <c r="F174" s="63"/>
      <c r="G174" s="62"/>
    </row>
    <row r="175" spans="2:7" s="61" customFormat="1" x14ac:dyDescent="0.3">
      <c r="B175" s="64"/>
      <c r="C175" s="64"/>
      <c r="D175" s="64"/>
      <c r="E175" s="62"/>
      <c r="F175" s="63"/>
      <c r="G175" s="62"/>
    </row>
    <row r="176" spans="2:7" s="61" customFormat="1" x14ac:dyDescent="0.3">
      <c r="B176" s="64"/>
      <c r="C176" s="64"/>
      <c r="D176" s="64"/>
      <c r="E176" s="62"/>
      <c r="F176" s="63"/>
      <c r="G176" s="62"/>
    </row>
    <row r="177" spans="2:7" s="61" customFormat="1" x14ac:dyDescent="0.3">
      <c r="B177" s="64"/>
      <c r="C177" s="64"/>
      <c r="D177" s="64"/>
      <c r="E177" s="62"/>
      <c r="F177" s="63"/>
      <c r="G177" s="62"/>
    </row>
    <row r="178" spans="2:7" s="61" customFormat="1" x14ac:dyDescent="0.3">
      <c r="B178" s="64"/>
      <c r="C178" s="64"/>
      <c r="D178" s="64"/>
      <c r="E178" s="62"/>
      <c r="F178" s="63"/>
      <c r="G178" s="62"/>
    </row>
    <row r="179" spans="2:7" s="61" customFormat="1" x14ac:dyDescent="0.3">
      <c r="B179" s="64"/>
      <c r="C179" s="64"/>
      <c r="D179" s="64"/>
      <c r="E179" s="62"/>
      <c r="F179" s="63"/>
      <c r="G179" s="62"/>
    </row>
    <row r="180" spans="2:7" s="61" customFormat="1" x14ac:dyDescent="0.3">
      <c r="B180" s="64"/>
      <c r="C180" s="64"/>
      <c r="D180" s="64"/>
      <c r="E180" s="62"/>
      <c r="F180" s="63"/>
      <c r="G180" s="62"/>
    </row>
    <row r="181" spans="2:7" s="61" customFormat="1" x14ac:dyDescent="0.3">
      <c r="B181" s="64"/>
      <c r="C181" s="64"/>
      <c r="D181" s="64"/>
      <c r="E181" s="62"/>
      <c r="F181" s="63"/>
      <c r="G181" s="62"/>
    </row>
    <row r="182" spans="2:7" s="61" customFormat="1" x14ac:dyDescent="0.3">
      <c r="B182" s="64"/>
      <c r="C182" s="64"/>
      <c r="D182" s="64"/>
      <c r="E182" s="62"/>
      <c r="F182" s="63"/>
      <c r="G182" s="62"/>
    </row>
    <row r="183" spans="2:7" s="61" customFormat="1" x14ac:dyDescent="0.3">
      <c r="B183" s="64"/>
      <c r="C183" s="64"/>
      <c r="D183" s="64"/>
      <c r="E183" s="62"/>
      <c r="F183" s="63"/>
      <c r="G183" s="62"/>
    </row>
    <row r="184" spans="2:7" s="61" customFormat="1" x14ac:dyDescent="0.3">
      <c r="B184" s="64"/>
      <c r="C184" s="64"/>
      <c r="D184" s="64"/>
      <c r="E184" s="62"/>
      <c r="F184" s="63"/>
      <c r="G184" s="62"/>
    </row>
    <row r="185" spans="2:7" s="61" customFormat="1" x14ac:dyDescent="0.3">
      <c r="B185" s="64"/>
      <c r="C185" s="64"/>
      <c r="D185" s="64"/>
      <c r="E185" s="62"/>
      <c r="F185" s="63"/>
      <c r="G185" s="62"/>
    </row>
    <row r="186" spans="2:7" s="61" customFormat="1" x14ac:dyDescent="0.3">
      <c r="B186" s="64"/>
      <c r="C186" s="64"/>
      <c r="D186" s="64"/>
      <c r="E186" s="62"/>
      <c r="F186" s="63"/>
      <c r="G186" s="62"/>
    </row>
    <row r="187" spans="2:7" s="61" customFormat="1" x14ac:dyDescent="0.3">
      <c r="B187" s="64"/>
      <c r="C187" s="64"/>
      <c r="D187" s="64"/>
      <c r="E187" s="62"/>
      <c r="F187" s="63"/>
      <c r="G187" s="62"/>
    </row>
    <row r="188" spans="2:7" s="61" customFormat="1" x14ac:dyDescent="0.3">
      <c r="B188" s="64"/>
      <c r="C188" s="64"/>
      <c r="D188" s="64"/>
      <c r="E188" s="62"/>
      <c r="F188" s="63"/>
      <c r="G188" s="62"/>
    </row>
    <row r="189" spans="2:7" s="61" customFormat="1" x14ac:dyDescent="0.3">
      <c r="B189" s="64"/>
      <c r="C189" s="64"/>
      <c r="D189" s="64"/>
      <c r="E189" s="62"/>
      <c r="F189" s="63"/>
      <c r="G189" s="62"/>
    </row>
    <row r="190" spans="2:7" s="61" customFormat="1" x14ac:dyDescent="0.3">
      <c r="B190" s="64"/>
      <c r="C190" s="64"/>
      <c r="D190" s="64"/>
      <c r="E190" s="62"/>
      <c r="F190" s="63"/>
      <c r="G190" s="62"/>
    </row>
    <row r="191" spans="2:7" s="61" customFormat="1" x14ac:dyDescent="0.3">
      <c r="B191" s="64"/>
      <c r="C191" s="64"/>
      <c r="D191" s="64"/>
      <c r="E191" s="62"/>
      <c r="F191" s="63"/>
      <c r="G191" s="62"/>
    </row>
    <row r="192" spans="2:7" s="61" customFormat="1" x14ac:dyDescent="0.3">
      <c r="B192" s="64"/>
      <c r="C192" s="64"/>
      <c r="D192" s="64"/>
      <c r="E192" s="62"/>
      <c r="F192" s="63"/>
      <c r="G192" s="62"/>
    </row>
    <row r="193" spans="2:7" s="61" customFormat="1" x14ac:dyDescent="0.3">
      <c r="B193" s="64"/>
      <c r="C193" s="64"/>
      <c r="D193" s="64"/>
      <c r="E193" s="62"/>
      <c r="F193" s="63"/>
      <c r="G193" s="62"/>
    </row>
    <row r="194" spans="2:7" s="61" customFormat="1" x14ac:dyDescent="0.3">
      <c r="B194" s="64"/>
      <c r="C194" s="64"/>
      <c r="D194" s="64"/>
      <c r="E194" s="62"/>
      <c r="F194" s="63"/>
      <c r="G194" s="62"/>
    </row>
    <row r="195" spans="2:7" s="61" customFormat="1" x14ac:dyDescent="0.3">
      <c r="B195" s="64"/>
      <c r="C195" s="64"/>
      <c r="D195" s="64"/>
      <c r="E195" s="62"/>
      <c r="F195" s="63"/>
      <c r="G195" s="62"/>
    </row>
    <row r="196" spans="2:7" s="61" customFormat="1" x14ac:dyDescent="0.3">
      <c r="B196" s="64"/>
      <c r="C196" s="64"/>
      <c r="D196" s="64"/>
      <c r="E196" s="62"/>
      <c r="F196" s="63"/>
      <c r="G196" s="62"/>
    </row>
    <row r="197" spans="2:7" s="61" customFormat="1" x14ac:dyDescent="0.3">
      <c r="B197" s="64"/>
      <c r="C197" s="64"/>
      <c r="D197" s="64"/>
      <c r="E197" s="62"/>
      <c r="F197" s="63"/>
      <c r="G197" s="62"/>
    </row>
    <row r="198" spans="2:7" s="61" customFormat="1" x14ac:dyDescent="0.3">
      <c r="B198" s="64"/>
      <c r="C198" s="64"/>
      <c r="D198" s="64"/>
      <c r="E198" s="62"/>
      <c r="F198" s="63"/>
      <c r="G198" s="62"/>
    </row>
    <row r="199" spans="2:7" s="61" customFormat="1" x14ac:dyDescent="0.3">
      <c r="B199" s="64"/>
      <c r="C199" s="64"/>
      <c r="D199" s="64"/>
      <c r="E199" s="62"/>
      <c r="F199" s="63"/>
      <c r="G199" s="62"/>
    </row>
    <row r="200" spans="2:7" s="61" customFormat="1" x14ac:dyDescent="0.3">
      <c r="B200" s="64"/>
      <c r="C200" s="64"/>
      <c r="D200" s="64"/>
      <c r="E200" s="62"/>
      <c r="F200" s="63"/>
      <c r="G200" s="62"/>
    </row>
    <row r="201" spans="2:7" s="61" customFormat="1" x14ac:dyDescent="0.3">
      <c r="B201" s="64"/>
      <c r="C201" s="64"/>
      <c r="D201" s="64"/>
      <c r="E201" s="62"/>
      <c r="F201" s="63"/>
      <c r="G201" s="62"/>
    </row>
    <row r="202" spans="2:7" s="61" customFormat="1" x14ac:dyDescent="0.3">
      <c r="B202" s="64"/>
      <c r="C202" s="64"/>
      <c r="D202" s="64"/>
      <c r="E202" s="62"/>
      <c r="F202" s="63"/>
      <c r="G202" s="62"/>
    </row>
    <row r="203" spans="2:7" s="61" customFormat="1" x14ac:dyDescent="0.3">
      <c r="B203" s="64"/>
      <c r="C203" s="64"/>
      <c r="D203" s="64"/>
      <c r="E203" s="62"/>
      <c r="F203" s="63"/>
      <c r="G203" s="62"/>
    </row>
    <row r="204" spans="2:7" s="61" customFormat="1" x14ac:dyDescent="0.3">
      <c r="B204" s="64"/>
      <c r="C204" s="64"/>
      <c r="D204" s="64"/>
      <c r="E204" s="62"/>
      <c r="F204" s="63"/>
      <c r="G204" s="62"/>
    </row>
    <row r="205" spans="2:7" s="61" customFormat="1" x14ac:dyDescent="0.3">
      <c r="B205" s="64"/>
      <c r="C205" s="64"/>
      <c r="D205" s="64"/>
      <c r="E205" s="62"/>
      <c r="F205" s="63"/>
      <c r="G205" s="62"/>
    </row>
    <row r="206" spans="2:7" s="61" customFormat="1" x14ac:dyDescent="0.3">
      <c r="B206" s="64"/>
      <c r="C206" s="64"/>
      <c r="D206" s="64"/>
      <c r="E206" s="62"/>
      <c r="F206" s="63"/>
      <c r="G206" s="62"/>
    </row>
    <row r="207" spans="2:7" s="61" customFormat="1" x14ac:dyDescent="0.3">
      <c r="B207" s="64"/>
      <c r="C207" s="64"/>
      <c r="D207" s="64"/>
      <c r="E207" s="62"/>
      <c r="F207" s="63"/>
      <c r="G207" s="62"/>
    </row>
    <row r="208" spans="2:7" s="61" customFormat="1" x14ac:dyDescent="0.3">
      <c r="B208" s="64"/>
      <c r="C208" s="64"/>
      <c r="D208" s="64"/>
      <c r="E208" s="62"/>
      <c r="F208" s="63"/>
      <c r="G208" s="62"/>
    </row>
    <row r="209" spans="2:7" s="61" customFormat="1" x14ac:dyDescent="0.3">
      <c r="B209" s="64"/>
      <c r="C209" s="64"/>
      <c r="D209" s="64"/>
      <c r="E209" s="62"/>
      <c r="F209" s="63"/>
      <c r="G209" s="62"/>
    </row>
    <row r="210" spans="2:7" s="61" customFormat="1" x14ac:dyDescent="0.3">
      <c r="B210" s="64"/>
      <c r="C210" s="64"/>
      <c r="D210" s="64"/>
      <c r="E210" s="62"/>
      <c r="F210" s="63"/>
      <c r="G210" s="62"/>
    </row>
    <row r="211" spans="2:7" s="61" customFormat="1" x14ac:dyDescent="0.3">
      <c r="B211" s="64"/>
      <c r="C211" s="64"/>
      <c r="D211" s="64"/>
      <c r="E211" s="62"/>
      <c r="F211" s="63"/>
      <c r="G211" s="62"/>
    </row>
    <row r="212" spans="2:7" s="61" customFormat="1" x14ac:dyDescent="0.3">
      <c r="B212" s="64"/>
      <c r="C212" s="64"/>
      <c r="D212" s="64"/>
      <c r="E212" s="62"/>
      <c r="F212" s="63"/>
      <c r="G212" s="62"/>
    </row>
    <row r="213" spans="2:7" s="61" customFormat="1" x14ac:dyDescent="0.3">
      <c r="B213" s="64"/>
      <c r="C213" s="64"/>
      <c r="D213" s="64"/>
      <c r="E213" s="62"/>
      <c r="F213" s="63"/>
      <c r="G213" s="62"/>
    </row>
    <row r="214" spans="2:7" s="61" customFormat="1" x14ac:dyDescent="0.3">
      <c r="B214" s="64"/>
      <c r="C214" s="64"/>
      <c r="D214" s="64"/>
      <c r="E214" s="62"/>
      <c r="F214" s="63"/>
      <c r="G214" s="62"/>
    </row>
    <row r="215" spans="2:7" s="61" customFormat="1" x14ac:dyDescent="0.3">
      <c r="B215" s="64"/>
      <c r="C215" s="64"/>
      <c r="D215" s="64"/>
      <c r="E215" s="62"/>
      <c r="F215" s="63"/>
      <c r="G215" s="62"/>
    </row>
    <row r="216" spans="2:7" s="61" customFormat="1" x14ac:dyDescent="0.3">
      <c r="B216" s="64"/>
      <c r="C216" s="64"/>
      <c r="D216" s="64"/>
      <c r="E216" s="62"/>
      <c r="F216" s="63"/>
      <c r="G216" s="62"/>
    </row>
    <row r="217" spans="2:7" s="61" customFormat="1" x14ac:dyDescent="0.3">
      <c r="B217" s="64"/>
      <c r="C217" s="64"/>
      <c r="D217" s="64"/>
      <c r="E217" s="62"/>
      <c r="F217" s="63"/>
      <c r="G217" s="62"/>
    </row>
    <row r="218" spans="2:7" s="61" customFormat="1" x14ac:dyDescent="0.3">
      <c r="B218" s="64"/>
      <c r="C218" s="64"/>
      <c r="D218" s="64"/>
      <c r="E218" s="62"/>
      <c r="F218" s="63"/>
      <c r="G218" s="62"/>
    </row>
    <row r="219" spans="2:7" s="61" customFormat="1" x14ac:dyDescent="0.3">
      <c r="B219" s="64"/>
      <c r="C219" s="64"/>
      <c r="D219" s="64"/>
      <c r="E219" s="62"/>
      <c r="F219" s="63"/>
      <c r="G219" s="62"/>
    </row>
    <row r="220" spans="2:7" s="61" customFormat="1" x14ac:dyDescent="0.3">
      <c r="B220" s="64"/>
      <c r="C220" s="64"/>
      <c r="D220" s="64"/>
      <c r="E220" s="62"/>
      <c r="F220" s="63"/>
      <c r="G220" s="62"/>
    </row>
    <row r="221" spans="2:7" s="61" customFormat="1" x14ac:dyDescent="0.3">
      <c r="B221" s="64"/>
      <c r="C221" s="64"/>
      <c r="D221" s="64"/>
      <c r="E221" s="62"/>
      <c r="F221" s="63"/>
      <c r="G221" s="62"/>
    </row>
    <row r="222" spans="2:7" s="61" customFormat="1" x14ac:dyDescent="0.3">
      <c r="B222" s="64"/>
      <c r="C222" s="64"/>
      <c r="D222" s="64"/>
      <c r="E222" s="62"/>
      <c r="F222" s="63"/>
      <c r="G222" s="62"/>
    </row>
    <row r="223" spans="2:7" s="61" customFormat="1" x14ac:dyDescent="0.3">
      <c r="B223" s="64"/>
      <c r="C223" s="64"/>
      <c r="D223" s="64"/>
      <c r="E223" s="62"/>
      <c r="F223" s="63"/>
      <c r="G223" s="62"/>
    </row>
    <row r="224" spans="2:7" s="61" customFormat="1" x14ac:dyDescent="0.3">
      <c r="B224" s="64"/>
      <c r="C224" s="64"/>
      <c r="D224" s="64"/>
      <c r="E224" s="62"/>
      <c r="F224" s="63"/>
      <c r="G224" s="62"/>
    </row>
    <row r="225" spans="2:7" s="61" customFormat="1" x14ac:dyDescent="0.3">
      <c r="B225" s="64"/>
      <c r="C225" s="64"/>
      <c r="D225" s="64"/>
      <c r="E225" s="62"/>
      <c r="F225" s="63"/>
      <c r="G225" s="62"/>
    </row>
    <row r="226" spans="2:7" s="61" customFormat="1" x14ac:dyDescent="0.3">
      <c r="B226" s="64"/>
      <c r="C226" s="64"/>
      <c r="D226" s="64"/>
      <c r="E226" s="62"/>
      <c r="F226" s="63"/>
      <c r="G226" s="62"/>
    </row>
    <row r="227" spans="2:7" s="61" customFormat="1" x14ac:dyDescent="0.3">
      <c r="B227" s="64"/>
      <c r="C227" s="64"/>
      <c r="D227" s="64"/>
      <c r="E227" s="62"/>
      <c r="F227" s="63"/>
      <c r="G227" s="62"/>
    </row>
    <row r="228" spans="2:7" s="61" customFormat="1" x14ac:dyDescent="0.3">
      <c r="B228" s="64"/>
      <c r="C228" s="64"/>
      <c r="D228" s="64"/>
      <c r="E228" s="62"/>
      <c r="F228" s="63"/>
      <c r="G228" s="62"/>
    </row>
    <row r="229" spans="2:7" s="61" customFormat="1" x14ac:dyDescent="0.3">
      <c r="B229" s="64"/>
      <c r="C229" s="64"/>
      <c r="D229" s="64"/>
      <c r="E229" s="62"/>
      <c r="F229" s="63"/>
      <c r="G229" s="62"/>
    </row>
    <row r="230" spans="2:7" s="61" customFormat="1" x14ac:dyDescent="0.3">
      <c r="B230" s="64"/>
      <c r="C230" s="64"/>
      <c r="D230" s="64"/>
      <c r="E230" s="62"/>
      <c r="F230" s="63"/>
      <c r="G230" s="62"/>
    </row>
    <row r="231" spans="2:7" s="61" customFormat="1" x14ac:dyDescent="0.3">
      <c r="B231" s="64"/>
      <c r="C231" s="64"/>
      <c r="D231" s="64"/>
      <c r="E231" s="62"/>
      <c r="F231" s="63"/>
      <c r="G231" s="62"/>
    </row>
    <row r="232" spans="2:7" s="61" customFormat="1" x14ac:dyDescent="0.3">
      <c r="B232" s="64"/>
      <c r="C232" s="64"/>
      <c r="D232" s="64"/>
      <c r="E232" s="62"/>
      <c r="F232" s="63"/>
      <c r="G232" s="62"/>
    </row>
    <row r="233" spans="2:7" s="61" customFormat="1" x14ac:dyDescent="0.3">
      <c r="B233" s="64"/>
      <c r="C233" s="64"/>
      <c r="D233" s="64"/>
      <c r="E233" s="62"/>
      <c r="F233" s="63"/>
      <c r="G233" s="62"/>
    </row>
    <row r="234" spans="2:7" s="61" customFormat="1" x14ac:dyDescent="0.3">
      <c r="B234" s="64"/>
      <c r="C234" s="64"/>
      <c r="D234" s="64"/>
      <c r="E234" s="62"/>
      <c r="F234" s="63"/>
      <c r="G234" s="62"/>
    </row>
    <row r="235" spans="2:7" s="61" customFormat="1" x14ac:dyDescent="0.3">
      <c r="B235" s="64"/>
      <c r="C235" s="64"/>
      <c r="D235" s="64"/>
      <c r="E235" s="62"/>
      <c r="F235" s="63"/>
      <c r="G235" s="62"/>
    </row>
    <row r="236" spans="2:7" s="61" customFormat="1" x14ac:dyDescent="0.3">
      <c r="B236" s="64"/>
      <c r="C236" s="64"/>
      <c r="D236" s="64"/>
      <c r="E236" s="62"/>
      <c r="F236" s="63"/>
      <c r="G236" s="62"/>
    </row>
    <row r="237" spans="2:7" s="61" customFormat="1" x14ac:dyDescent="0.3">
      <c r="B237" s="64"/>
      <c r="C237" s="64"/>
      <c r="D237" s="64"/>
      <c r="E237" s="62"/>
      <c r="F237" s="63"/>
      <c r="G237" s="62"/>
    </row>
    <row r="238" spans="2:7" s="61" customFormat="1" x14ac:dyDescent="0.3">
      <c r="B238" s="64"/>
      <c r="C238" s="64"/>
      <c r="D238" s="64"/>
      <c r="E238" s="62"/>
      <c r="F238" s="63"/>
      <c r="G238" s="62"/>
    </row>
    <row r="239" spans="2:7" s="61" customFormat="1" x14ac:dyDescent="0.3">
      <c r="B239" s="64"/>
      <c r="C239" s="64"/>
      <c r="D239" s="64"/>
      <c r="E239" s="62"/>
      <c r="F239" s="63"/>
      <c r="G239" s="62"/>
    </row>
    <row r="240" spans="2:7" s="61" customFormat="1" x14ac:dyDescent="0.3">
      <c r="B240" s="64"/>
      <c r="C240" s="64"/>
      <c r="D240" s="64"/>
      <c r="E240" s="62"/>
      <c r="F240" s="63"/>
      <c r="G240" s="62"/>
    </row>
    <row r="241" spans="2:7" s="61" customFormat="1" x14ac:dyDescent="0.3">
      <c r="B241" s="64"/>
      <c r="C241" s="64"/>
      <c r="D241" s="64"/>
      <c r="E241" s="62"/>
      <c r="F241" s="63"/>
      <c r="G241" s="62"/>
    </row>
    <row r="242" spans="2:7" s="61" customFormat="1" x14ac:dyDescent="0.3">
      <c r="B242" s="64"/>
      <c r="C242" s="64"/>
      <c r="D242" s="64"/>
      <c r="E242" s="62"/>
      <c r="F242" s="63"/>
      <c r="G242" s="62"/>
    </row>
    <row r="243" spans="2:7" s="61" customFormat="1" x14ac:dyDescent="0.3">
      <c r="B243" s="64"/>
      <c r="C243" s="64"/>
      <c r="D243" s="64"/>
      <c r="E243" s="62"/>
      <c r="F243" s="63"/>
      <c r="G243" s="62"/>
    </row>
    <row r="244" spans="2:7" s="61" customFormat="1" x14ac:dyDescent="0.3">
      <c r="B244" s="64"/>
      <c r="C244" s="64"/>
      <c r="D244" s="64"/>
      <c r="E244" s="62"/>
      <c r="F244" s="63"/>
      <c r="G244" s="62"/>
    </row>
    <row r="245" spans="2:7" s="61" customFormat="1" x14ac:dyDescent="0.3">
      <c r="B245" s="64"/>
      <c r="C245" s="64"/>
      <c r="D245" s="64"/>
      <c r="E245" s="62"/>
      <c r="F245" s="63"/>
      <c r="G245" s="62"/>
    </row>
    <row r="246" spans="2:7" s="61" customFormat="1" x14ac:dyDescent="0.3">
      <c r="B246" s="64"/>
      <c r="C246" s="64"/>
      <c r="D246" s="64"/>
      <c r="E246" s="62"/>
      <c r="F246" s="63"/>
      <c r="G246" s="62"/>
    </row>
    <row r="247" spans="2:7" s="61" customFormat="1" x14ac:dyDescent="0.3">
      <c r="B247" s="64"/>
      <c r="C247" s="64"/>
      <c r="D247" s="64"/>
      <c r="E247" s="62"/>
      <c r="F247" s="63"/>
      <c r="G247" s="62"/>
    </row>
    <row r="248" spans="2:7" s="61" customFormat="1" x14ac:dyDescent="0.3">
      <c r="B248" s="64"/>
      <c r="C248" s="64"/>
      <c r="D248" s="64"/>
      <c r="E248" s="62"/>
      <c r="F248" s="63"/>
      <c r="G248" s="62"/>
    </row>
    <row r="249" spans="2:7" s="61" customFormat="1" x14ac:dyDescent="0.3">
      <c r="B249" s="64"/>
      <c r="C249" s="64"/>
      <c r="D249" s="64"/>
      <c r="E249" s="62"/>
      <c r="F249" s="63"/>
      <c r="G249" s="62"/>
    </row>
    <row r="250" spans="2:7" s="61" customFormat="1" x14ac:dyDescent="0.3">
      <c r="B250" s="64"/>
      <c r="C250" s="64"/>
      <c r="D250" s="64"/>
      <c r="E250" s="62"/>
      <c r="F250" s="63"/>
      <c r="G250" s="62"/>
    </row>
    <row r="251" spans="2:7" s="61" customFormat="1" x14ac:dyDescent="0.3">
      <c r="B251" s="64"/>
      <c r="C251" s="64"/>
      <c r="D251" s="64"/>
      <c r="E251" s="62"/>
      <c r="F251" s="63"/>
      <c r="G251" s="62"/>
    </row>
    <row r="252" spans="2:7" s="61" customFormat="1" x14ac:dyDescent="0.3">
      <c r="B252" s="64"/>
      <c r="C252" s="64"/>
      <c r="D252" s="64"/>
      <c r="E252" s="62"/>
      <c r="F252" s="63"/>
      <c r="G252" s="62"/>
    </row>
    <row r="253" spans="2:7" s="61" customFormat="1" x14ac:dyDescent="0.3">
      <c r="B253" s="64"/>
      <c r="C253" s="64"/>
      <c r="D253" s="64"/>
      <c r="E253" s="62"/>
      <c r="F253" s="63"/>
      <c r="G253" s="62"/>
    </row>
    <row r="254" spans="2:7" s="61" customFormat="1" x14ac:dyDescent="0.3">
      <c r="B254" s="64"/>
      <c r="C254" s="64"/>
      <c r="D254" s="64"/>
      <c r="E254" s="62"/>
      <c r="F254" s="63"/>
      <c r="G254" s="62"/>
    </row>
    <row r="255" spans="2:7" s="61" customFormat="1" x14ac:dyDescent="0.3">
      <c r="B255" s="64"/>
      <c r="C255" s="64"/>
      <c r="D255" s="64"/>
      <c r="E255" s="62"/>
      <c r="F255" s="63"/>
      <c r="G255" s="62"/>
    </row>
    <row r="256" spans="2:7" s="61" customFormat="1" x14ac:dyDescent="0.3">
      <c r="B256" s="64"/>
      <c r="C256" s="64"/>
      <c r="D256" s="64"/>
      <c r="E256" s="62"/>
      <c r="F256" s="63"/>
      <c r="G256" s="62"/>
    </row>
    <row r="257" spans="2:7" s="61" customFormat="1" x14ac:dyDescent="0.3">
      <c r="B257" s="64"/>
      <c r="C257" s="64"/>
      <c r="D257" s="64"/>
      <c r="E257" s="62"/>
      <c r="F257" s="63"/>
      <c r="G257" s="62"/>
    </row>
    <row r="258" spans="2:7" s="61" customFormat="1" x14ac:dyDescent="0.3">
      <c r="B258" s="64"/>
      <c r="C258" s="64"/>
      <c r="D258" s="64"/>
      <c r="E258" s="62"/>
      <c r="F258" s="63"/>
      <c r="G258" s="62"/>
    </row>
    <row r="259" spans="2:7" s="61" customFormat="1" x14ac:dyDescent="0.3">
      <c r="B259" s="64"/>
      <c r="C259" s="64"/>
      <c r="D259" s="64"/>
      <c r="E259" s="62"/>
      <c r="F259" s="63"/>
      <c r="G259" s="62"/>
    </row>
    <row r="260" spans="2:7" s="61" customFormat="1" x14ac:dyDescent="0.3">
      <c r="B260" s="64"/>
      <c r="C260" s="64"/>
      <c r="D260" s="64"/>
      <c r="E260" s="62"/>
      <c r="F260" s="63"/>
      <c r="G260" s="62"/>
    </row>
    <row r="261" spans="2:7" s="61" customFormat="1" x14ac:dyDescent="0.3">
      <c r="B261" s="64"/>
      <c r="C261" s="64"/>
      <c r="D261" s="64"/>
      <c r="E261" s="62"/>
      <c r="F261" s="63"/>
      <c r="G261" s="62"/>
    </row>
    <row r="262" spans="2:7" s="61" customFormat="1" x14ac:dyDescent="0.3">
      <c r="B262" s="64"/>
      <c r="C262" s="64"/>
      <c r="D262" s="64"/>
      <c r="E262" s="62"/>
      <c r="F262" s="63"/>
      <c r="G262" s="62"/>
    </row>
    <row r="263" spans="2:7" s="61" customFormat="1" x14ac:dyDescent="0.3">
      <c r="B263" s="64"/>
      <c r="C263" s="64"/>
      <c r="D263" s="64"/>
      <c r="E263" s="62"/>
      <c r="F263" s="63"/>
      <c r="G263" s="62"/>
    </row>
    <row r="264" spans="2:7" s="61" customFormat="1" x14ac:dyDescent="0.3">
      <c r="B264" s="64"/>
      <c r="C264" s="64"/>
      <c r="D264" s="64"/>
      <c r="E264" s="62"/>
      <c r="F264" s="63"/>
      <c r="G264" s="62"/>
    </row>
    <row r="265" spans="2:7" s="61" customFormat="1" x14ac:dyDescent="0.3">
      <c r="B265" s="64"/>
      <c r="C265" s="64"/>
      <c r="D265" s="64"/>
      <c r="E265" s="62"/>
      <c r="F265" s="63"/>
      <c r="G265" s="62"/>
    </row>
    <row r="266" spans="2:7" s="61" customFormat="1" x14ac:dyDescent="0.3">
      <c r="B266" s="64"/>
      <c r="C266" s="64"/>
      <c r="D266" s="64"/>
      <c r="E266" s="62"/>
      <c r="F266" s="63"/>
      <c r="G266" s="62"/>
    </row>
    <row r="267" spans="2:7" s="61" customFormat="1" x14ac:dyDescent="0.3">
      <c r="B267" s="64"/>
      <c r="C267" s="64"/>
      <c r="D267" s="64"/>
      <c r="E267" s="62"/>
      <c r="F267" s="63"/>
      <c r="G267" s="62"/>
    </row>
    <row r="268" spans="2:7" s="61" customFormat="1" x14ac:dyDescent="0.3">
      <c r="B268" s="64"/>
      <c r="C268" s="64"/>
      <c r="D268" s="64"/>
      <c r="E268" s="62"/>
      <c r="F268" s="63"/>
      <c r="G268" s="62"/>
    </row>
    <row r="269" spans="2:7" s="61" customFormat="1" x14ac:dyDescent="0.3">
      <c r="B269" s="64"/>
      <c r="C269" s="64"/>
      <c r="D269" s="64"/>
      <c r="E269" s="62"/>
      <c r="F269" s="63"/>
      <c r="G269" s="62"/>
    </row>
    <row r="270" spans="2:7" s="61" customFormat="1" x14ac:dyDescent="0.3">
      <c r="B270" s="64"/>
      <c r="C270" s="64"/>
      <c r="D270" s="64"/>
      <c r="E270" s="62"/>
      <c r="F270" s="63"/>
      <c r="G270" s="62"/>
    </row>
    <row r="271" spans="2:7" s="61" customFormat="1" x14ac:dyDescent="0.3">
      <c r="B271" s="64"/>
      <c r="C271" s="64"/>
      <c r="D271" s="64"/>
      <c r="E271" s="62"/>
      <c r="F271" s="63"/>
      <c r="G271" s="62"/>
    </row>
    <row r="272" spans="2:7" s="61" customFormat="1" x14ac:dyDescent="0.3">
      <c r="B272" s="64"/>
      <c r="C272" s="64"/>
      <c r="D272" s="64"/>
      <c r="E272" s="62"/>
      <c r="F272" s="63"/>
      <c r="G272" s="62"/>
    </row>
    <row r="273" spans="2:7" s="61" customFormat="1" x14ac:dyDescent="0.3">
      <c r="B273" s="64"/>
      <c r="C273" s="64"/>
      <c r="D273" s="64"/>
      <c r="E273" s="62"/>
      <c r="F273" s="63"/>
      <c r="G273" s="62"/>
    </row>
    <row r="274" spans="2:7" s="61" customFormat="1" x14ac:dyDescent="0.3">
      <c r="B274" s="64"/>
      <c r="C274" s="64"/>
      <c r="D274" s="64"/>
      <c r="E274" s="62"/>
      <c r="F274" s="63"/>
      <c r="G274" s="62"/>
    </row>
    <row r="275" spans="2:7" s="61" customFormat="1" x14ac:dyDescent="0.3">
      <c r="B275" s="64"/>
      <c r="C275" s="64"/>
      <c r="D275" s="64"/>
      <c r="E275" s="62"/>
      <c r="F275" s="63"/>
      <c r="G275" s="62"/>
    </row>
    <row r="276" spans="2:7" s="61" customFormat="1" x14ac:dyDescent="0.3">
      <c r="B276" s="64"/>
      <c r="C276" s="64"/>
      <c r="D276" s="64"/>
      <c r="E276" s="62"/>
      <c r="F276" s="63"/>
      <c r="G276" s="62"/>
    </row>
    <row r="277" spans="2:7" s="61" customFormat="1" x14ac:dyDescent="0.3">
      <c r="B277" s="64"/>
      <c r="C277" s="64"/>
      <c r="D277" s="64"/>
      <c r="E277" s="62"/>
      <c r="F277" s="63"/>
      <c r="G277" s="62"/>
    </row>
    <row r="278" spans="2:7" s="61" customFormat="1" x14ac:dyDescent="0.3">
      <c r="B278" s="64"/>
      <c r="C278" s="64"/>
      <c r="D278" s="64"/>
      <c r="E278" s="62"/>
      <c r="F278" s="63"/>
      <c r="G278" s="62"/>
    </row>
    <row r="279" spans="2:7" s="61" customFormat="1" x14ac:dyDescent="0.3">
      <c r="B279" s="64"/>
      <c r="C279" s="64"/>
      <c r="D279" s="64"/>
      <c r="E279" s="62"/>
      <c r="F279" s="63"/>
      <c r="G279" s="62"/>
    </row>
    <row r="280" spans="2:7" s="61" customFormat="1" x14ac:dyDescent="0.3">
      <c r="B280" s="64"/>
      <c r="C280" s="64"/>
      <c r="D280" s="64"/>
      <c r="E280" s="62"/>
      <c r="F280" s="63"/>
      <c r="G280" s="62"/>
    </row>
    <row r="281" spans="2:7" s="61" customFormat="1" x14ac:dyDescent="0.3">
      <c r="B281" s="64"/>
      <c r="C281" s="64"/>
      <c r="D281" s="64"/>
      <c r="E281" s="62"/>
      <c r="F281" s="63"/>
      <c r="G281" s="62"/>
    </row>
    <row r="282" spans="2:7" s="61" customFormat="1" x14ac:dyDescent="0.3">
      <c r="B282" s="64"/>
      <c r="C282" s="64"/>
      <c r="D282" s="64"/>
      <c r="E282" s="62"/>
      <c r="F282" s="63"/>
      <c r="G282" s="62"/>
    </row>
    <row r="283" spans="2:7" s="61" customFormat="1" x14ac:dyDescent="0.3">
      <c r="B283" s="64"/>
      <c r="C283" s="64"/>
      <c r="D283" s="64"/>
      <c r="E283" s="62"/>
      <c r="F283" s="63"/>
      <c r="G283" s="62"/>
    </row>
    <row r="284" spans="2:7" s="61" customFormat="1" x14ac:dyDescent="0.3">
      <c r="B284" s="64"/>
      <c r="C284" s="64"/>
      <c r="D284" s="64"/>
      <c r="E284" s="62"/>
      <c r="F284" s="63"/>
      <c r="G284" s="62"/>
    </row>
    <row r="285" spans="2:7" s="61" customFormat="1" x14ac:dyDescent="0.3">
      <c r="B285" s="64"/>
      <c r="C285" s="64"/>
      <c r="D285" s="64"/>
      <c r="E285" s="62"/>
      <c r="F285" s="63"/>
      <c r="G285" s="62"/>
    </row>
    <row r="286" spans="2:7" s="61" customFormat="1" x14ac:dyDescent="0.3">
      <c r="B286" s="64"/>
      <c r="C286" s="64"/>
      <c r="D286" s="64"/>
      <c r="E286" s="62"/>
      <c r="F286" s="63"/>
      <c r="G286" s="62"/>
    </row>
    <row r="287" spans="2:7" s="61" customFormat="1" x14ac:dyDescent="0.3">
      <c r="B287" s="64"/>
      <c r="C287" s="64"/>
      <c r="D287" s="64"/>
      <c r="E287" s="62"/>
      <c r="F287" s="63"/>
      <c r="G287" s="62"/>
    </row>
    <row r="288" spans="2:7" s="61" customFormat="1" x14ac:dyDescent="0.3">
      <c r="B288" s="64"/>
      <c r="C288" s="64"/>
      <c r="D288" s="64"/>
      <c r="E288" s="62"/>
      <c r="F288" s="63"/>
      <c r="G288" s="62"/>
    </row>
  </sheetData>
  <conditionalFormatting sqref="C7:D71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71">
    <cfRule type="colorScale" priority="1883">
      <colorScale>
        <cfvo type="min"/>
        <cfvo type="percentile" val="50"/>
        <cfvo type="max"/>
        <color rgb="FF62BC2A"/>
        <color rgb="FFFFEB84"/>
        <color rgb="FFE95DAD"/>
      </colorScale>
    </cfRule>
    <cfRule type="colorScale" priority="1884">
      <colorScale>
        <cfvo type="min"/>
        <cfvo type="percentile" val="50"/>
        <cfvo type="max"/>
        <color rgb="FFE95DAD"/>
        <color rgb="FFFFEB84"/>
        <color rgb="FF62BC2A"/>
      </colorScale>
    </cfRule>
    <cfRule type="colorScale" priority="1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71">
    <cfRule type="colorScale" priority="1889">
      <colorScale>
        <cfvo type="min"/>
        <cfvo type="percentile" val="50"/>
        <cfvo type="max"/>
        <color rgb="FFE95DAD"/>
        <color rgb="FFFFEB84"/>
        <color rgb="FF62BC2A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</sheetPr>
  <dimension ref="A1:AA104"/>
  <sheetViews>
    <sheetView showGridLines="0" zoomScale="85" zoomScaleNormal="85" workbookViewId="0">
      <pane xSplit="3" ySplit="5" topLeftCell="D6" activePane="bottomRight" state="frozen"/>
      <selection activeCell="A22" sqref="A22"/>
      <selection pane="topRight" activeCell="A22" sqref="A22"/>
      <selection pane="bottomLeft" activeCell="A22" sqref="A22"/>
      <selection pane="bottomRight" activeCell="E6" sqref="E6"/>
    </sheetView>
  </sheetViews>
  <sheetFormatPr defaultColWidth="9.140625" defaultRowHeight="18.75" x14ac:dyDescent="0.3"/>
  <cols>
    <col min="1" max="1" width="40.42578125" style="69" customWidth="1"/>
    <col min="2" max="2" width="9.42578125" style="34" customWidth="1"/>
    <col min="3" max="3" width="9.42578125" style="34" bestFit="1" customWidth="1"/>
    <col min="4" max="4" width="12.140625" style="34" customWidth="1"/>
    <col min="5" max="5" width="12.140625" style="70" customWidth="1"/>
    <col min="6" max="6" width="12.140625" style="4" customWidth="1"/>
    <col min="7" max="10" width="14.42578125" style="1" customWidth="1"/>
    <col min="11" max="11" width="12.28515625" style="1" customWidth="1"/>
    <col min="12" max="12" width="3.28515625" style="1" customWidth="1"/>
    <col min="13" max="13" width="8.42578125" style="4" customWidth="1"/>
    <col min="14" max="16" width="8.42578125" style="3" customWidth="1"/>
    <col min="17" max="17" width="8.42578125" style="1" customWidth="1"/>
    <col min="18" max="18" width="8.42578125" style="3" customWidth="1"/>
    <col min="19" max="19" width="3.85546875" style="1" customWidth="1"/>
    <col min="20" max="23" width="9.140625" style="35" customWidth="1"/>
    <col min="24" max="24" width="9.140625" style="8"/>
    <col min="25" max="16384" width="9.140625" style="1"/>
  </cols>
  <sheetData>
    <row r="1" spans="1:27" s="31" customFormat="1" ht="21" x14ac:dyDescent="0.35">
      <c r="A1" s="507" t="s">
        <v>239</v>
      </c>
      <c r="B1" s="68"/>
      <c r="C1" s="67"/>
      <c r="D1" s="67"/>
      <c r="E1" s="67"/>
      <c r="F1" s="70"/>
      <c r="G1" s="69"/>
      <c r="M1" s="34"/>
      <c r="N1" s="30"/>
      <c r="O1" s="30"/>
      <c r="P1" s="30"/>
      <c r="R1" s="30"/>
      <c r="T1" s="119"/>
      <c r="U1" s="119"/>
      <c r="V1" s="119"/>
      <c r="W1" s="119"/>
      <c r="X1" s="69"/>
    </row>
    <row r="2" spans="1:27" ht="56.25" x14ac:dyDescent="0.3">
      <c r="A2" s="66"/>
      <c r="B2" s="189"/>
      <c r="C2" s="189"/>
      <c r="D2" s="189"/>
      <c r="F2" s="1122"/>
      <c r="G2" s="69"/>
      <c r="H2" s="31"/>
      <c r="I2" s="31"/>
      <c r="J2" s="31"/>
      <c r="K2" s="31"/>
      <c r="L2" s="31"/>
      <c r="M2" s="1094" t="s">
        <v>375</v>
      </c>
      <c r="N2" s="301"/>
      <c r="O2" s="301"/>
      <c r="P2" s="301"/>
      <c r="Q2" s="301"/>
      <c r="R2" s="301"/>
      <c r="S2" s="1096"/>
      <c r="T2" s="1095" t="s">
        <v>376</v>
      </c>
      <c r="U2" s="300"/>
      <c r="V2" s="300"/>
      <c r="W2" s="300"/>
      <c r="X2" s="69"/>
      <c r="Y2" s="31"/>
      <c r="Z2" s="31"/>
      <c r="AA2" s="31"/>
    </row>
    <row r="3" spans="1:27" s="31" customFormat="1" ht="19.5" thickBot="1" x14ac:dyDescent="0.35">
      <c r="A3" s="69"/>
      <c r="B3" s="70"/>
      <c r="C3" s="70"/>
      <c r="D3" s="70"/>
      <c r="E3" s="141"/>
      <c r="F3" s="100"/>
      <c r="G3" s="69"/>
      <c r="H3" s="69"/>
      <c r="I3" s="69"/>
      <c r="J3" s="69"/>
      <c r="K3" s="69"/>
      <c r="L3" s="1123"/>
      <c r="M3" s="1101" t="s">
        <v>377</v>
      </c>
      <c r="N3" s="1102"/>
      <c r="O3" s="1102"/>
      <c r="P3" s="1100"/>
      <c r="Q3" s="1101" t="s">
        <v>378</v>
      </c>
      <c r="R3" s="1103"/>
      <c r="S3" s="105"/>
      <c r="T3" s="1101" t="s">
        <v>377</v>
      </c>
      <c r="U3" s="1102"/>
      <c r="V3" s="1102"/>
      <c r="W3" s="1100"/>
      <c r="X3" s="69"/>
    </row>
    <row r="4" spans="1:27" s="31" customFormat="1" ht="38.65" customHeight="1" x14ac:dyDescent="0.3">
      <c r="A4" s="32"/>
      <c r="B4" s="1128" t="s">
        <v>54</v>
      </c>
      <c r="C4" s="1129"/>
      <c r="D4" s="1167" t="s">
        <v>386</v>
      </c>
      <c r="E4" s="1168"/>
      <c r="F4" s="1169"/>
      <c r="G4" s="1170" t="s">
        <v>380</v>
      </c>
      <c r="H4" s="1172" t="s">
        <v>381</v>
      </c>
      <c r="I4" s="1172" t="s">
        <v>383</v>
      </c>
      <c r="J4" s="1174" t="s">
        <v>384</v>
      </c>
      <c r="K4" s="1130" t="s">
        <v>318</v>
      </c>
      <c r="L4" s="503"/>
      <c r="M4" s="1097" t="s">
        <v>379</v>
      </c>
      <c r="N4" s="1097" t="s">
        <v>25</v>
      </c>
      <c r="O4" s="1097" t="s">
        <v>26</v>
      </c>
      <c r="P4" s="1098" t="s">
        <v>27</v>
      </c>
      <c r="Q4" s="1099" t="s">
        <v>166</v>
      </c>
      <c r="R4" s="1098" t="s">
        <v>167</v>
      </c>
      <c r="S4" s="105"/>
      <c r="T4" s="1097" t="s">
        <v>379</v>
      </c>
      <c r="U4" s="1097" t="s">
        <v>25</v>
      </c>
      <c r="V4" s="1097" t="s">
        <v>26</v>
      </c>
      <c r="W4" s="1098" t="s">
        <v>27</v>
      </c>
      <c r="X4" s="69"/>
    </row>
    <row r="5" spans="1:27" s="31" customFormat="1" ht="57" thickBot="1" x14ac:dyDescent="0.35">
      <c r="A5" s="54" t="s">
        <v>4</v>
      </c>
      <c r="B5" s="1124" t="s">
        <v>3</v>
      </c>
      <c r="C5" s="411" t="s">
        <v>2</v>
      </c>
      <c r="D5" s="1136" t="s">
        <v>24</v>
      </c>
      <c r="E5" s="1131" t="s">
        <v>385</v>
      </c>
      <c r="F5" s="1132" t="s">
        <v>382</v>
      </c>
      <c r="G5" s="1171"/>
      <c r="H5" s="1173"/>
      <c r="I5" s="1173"/>
      <c r="J5" s="1175"/>
      <c r="K5" s="1121" t="s">
        <v>434</v>
      </c>
      <c r="L5" s="504"/>
      <c r="M5" s="411" t="s">
        <v>3</v>
      </c>
      <c r="N5" s="411" t="s">
        <v>3</v>
      </c>
      <c r="O5" s="411" t="s">
        <v>3</v>
      </c>
      <c r="P5" s="187" t="s">
        <v>3</v>
      </c>
      <c r="Q5" s="187" t="s">
        <v>3</v>
      </c>
      <c r="R5" s="187" t="s">
        <v>3</v>
      </c>
      <c r="S5" s="497"/>
      <c r="T5" s="1105" t="s">
        <v>3</v>
      </c>
      <c r="U5" s="1105" t="s">
        <v>3</v>
      </c>
      <c r="V5" s="1105" t="s">
        <v>3</v>
      </c>
      <c r="W5" s="1105" t="s">
        <v>3</v>
      </c>
      <c r="X5" s="69"/>
    </row>
    <row r="6" spans="1:27" ht="19.5" thickBot="1" x14ac:dyDescent="0.35">
      <c r="A6" s="909" t="s">
        <v>10</v>
      </c>
      <c r="B6" s="157">
        <f t="shared" ref="B6:B49" si="0">RANK(C6,C$6:C$70,0)</f>
        <v>16</v>
      </c>
      <c r="C6" s="158">
        <f>D6*10/$D$72</f>
        <v>0</v>
      </c>
      <c r="D6" s="1134">
        <f>MAX(0, SUM(E6:F6))</f>
        <v>0</v>
      </c>
      <c r="E6" s="1125">
        <v>-2</v>
      </c>
      <c r="F6" s="1127">
        <f>SUM(G6:J6)</f>
        <v>0</v>
      </c>
      <c r="G6" s="1115"/>
      <c r="H6" s="1116"/>
      <c r="I6" s="1116"/>
      <c r="J6" s="1111"/>
      <c r="K6" s="1126">
        <v>6.5121891241924107E-2</v>
      </c>
      <c r="L6" s="505"/>
      <c r="M6" s="40">
        <v>25</v>
      </c>
      <c r="N6" s="198">
        <v>42</v>
      </c>
      <c r="O6" s="198">
        <v>17</v>
      </c>
      <c r="P6" s="1107">
        <v>18</v>
      </c>
      <c r="Q6" s="198">
        <v>17</v>
      </c>
      <c r="R6" s="198">
        <v>51</v>
      </c>
      <c r="S6" s="69"/>
      <c r="T6" s="1106">
        <v>41</v>
      </c>
      <c r="U6" s="1106">
        <v>38</v>
      </c>
      <c r="V6" s="1106">
        <v>21</v>
      </c>
      <c r="W6" s="1106">
        <v>15</v>
      </c>
      <c r="X6" s="69"/>
      <c r="Y6" s="31"/>
      <c r="Z6" s="31"/>
      <c r="AA6" s="31"/>
    </row>
    <row r="7" spans="1:27" ht="19.5" thickBot="1" x14ac:dyDescent="0.35">
      <c r="A7" s="317" t="s">
        <v>156</v>
      </c>
      <c r="B7" s="159">
        <f t="shared" si="0"/>
        <v>16</v>
      </c>
      <c r="C7" s="158">
        <f t="shared" ref="C7:C70" si="1">D7*10/$D$72</f>
        <v>0</v>
      </c>
      <c r="D7" s="1134">
        <f t="shared" ref="D7:D70" si="2">MAX(0, SUM(E7:F7))</f>
        <v>0</v>
      </c>
      <c r="E7" s="73">
        <v>-2</v>
      </c>
      <c r="F7" s="1127">
        <f t="shared" ref="F7:F70" si="3">SUM(G7:J7)</f>
        <v>0</v>
      </c>
      <c r="G7" s="1115"/>
      <c r="H7" s="1116"/>
      <c r="I7" s="1116"/>
      <c r="J7" s="1111"/>
      <c r="K7" s="646">
        <v>0.46696316169576746</v>
      </c>
      <c r="L7" s="505"/>
      <c r="M7" s="40">
        <v>41</v>
      </c>
      <c r="N7" s="40">
        <v>38</v>
      </c>
      <c r="O7" s="40">
        <v>33</v>
      </c>
      <c r="P7" s="1108">
        <v>29</v>
      </c>
      <c r="Q7" s="40">
        <v>28</v>
      </c>
      <c r="R7" s="40">
        <v>36</v>
      </c>
      <c r="S7" s="69"/>
      <c r="T7" s="1106">
        <v>44</v>
      </c>
      <c r="U7" s="1106">
        <v>38</v>
      </c>
      <c r="V7" s="1106">
        <v>28</v>
      </c>
      <c r="W7" s="1106">
        <v>15</v>
      </c>
      <c r="X7" s="69"/>
      <c r="Y7" s="31"/>
      <c r="Z7" s="31"/>
      <c r="AA7" s="31"/>
    </row>
    <row r="8" spans="1:27" ht="19.5" thickBot="1" x14ac:dyDescent="0.35">
      <c r="A8" s="317" t="s">
        <v>102</v>
      </c>
      <c r="B8" s="159">
        <f t="shared" si="0"/>
        <v>16</v>
      </c>
      <c r="C8" s="158">
        <f t="shared" si="1"/>
        <v>0</v>
      </c>
      <c r="D8" s="1134">
        <f t="shared" si="2"/>
        <v>0</v>
      </c>
      <c r="E8" s="73">
        <v>-2</v>
      </c>
      <c r="F8" s="1127">
        <f t="shared" si="3"/>
        <v>0</v>
      </c>
      <c r="G8" s="577"/>
      <c r="H8" s="1117"/>
      <c r="I8" s="1117"/>
      <c r="J8" s="1112"/>
      <c r="K8" s="646">
        <v>8.0507201318508387E-2</v>
      </c>
      <c r="L8" s="505"/>
      <c r="M8" s="40">
        <v>33</v>
      </c>
      <c r="N8" s="40">
        <v>25</v>
      </c>
      <c r="O8" s="40">
        <v>44</v>
      </c>
      <c r="P8" s="40">
        <v>33</v>
      </c>
      <c r="Q8" s="40">
        <v>21</v>
      </c>
      <c r="R8" s="40">
        <v>35</v>
      </c>
      <c r="S8" s="69"/>
      <c r="T8" s="1106">
        <v>35</v>
      </c>
      <c r="U8" s="1106">
        <v>34</v>
      </c>
      <c r="V8" s="1106">
        <v>28</v>
      </c>
      <c r="W8" s="1106">
        <v>15</v>
      </c>
      <c r="X8" s="69"/>
      <c r="Y8" s="31"/>
      <c r="Z8" s="31"/>
      <c r="AA8" s="31"/>
    </row>
    <row r="9" spans="1:27" ht="19.5" thickBot="1" x14ac:dyDescent="0.35">
      <c r="A9" s="184" t="s">
        <v>103</v>
      </c>
      <c r="B9" s="159">
        <f t="shared" si="0"/>
        <v>16</v>
      </c>
      <c r="C9" s="158">
        <f t="shared" si="1"/>
        <v>0</v>
      </c>
      <c r="D9" s="1134">
        <f t="shared" si="2"/>
        <v>0</v>
      </c>
      <c r="E9" s="73">
        <v>-2</v>
      </c>
      <c r="F9" s="1127">
        <f t="shared" si="3"/>
        <v>0</v>
      </c>
      <c r="G9" s="1115"/>
      <c r="H9" s="1116"/>
      <c r="I9" s="1116"/>
      <c r="J9" s="1111"/>
      <c r="K9" s="646">
        <v>0.14105929640252565</v>
      </c>
      <c r="L9" s="505"/>
      <c r="M9" s="40">
        <v>23</v>
      </c>
      <c r="N9" s="40">
        <v>32</v>
      </c>
      <c r="O9" s="40">
        <v>14</v>
      </c>
      <c r="P9" s="1108">
        <v>28</v>
      </c>
      <c r="Q9" s="40">
        <v>16</v>
      </c>
      <c r="R9" s="40">
        <v>38</v>
      </c>
      <c r="S9" s="69"/>
      <c r="T9" s="1106">
        <v>44</v>
      </c>
      <c r="U9" s="1106">
        <v>38</v>
      </c>
      <c r="V9" s="1106">
        <v>28</v>
      </c>
      <c r="W9" s="1106">
        <v>15</v>
      </c>
      <c r="X9" s="69"/>
      <c r="Y9" s="31"/>
      <c r="Z9" s="31"/>
      <c r="AA9" s="31" t="s">
        <v>31</v>
      </c>
    </row>
    <row r="10" spans="1:27" ht="19.5" thickBot="1" x14ac:dyDescent="0.35">
      <c r="A10" s="317" t="s">
        <v>5</v>
      </c>
      <c r="B10" s="159">
        <f t="shared" si="0"/>
        <v>16</v>
      </c>
      <c r="C10" s="158">
        <f t="shared" si="1"/>
        <v>0</v>
      </c>
      <c r="D10" s="1134">
        <f t="shared" si="2"/>
        <v>0</v>
      </c>
      <c r="E10" s="73">
        <v>-2</v>
      </c>
      <c r="F10" s="1127">
        <f t="shared" si="3"/>
        <v>0</v>
      </c>
      <c r="G10" s="577"/>
      <c r="H10" s="1117"/>
      <c r="I10" s="1117"/>
      <c r="J10" s="1112"/>
      <c r="K10" s="646">
        <v>0.47565054839679438</v>
      </c>
      <c r="L10" s="505"/>
      <c r="M10" s="40">
        <v>8</v>
      </c>
      <c r="N10" s="40">
        <v>13</v>
      </c>
      <c r="O10" s="40">
        <v>7</v>
      </c>
      <c r="P10" s="40">
        <v>36</v>
      </c>
      <c r="Q10" s="40">
        <v>44</v>
      </c>
      <c r="R10" s="40">
        <v>4</v>
      </c>
      <c r="S10" s="69"/>
      <c r="T10" s="1106">
        <v>2</v>
      </c>
      <c r="U10" s="1106">
        <v>5</v>
      </c>
      <c r="V10" s="1106">
        <v>1</v>
      </c>
      <c r="W10" s="1106">
        <v>1</v>
      </c>
      <c r="X10" s="69"/>
      <c r="Y10" s="31"/>
      <c r="Z10" s="31"/>
      <c r="AA10" s="31"/>
    </row>
    <row r="11" spans="1:27" ht="19.5" thickBot="1" x14ac:dyDescent="0.35">
      <c r="A11" s="317" t="s">
        <v>157</v>
      </c>
      <c r="B11" s="159">
        <f t="shared" si="0"/>
        <v>16</v>
      </c>
      <c r="C11" s="158">
        <f t="shared" si="1"/>
        <v>0</v>
      </c>
      <c r="D11" s="1134">
        <f t="shared" si="2"/>
        <v>0</v>
      </c>
      <c r="E11" s="73">
        <v>-2</v>
      </c>
      <c r="F11" s="1127">
        <f t="shared" si="3"/>
        <v>0</v>
      </c>
      <c r="G11" s="577"/>
      <c r="H11" s="1117"/>
      <c r="I11" s="1117"/>
      <c r="J11" s="1112"/>
      <c r="K11" s="646">
        <v>0.25797007270830746</v>
      </c>
      <c r="L11" s="505"/>
      <c r="M11" s="40">
        <v>26</v>
      </c>
      <c r="N11" s="40">
        <v>17</v>
      </c>
      <c r="O11" s="40">
        <v>41</v>
      </c>
      <c r="P11" s="1108">
        <v>31</v>
      </c>
      <c r="Q11" s="40">
        <v>24</v>
      </c>
      <c r="R11" s="40">
        <v>12</v>
      </c>
      <c r="S11" s="69"/>
      <c r="T11" s="1106">
        <v>44</v>
      </c>
      <c r="U11" s="1106">
        <v>38</v>
      </c>
      <c r="V11" s="1106">
        <v>28</v>
      </c>
      <c r="W11" s="1106">
        <v>15</v>
      </c>
      <c r="X11" s="69"/>
      <c r="Y11" s="31"/>
      <c r="Z11" s="31"/>
      <c r="AA11" s="31"/>
    </row>
    <row r="12" spans="1:27" ht="19.5" thickBot="1" x14ac:dyDescent="0.35">
      <c r="A12" s="317" t="s">
        <v>247</v>
      </c>
      <c r="B12" s="159">
        <f t="shared" si="0"/>
        <v>8</v>
      </c>
      <c r="C12" s="158">
        <f t="shared" si="1"/>
        <v>7.5</v>
      </c>
      <c r="D12" s="1134">
        <f t="shared" si="2"/>
        <v>3</v>
      </c>
      <c r="E12" s="73">
        <v>3</v>
      </c>
      <c r="F12" s="1127">
        <f t="shared" si="3"/>
        <v>0</v>
      </c>
      <c r="G12" s="577"/>
      <c r="H12" s="1117"/>
      <c r="I12" s="1117"/>
      <c r="J12" s="1112"/>
      <c r="K12" s="646">
        <v>1.0450365142316995</v>
      </c>
      <c r="L12" s="505"/>
      <c r="M12" s="40">
        <v>30</v>
      </c>
      <c r="N12" s="40">
        <v>21</v>
      </c>
      <c r="O12" s="40">
        <v>27</v>
      </c>
      <c r="P12" s="40">
        <v>40</v>
      </c>
      <c r="Q12" s="40">
        <v>52</v>
      </c>
      <c r="R12" s="40">
        <v>13</v>
      </c>
      <c r="S12" s="69"/>
      <c r="T12" s="1106">
        <v>4</v>
      </c>
      <c r="U12" s="1106">
        <v>3</v>
      </c>
      <c r="V12" s="1106">
        <v>4</v>
      </c>
      <c r="W12" s="1106">
        <v>6</v>
      </c>
      <c r="X12" s="69"/>
      <c r="Y12" s="31"/>
      <c r="Z12" s="31"/>
      <c r="AA12" s="31"/>
    </row>
    <row r="13" spans="1:27" ht="19.5" thickBot="1" x14ac:dyDescent="0.35">
      <c r="A13" s="945" t="s">
        <v>94</v>
      </c>
      <c r="B13" s="159">
        <f t="shared" si="0"/>
        <v>16</v>
      </c>
      <c r="C13" s="158">
        <f t="shared" si="1"/>
        <v>0</v>
      </c>
      <c r="D13" s="1134">
        <f t="shared" si="2"/>
        <v>0</v>
      </c>
      <c r="E13" s="73">
        <v>-2</v>
      </c>
      <c r="F13" s="1127">
        <f t="shared" si="3"/>
        <v>0</v>
      </c>
      <c r="G13" s="1115"/>
      <c r="H13" s="1116"/>
      <c r="I13" s="1116"/>
      <c r="J13" s="1111"/>
      <c r="K13" s="646">
        <v>0.23696035803614329</v>
      </c>
      <c r="L13" s="505"/>
      <c r="M13" s="40">
        <v>16</v>
      </c>
      <c r="N13" s="40">
        <v>11</v>
      </c>
      <c r="O13" s="40">
        <v>38</v>
      </c>
      <c r="P13" s="1108">
        <v>22</v>
      </c>
      <c r="Q13" s="40">
        <v>13</v>
      </c>
      <c r="R13" s="40">
        <v>16</v>
      </c>
      <c r="S13" s="69"/>
      <c r="T13" s="1106">
        <v>6</v>
      </c>
      <c r="U13" s="1106">
        <v>6</v>
      </c>
      <c r="V13" s="1106">
        <v>18</v>
      </c>
      <c r="W13" s="1106">
        <v>9</v>
      </c>
      <c r="X13" s="69"/>
      <c r="Y13" s="31"/>
      <c r="Z13" s="31"/>
      <c r="AA13" s="31"/>
    </row>
    <row r="14" spans="1:27" ht="19.5" thickBot="1" x14ac:dyDescent="0.35">
      <c r="A14" s="317" t="s">
        <v>104</v>
      </c>
      <c r="B14" s="159">
        <f t="shared" si="0"/>
        <v>16</v>
      </c>
      <c r="C14" s="158">
        <f t="shared" si="1"/>
        <v>0</v>
      </c>
      <c r="D14" s="1134">
        <f t="shared" si="2"/>
        <v>0</v>
      </c>
      <c r="E14" s="73">
        <v>0</v>
      </c>
      <c r="F14" s="1127">
        <f t="shared" si="3"/>
        <v>0</v>
      </c>
      <c r="G14" s="1115"/>
      <c r="H14" s="1116"/>
      <c r="I14" s="1116"/>
      <c r="J14" s="1111"/>
      <c r="K14" s="646">
        <v>0.65287059832853789</v>
      </c>
      <c r="L14" s="505"/>
      <c r="M14" s="40">
        <v>18</v>
      </c>
      <c r="N14" s="40">
        <v>12</v>
      </c>
      <c r="O14" s="40">
        <v>52</v>
      </c>
      <c r="P14" s="40">
        <v>40</v>
      </c>
      <c r="Q14" s="40">
        <v>50</v>
      </c>
      <c r="R14" s="40">
        <v>8</v>
      </c>
      <c r="S14" s="69"/>
      <c r="T14" s="1106">
        <v>10</v>
      </c>
      <c r="U14" s="1106">
        <v>8</v>
      </c>
      <c r="V14" s="1106">
        <v>20</v>
      </c>
      <c r="W14" s="1106">
        <v>15</v>
      </c>
      <c r="X14" s="69"/>
      <c r="Y14" s="31"/>
      <c r="Z14" s="31"/>
      <c r="AA14" s="31"/>
    </row>
    <row r="15" spans="1:27" ht="19.5" thickBot="1" x14ac:dyDescent="0.35">
      <c r="A15" s="317" t="s">
        <v>9</v>
      </c>
      <c r="B15" s="159">
        <f t="shared" si="0"/>
        <v>16</v>
      </c>
      <c r="C15" s="158">
        <f t="shared" si="1"/>
        <v>0</v>
      </c>
      <c r="D15" s="1134">
        <f t="shared" si="2"/>
        <v>0</v>
      </c>
      <c r="E15" s="73">
        <v>-2</v>
      </c>
      <c r="F15" s="1127">
        <f t="shared" si="3"/>
        <v>0</v>
      </c>
      <c r="G15" s="577"/>
      <c r="H15" s="1117"/>
      <c r="I15" s="1117"/>
      <c r="J15" s="1112"/>
      <c r="K15" s="646">
        <v>0.15531753486452179</v>
      </c>
      <c r="L15" s="505"/>
      <c r="M15" s="40">
        <v>11</v>
      </c>
      <c r="N15" s="40">
        <v>10</v>
      </c>
      <c r="O15" s="40">
        <v>11</v>
      </c>
      <c r="P15" s="40">
        <v>40</v>
      </c>
      <c r="Q15" s="40">
        <v>51</v>
      </c>
      <c r="R15" s="40">
        <v>6</v>
      </c>
      <c r="S15" s="69"/>
      <c r="T15" s="1106">
        <v>11</v>
      </c>
      <c r="U15" s="1106">
        <v>14</v>
      </c>
      <c r="V15" s="1106">
        <v>6</v>
      </c>
      <c r="W15" s="1106">
        <v>5</v>
      </c>
      <c r="X15" s="69"/>
      <c r="Y15" s="31"/>
      <c r="Z15" s="31"/>
      <c r="AA15" s="31"/>
    </row>
    <row r="16" spans="1:27" ht="19.5" thickBot="1" x14ac:dyDescent="0.35">
      <c r="A16" s="317" t="s">
        <v>90</v>
      </c>
      <c r="B16" s="159">
        <f t="shared" si="0"/>
        <v>16</v>
      </c>
      <c r="C16" s="158">
        <f t="shared" si="1"/>
        <v>0</v>
      </c>
      <c r="D16" s="1134">
        <f t="shared" si="2"/>
        <v>0</v>
      </c>
      <c r="E16" s="73">
        <v>-2</v>
      </c>
      <c r="F16" s="1127">
        <f t="shared" si="3"/>
        <v>0</v>
      </c>
      <c r="G16" s="577"/>
      <c r="H16" s="1117"/>
      <c r="I16" s="1117"/>
      <c r="J16" s="1112"/>
      <c r="K16" s="646">
        <v>0.39707633459391667</v>
      </c>
      <c r="L16" s="505"/>
      <c r="M16" s="40">
        <v>40</v>
      </c>
      <c r="N16" s="40">
        <v>30</v>
      </c>
      <c r="O16" s="40">
        <v>57</v>
      </c>
      <c r="P16" s="40">
        <v>40</v>
      </c>
      <c r="Q16" s="40">
        <v>49</v>
      </c>
      <c r="R16" s="40">
        <v>26</v>
      </c>
      <c r="S16" s="69"/>
      <c r="T16" s="1106">
        <v>7</v>
      </c>
      <c r="U16" s="1106">
        <v>7</v>
      </c>
      <c r="V16" s="1106">
        <v>28</v>
      </c>
      <c r="W16" s="1106">
        <v>15</v>
      </c>
      <c r="X16" s="69"/>
      <c r="Y16" s="31"/>
      <c r="Z16" s="31"/>
      <c r="AA16" s="31"/>
    </row>
    <row r="17" spans="1:27" ht="19.5" thickBot="1" x14ac:dyDescent="0.35">
      <c r="A17" s="945" t="s">
        <v>14</v>
      </c>
      <c r="B17" s="159">
        <f t="shared" si="0"/>
        <v>16</v>
      </c>
      <c r="C17" s="158">
        <f t="shared" si="1"/>
        <v>0</v>
      </c>
      <c r="D17" s="1134">
        <f t="shared" si="2"/>
        <v>0</v>
      </c>
      <c r="E17" s="73">
        <v>-2</v>
      </c>
      <c r="F17" s="1127">
        <f t="shared" si="3"/>
        <v>0</v>
      </c>
      <c r="G17" s="1115"/>
      <c r="H17" s="1116"/>
      <c r="I17" s="1116"/>
      <c r="J17" s="1111"/>
      <c r="K17" s="646">
        <v>0.43940757801894237</v>
      </c>
      <c r="L17" s="505"/>
      <c r="M17" s="40">
        <v>17</v>
      </c>
      <c r="N17" s="40">
        <v>16</v>
      </c>
      <c r="O17" s="40">
        <v>15</v>
      </c>
      <c r="P17" s="1108">
        <v>11</v>
      </c>
      <c r="Q17" s="40">
        <v>12</v>
      </c>
      <c r="R17" s="40">
        <v>17</v>
      </c>
      <c r="S17" s="69"/>
      <c r="T17" s="1106">
        <v>9</v>
      </c>
      <c r="U17" s="1106">
        <v>9</v>
      </c>
      <c r="V17" s="1106">
        <v>3</v>
      </c>
      <c r="W17" s="1106">
        <v>4</v>
      </c>
      <c r="X17" s="69"/>
      <c r="Y17" s="31"/>
      <c r="Z17" s="31"/>
      <c r="AA17" s="31"/>
    </row>
    <row r="18" spans="1:27" ht="19.5" thickBot="1" x14ac:dyDescent="0.35">
      <c r="A18" s="317" t="s">
        <v>96</v>
      </c>
      <c r="B18" s="159">
        <f t="shared" si="0"/>
        <v>16</v>
      </c>
      <c r="C18" s="158">
        <f t="shared" si="1"/>
        <v>0</v>
      </c>
      <c r="D18" s="1134">
        <f t="shared" si="2"/>
        <v>0</v>
      </c>
      <c r="E18" s="73">
        <v>-2</v>
      </c>
      <c r="F18" s="1127">
        <f t="shared" si="3"/>
        <v>0</v>
      </c>
      <c r="G18" s="1115"/>
      <c r="H18" s="1116"/>
      <c r="I18" s="1116"/>
      <c r="J18" s="1111"/>
      <c r="K18" s="646">
        <v>0.26611620301441985</v>
      </c>
      <c r="L18" s="505"/>
      <c r="M18" s="40">
        <v>14</v>
      </c>
      <c r="N18" s="40">
        <v>9</v>
      </c>
      <c r="O18" s="40">
        <v>30</v>
      </c>
      <c r="P18" s="40">
        <v>34</v>
      </c>
      <c r="Q18" s="40">
        <v>10</v>
      </c>
      <c r="R18" s="40">
        <v>24</v>
      </c>
      <c r="S18" s="69"/>
      <c r="T18" s="1106">
        <v>27</v>
      </c>
      <c r="U18" s="1106">
        <v>27</v>
      </c>
      <c r="V18" s="1106">
        <v>28</v>
      </c>
      <c r="W18" s="1106">
        <v>15</v>
      </c>
      <c r="X18" s="69"/>
      <c r="Y18" s="31"/>
      <c r="Z18" s="31"/>
      <c r="AA18" s="31"/>
    </row>
    <row r="19" spans="1:27" ht="19.5" thickBot="1" x14ac:dyDescent="0.35">
      <c r="A19" s="317" t="s">
        <v>99</v>
      </c>
      <c r="B19" s="159">
        <f t="shared" si="0"/>
        <v>16</v>
      </c>
      <c r="C19" s="158">
        <f t="shared" si="1"/>
        <v>0</v>
      </c>
      <c r="D19" s="1134">
        <f t="shared" si="2"/>
        <v>0</v>
      </c>
      <c r="E19" s="73">
        <v>0</v>
      </c>
      <c r="F19" s="1127">
        <f t="shared" si="3"/>
        <v>0</v>
      </c>
      <c r="G19" s="1115"/>
      <c r="H19" s="1116"/>
      <c r="I19" s="1116"/>
      <c r="J19" s="1111"/>
      <c r="K19" s="646">
        <v>0.64795042492192967</v>
      </c>
      <c r="L19" s="505"/>
      <c r="M19" s="40">
        <v>31</v>
      </c>
      <c r="N19" s="40">
        <v>29</v>
      </c>
      <c r="O19" s="40">
        <v>21</v>
      </c>
      <c r="P19" s="40">
        <v>40</v>
      </c>
      <c r="Q19" s="40">
        <v>56</v>
      </c>
      <c r="R19" s="40">
        <v>14</v>
      </c>
      <c r="S19" s="69"/>
      <c r="T19" s="1106">
        <v>18</v>
      </c>
      <c r="U19" s="1106">
        <v>18</v>
      </c>
      <c r="V19" s="1106">
        <v>13</v>
      </c>
      <c r="W19" s="1106">
        <v>11</v>
      </c>
      <c r="X19" s="69"/>
      <c r="Y19" s="31"/>
      <c r="Z19" s="31"/>
      <c r="AA19" s="31"/>
    </row>
    <row r="20" spans="1:27" ht="19.5" thickBot="1" x14ac:dyDescent="0.35">
      <c r="A20" s="317" t="s">
        <v>105</v>
      </c>
      <c r="B20" s="159">
        <f t="shared" si="0"/>
        <v>1</v>
      </c>
      <c r="C20" s="158">
        <f t="shared" si="1"/>
        <v>10</v>
      </c>
      <c r="D20" s="1134">
        <f t="shared" si="2"/>
        <v>4</v>
      </c>
      <c r="E20" s="73">
        <v>4</v>
      </c>
      <c r="F20" s="1127">
        <f t="shared" si="3"/>
        <v>0</v>
      </c>
      <c r="G20" s="1115"/>
      <c r="H20" s="1116"/>
      <c r="I20" s="1116"/>
      <c r="J20" s="1111"/>
      <c r="K20" s="646">
        <v>1.5737515236711475</v>
      </c>
      <c r="L20" s="505"/>
      <c r="M20" s="40">
        <v>24</v>
      </c>
      <c r="N20" s="40">
        <v>15</v>
      </c>
      <c r="O20" s="40">
        <v>32</v>
      </c>
      <c r="P20" s="40">
        <v>40</v>
      </c>
      <c r="Q20" s="40">
        <v>47</v>
      </c>
      <c r="R20" s="40">
        <v>11</v>
      </c>
      <c r="S20" s="69"/>
      <c r="T20" s="1106">
        <v>5</v>
      </c>
      <c r="U20" s="1106">
        <v>4</v>
      </c>
      <c r="V20" s="1106">
        <v>9</v>
      </c>
      <c r="W20" s="1106">
        <v>8</v>
      </c>
      <c r="X20" s="69"/>
      <c r="Y20" s="31"/>
      <c r="Z20" s="31"/>
      <c r="AA20" s="31"/>
    </row>
    <row r="21" spans="1:27" ht="19.5" thickBot="1" x14ac:dyDescent="0.35">
      <c r="A21" s="945" t="s">
        <v>92</v>
      </c>
      <c r="B21" s="159">
        <f t="shared" si="0"/>
        <v>16</v>
      </c>
      <c r="C21" s="158">
        <f t="shared" si="1"/>
        <v>0</v>
      </c>
      <c r="D21" s="1134">
        <f t="shared" si="2"/>
        <v>0</v>
      </c>
      <c r="E21" s="73">
        <v>-2</v>
      </c>
      <c r="F21" s="1127">
        <f t="shared" si="3"/>
        <v>0</v>
      </c>
      <c r="G21" s="577"/>
      <c r="H21" s="1117"/>
      <c r="I21" s="1117"/>
      <c r="J21" s="1112"/>
      <c r="K21" s="646">
        <v>3.16328374872119E-2</v>
      </c>
      <c r="L21" s="505"/>
      <c r="M21" s="40">
        <v>62</v>
      </c>
      <c r="N21" s="40">
        <v>54</v>
      </c>
      <c r="O21" s="40">
        <v>55</v>
      </c>
      <c r="P21" s="40">
        <v>40</v>
      </c>
      <c r="Q21" s="40">
        <v>43</v>
      </c>
      <c r="R21" s="40">
        <v>65</v>
      </c>
      <c r="S21" s="69"/>
      <c r="T21" s="1106">
        <v>39</v>
      </c>
      <c r="U21" s="1106">
        <v>36</v>
      </c>
      <c r="V21" s="1106">
        <v>28</v>
      </c>
      <c r="W21" s="1106">
        <v>15</v>
      </c>
      <c r="X21" s="69"/>
      <c r="Y21" s="31"/>
      <c r="Z21" s="31"/>
      <c r="AA21" s="31"/>
    </row>
    <row r="22" spans="1:27" ht="19.5" thickBot="1" x14ac:dyDescent="0.35">
      <c r="A22" s="945" t="s">
        <v>22</v>
      </c>
      <c r="B22" s="159">
        <f t="shared" si="0"/>
        <v>16</v>
      </c>
      <c r="C22" s="158">
        <f t="shared" si="1"/>
        <v>0</v>
      </c>
      <c r="D22" s="1134">
        <f t="shared" si="2"/>
        <v>0</v>
      </c>
      <c r="E22" s="73">
        <v>0</v>
      </c>
      <c r="F22" s="1127">
        <f t="shared" si="3"/>
        <v>0</v>
      </c>
      <c r="G22" s="1115"/>
      <c r="H22" s="1116"/>
      <c r="I22" s="1116"/>
      <c r="J22" s="1111"/>
      <c r="K22" s="646">
        <v>0.51645484471674163</v>
      </c>
      <c r="L22" s="505"/>
      <c r="M22" s="40">
        <v>59</v>
      </c>
      <c r="N22" s="40">
        <v>50</v>
      </c>
      <c r="O22" s="40">
        <v>54</v>
      </c>
      <c r="P22" s="393">
        <v>40</v>
      </c>
      <c r="Q22" s="40">
        <v>39</v>
      </c>
      <c r="R22" s="40">
        <v>55</v>
      </c>
      <c r="S22" s="105"/>
      <c r="T22" s="260">
        <v>44</v>
      </c>
      <c r="U22" s="260">
        <v>38</v>
      </c>
      <c r="V22" s="260">
        <v>28</v>
      </c>
      <c r="W22" s="1104">
        <v>15</v>
      </c>
      <c r="X22" s="69"/>
      <c r="Y22" s="31"/>
      <c r="Z22" s="31"/>
      <c r="AA22" s="31"/>
    </row>
    <row r="23" spans="1:27" ht="19.5" thickBot="1" x14ac:dyDescent="0.35">
      <c r="A23" s="945" t="s">
        <v>13</v>
      </c>
      <c r="B23" s="159">
        <f t="shared" si="0"/>
        <v>16</v>
      </c>
      <c r="C23" s="158">
        <f t="shared" si="1"/>
        <v>0</v>
      </c>
      <c r="D23" s="1134">
        <f t="shared" si="2"/>
        <v>0</v>
      </c>
      <c r="E23" s="73">
        <v>-2</v>
      </c>
      <c r="F23" s="1127">
        <f t="shared" si="3"/>
        <v>0</v>
      </c>
      <c r="G23" s="1115"/>
      <c r="H23" s="1116"/>
      <c r="I23" s="1116"/>
      <c r="J23" s="1111"/>
      <c r="K23" s="646">
        <v>0.48983816749600001</v>
      </c>
      <c r="L23" s="505"/>
      <c r="M23" s="40">
        <v>20</v>
      </c>
      <c r="N23" s="40">
        <v>31</v>
      </c>
      <c r="O23" s="40">
        <v>13</v>
      </c>
      <c r="P23" s="1108">
        <v>15</v>
      </c>
      <c r="Q23" s="40">
        <v>14</v>
      </c>
      <c r="R23" s="40">
        <v>32</v>
      </c>
      <c r="S23" s="105"/>
      <c r="T23" s="260">
        <v>44</v>
      </c>
      <c r="U23" s="260">
        <v>38</v>
      </c>
      <c r="V23" s="260">
        <v>28</v>
      </c>
      <c r="W23" s="1104">
        <v>15</v>
      </c>
      <c r="X23" s="69"/>
      <c r="Y23" s="31"/>
      <c r="Z23" s="31"/>
      <c r="AA23" s="31"/>
    </row>
    <row r="24" spans="1:27" ht="19.5" thickBot="1" x14ac:dyDescent="0.35">
      <c r="A24" s="317" t="s">
        <v>6</v>
      </c>
      <c r="B24" s="159">
        <f t="shared" si="0"/>
        <v>16</v>
      </c>
      <c r="C24" s="158">
        <f t="shared" si="1"/>
        <v>0</v>
      </c>
      <c r="D24" s="1134">
        <f t="shared" si="2"/>
        <v>0</v>
      </c>
      <c r="E24" s="73">
        <v>-2</v>
      </c>
      <c r="F24" s="1127">
        <f t="shared" si="3"/>
        <v>0</v>
      </c>
      <c r="G24" s="1115"/>
      <c r="H24" s="1116"/>
      <c r="I24" s="1116"/>
      <c r="J24" s="1111"/>
      <c r="K24" s="646">
        <v>0.11429106980584661</v>
      </c>
      <c r="L24" s="505"/>
      <c r="M24" s="40">
        <v>3</v>
      </c>
      <c r="N24" s="40">
        <v>3</v>
      </c>
      <c r="O24" s="40">
        <v>3</v>
      </c>
      <c r="P24" s="1108">
        <v>5</v>
      </c>
      <c r="Q24" s="40">
        <v>2</v>
      </c>
      <c r="R24" s="40">
        <v>37</v>
      </c>
      <c r="S24" s="105"/>
      <c r="T24" s="260">
        <v>42</v>
      </c>
      <c r="U24" s="260">
        <v>38</v>
      </c>
      <c r="V24" s="260">
        <v>23</v>
      </c>
      <c r="W24" s="1104">
        <v>15</v>
      </c>
      <c r="X24" s="69"/>
      <c r="Y24" s="31"/>
      <c r="Z24" s="31"/>
      <c r="AA24" s="31"/>
    </row>
    <row r="25" spans="1:27" ht="19.5" thickBot="1" x14ac:dyDescent="0.35">
      <c r="A25" s="317" t="s">
        <v>16</v>
      </c>
      <c r="B25" s="159">
        <f t="shared" si="0"/>
        <v>16</v>
      </c>
      <c r="C25" s="158">
        <f t="shared" si="1"/>
        <v>0</v>
      </c>
      <c r="D25" s="1134">
        <f t="shared" si="2"/>
        <v>0</v>
      </c>
      <c r="E25" s="73">
        <v>-2</v>
      </c>
      <c r="F25" s="1127">
        <f t="shared" si="3"/>
        <v>0</v>
      </c>
      <c r="G25" s="577"/>
      <c r="H25" s="1117"/>
      <c r="I25" s="1117"/>
      <c r="J25" s="1112"/>
      <c r="K25" s="646">
        <v>2.698435004869788E-2</v>
      </c>
      <c r="L25" s="505"/>
      <c r="M25" s="40">
        <v>27</v>
      </c>
      <c r="N25" s="40">
        <v>24</v>
      </c>
      <c r="O25" s="40">
        <v>20</v>
      </c>
      <c r="P25" s="1108">
        <v>26</v>
      </c>
      <c r="Q25" s="40">
        <v>18</v>
      </c>
      <c r="R25" s="40">
        <v>41</v>
      </c>
      <c r="S25" s="105"/>
      <c r="T25" s="260">
        <v>43</v>
      </c>
      <c r="U25" s="260">
        <v>38</v>
      </c>
      <c r="V25" s="260">
        <v>27</v>
      </c>
      <c r="W25" s="1104">
        <v>15</v>
      </c>
      <c r="X25" s="69"/>
      <c r="Y25" s="31"/>
      <c r="Z25" s="31"/>
      <c r="AA25" s="31"/>
    </row>
    <row r="26" spans="1:27" ht="19.5" thickBot="1" x14ac:dyDescent="0.35">
      <c r="A26" s="317" t="s">
        <v>106</v>
      </c>
      <c r="B26" s="159">
        <f t="shared" si="0"/>
        <v>16</v>
      </c>
      <c r="C26" s="158">
        <f t="shared" si="1"/>
        <v>0</v>
      </c>
      <c r="D26" s="1134">
        <f t="shared" si="2"/>
        <v>0</v>
      </c>
      <c r="E26" s="73">
        <v>-2</v>
      </c>
      <c r="F26" s="1127">
        <f t="shared" si="3"/>
        <v>0</v>
      </c>
      <c r="G26" s="577"/>
      <c r="H26" s="1117"/>
      <c r="I26" s="1117"/>
      <c r="J26" s="1112"/>
      <c r="K26" s="646">
        <v>0.46031877280029482</v>
      </c>
      <c r="L26" s="505"/>
      <c r="M26" s="40">
        <v>61</v>
      </c>
      <c r="N26" s="40">
        <v>51</v>
      </c>
      <c r="O26" s="40">
        <v>57</v>
      </c>
      <c r="P26" s="40">
        <v>40</v>
      </c>
      <c r="Q26" s="40">
        <v>53</v>
      </c>
      <c r="R26" s="40">
        <v>49</v>
      </c>
      <c r="S26" s="105"/>
      <c r="T26" s="260">
        <v>21</v>
      </c>
      <c r="U26" s="260">
        <v>19</v>
      </c>
      <c r="V26" s="260">
        <v>28</v>
      </c>
      <c r="W26" s="1104">
        <v>15</v>
      </c>
      <c r="X26" s="69"/>
      <c r="Y26" s="31"/>
      <c r="Z26" s="31"/>
      <c r="AA26" s="31"/>
    </row>
    <row r="27" spans="1:27" ht="19.5" thickBot="1" x14ac:dyDescent="0.35">
      <c r="A27" s="90" t="s">
        <v>368</v>
      </c>
      <c r="B27" s="159">
        <f t="shared" si="0"/>
        <v>11</v>
      </c>
      <c r="C27" s="158">
        <f t="shared" si="1"/>
        <v>5</v>
      </c>
      <c r="D27" s="1134">
        <f t="shared" si="2"/>
        <v>2</v>
      </c>
      <c r="E27" s="73">
        <v>2</v>
      </c>
      <c r="F27" s="1127">
        <f t="shared" si="3"/>
        <v>0</v>
      </c>
      <c r="G27" s="1115"/>
      <c r="H27" s="1116"/>
      <c r="I27" s="1116"/>
      <c r="J27" s="1111"/>
      <c r="K27" s="646">
        <v>0.99378079417813481</v>
      </c>
      <c r="L27" s="505"/>
      <c r="M27" s="40">
        <v>54</v>
      </c>
      <c r="N27" s="40">
        <v>64</v>
      </c>
      <c r="O27" s="40">
        <v>34</v>
      </c>
      <c r="P27" s="40">
        <v>40</v>
      </c>
      <c r="Q27" s="40">
        <v>32</v>
      </c>
      <c r="R27" s="40">
        <v>63</v>
      </c>
      <c r="S27" s="105"/>
      <c r="T27" s="260">
        <v>44</v>
      </c>
      <c r="U27" s="260">
        <v>38</v>
      </c>
      <c r="V27" s="260">
        <v>28</v>
      </c>
      <c r="W27" s="1104">
        <v>15</v>
      </c>
      <c r="X27" s="69"/>
      <c r="Y27" s="31"/>
      <c r="Z27" s="31"/>
      <c r="AA27" s="31"/>
    </row>
    <row r="28" spans="1:27" ht="19.5" thickBot="1" x14ac:dyDescent="0.35">
      <c r="A28" s="317" t="s">
        <v>330</v>
      </c>
      <c r="B28" s="159">
        <f t="shared" si="0"/>
        <v>16</v>
      </c>
      <c r="C28" s="158">
        <f t="shared" si="1"/>
        <v>0</v>
      </c>
      <c r="D28" s="1134">
        <f t="shared" si="2"/>
        <v>0</v>
      </c>
      <c r="E28" s="73">
        <v>0</v>
      </c>
      <c r="F28" s="1127">
        <f t="shared" si="3"/>
        <v>0</v>
      </c>
      <c r="G28" s="1115"/>
      <c r="H28" s="1116"/>
      <c r="I28" s="1116"/>
      <c r="J28" s="1111"/>
      <c r="K28" s="646">
        <v>0.74951933266669513</v>
      </c>
      <c r="L28" s="505"/>
      <c r="M28" s="40">
        <v>9</v>
      </c>
      <c r="N28" s="40">
        <v>6</v>
      </c>
      <c r="O28" s="40">
        <v>46</v>
      </c>
      <c r="P28" s="40">
        <v>40</v>
      </c>
      <c r="Q28" s="40">
        <v>54</v>
      </c>
      <c r="R28" s="40">
        <v>5</v>
      </c>
      <c r="S28" s="105"/>
      <c r="T28" s="260">
        <v>12</v>
      </c>
      <c r="U28" s="260">
        <v>11</v>
      </c>
      <c r="V28" s="260">
        <v>28</v>
      </c>
      <c r="W28" s="1104">
        <v>15</v>
      </c>
      <c r="X28" s="69"/>
      <c r="Y28" s="31"/>
      <c r="Z28" s="31"/>
      <c r="AA28" s="31"/>
    </row>
    <row r="29" spans="1:27" ht="19.5" thickBot="1" x14ac:dyDescent="0.35">
      <c r="A29" s="317" t="s">
        <v>107</v>
      </c>
      <c r="B29" s="159">
        <f t="shared" si="0"/>
        <v>16</v>
      </c>
      <c r="C29" s="158">
        <f t="shared" si="1"/>
        <v>0</v>
      </c>
      <c r="D29" s="1134">
        <f t="shared" si="2"/>
        <v>0</v>
      </c>
      <c r="E29" s="73">
        <v>-2</v>
      </c>
      <c r="F29" s="1127">
        <f t="shared" si="3"/>
        <v>0</v>
      </c>
      <c r="G29" s="1115"/>
      <c r="H29" s="1116"/>
      <c r="I29" s="1116"/>
      <c r="J29" s="1111"/>
      <c r="K29" s="646">
        <v>0.24369358591770451</v>
      </c>
      <c r="L29" s="505"/>
      <c r="M29" s="40">
        <v>19</v>
      </c>
      <c r="N29" s="40">
        <v>14</v>
      </c>
      <c r="O29" s="40">
        <v>45</v>
      </c>
      <c r="P29" s="40">
        <v>40</v>
      </c>
      <c r="Q29" s="40">
        <v>56</v>
      </c>
      <c r="R29" s="40">
        <v>9</v>
      </c>
      <c r="S29" s="105"/>
      <c r="T29" s="260">
        <v>29</v>
      </c>
      <c r="U29" s="260">
        <v>28</v>
      </c>
      <c r="V29" s="260">
        <v>28</v>
      </c>
      <c r="W29" s="1104">
        <v>15</v>
      </c>
      <c r="X29" s="69"/>
      <c r="Y29" s="31"/>
      <c r="Z29" s="31"/>
      <c r="AA29" s="31"/>
    </row>
    <row r="30" spans="1:27" ht="19.5" thickBot="1" x14ac:dyDescent="0.35">
      <c r="A30" s="317" t="s">
        <v>100</v>
      </c>
      <c r="B30" s="159">
        <f t="shared" si="0"/>
        <v>16</v>
      </c>
      <c r="C30" s="158">
        <f t="shared" si="1"/>
        <v>0</v>
      </c>
      <c r="D30" s="1134">
        <f t="shared" si="2"/>
        <v>0</v>
      </c>
      <c r="E30" s="73">
        <v>-2</v>
      </c>
      <c r="F30" s="1127">
        <f t="shared" si="3"/>
        <v>0</v>
      </c>
      <c r="G30" s="577"/>
      <c r="H30" s="1117"/>
      <c r="I30" s="1117"/>
      <c r="J30" s="1112"/>
      <c r="K30" s="646">
        <v>0.24106038415645215</v>
      </c>
      <c r="L30" s="505"/>
      <c r="M30" s="40">
        <v>44</v>
      </c>
      <c r="N30" s="40">
        <v>35</v>
      </c>
      <c r="O30" s="40">
        <v>50</v>
      </c>
      <c r="P30" s="40">
        <v>37</v>
      </c>
      <c r="Q30" s="40">
        <v>42</v>
      </c>
      <c r="R30" s="40">
        <v>27</v>
      </c>
      <c r="S30" s="105"/>
      <c r="T30" s="260">
        <v>17</v>
      </c>
      <c r="U30" s="260">
        <v>17</v>
      </c>
      <c r="V30" s="260">
        <v>28</v>
      </c>
      <c r="W30" s="1104">
        <v>15</v>
      </c>
      <c r="X30" s="69"/>
      <c r="Y30" s="31"/>
      <c r="Z30" s="31"/>
      <c r="AA30" s="31"/>
    </row>
    <row r="31" spans="1:27" ht="19.5" thickBot="1" x14ac:dyDescent="0.35">
      <c r="A31" s="317" t="s">
        <v>101</v>
      </c>
      <c r="B31" s="159">
        <f t="shared" si="0"/>
        <v>16</v>
      </c>
      <c r="C31" s="158">
        <f t="shared" si="1"/>
        <v>0</v>
      </c>
      <c r="D31" s="1134">
        <f t="shared" si="2"/>
        <v>0</v>
      </c>
      <c r="E31" s="73">
        <v>-2</v>
      </c>
      <c r="F31" s="1127">
        <f t="shared" si="3"/>
        <v>0</v>
      </c>
      <c r="G31" s="1115"/>
      <c r="H31" s="1116"/>
      <c r="I31" s="1116"/>
      <c r="J31" s="1111"/>
      <c r="K31" s="646">
        <v>7.83218754078394E-2</v>
      </c>
      <c r="L31" s="505"/>
      <c r="M31" s="40">
        <v>52</v>
      </c>
      <c r="N31" s="40">
        <v>44</v>
      </c>
      <c r="O31" s="40">
        <v>40</v>
      </c>
      <c r="P31" s="40">
        <v>30</v>
      </c>
      <c r="Q31" s="40">
        <v>34</v>
      </c>
      <c r="R31" s="40">
        <v>47</v>
      </c>
      <c r="S31" s="105"/>
      <c r="T31" s="260">
        <v>33</v>
      </c>
      <c r="U31" s="260">
        <v>32</v>
      </c>
      <c r="V31" s="260">
        <v>28</v>
      </c>
      <c r="W31" s="1104">
        <v>15</v>
      </c>
      <c r="X31" s="69"/>
      <c r="Y31" s="31"/>
      <c r="Z31" s="31"/>
      <c r="AA31" s="31"/>
    </row>
    <row r="32" spans="1:27" ht="19.5" thickBot="1" x14ac:dyDescent="0.35">
      <c r="A32" s="317" t="s">
        <v>108</v>
      </c>
      <c r="B32" s="159">
        <f t="shared" si="0"/>
        <v>16</v>
      </c>
      <c r="C32" s="158">
        <f t="shared" si="1"/>
        <v>0</v>
      </c>
      <c r="D32" s="1134">
        <f t="shared" si="2"/>
        <v>0</v>
      </c>
      <c r="E32" s="73">
        <v>-2</v>
      </c>
      <c r="F32" s="1127">
        <f t="shared" si="3"/>
        <v>0</v>
      </c>
      <c r="G32" s="577"/>
      <c r="H32" s="1117"/>
      <c r="I32" s="1117"/>
      <c r="J32" s="1112"/>
      <c r="K32" s="646">
        <v>0.42483677379153378</v>
      </c>
      <c r="L32" s="505"/>
      <c r="M32" s="40">
        <v>65</v>
      </c>
      <c r="N32" s="40">
        <v>57</v>
      </c>
      <c r="O32" s="40">
        <v>57</v>
      </c>
      <c r="P32" s="40">
        <v>40</v>
      </c>
      <c r="Q32" s="40">
        <v>56</v>
      </c>
      <c r="R32" s="40">
        <v>59</v>
      </c>
      <c r="S32" s="105"/>
      <c r="T32" s="260">
        <v>26</v>
      </c>
      <c r="U32" s="260">
        <v>26</v>
      </c>
      <c r="V32" s="260">
        <v>28</v>
      </c>
      <c r="W32" s="1104">
        <v>15</v>
      </c>
      <c r="X32" s="69"/>
      <c r="Y32" s="31"/>
      <c r="Z32" s="31"/>
      <c r="AA32" s="31"/>
    </row>
    <row r="33" spans="1:27" ht="19.5" thickBot="1" x14ac:dyDescent="0.35">
      <c r="A33" s="317" t="s">
        <v>258</v>
      </c>
      <c r="B33" s="159">
        <f t="shared" si="0"/>
        <v>16</v>
      </c>
      <c r="C33" s="158">
        <f t="shared" si="1"/>
        <v>0</v>
      </c>
      <c r="D33" s="1134">
        <f t="shared" si="2"/>
        <v>0</v>
      </c>
      <c r="E33" s="73">
        <v>-2</v>
      </c>
      <c r="F33" s="1127">
        <f t="shared" si="3"/>
        <v>0</v>
      </c>
      <c r="G33" s="1115"/>
      <c r="H33" s="1116"/>
      <c r="I33" s="1116"/>
      <c r="J33" s="1111"/>
      <c r="K33" s="646">
        <v>8.9103259063161855E-2</v>
      </c>
      <c r="L33" s="505"/>
      <c r="M33" s="40">
        <v>21</v>
      </c>
      <c r="N33" s="40">
        <v>26</v>
      </c>
      <c r="O33" s="40">
        <v>18</v>
      </c>
      <c r="P33" s="40">
        <v>40</v>
      </c>
      <c r="Q33" s="40">
        <v>56</v>
      </c>
      <c r="R33" s="40">
        <v>10</v>
      </c>
      <c r="S33" s="105"/>
      <c r="T33" s="260">
        <v>23</v>
      </c>
      <c r="U33" s="260">
        <v>25</v>
      </c>
      <c r="V33" s="260">
        <v>11</v>
      </c>
      <c r="W33" s="1104">
        <v>12</v>
      </c>
      <c r="X33" s="69"/>
      <c r="Y33" s="31"/>
      <c r="Z33" s="31"/>
      <c r="AA33" s="31"/>
    </row>
    <row r="34" spans="1:27" ht="19.5" thickBot="1" x14ac:dyDescent="0.35">
      <c r="A34" s="317" t="s">
        <v>245</v>
      </c>
      <c r="B34" s="159">
        <f t="shared" si="0"/>
        <v>16</v>
      </c>
      <c r="C34" s="158">
        <f t="shared" si="1"/>
        <v>0</v>
      </c>
      <c r="D34" s="1134">
        <f t="shared" si="2"/>
        <v>0</v>
      </c>
      <c r="E34" s="73">
        <v>-2</v>
      </c>
      <c r="F34" s="1127">
        <f t="shared" si="3"/>
        <v>0</v>
      </c>
      <c r="G34" s="1115"/>
      <c r="H34" s="1116"/>
      <c r="I34" s="1116"/>
      <c r="J34" s="1111"/>
      <c r="K34" s="646">
        <v>0.20487476422530079</v>
      </c>
      <c r="L34" s="505"/>
      <c r="M34" s="40">
        <v>47</v>
      </c>
      <c r="N34" s="40">
        <v>39</v>
      </c>
      <c r="O34" s="40">
        <v>57</v>
      </c>
      <c r="P34" s="40">
        <v>40</v>
      </c>
      <c r="Q34" s="40">
        <v>56</v>
      </c>
      <c r="R34" s="40">
        <v>31</v>
      </c>
      <c r="S34" s="105"/>
      <c r="T34" s="260">
        <v>24</v>
      </c>
      <c r="U34" s="260">
        <v>22</v>
      </c>
      <c r="V34" s="260">
        <v>28</v>
      </c>
      <c r="W34" s="1104">
        <v>15</v>
      </c>
      <c r="X34" s="69"/>
      <c r="Y34" s="31"/>
      <c r="Z34" s="31"/>
      <c r="AA34" s="31"/>
    </row>
    <row r="35" spans="1:27" ht="19.5" thickBot="1" x14ac:dyDescent="0.35">
      <c r="A35" s="317" t="s">
        <v>347</v>
      </c>
      <c r="B35" s="159">
        <f t="shared" si="0"/>
        <v>16</v>
      </c>
      <c r="C35" s="158">
        <f t="shared" si="1"/>
        <v>0</v>
      </c>
      <c r="D35" s="1134">
        <f t="shared" si="2"/>
        <v>0</v>
      </c>
      <c r="E35" s="73">
        <v>-2</v>
      </c>
      <c r="F35" s="1127">
        <f t="shared" si="3"/>
        <v>0</v>
      </c>
      <c r="G35" s="1115"/>
      <c r="H35" s="1116"/>
      <c r="I35" s="1116"/>
      <c r="J35" s="1111"/>
      <c r="K35" s="646">
        <v>0.15282783083846155</v>
      </c>
      <c r="L35" s="505"/>
      <c r="M35" s="40">
        <v>50</v>
      </c>
      <c r="N35" s="40">
        <v>41</v>
      </c>
      <c r="O35" s="40">
        <v>57</v>
      </c>
      <c r="P35" s="393">
        <v>40</v>
      </c>
      <c r="Q35" s="40">
        <v>46</v>
      </c>
      <c r="R35" s="40">
        <v>34</v>
      </c>
      <c r="S35" s="105"/>
      <c r="T35" s="260">
        <v>44</v>
      </c>
      <c r="U35" s="260">
        <v>38</v>
      </c>
      <c r="V35" s="260">
        <v>28</v>
      </c>
      <c r="W35" s="1104">
        <v>15</v>
      </c>
      <c r="X35" s="69"/>
      <c r="Y35" s="31"/>
      <c r="Z35" s="31"/>
      <c r="AA35" s="31"/>
    </row>
    <row r="36" spans="1:27" ht="19.5" thickBot="1" x14ac:dyDescent="0.35">
      <c r="A36" s="317" t="s">
        <v>89</v>
      </c>
      <c r="B36" s="159">
        <f t="shared" si="0"/>
        <v>16</v>
      </c>
      <c r="C36" s="158">
        <f t="shared" si="1"/>
        <v>0</v>
      </c>
      <c r="D36" s="1134">
        <f t="shared" si="2"/>
        <v>0</v>
      </c>
      <c r="E36" s="73">
        <v>-2</v>
      </c>
      <c r="F36" s="1127">
        <f t="shared" si="3"/>
        <v>0</v>
      </c>
      <c r="G36" s="577"/>
      <c r="H36" s="1117"/>
      <c r="I36" s="1117"/>
      <c r="J36" s="1112"/>
      <c r="K36" s="646">
        <v>0.29028792959608174</v>
      </c>
      <c r="L36" s="505"/>
      <c r="M36" s="40">
        <v>6</v>
      </c>
      <c r="N36" s="40">
        <v>5</v>
      </c>
      <c r="O36" s="40">
        <v>6</v>
      </c>
      <c r="P36" s="1108">
        <v>6</v>
      </c>
      <c r="Q36" s="40">
        <v>6</v>
      </c>
      <c r="R36" s="40">
        <v>3</v>
      </c>
      <c r="S36" s="105"/>
      <c r="T36" s="260">
        <v>1</v>
      </c>
      <c r="U36" s="260">
        <v>1</v>
      </c>
      <c r="V36" s="260">
        <v>2</v>
      </c>
      <c r="W36" s="1104">
        <v>2</v>
      </c>
      <c r="X36" s="69"/>
      <c r="Y36" s="31"/>
      <c r="Z36" s="31"/>
      <c r="AA36" s="31"/>
    </row>
    <row r="37" spans="1:27" ht="19.5" thickBot="1" x14ac:dyDescent="0.35">
      <c r="A37" s="317" t="s">
        <v>97</v>
      </c>
      <c r="B37" s="159">
        <f t="shared" si="0"/>
        <v>16</v>
      </c>
      <c r="C37" s="158">
        <f t="shared" si="1"/>
        <v>0</v>
      </c>
      <c r="D37" s="1134">
        <f t="shared" si="2"/>
        <v>0</v>
      </c>
      <c r="E37" s="73">
        <v>-2</v>
      </c>
      <c r="F37" s="1127">
        <f t="shared" si="3"/>
        <v>0</v>
      </c>
      <c r="G37" s="1115"/>
      <c r="H37" s="1116"/>
      <c r="I37" s="1116"/>
      <c r="J37" s="1111"/>
      <c r="K37" s="646">
        <v>0.41040898364337347</v>
      </c>
      <c r="L37" s="505"/>
      <c r="M37" s="40">
        <v>12</v>
      </c>
      <c r="N37" s="40">
        <v>20</v>
      </c>
      <c r="O37" s="40">
        <v>9</v>
      </c>
      <c r="P37" s="1108">
        <v>7</v>
      </c>
      <c r="Q37" s="40">
        <v>9</v>
      </c>
      <c r="R37" s="40">
        <v>25</v>
      </c>
      <c r="S37" s="105"/>
      <c r="T37" s="260">
        <v>40</v>
      </c>
      <c r="U37" s="260">
        <v>38</v>
      </c>
      <c r="V37" s="260">
        <v>19</v>
      </c>
      <c r="W37" s="1104">
        <v>15</v>
      </c>
      <c r="X37" s="69"/>
      <c r="Y37" s="31"/>
      <c r="Z37" s="31"/>
      <c r="AA37" s="31"/>
    </row>
    <row r="38" spans="1:27" ht="19.5" thickBot="1" x14ac:dyDescent="0.35">
      <c r="A38" s="317" t="s">
        <v>86</v>
      </c>
      <c r="B38" s="159">
        <f t="shared" si="0"/>
        <v>16</v>
      </c>
      <c r="C38" s="158">
        <f t="shared" si="1"/>
        <v>0</v>
      </c>
      <c r="D38" s="1134">
        <f t="shared" si="2"/>
        <v>0</v>
      </c>
      <c r="E38" s="73">
        <v>-2</v>
      </c>
      <c r="F38" s="1127">
        <f t="shared" si="3"/>
        <v>0</v>
      </c>
      <c r="G38" s="1115"/>
      <c r="H38" s="1116"/>
      <c r="I38" s="1116"/>
      <c r="J38" s="1111"/>
      <c r="K38" s="646">
        <v>9.7564396560046743E-2</v>
      </c>
      <c r="L38" s="505"/>
      <c r="M38" s="40">
        <v>10</v>
      </c>
      <c r="N38" s="40">
        <v>7</v>
      </c>
      <c r="O38" s="40">
        <v>12</v>
      </c>
      <c r="P38" s="1108">
        <v>23</v>
      </c>
      <c r="Q38" s="40">
        <v>8</v>
      </c>
      <c r="R38" s="40">
        <v>15</v>
      </c>
      <c r="S38" s="105"/>
      <c r="T38" s="260">
        <v>44</v>
      </c>
      <c r="U38" s="260">
        <v>38</v>
      </c>
      <c r="V38" s="260">
        <v>28</v>
      </c>
      <c r="W38" s="1104">
        <v>15</v>
      </c>
      <c r="X38" s="69"/>
      <c r="Y38" s="31"/>
      <c r="Z38" s="31"/>
      <c r="AA38" s="31"/>
    </row>
    <row r="39" spans="1:27" ht="19.5" thickBot="1" x14ac:dyDescent="0.35">
      <c r="A39" s="317" t="s">
        <v>109</v>
      </c>
      <c r="B39" s="159">
        <f t="shared" si="0"/>
        <v>16</v>
      </c>
      <c r="C39" s="158">
        <f t="shared" si="1"/>
        <v>0</v>
      </c>
      <c r="D39" s="1134">
        <f t="shared" si="2"/>
        <v>0</v>
      </c>
      <c r="E39" s="73">
        <v>-2</v>
      </c>
      <c r="F39" s="1127">
        <f t="shared" si="3"/>
        <v>0</v>
      </c>
      <c r="G39" s="577"/>
      <c r="H39" s="1117"/>
      <c r="I39" s="1117"/>
      <c r="J39" s="1112"/>
      <c r="K39" s="646">
        <v>0.28646484987276499</v>
      </c>
      <c r="L39" s="505"/>
      <c r="M39" s="40">
        <v>49</v>
      </c>
      <c r="N39" s="40">
        <v>40</v>
      </c>
      <c r="O39" s="40">
        <v>53</v>
      </c>
      <c r="P39" s="40">
        <v>40</v>
      </c>
      <c r="Q39" s="40">
        <v>55</v>
      </c>
      <c r="R39" s="40">
        <v>33</v>
      </c>
      <c r="S39" s="105"/>
      <c r="T39" s="260">
        <v>13</v>
      </c>
      <c r="U39" s="260">
        <v>12</v>
      </c>
      <c r="V39" s="260">
        <v>26</v>
      </c>
      <c r="W39" s="1104">
        <v>15</v>
      </c>
      <c r="X39" s="69"/>
      <c r="Y39" s="31"/>
      <c r="Z39" s="31"/>
      <c r="AA39" s="31"/>
    </row>
    <row r="40" spans="1:27" ht="19.5" thickBot="1" x14ac:dyDescent="0.35">
      <c r="A40" s="317" t="s">
        <v>93</v>
      </c>
      <c r="B40" s="159">
        <f t="shared" si="0"/>
        <v>16</v>
      </c>
      <c r="C40" s="158">
        <f t="shared" si="1"/>
        <v>0</v>
      </c>
      <c r="D40" s="1134">
        <f t="shared" si="2"/>
        <v>0</v>
      </c>
      <c r="E40" s="73">
        <v>-2</v>
      </c>
      <c r="F40" s="1127">
        <f t="shared" si="3"/>
        <v>0</v>
      </c>
      <c r="G40" s="577"/>
      <c r="H40" s="1117"/>
      <c r="I40" s="1117"/>
      <c r="J40" s="1112"/>
      <c r="K40" s="646">
        <v>3.3853182039583311E-2</v>
      </c>
      <c r="L40" s="505"/>
      <c r="M40" s="40">
        <v>29</v>
      </c>
      <c r="N40" s="40">
        <v>62</v>
      </c>
      <c r="O40" s="40">
        <v>19</v>
      </c>
      <c r="P40" s="1108">
        <v>21</v>
      </c>
      <c r="Q40" s="40">
        <v>19</v>
      </c>
      <c r="R40" s="40">
        <v>43</v>
      </c>
      <c r="S40" s="105"/>
      <c r="T40" s="260">
        <v>37</v>
      </c>
      <c r="U40" s="260">
        <v>38</v>
      </c>
      <c r="V40" s="260">
        <v>22</v>
      </c>
      <c r="W40" s="1104">
        <v>13</v>
      </c>
      <c r="X40" s="69"/>
      <c r="Y40" s="31"/>
      <c r="Z40" s="31"/>
      <c r="AA40" s="31"/>
    </row>
    <row r="41" spans="1:27" ht="19.5" thickBot="1" x14ac:dyDescent="0.35">
      <c r="A41" s="945" t="s">
        <v>259</v>
      </c>
      <c r="B41" s="159">
        <f t="shared" si="0"/>
        <v>16</v>
      </c>
      <c r="C41" s="158">
        <f t="shared" si="1"/>
        <v>0</v>
      </c>
      <c r="D41" s="1134">
        <f t="shared" si="2"/>
        <v>0</v>
      </c>
      <c r="E41" s="73">
        <v>-2</v>
      </c>
      <c r="F41" s="1127">
        <f t="shared" si="3"/>
        <v>0</v>
      </c>
      <c r="G41" s="1115"/>
      <c r="H41" s="1116"/>
      <c r="I41" s="1116"/>
      <c r="J41" s="1111"/>
      <c r="K41" s="646">
        <v>0.12630515250895527</v>
      </c>
      <c r="L41" s="505"/>
      <c r="M41" s="40">
        <v>22</v>
      </c>
      <c r="N41" s="40">
        <v>56</v>
      </c>
      <c r="O41" s="40">
        <v>16</v>
      </c>
      <c r="P41" s="1108">
        <v>9</v>
      </c>
      <c r="Q41" s="40">
        <v>15</v>
      </c>
      <c r="R41" s="40">
        <v>56</v>
      </c>
      <c r="S41" s="105"/>
      <c r="T41" s="260">
        <v>44</v>
      </c>
      <c r="U41" s="260">
        <v>38</v>
      </c>
      <c r="V41" s="260">
        <v>28</v>
      </c>
      <c r="W41" s="1104">
        <v>15</v>
      </c>
      <c r="X41" s="69"/>
      <c r="Y41" s="31"/>
      <c r="Z41" s="31"/>
      <c r="AA41" s="31"/>
    </row>
    <row r="42" spans="1:27" ht="19.5" thickBot="1" x14ac:dyDescent="0.35">
      <c r="A42" s="317" t="s">
        <v>110</v>
      </c>
      <c r="B42" s="159">
        <f t="shared" si="0"/>
        <v>16</v>
      </c>
      <c r="C42" s="158">
        <f t="shared" si="1"/>
        <v>0</v>
      </c>
      <c r="D42" s="1134">
        <f t="shared" si="2"/>
        <v>0</v>
      </c>
      <c r="E42" s="73">
        <v>-2</v>
      </c>
      <c r="F42" s="1127">
        <f t="shared" si="3"/>
        <v>0</v>
      </c>
      <c r="G42" s="1115"/>
      <c r="H42" s="1116"/>
      <c r="I42" s="1116"/>
      <c r="J42" s="1111"/>
      <c r="K42" s="646">
        <v>4.9193614523713909E-2</v>
      </c>
      <c r="L42" s="505"/>
      <c r="M42" s="40">
        <v>28</v>
      </c>
      <c r="N42" s="40">
        <v>19</v>
      </c>
      <c r="O42" s="40">
        <v>23</v>
      </c>
      <c r="P42" s="40">
        <v>40</v>
      </c>
      <c r="Q42" s="40">
        <v>20</v>
      </c>
      <c r="R42" s="40">
        <v>19</v>
      </c>
      <c r="S42" s="105"/>
      <c r="T42" s="260">
        <v>16</v>
      </c>
      <c r="U42" s="260">
        <v>16</v>
      </c>
      <c r="V42" s="260">
        <v>16</v>
      </c>
      <c r="W42" s="1104">
        <v>15</v>
      </c>
      <c r="X42" s="69"/>
      <c r="Y42" s="31"/>
      <c r="Z42" s="31"/>
      <c r="AA42" s="31"/>
    </row>
    <row r="43" spans="1:27" ht="19.5" thickBot="1" x14ac:dyDescent="0.35">
      <c r="A43" s="317" t="s">
        <v>249</v>
      </c>
      <c r="B43" s="159">
        <f t="shared" si="0"/>
        <v>11</v>
      </c>
      <c r="C43" s="158">
        <f t="shared" si="1"/>
        <v>5</v>
      </c>
      <c r="D43" s="1134">
        <f t="shared" si="2"/>
        <v>2</v>
      </c>
      <c r="E43" s="73">
        <v>2</v>
      </c>
      <c r="F43" s="1127">
        <f t="shared" si="3"/>
        <v>0</v>
      </c>
      <c r="G43" s="1115"/>
      <c r="H43" s="1116"/>
      <c r="I43" s="1116"/>
      <c r="J43" s="1111"/>
      <c r="K43" s="646">
        <v>0.96695794496422882</v>
      </c>
      <c r="L43" s="505"/>
      <c r="M43" s="40">
        <v>43</v>
      </c>
      <c r="N43" s="40">
        <v>48</v>
      </c>
      <c r="O43" s="40">
        <v>48</v>
      </c>
      <c r="P43" s="1108">
        <v>13</v>
      </c>
      <c r="Q43" s="40">
        <v>29</v>
      </c>
      <c r="R43" s="40">
        <v>45</v>
      </c>
      <c r="S43" s="105"/>
      <c r="T43" s="260">
        <v>32</v>
      </c>
      <c r="U43" s="260">
        <v>30</v>
      </c>
      <c r="V43" s="260">
        <v>28</v>
      </c>
      <c r="W43" s="1104">
        <v>15</v>
      </c>
      <c r="X43" s="69"/>
      <c r="Y43" s="31"/>
      <c r="Z43" s="31"/>
      <c r="AA43" s="31"/>
    </row>
    <row r="44" spans="1:27" ht="19.5" thickBot="1" x14ac:dyDescent="0.35">
      <c r="A44" s="317" t="s">
        <v>7</v>
      </c>
      <c r="B44" s="159">
        <f t="shared" si="0"/>
        <v>14</v>
      </c>
      <c r="C44" s="158">
        <f t="shared" si="1"/>
        <v>2.5</v>
      </c>
      <c r="D44" s="1134">
        <f t="shared" si="2"/>
        <v>1</v>
      </c>
      <c r="E44" s="73">
        <v>1</v>
      </c>
      <c r="F44" s="1127">
        <f t="shared" si="3"/>
        <v>0</v>
      </c>
      <c r="G44" s="577"/>
      <c r="H44" s="1117"/>
      <c r="I44" s="1117"/>
      <c r="J44" s="1112"/>
      <c r="K44" s="646">
        <v>0.78150263334256631</v>
      </c>
      <c r="L44" s="505"/>
      <c r="M44" s="40">
        <v>2</v>
      </c>
      <c r="N44" s="40">
        <v>4</v>
      </c>
      <c r="O44" s="40">
        <v>2</v>
      </c>
      <c r="P44" s="1108">
        <v>3</v>
      </c>
      <c r="Q44" s="40">
        <v>1</v>
      </c>
      <c r="R44" s="40">
        <v>28</v>
      </c>
      <c r="S44" s="105"/>
      <c r="T44" s="260">
        <v>28</v>
      </c>
      <c r="U44" s="260">
        <v>29</v>
      </c>
      <c r="V44" s="260">
        <v>12</v>
      </c>
      <c r="W44" s="1104">
        <v>15</v>
      </c>
      <c r="X44" s="69"/>
      <c r="Y44" s="31"/>
      <c r="Z44" s="31"/>
      <c r="AA44" s="31"/>
    </row>
    <row r="45" spans="1:27" ht="19.5" thickBot="1" x14ac:dyDescent="0.35">
      <c r="A45" s="317" t="s">
        <v>111</v>
      </c>
      <c r="B45" s="159">
        <f t="shared" si="0"/>
        <v>1</v>
      </c>
      <c r="C45" s="158">
        <f t="shared" si="1"/>
        <v>10</v>
      </c>
      <c r="D45" s="1134">
        <f t="shared" si="2"/>
        <v>4</v>
      </c>
      <c r="E45" s="73">
        <v>4</v>
      </c>
      <c r="F45" s="1127">
        <f t="shared" si="3"/>
        <v>0</v>
      </c>
      <c r="G45" s="1115"/>
      <c r="H45" s="1116"/>
      <c r="I45" s="1116"/>
      <c r="J45" s="1111"/>
      <c r="K45" s="646">
        <v>5.1078378319337263</v>
      </c>
      <c r="L45" s="505"/>
      <c r="M45" s="40">
        <v>35</v>
      </c>
      <c r="N45" s="40">
        <v>28</v>
      </c>
      <c r="O45" s="40">
        <v>25</v>
      </c>
      <c r="P45" s="40">
        <v>38</v>
      </c>
      <c r="Q45" s="40">
        <v>48</v>
      </c>
      <c r="R45" s="40">
        <v>21</v>
      </c>
      <c r="S45" s="105"/>
      <c r="T45" s="260">
        <v>20</v>
      </c>
      <c r="U45" s="260">
        <v>23</v>
      </c>
      <c r="V45" s="260">
        <v>8</v>
      </c>
      <c r="W45" s="1104">
        <v>7</v>
      </c>
      <c r="X45" s="69"/>
      <c r="Y45" s="31"/>
      <c r="Z45" s="31"/>
      <c r="AA45" s="31"/>
    </row>
    <row r="46" spans="1:27" ht="19.5" thickBot="1" x14ac:dyDescent="0.35">
      <c r="A46" s="317" t="s">
        <v>112</v>
      </c>
      <c r="B46" s="159">
        <f t="shared" si="0"/>
        <v>8</v>
      </c>
      <c r="C46" s="158">
        <f t="shared" si="1"/>
        <v>7.5</v>
      </c>
      <c r="D46" s="1134">
        <f t="shared" si="2"/>
        <v>3</v>
      </c>
      <c r="E46" s="73">
        <v>3</v>
      </c>
      <c r="F46" s="1127">
        <f t="shared" si="3"/>
        <v>0</v>
      </c>
      <c r="G46" s="1115"/>
      <c r="H46" s="1116"/>
      <c r="I46" s="1116"/>
      <c r="J46" s="1111"/>
      <c r="K46" s="646">
        <v>1.0734864558882273</v>
      </c>
      <c r="L46" s="505"/>
      <c r="M46" s="40">
        <v>34</v>
      </c>
      <c r="N46" s="40">
        <v>36</v>
      </c>
      <c r="O46" s="40">
        <v>24</v>
      </c>
      <c r="P46" s="1108">
        <v>14</v>
      </c>
      <c r="Q46" s="40">
        <v>35</v>
      </c>
      <c r="R46" s="40">
        <v>23</v>
      </c>
      <c r="S46" s="105"/>
      <c r="T46" s="260">
        <v>44</v>
      </c>
      <c r="U46" s="260">
        <v>38</v>
      </c>
      <c r="V46" s="260">
        <v>28</v>
      </c>
      <c r="W46" s="1104">
        <v>15</v>
      </c>
      <c r="X46" s="69"/>
      <c r="Y46" s="31"/>
      <c r="Z46" s="31"/>
      <c r="AA46" s="31"/>
    </row>
    <row r="47" spans="1:27" ht="19.5" thickBot="1" x14ac:dyDescent="0.35">
      <c r="A47" s="317" t="s">
        <v>352</v>
      </c>
      <c r="B47" s="159">
        <f t="shared" si="0"/>
        <v>16</v>
      </c>
      <c r="C47" s="158">
        <f t="shared" si="1"/>
        <v>0</v>
      </c>
      <c r="D47" s="1134">
        <f t="shared" si="2"/>
        <v>0</v>
      </c>
      <c r="E47" s="73">
        <v>-2</v>
      </c>
      <c r="F47" s="1127">
        <f t="shared" si="3"/>
        <v>0</v>
      </c>
      <c r="G47" s="1115"/>
      <c r="H47" s="1116"/>
      <c r="I47" s="1116"/>
      <c r="J47" s="1111"/>
      <c r="K47" s="646">
        <v>0.20069894359843629</v>
      </c>
      <c r="L47" s="505"/>
      <c r="M47" s="40">
        <v>51</v>
      </c>
      <c r="N47" s="40">
        <v>65</v>
      </c>
      <c r="O47" s="40">
        <v>35</v>
      </c>
      <c r="P47" s="1108">
        <v>24</v>
      </c>
      <c r="Q47" s="40">
        <v>31</v>
      </c>
      <c r="R47" s="40">
        <v>64</v>
      </c>
      <c r="S47" s="105"/>
      <c r="T47" s="260">
        <v>44</v>
      </c>
      <c r="U47" s="260">
        <v>38</v>
      </c>
      <c r="V47" s="260">
        <v>28</v>
      </c>
      <c r="W47" s="1104">
        <v>15</v>
      </c>
      <c r="X47" s="69"/>
      <c r="Y47" s="31"/>
      <c r="Z47" s="31"/>
      <c r="AA47" s="31"/>
    </row>
    <row r="48" spans="1:27" ht="19.5" thickBot="1" x14ac:dyDescent="0.35">
      <c r="A48" s="317" t="s">
        <v>365</v>
      </c>
      <c r="B48" s="159">
        <f t="shared" si="0"/>
        <v>16</v>
      </c>
      <c r="C48" s="158">
        <f t="shared" si="1"/>
        <v>0</v>
      </c>
      <c r="D48" s="1134">
        <f t="shared" si="2"/>
        <v>0</v>
      </c>
      <c r="E48" s="73">
        <v>-2</v>
      </c>
      <c r="F48" s="1127">
        <f t="shared" si="3"/>
        <v>0</v>
      </c>
      <c r="G48" s="577"/>
      <c r="H48" s="1117"/>
      <c r="I48" s="1117"/>
      <c r="J48" s="1112"/>
      <c r="K48" s="646">
        <v>0.32749789131860879</v>
      </c>
      <c r="L48" s="505"/>
      <c r="M48" s="40">
        <v>15</v>
      </c>
      <c r="N48" s="40">
        <v>22</v>
      </c>
      <c r="O48" s="40">
        <v>10</v>
      </c>
      <c r="P48" s="1108">
        <v>17</v>
      </c>
      <c r="Q48" s="40">
        <v>11</v>
      </c>
      <c r="R48" s="40">
        <v>53</v>
      </c>
      <c r="S48" s="105"/>
      <c r="T48" s="260">
        <v>44</v>
      </c>
      <c r="U48" s="260">
        <v>38</v>
      </c>
      <c r="V48" s="260">
        <v>28</v>
      </c>
      <c r="W48" s="1104">
        <v>15</v>
      </c>
      <c r="X48" s="69"/>
      <c r="Y48" s="31"/>
      <c r="Z48" s="31"/>
      <c r="AA48" s="31"/>
    </row>
    <row r="49" spans="1:27" ht="19.5" thickBot="1" x14ac:dyDescent="0.35">
      <c r="A49" s="317" t="s">
        <v>366</v>
      </c>
      <c r="B49" s="159">
        <f t="shared" si="0"/>
        <v>16</v>
      </c>
      <c r="C49" s="158">
        <f t="shared" si="1"/>
        <v>0</v>
      </c>
      <c r="D49" s="1134">
        <f t="shared" si="2"/>
        <v>0</v>
      </c>
      <c r="E49" s="73">
        <v>-2</v>
      </c>
      <c r="F49" s="1127">
        <f t="shared" si="3"/>
        <v>0</v>
      </c>
      <c r="G49" s="1115"/>
      <c r="H49" s="1116"/>
      <c r="I49" s="1116"/>
      <c r="J49" s="1111"/>
      <c r="K49" s="646">
        <v>8.6897705889580221E-2</v>
      </c>
      <c r="L49" s="505"/>
      <c r="M49" s="40">
        <v>58</v>
      </c>
      <c r="N49" s="40">
        <v>49</v>
      </c>
      <c r="O49" s="40">
        <v>47</v>
      </c>
      <c r="P49" s="40">
        <v>32</v>
      </c>
      <c r="Q49" s="40">
        <v>40</v>
      </c>
      <c r="R49" s="40">
        <v>48</v>
      </c>
      <c r="S49" s="105"/>
      <c r="T49" s="260">
        <v>34</v>
      </c>
      <c r="U49" s="260">
        <v>33</v>
      </c>
      <c r="V49" s="260">
        <v>25</v>
      </c>
      <c r="W49" s="1104">
        <v>15</v>
      </c>
      <c r="X49" s="69"/>
      <c r="Y49" s="31"/>
      <c r="Z49" s="31"/>
      <c r="AA49" s="31"/>
    </row>
    <row r="50" spans="1:27" ht="19.5" thickBot="1" x14ac:dyDescent="0.35">
      <c r="A50" s="317" t="s">
        <v>353</v>
      </c>
      <c r="B50" s="159">
        <f t="shared" ref="B50:B51" si="4">RANK(C50,C$6:C$70,0)</f>
        <v>1</v>
      </c>
      <c r="C50" s="158">
        <f t="shared" si="1"/>
        <v>10</v>
      </c>
      <c r="D50" s="1134">
        <f t="shared" si="2"/>
        <v>4</v>
      </c>
      <c r="E50" s="73">
        <v>4</v>
      </c>
      <c r="F50" s="1127">
        <f t="shared" si="3"/>
        <v>0</v>
      </c>
      <c r="G50" s="1115"/>
      <c r="H50" s="1116"/>
      <c r="I50" s="1116"/>
      <c r="J50" s="1111"/>
      <c r="K50" s="646">
        <v>1.8309262808845221</v>
      </c>
      <c r="L50" s="505"/>
      <c r="M50" s="40">
        <v>48</v>
      </c>
      <c r="N50" s="40">
        <v>53</v>
      </c>
      <c r="O50" s="40">
        <v>43</v>
      </c>
      <c r="P50" s="393">
        <v>16</v>
      </c>
      <c r="Q50" s="40">
        <v>30</v>
      </c>
      <c r="R50" s="40">
        <v>50</v>
      </c>
      <c r="S50" s="105"/>
      <c r="T50" s="260">
        <v>44</v>
      </c>
      <c r="U50" s="260">
        <v>38</v>
      </c>
      <c r="V50" s="260">
        <v>28</v>
      </c>
      <c r="W50" s="1104">
        <v>15</v>
      </c>
      <c r="X50" s="69"/>
      <c r="Y50" s="31"/>
      <c r="Z50" s="31"/>
      <c r="AA50" s="31"/>
    </row>
    <row r="51" spans="1:27" ht="19.5" thickBot="1" x14ac:dyDescent="0.35">
      <c r="A51" s="317" t="s">
        <v>369</v>
      </c>
      <c r="B51" s="159">
        <f t="shared" si="4"/>
        <v>16</v>
      </c>
      <c r="C51" s="158">
        <f t="shared" si="1"/>
        <v>0</v>
      </c>
      <c r="D51" s="1134">
        <f t="shared" si="2"/>
        <v>0</v>
      </c>
      <c r="E51" s="73">
        <v>-2</v>
      </c>
      <c r="F51" s="1127">
        <f t="shared" si="3"/>
        <v>0</v>
      </c>
      <c r="G51" s="1115"/>
      <c r="H51" s="1116"/>
      <c r="I51" s="1116"/>
      <c r="J51" s="1111"/>
      <c r="K51" s="646">
        <v>0.33911093189033981</v>
      </c>
      <c r="L51" s="505"/>
      <c r="M51" s="40">
        <v>57</v>
      </c>
      <c r="N51" s="40">
        <v>47</v>
      </c>
      <c r="O51" s="40">
        <v>56</v>
      </c>
      <c r="P51" s="393">
        <v>40</v>
      </c>
      <c r="Q51" s="40">
        <v>56</v>
      </c>
      <c r="R51" s="40">
        <v>42</v>
      </c>
      <c r="S51" s="105"/>
      <c r="T51" s="260">
        <v>44</v>
      </c>
      <c r="U51" s="260">
        <v>38</v>
      </c>
      <c r="V51" s="260">
        <v>28</v>
      </c>
      <c r="W51" s="1104">
        <v>15</v>
      </c>
      <c r="X51" s="69"/>
      <c r="Y51" s="31"/>
      <c r="Z51" s="31"/>
      <c r="AA51" s="31"/>
    </row>
    <row r="52" spans="1:27" ht="19.5" thickBot="1" x14ac:dyDescent="0.35">
      <c r="A52" s="317" t="s">
        <v>326</v>
      </c>
      <c r="B52" s="159">
        <f t="shared" ref="B52:B70" si="5">RANK(C52,C$6:C$70,0)</f>
        <v>11</v>
      </c>
      <c r="C52" s="158">
        <f t="shared" si="1"/>
        <v>5</v>
      </c>
      <c r="D52" s="1134">
        <f t="shared" si="2"/>
        <v>2</v>
      </c>
      <c r="E52" s="73">
        <v>2</v>
      </c>
      <c r="F52" s="1127">
        <f t="shared" si="3"/>
        <v>0</v>
      </c>
      <c r="G52" s="1115"/>
      <c r="H52" s="1116"/>
      <c r="I52" s="1116"/>
      <c r="J52" s="1111"/>
      <c r="K52" s="646">
        <v>0.98735459971201278</v>
      </c>
      <c r="L52" s="505"/>
      <c r="M52" s="40">
        <v>32</v>
      </c>
      <c r="N52" s="40">
        <v>46</v>
      </c>
      <c r="O52" s="40">
        <v>22</v>
      </c>
      <c r="P52" s="1108">
        <v>10</v>
      </c>
      <c r="Q52" s="40">
        <v>25</v>
      </c>
      <c r="R52" s="40">
        <v>20</v>
      </c>
      <c r="S52" s="105"/>
      <c r="T52" s="260">
        <v>44</v>
      </c>
      <c r="U52" s="260">
        <v>38</v>
      </c>
      <c r="V52" s="260">
        <v>28</v>
      </c>
      <c r="W52" s="1104">
        <v>15</v>
      </c>
      <c r="X52" s="69"/>
      <c r="Y52" s="31"/>
      <c r="Z52" s="31"/>
      <c r="AA52" s="31"/>
    </row>
    <row r="53" spans="1:27" ht="19.5" thickBot="1" x14ac:dyDescent="0.35">
      <c r="A53" s="317" t="s">
        <v>91</v>
      </c>
      <c r="B53" s="159">
        <f t="shared" si="5"/>
        <v>16</v>
      </c>
      <c r="C53" s="158">
        <f t="shared" si="1"/>
        <v>0</v>
      </c>
      <c r="D53" s="1134">
        <f t="shared" si="2"/>
        <v>0</v>
      </c>
      <c r="E53" s="73">
        <v>-2</v>
      </c>
      <c r="F53" s="1127">
        <f t="shared" si="3"/>
        <v>0</v>
      </c>
      <c r="G53" s="1115"/>
      <c r="H53" s="1116"/>
      <c r="I53" s="1116"/>
      <c r="J53" s="1111"/>
      <c r="K53" s="646">
        <v>0.25521759342018541</v>
      </c>
      <c r="L53" s="505"/>
      <c r="M53" s="40">
        <v>1</v>
      </c>
      <c r="N53" s="40">
        <v>1</v>
      </c>
      <c r="O53" s="40">
        <v>1</v>
      </c>
      <c r="P53" s="1108">
        <v>1</v>
      </c>
      <c r="Q53" s="40">
        <v>3</v>
      </c>
      <c r="R53" s="40">
        <v>1</v>
      </c>
      <c r="S53" s="105"/>
      <c r="T53" s="260">
        <v>31</v>
      </c>
      <c r="U53" s="260">
        <v>38</v>
      </c>
      <c r="V53" s="260">
        <v>14</v>
      </c>
      <c r="W53" s="1104">
        <v>15</v>
      </c>
      <c r="X53" s="69"/>
      <c r="Y53" s="31"/>
      <c r="Z53" s="31"/>
      <c r="AA53" s="31"/>
    </row>
    <row r="54" spans="1:27" ht="19.5" thickBot="1" x14ac:dyDescent="0.35">
      <c r="A54" s="317" t="s">
        <v>15</v>
      </c>
      <c r="B54" s="159">
        <f t="shared" si="5"/>
        <v>16</v>
      </c>
      <c r="C54" s="158">
        <f t="shared" si="1"/>
        <v>0</v>
      </c>
      <c r="D54" s="1134">
        <f t="shared" si="2"/>
        <v>0</v>
      </c>
      <c r="E54" s="73">
        <v>-2</v>
      </c>
      <c r="F54" s="1127">
        <f t="shared" si="3"/>
        <v>0</v>
      </c>
      <c r="G54" s="1115"/>
      <c r="H54" s="1116"/>
      <c r="I54" s="1116"/>
      <c r="J54" s="1111"/>
      <c r="K54" s="646">
        <v>6.6738094230503642E-2</v>
      </c>
      <c r="L54" s="505"/>
      <c r="M54" s="40">
        <v>38</v>
      </c>
      <c r="N54" s="40">
        <v>34</v>
      </c>
      <c r="O54" s="40">
        <v>31</v>
      </c>
      <c r="P54" s="40">
        <v>40</v>
      </c>
      <c r="Q54" s="40">
        <v>23</v>
      </c>
      <c r="R54" s="40">
        <v>54</v>
      </c>
      <c r="S54" s="105"/>
      <c r="T54" s="260">
        <v>38</v>
      </c>
      <c r="U54" s="260">
        <v>37</v>
      </c>
      <c r="V54" s="260">
        <v>17</v>
      </c>
      <c r="W54" s="1104">
        <v>15</v>
      </c>
      <c r="X54" s="69"/>
      <c r="Y54" s="31"/>
      <c r="Z54" s="31"/>
      <c r="AA54" s="31"/>
    </row>
    <row r="55" spans="1:27" ht="19.5" thickBot="1" x14ac:dyDescent="0.35">
      <c r="A55" s="317" t="s">
        <v>158</v>
      </c>
      <c r="B55" s="159">
        <f t="shared" si="5"/>
        <v>16</v>
      </c>
      <c r="C55" s="158">
        <f t="shared" si="1"/>
        <v>0</v>
      </c>
      <c r="D55" s="1134">
        <f t="shared" si="2"/>
        <v>0</v>
      </c>
      <c r="E55" s="73">
        <v>-2</v>
      </c>
      <c r="F55" s="1127">
        <f t="shared" si="3"/>
        <v>0</v>
      </c>
      <c r="G55" s="1115"/>
      <c r="H55" s="1116"/>
      <c r="I55" s="1116"/>
      <c r="J55" s="1111"/>
      <c r="K55" s="646">
        <v>8.9346863099246762E-2</v>
      </c>
      <c r="L55" s="505"/>
      <c r="M55" s="40">
        <v>55</v>
      </c>
      <c r="N55" s="40">
        <v>63</v>
      </c>
      <c r="O55" s="40">
        <v>39</v>
      </c>
      <c r="P55" s="1108">
        <v>27</v>
      </c>
      <c r="Q55" s="40">
        <v>36</v>
      </c>
      <c r="R55" s="40">
        <v>61</v>
      </c>
      <c r="S55" s="105"/>
      <c r="T55" s="260">
        <v>44</v>
      </c>
      <c r="U55" s="260">
        <v>38</v>
      </c>
      <c r="V55" s="260">
        <v>28</v>
      </c>
      <c r="W55" s="1104">
        <v>15</v>
      </c>
      <c r="X55" s="69"/>
      <c r="Y55" s="31"/>
      <c r="Z55" s="31"/>
      <c r="AA55" s="31"/>
    </row>
    <row r="56" spans="1:27" ht="19.5" thickBot="1" x14ac:dyDescent="0.35">
      <c r="A56" s="317" t="s">
        <v>113</v>
      </c>
      <c r="B56" s="159">
        <f t="shared" si="5"/>
        <v>16</v>
      </c>
      <c r="C56" s="158">
        <f t="shared" si="1"/>
        <v>0</v>
      </c>
      <c r="D56" s="1134">
        <f t="shared" si="2"/>
        <v>0</v>
      </c>
      <c r="E56" s="73">
        <v>0</v>
      </c>
      <c r="F56" s="1127">
        <f t="shared" si="3"/>
        <v>0</v>
      </c>
      <c r="G56" s="577"/>
      <c r="H56" s="1117"/>
      <c r="I56" s="1117"/>
      <c r="J56" s="1112"/>
      <c r="K56" s="646">
        <v>0.73350194933439028</v>
      </c>
      <c r="L56" s="505"/>
      <c r="M56" s="40">
        <v>46</v>
      </c>
      <c r="N56" s="40">
        <v>59</v>
      </c>
      <c r="O56" s="40">
        <v>36</v>
      </c>
      <c r="P56" s="1108">
        <v>20</v>
      </c>
      <c r="Q56" s="40">
        <v>33</v>
      </c>
      <c r="R56" s="40">
        <v>44</v>
      </c>
      <c r="S56" s="105"/>
      <c r="T56" s="260">
        <v>44</v>
      </c>
      <c r="U56" s="260">
        <v>38</v>
      </c>
      <c r="V56" s="260">
        <v>28</v>
      </c>
      <c r="W56" s="1104">
        <v>15</v>
      </c>
      <c r="X56" s="69"/>
      <c r="Y56" s="31"/>
      <c r="Z56" s="31"/>
      <c r="AA56" s="31"/>
    </row>
    <row r="57" spans="1:27" ht="19.5" thickBot="1" x14ac:dyDescent="0.35">
      <c r="A57" s="317" t="s">
        <v>87</v>
      </c>
      <c r="B57" s="159">
        <f t="shared" si="5"/>
        <v>16</v>
      </c>
      <c r="C57" s="158">
        <f t="shared" si="1"/>
        <v>0</v>
      </c>
      <c r="D57" s="1134">
        <f t="shared" si="2"/>
        <v>0</v>
      </c>
      <c r="E57" s="73">
        <v>-2</v>
      </c>
      <c r="F57" s="1127">
        <f t="shared" si="3"/>
        <v>0</v>
      </c>
      <c r="G57" s="577"/>
      <c r="H57" s="1117"/>
      <c r="I57" s="1117"/>
      <c r="J57" s="1112"/>
      <c r="K57" s="646">
        <v>0.34962131635024629</v>
      </c>
      <c r="L57" s="505"/>
      <c r="M57" s="40">
        <v>5</v>
      </c>
      <c r="N57" s="40">
        <v>2</v>
      </c>
      <c r="O57" s="40">
        <v>8</v>
      </c>
      <c r="P57" s="1108">
        <v>8</v>
      </c>
      <c r="Q57" s="40">
        <v>7</v>
      </c>
      <c r="R57" s="40">
        <v>2</v>
      </c>
      <c r="S57" s="105"/>
      <c r="T57" s="260">
        <v>44</v>
      </c>
      <c r="U57" s="260">
        <v>38</v>
      </c>
      <c r="V57" s="260">
        <v>28</v>
      </c>
      <c r="W57" s="1104">
        <v>15</v>
      </c>
      <c r="X57" s="69"/>
      <c r="Y57" s="31"/>
      <c r="Z57" s="31"/>
      <c r="AA57" s="31"/>
    </row>
    <row r="58" spans="1:27" ht="19.5" thickBot="1" x14ac:dyDescent="0.35">
      <c r="A58" s="317" t="s">
        <v>355</v>
      </c>
      <c r="B58" s="159">
        <f t="shared" si="5"/>
        <v>16</v>
      </c>
      <c r="C58" s="158">
        <f t="shared" si="1"/>
        <v>0</v>
      </c>
      <c r="D58" s="1134">
        <f t="shared" si="2"/>
        <v>0</v>
      </c>
      <c r="E58" s="73">
        <v>0</v>
      </c>
      <c r="F58" s="1127">
        <f t="shared" si="3"/>
        <v>0</v>
      </c>
      <c r="G58" s="577"/>
      <c r="H58" s="1117"/>
      <c r="I58" s="1117"/>
      <c r="J58" s="1112"/>
      <c r="K58" s="646">
        <v>0.57239965987504193</v>
      </c>
      <c r="L58" s="505"/>
      <c r="M58" s="40">
        <v>37</v>
      </c>
      <c r="N58" s="40">
        <v>60</v>
      </c>
      <c r="O58" s="40">
        <v>26</v>
      </c>
      <c r="P58" s="393">
        <v>12</v>
      </c>
      <c r="Q58" s="40">
        <v>22</v>
      </c>
      <c r="R58" s="40">
        <v>46</v>
      </c>
      <c r="S58" s="105"/>
      <c r="T58" s="260">
        <v>44</v>
      </c>
      <c r="U58" s="260">
        <v>38</v>
      </c>
      <c r="V58" s="260">
        <v>28</v>
      </c>
      <c r="W58" s="1104">
        <v>15</v>
      </c>
      <c r="X58" s="69"/>
      <c r="Y58" s="31"/>
      <c r="Z58" s="31"/>
      <c r="AA58" s="31"/>
    </row>
    <row r="59" spans="1:27" ht="19.5" thickBot="1" x14ac:dyDescent="0.35">
      <c r="A59" s="317" t="s">
        <v>114</v>
      </c>
      <c r="B59" s="159">
        <f t="shared" si="5"/>
        <v>16</v>
      </c>
      <c r="C59" s="158">
        <f t="shared" si="1"/>
        <v>0</v>
      </c>
      <c r="D59" s="1134">
        <f t="shared" si="2"/>
        <v>0</v>
      </c>
      <c r="E59" s="73">
        <v>-2</v>
      </c>
      <c r="F59" s="1127">
        <f t="shared" si="3"/>
        <v>0</v>
      </c>
      <c r="G59" s="577"/>
      <c r="H59" s="1117"/>
      <c r="I59" s="1117"/>
      <c r="J59" s="1112"/>
      <c r="K59" s="646">
        <v>0.26003083032733448</v>
      </c>
      <c r="L59" s="505"/>
      <c r="M59" s="40">
        <v>56</v>
      </c>
      <c r="N59" s="40">
        <v>45</v>
      </c>
      <c r="O59" s="40">
        <v>57</v>
      </c>
      <c r="P59" s="40">
        <v>40</v>
      </c>
      <c r="Q59" s="40">
        <v>56</v>
      </c>
      <c r="R59" s="40">
        <v>39</v>
      </c>
      <c r="S59" s="105"/>
      <c r="T59" s="260">
        <v>22</v>
      </c>
      <c r="U59" s="260">
        <v>20</v>
      </c>
      <c r="V59" s="260">
        <v>28</v>
      </c>
      <c r="W59" s="1104">
        <v>15</v>
      </c>
      <c r="X59" s="69"/>
      <c r="Y59" s="31"/>
      <c r="Z59" s="31"/>
      <c r="AA59" s="31"/>
    </row>
    <row r="60" spans="1:27" ht="19.5" thickBot="1" x14ac:dyDescent="0.35">
      <c r="A60" s="317" t="s">
        <v>160</v>
      </c>
      <c r="B60" s="159">
        <f t="shared" si="5"/>
        <v>16</v>
      </c>
      <c r="C60" s="158">
        <f t="shared" si="1"/>
        <v>0</v>
      </c>
      <c r="D60" s="1134">
        <f t="shared" si="2"/>
        <v>0</v>
      </c>
      <c r="E60" s="73">
        <v>-2</v>
      </c>
      <c r="F60" s="1127">
        <f t="shared" si="3"/>
        <v>0</v>
      </c>
      <c r="G60" s="1115"/>
      <c r="H60" s="1116"/>
      <c r="I60" s="1116"/>
      <c r="J60" s="1111"/>
      <c r="K60" s="646">
        <v>8.383752225220599E-2</v>
      </c>
      <c r="L60" s="505"/>
      <c r="M60" s="40">
        <v>39</v>
      </c>
      <c r="N60" s="40">
        <v>43</v>
      </c>
      <c r="O60" s="40">
        <v>28</v>
      </c>
      <c r="P60" s="1108">
        <v>19</v>
      </c>
      <c r="Q60" s="40">
        <v>26</v>
      </c>
      <c r="R60" s="40">
        <v>58</v>
      </c>
      <c r="S60" s="105"/>
      <c r="T60" s="260">
        <v>44</v>
      </c>
      <c r="U60" s="260">
        <v>38</v>
      </c>
      <c r="V60" s="260">
        <v>28</v>
      </c>
      <c r="W60" s="1104">
        <v>15</v>
      </c>
      <c r="X60" s="69"/>
      <c r="Y60" s="31"/>
      <c r="Z60" s="31"/>
      <c r="AA60" s="31"/>
    </row>
    <row r="61" spans="1:27" ht="19.5" thickBot="1" x14ac:dyDescent="0.35">
      <c r="A61" s="317" t="s">
        <v>115</v>
      </c>
      <c r="B61" s="159">
        <f t="shared" si="5"/>
        <v>1</v>
      </c>
      <c r="C61" s="158">
        <f t="shared" si="1"/>
        <v>10</v>
      </c>
      <c r="D61" s="1134">
        <f t="shared" si="2"/>
        <v>4</v>
      </c>
      <c r="E61" s="73">
        <v>4</v>
      </c>
      <c r="F61" s="1127">
        <f t="shared" si="3"/>
        <v>0</v>
      </c>
      <c r="G61" s="577"/>
      <c r="H61" s="1117"/>
      <c r="I61" s="1117"/>
      <c r="J61" s="1112"/>
      <c r="K61" s="646">
        <v>1.7081987689076394</v>
      </c>
      <c r="L61" s="505"/>
      <c r="M61" s="40">
        <v>63</v>
      </c>
      <c r="N61" s="40">
        <v>55</v>
      </c>
      <c r="O61" s="40">
        <v>57</v>
      </c>
      <c r="P61" s="40">
        <v>40</v>
      </c>
      <c r="Q61" s="40">
        <v>56</v>
      </c>
      <c r="R61" s="40">
        <v>57</v>
      </c>
      <c r="S61" s="105"/>
      <c r="T61" s="260">
        <v>15</v>
      </c>
      <c r="U61" s="260">
        <v>15</v>
      </c>
      <c r="V61" s="260">
        <v>28</v>
      </c>
      <c r="W61" s="1104">
        <v>15</v>
      </c>
      <c r="X61" s="69"/>
      <c r="Y61" s="31"/>
      <c r="Z61" s="31"/>
      <c r="AA61" s="31"/>
    </row>
    <row r="62" spans="1:27" ht="19.5" thickBot="1" x14ac:dyDescent="0.35">
      <c r="A62" s="317" t="s">
        <v>18</v>
      </c>
      <c r="B62" s="159">
        <f t="shared" si="5"/>
        <v>16</v>
      </c>
      <c r="C62" s="158">
        <f t="shared" si="1"/>
        <v>0</v>
      </c>
      <c r="D62" s="1134">
        <f t="shared" si="2"/>
        <v>0</v>
      </c>
      <c r="E62" s="73">
        <v>-2</v>
      </c>
      <c r="F62" s="1127">
        <f t="shared" si="3"/>
        <v>0</v>
      </c>
      <c r="G62" s="1115"/>
      <c r="H62" s="1116"/>
      <c r="I62" s="1116"/>
      <c r="J62" s="1111"/>
      <c r="K62" s="646">
        <v>2.5987261222789031E-2</v>
      </c>
      <c r="L62" s="505"/>
      <c r="M62" s="40">
        <v>42</v>
      </c>
      <c r="N62" s="40">
        <v>33</v>
      </c>
      <c r="O62" s="40">
        <v>42</v>
      </c>
      <c r="P62" s="40">
        <v>39</v>
      </c>
      <c r="Q62" s="40">
        <v>27</v>
      </c>
      <c r="R62" s="40">
        <v>52</v>
      </c>
      <c r="S62" s="105"/>
      <c r="T62" s="260">
        <v>36</v>
      </c>
      <c r="U62" s="260">
        <v>35</v>
      </c>
      <c r="V62" s="260">
        <v>24</v>
      </c>
      <c r="W62" s="1104">
        <v>15</v>
      </c>
      <c r="X62" s="69"/>
      <c r="Y62" s="31"/>
      <c r="Z62" s="31"/>
      <c r="AA62" s="31"/>
    </row>
    <row r="63" spans="1:27" ht="19.5" thickBot="1" x14ac:dyDescent="0.35">
      <c r="A63" s="317" t="s">
        <v>116</v>
      </c>
      <c r="B63" s="159">
        <f t="shared" si="5"/>
        <v>16</v>
      </c>
      <c r="C63" s="158">
        <f t="shared" si="1"/>
        <v>0</v>
      </c>
      <c r="D63" s="1134">
        <f t="shared" si="2"/>
        <v>0</v>
      </c>
      <c r="E63" s="73">
        <v>0</v>
      </c>
      <c r="F63" s="1127">
        <f t="shared" si="3"/>
        <v>0</v>
      </c>
      <c r="G63" s="577"/>
      <c r="H63" s="1117"/>
      <c r="I63" s="1117"/>
      <c r="J63" s="1112"/>
      <c r="K63" s="646">
        <v>0.74658501378287556</v>
      </c>
      <c r="L63" s="505"/>
      <c r="M63" s="40">
        <v>45</v>
      </c>
      <c r="N63" s="40">
        <v>37</v>
      </c>
      <c r="O63" s="40">
        <v>57</v>
      </c>
      <c r="P63" s="40">
        <v>40</v>
      </c>
      <c r="Q63" s="40">
        <v>56</v>
      </c>
      <c r="R63" s="40">
        <v>29</v>
      </c>
      <c r="S63" s="105"/>
      <c r="T63" s="260">
        <v>14</v>
      </c>
      <c r="U63" s="260">
        <v>13</v>
      </c>
      <c r="V63" s="260">
        <v>28</v>
      </c>
      <c r="W63" s="1104">
        <v>15</v>
      </c>
      <c r="X63" s="69"/>
      <c r="Y63" s="31"/>
      <c r="Z63" s="31"/>
      <c r="AA63" s="31"/>
    </row>
    <row r="64" spans="1:27" ht="19.5" thickBot="1" x14ac:dyDescent="0.35">
      <c r="A64" s="317" t="s">
        <v>356</v>
      </c>
      <c r="B64" s="159">
        <f t="shared" si="5"/>
        <v>1</v>
      </c>
      <c r="C64" s="158">
        <f t="shared" si="1"/>
        <v>10</v>
      </c>
      <c r="D64" s="1134">
        <f t="shared" si="2"/>
        <v>4</v>
      </c>
      <c r="E64" s="73">
        <v>4</v>
      </c>
      <c r="F64" s="1127">
        <f t="shared" si="3"/>
        <v>0</v>
      </c>
      <c r="G64" s="1115"/>
      <c r="H64" s="1116"/>
      <c r="I64" s="1116"/>
      <c r="J64" s="1111"/>
      <c r="K64" s="646">
        <v>1.5881351664274082</v>
      </c>
      <c r="L64" s="505"/>
      <c r="M64" s="40">
        <v>60</v>
      </c>
      <c r="N64" s="40">
        <v>52</v>
      </c>
      <c r="O64" s="40">
        <v>49</v>
      </c>
      <c r="P64" s="40">
        <v>40</v>
      </c>
      <c r="Q64" s="40">
        <v>38</v>
      </c>
      <c r="R64" s="40">
        <v>62</v>
      </c>
      <c r="S64" s="105"/>
      <c r="T64" s="260">
        <v>44</v>
      </c>
      <c r="U64" s="260">
        <v>38</v>
      </c>
      <c r="V64" s="260">
        <v>28</v>
      </c>
      <c r="W64" s="1104">
        <v>15</v>
      </c>
      <c r="X64" s="69"/>
      <c r="Y64" s="31"/>
      <c r="Z64" s="31"/>
      <c r="AA64" s="31"/>
    </row>
    <row r="65" spans="1:27" ht="19.5" thickBot="1" x14ac:dyDescent="0.35">
      <c r="A65" s="317" t="s">
        <v>246</v>
      </c>
      <c r="B65" s="159">
        <f t="shared" si="5"/>
        <v>8</v>
      </c>
      <c r="C65" s="158">
        <f t="shared" si="1"/>
        <v>7.5</v>
      </c>
      <c r="D65" s="1134">
        <f t="shared" si="2"/>
        <v>3</v>
      </c>
      <c r="E65" s="73">
        <v>3</v>
      </c>
      <c r="F65" s="1127">
        <f t="shared" si="3"/>
        <v>0</v>
      </c>
      <c r="G65" s="1115"/>
      <c r="H65" s="1116"/>
      <c r="I65" s="1116"/>
      <c r="J65" s="1111"/>
      <c r="K65" s="646">
        <v>1.0574980049071121</v>
      </c>
      <c r="L65" s="505"/>
      <c r="M65" s="40">
        <v>36</v>
      </c>
      <c r="N65" s="40">
        <v>27</v>
      </c>
      <c r="O65" s="40">
        <v>57</v>
      </c>
      <c r="P65" s="40">
        <v>40</v>
      </c>
      <c r="Q65" s="40">
        <v>56</v>
      </c>
      <c r="R65" s="40">
        <v>22</v>
      </c>
      <c r="S65" s="105"/>
      <c r="T65" s="260">
        <v>25</v>
      </c>
      <c r="U65" s="260">
        <v>24</v>
      </c>
      <c r="V65" s="260">
        <v>28</v>
      </c>
      <c r="W65" s="1104">
        <v>15</v>
      </c>
      <c r="X65" s="69"/>
      <c r="Y65" s="31"/>
      <c r="Z65" s="31"/>
      <c r="AA65" s="31"/>
    </row>
    <row r="66" spans="1:27" ht="19.5" thickBot="1" x14ac:dyDescent="0.35">
      <c r="A66" s="317" t="s">
        <v>272</v>
      </c>
      <c r="B66" s="159">
        <f t="shared" si="5"/>
        <v>1</v>
      </c>
      <c r="C66" s="158">
        <f t="shared" si="1"/>
        <v>10</v>
      </c>
      <c r="D66" s="1134">
        <f t="shared" si="2"/>
        <v>4</v>
      </c>
      <c r="E66" s="73">
        <v>4</v>
      </c>
      <c r="F66" s="1127">
        <f t="shared" si="3"/>
        <v>0</v>
      </c>
      <c r="G66" s="1115"/>
      <c r="H66" s="1116"/>
      <c r="I66" s="1116"/>
      <c r="J66" s="1111"/>
      <c r="K66" s="646">
        <v>1.3005427307328694</v>
      </c>
      <c r="L66" s="505"/>
      <c r="M66" s="40">
        <v>13</v>
      </c>
      <c r="N66" s="40">
        <v>8</v>
      </c>
      <c r="O66" s="40">
        <v>29</v>
      </c>
      <c r="P66" s="40">
        <v>40</v>
      </c>
      <c r="Q66" s="40">
        <v>41</v>
      </c>
      <c r="R66" s="40">
        <v>7</v>
      </c>
      <c r="S66" s="105"/>
      <c r="T66" s="260">
        <v>3</v>
      </c>
      <c r="U66" s="260">
        <v>2</v>
      </c>
      <c r="V66" s="260">
        <v>7</v>
      </c>
      <c r="W66" s="1104">
        <v>10</v>
      </c>
      <c r="X66" s="69"/>
      <c r="Y66" s="31"/>
      <c r="Z66" s="31"/>
      <c r="AA66" s="31"/>
    </row>
    <row r="67" spans="1:27" ht="19.5" thickBot="1" x14ac:dyDescent="0.35">
      <c r="A67" s="317" t="s">
        <v>98</v>
      </c>
      <c r="B67" s="159">
        <f t="shared" si="5"/>
        <v>14</v>
      </c>
      <c r="C67" s="158">
        <f t="shared" si="1"/>
        <v>2.5</v>
      </c>
      <c r="D67" s="1134">
        <f t="shared" si="2"/>
        <v>1</v>
      </c>
      <c r="E67" s="73">
        <v>1</v>
      </c>
      <c r="F67" s="1127">
        <f t="shared" si="3"/>
        <v>0</v>
      </c>
      <c r="G67" s="1115"/>
      <c r="H67" s="1116"/>
      <c r="I67" s="1116"/>
      <c r="J67" s="1111"/>
      <c r="K67" s="646">
        <v>0.82941015600397761</v>
      </c>
      <c r="L67" s="505"/>
      <c r="M67" s="40">
        <v>4</v>
      </c>
      <c r="N67" s="40">
        <v>18</v>
      </c>
      <c r="O67" s="40">
        <v>4</v>
      </c>
      <c r="P67" s="1108">
        <v>2</v>
      </c>
      <c r="Q67" s="40">
        <v>4</v>
      </c>
      <c r="R67" s="40">
        <v>30</v>
      </c>
      <c r="S67" s="105"/>
      <c r="T67" s="260">
        <v>19</v>
      </c>
      <c r="U67" s="260">
        <v>21</v>
      </c>
      <c r="V67" s="260">
        <v>10</v>
      </c>
      <c r="W67" s="1104">
        <v>15</v>
      </c>
      <c r="X67" s="69"/>
      <c r="Y67" s="31"/>
      <c r="Z67" s="31"/>
      <c r="AA67" s="31"/>
    </row>
    <row r="68" spans="1:27" ht="19.5" thickBot="1" x14ac:dyDescent="0.35">
      <c r="A68" s="910" t="s">
        <v>161</v>
      </c>
      <c r="B68" s="159">
        <f t="shared" si="5"/>
        <v>1</v>
      </c>
      <c r="C68" s="158">
        <f t="shared" si="1"/>
        <v>10</v>
      </c>
      <c r="D68" s="1134">
        <f t="shared" si="2"/>
        <v>4</v>
      </c>
      <c r="E68" s="73">
        <v>4</v>
      </c>
      <c r="F68" s="1127">
        <f t="shared" si="3"/>
        <v>0</v>
      </c>
      <c r="G68" s="577"/>
      <c r="H68" s="1117"/>
      <c r="I68" s="1117"/>
      <c r="J68" s="1112"/>
      <c r="K68" s="646">
        <v>0.33555261695454541</v>
      </c>
      <c r="L68" s="505"/>
      <c r="M68" s="40">
        <v>64</v>
      </c>
      <c r="N68" s="40">
        <v>58</v>
      </c>
      <c r="O68" s="40">
        <v>51</v>
      </c>
      <c r="P68" s="40">
        <v>35</v>
      </c>
      <c r="Q68" s="40">
        <v>45</v>
      </c>
      <c r="R68" s="40">
        <v>60</v>
      </c>
      <c r="S68" s="105"/>
      <c r="T68" s="260">
        <v>30</v>
      </c>
      <c r="U68" s="260">
        <v>31</v>
      </c>
      <c r="V68" s="260">
        <v>15</v>
      </c>
      <c r="W68" s="1104">
        <v>14</v>
      </c>
      <c r="X68" s="69"/>
      <c r="Y68" s="31"/>
      <c r="Z68" s="31"/>
      <c r="AA68" s="31"/>
    </row>
    <row r="69" spans="1:27" ht="19.5" thickBot="1" x14ac:dyDescent="0.35">
      <c r="A69" s="1017" t="s">
        <v>359</v>
      </c>
      <c r="B69" s="159">
        <f t="shared" si="5"/>
        <v>16</v>
      </c>
      <c r="C69" s="158">
        <f t="shared" si="1"/>
        <v>0</v>
      </c>
      <c r="D69" s="1134">
        <f t="shared" si="2"/>
        <v>0</v>
      </c>
      <c r="E69" s="1015">
        <v>-2</v>
      </c>
      <c r="F69" s="1127">
        <f t="shared" si="3"/>
        <v>0</v>
      </c>
      <c r="G69" s="1038"/>
      <c r="H69" s="1118"/>
      <c r="I69" s="1118"/>
      <c r="J69" s="1113"/>
      <c r="K69" s="1016">
        <v>0.16044782663656584</v>
      </c>
      <c r="L69" s="505"/>
      <c r="M69" s="40">
        <v>53</v>
      </c>
      <c r="N69" s="394">
        <v>61</v>
      </c>
      <c r="O69" s="394">
        <v>37</v>
      </c>
      <c r="P69" s="1109">
        <v>25</v>
      </c>
      <c r="Q69" s="394">
        <v>37</v>
      </c>
      <c r="R69" s="394">
        <v>40</v>
      </c>
      <c r="S69" s="105"/>
      <c r="T69" s="260">
        <v>44</v>
      </c>
      <c r="U69" s="260">
        <v>38</v>
      </c>
      <c r="V69" s="260">
        <v>28</v>
      </c>
      <c r="W69" s="1104">
        <v>15</v>
      </c>
      <c r="X69" s="69"/>
      <c r="Y69" s="31"/>
      <c r="Z69" s="31"/>
      <c r="AA69" s="31"/>
    </row>
    <row r="70" spans="1:27" ht="19.5" thickBot="1" x14ac:dyDescent="0.35">
      <c r="A70" s="318" t="s">
        <v>162</v>
      </c>
      <c r="B70" s="298">
        <f t="shared" si="5"/>
        <v>16</v>
      </c>
      <c r="C70" s="158">
        <f t="shared" si="1"/>
        <v>0</v>
      </c>
      <c r="D70" s="1134">
        <f t="shared" si="2"/>
        <v>0</v>
      </c>
      <c r="E70" s="74">
        <v>0</v>
      </c>
      <c r="F70" s="1127">
        <f t="shared" si="3"/>
        <v>0</v>
      </c>
      <c r="G70" s="578"/>
      <c r="H70" s="1119"/>
      <c r="I70" s="1119"/>
      <c r="J70" s="1114"/>
      <c r="K70" s="647">
        <v>0.58139709976092069</v>
      </c>
      <c r="L70" s="505"/>
      <c r="M70" s="40">
        <v>7</v>
      </c>
      <c r="N70" s="394">
        <v>23</v>
      </c>
      <c r="O70" s="394">
        <v>5</v>
      </c>
      <c r="P70" s="1110">
        <v>4</v>
      </c>
      <c r="Q70" s="394">
        <v>5</v>
      </c>
      <c r="R70" s="394">
        <v>18</v>
      </c>
      <c r="S70" s="105"/>
      <c r="T70" s="260">
        <v>8</v>
      </c>
      <c r="U70" s="260">
        <v>10</v>
      </c>
      <c r="V70" s="260">
        <v>5</v>
      </c>
      <c r="W70" s="1104">
        <v>3</v>
      </c>
      <c r="X70" s="69"/>
      <c r="Y70" s="31"/>
      <c r="Z70" s="31"/>
      <c r="AA70" s="31"/>
    </row>
    <row r="71" spans="1:27" x14ac:dyDescent="0.3">
      <c r="F71" s="34"/>
      <c r="L71" s="31"/>
      <c r="M71" s="34"/>
      <c r="N71" s="30"/>
      <c r="O71" s="30"/>
      <c r="P71" s="30"/>
      <c r="Q71" s="31"/>
      <c r="R71" s="30"/>
      <c r="S71" s="31"/>
      <c r="T71" s="104"/>
      <c r="U71" s="104"/>
      <c r="V71" s="104"/>
      <c r="W71" s="104"/>
      <c r="X71" s="69"/>
      <c r="Y71" s="31"/>
      <c r="Z71" s="31"/>
      <c r="AA71" s="31"/>
    </row>
    <row r="72" spans="1:27" x14ac:dyDescent="0.3">
      <c r="D72" s="1133">
        <f>MAX(D6:D70)</f>
        <v>4</v>
      </c>
      <c r="F72" s="34"/>
      <c r="G72" s="1060"/>
      <c r="H72" s="1060"/>
      <c r="I72" s="1060"/>
      <c r="J72" s="1060"/>
      <c r="K72" s="1060"/>
      <c r="L72" s="182"/>
      <c r="M72" s="70"/>
      <c r="N72" s="104"/>
      <c r="O72" s="104"/>
      <c r="P72" s="104"/>
      <c r="Q72" s="69"/>
      <c r="R72" s="104"/>
      <c r="S72" s="69"/>
      <c r="T72" s="104"/>
      <c r="U72" s="104"/>
      <c r="V72" s="104"/>
      <c r="W72" s="104"/>
      <c r="X72" s="69"/>
      <c r="Y72" s="31"/>
      <c r="Z72" s="31"/>
      <c r="AA72" s="31"/>
    </row>
    <row r="73" spans="1:27" x14ac:dyDescent="0.3">
      <c r="F73" s="34"/>
      <c r="G73" s="1060"/>
      <c r="H73" s="1060"/>
      <c r="I73" s="1060"/>
      <c r="J73" s="1060"/>
      <c r="K73" s="1060"/>
      <c r="L73" s="182"/>
      <c r="M73" s="70"/>
      <c r="N73" s="104"/>
      <c r="O73" s="104"/>
      <c r="P73" s="104"/>
      <c r="Q73" s="69"/>
      <c r="R73" s="104"/>
      <c r="S73" s="69"/>
      <c r="T73" s="104"/>
      <c r="U73" s="104"/>
      <c r="V73" s="104"/>
      <c r="W73" s="104"/>
      <c r="X73" s="69"/>
      <c r="Y73" s="31"/>
      <c r="Z73" s="31"/>
      <c r="AA73" s="31"/>
    </row>
    <row r="74" spans="1:27" x14ac:dyDescent="0.3">
      <c r="F74" s="34"/>
      <c r="G74" s="1061"/>
      <c r="H74" s="1061"/>
      <c r="I74" s="1061"/>
      <c r="J74" s="1061"/>
      <c r="K74" s="1061"/>
      <c r="L74" s="69"/>
      <c r="M74" s="70"/>
      <c r="N74" s="104"/>
      <c r="O74" s="104"/>
      <c r="P74" s="104"/>
      <c r="Q74" s="69"/>
      <c r="R74" s="104"/>
      <c r="S74" s="69"/>
      <c r="T74" s="104"/>
      <c r="U74" s="104"/>
      <c r="V74" s="104"/>
      <c r="W74" s="104"/>
      <c r="X74" s="69"/>
      <c r="Y74" s="31"/>
      <c r="Z74" s="31"/>
      <c r="AA74" s="31"/>
    </row>
    <row r="75" spans="1:27" x14ac:dyDescent="0.3">
      <c r="A75" s="8"/>
      <c r="B75" s="1"/>
      <c r="C75" s="31"/>
      <c r="D75" s="31"/>
      <c r="E75" s="69"/>
      <c r="F75" s="34"/>
      <c r="G75" s="1060"/>
      <c r="H75" s="1060"/>
      <c r="I75" s="1060"/>
      <c r="J75" s="1060"/>
      <c r="K75" s="1060"/>
      <c r="L75" s="1120"/>
      <c r="M75" s="69"/>
      <c r="N75" s="69"/>
      <c r="O75" s="69"/>
      <c r="P75" s="69"/>
      <c r="Q75" s="69"/>
      <c r="R75" s="69"/>
      <c r="S75" s="69"/>
      <c r="T75" s="104"/>
      <c r="U75" s="104"/>
      <c r="V75" s="104"/>
      <c r="W75" s="104"/>
      <c r="X75" s="69"/>
      <c r="Y75" s="31"/>
      <c r="Z75" s="31"/>
      <c r="AA75" s="31"/>
    </row>
    <row r="76" spans="1:27" x14ac:dyDescent="0.3">
      <c r="F76" s="34"/>
      <c r="J76" s="8"/>
      <c r="L76" s="69"/>
      <c r="M76" s="70"/>
      <c r="N76" s="104"/>
      <c r="O76" s="104"/>
      <c r="P76" s="104"/>
      <c r="Q76" s="69"/>
      <c r="R76" s="104"/>
      <c r="S76" s="69"/>
      <c r="T76" s="104"/>
      <c r="U76" s="104"/>
      <c r="V76" s="104"/>
      <c r="W76" s="104"/>
      <c r="X76" s="69"/>
      <c r="Y76" s="31"/>
      <c r="Z76" s="31"/>
      <c r="AA76" s="31"/>
    </row>
    <row r="77" spans="1:27" x14ac:dyDescent="0.3">
      <c r="F77" s="34"/>
      <c r="L77" s="31"/>
      <c r="M77" s="34"/>
      <c r="N77" s="30"/>
      <c r="O77" s="30"/>
      <c r="P77" s="30"/>
      <c r="Q77" s="31"/>
      <c r="R77" s="30"/>
      <c r="S77" s="31"/>
      <c r="T77" s="104"/>
      <c r="U77" s="104"/>
      <c r="V77" s="104"/>
      <c r="W77" s="104"/>
      <c r="X77" s="69"/>
      <c r="Y77" s="31"/>
      <c r="Z77" s="31"/>
      <c r="AA77" s="31"/>
    </row>
    <row r="78" spans="1:27" x14ac:dyDescent="0.3">
      <c r="F78" s="34"/>
      <c r="L78" s="31"/>
      <c r="M78" s="34"/>
      <c r="N78" s="30"/>
      <c r="O78" s="30"/>
      <c r="P78" s="30"/>
      <c r="Q78" s="31"/>
      <c r="R78" s="30"/>
      <c r="S78" s="31"/>
      <c r="T78" s="104"/>
      <c r="U78" s="104"/>
      <c r="V78" s="104"/>
      <c r="W78" s="104"/>
      <c r="X78" s="69"/>
      <c r="Y78" s="31"/>
      <c r="Z78" s="31"/>
      <c r="AA78" s="31"/>
    </row>
    <row r="79" spans="1:27" x14ac:dyDescent="0.3">
      <c r="F79" s="34"/>
      <c r="L79" s="31"/>
      <c r="M79" s="34"/>
      <c r="N79" s="30"/>
      <c r="O79" s="30"/>
      <c r="P79" s="30"/>
      <c r="Q79" s="31"/>
      <c r="R79" s="30"/>
      <c r="S79" s="31"/>
      <c r="T79" s="104"/>
      <c r="U79" s="104"/>
      <c r="V79" s="104"/>
      <c r="W79" s="104"/>
      <c r="X79" s="69"/>
      <c r="Y79" s="31"/>
      <c r="Z79" s="31"/>
      <c r="AA79" s="31"/>
    </row>
    <row r="80" spans="1:27" x14ac:dyDescent="0.3">
      <c r="F80" s="34"/>
      <c r="L80" s="31"/>
      <c r="M80" s="34"/>
      <c r="N80" s="30"/>
      <c r="O80" s="30"/>
      <c r="P80" s="30"/>
      <c r="Q80" s="31"/>
      <c r="R80" s="30"/>
      <c r="S80" s="31"/>
      <c r="T80" s="104"/>
      <c r="U80" s="104"/>
      <c r="V80" s="104"/>
      <c r="W80" s="104"/>
      <c r="X80" s="69"/>
      <c r="Y80" s="31"/>
      <c r="Z80" s="31"/>
      <c r="AA80" s="31"/>
    </row>
    <row r="81" spans="6:27" x14ac:dyDescent="0.3">
      <c r="F81" s="34"/>
      <c r="L81" s="31"/>
      <c r="M81" s="34"/>
      <c r="N81" s="30"/>
      <c r="O81" s="30"/>
      <c r="P81" s="30"/>
      <c r="Q81" s="31"/>
      <c r="R81" s="30"/>
      <c r="S81" s="31"/>
      <c r="T81" s="104"/>
      <c r="U81" s="104"/>
      <c r="V81" s="104"/>
      <c r="W81" s="104"/>
      <c r="X81" s="69"/>
      <c r="Y81" s="31"/>
      <c r="Z81" s="31"/>
      <c r="AA81" s="31"/>
    </row>
    <row r="82" spans="6:27" x14ac:dyDescent="0.3">
      <c r="F82" s="34"/>
      <c r="L82" s="31"/>
      <c r="M82" s="34"/>
      <c r="N82" s="30"/>
      <c r="O82" s="30"/>
      <c r="P82" s="30"/>
      <c r="Q82" s="31"/>
      <c r="R82" s="30"/>
      <c r="S82" s="31"/>
      <c r="T82" s="104"/>
      <c r="U82" s="104"/>
      <c r="V82" s="104"/>
      <c r="W82" s="104"/>
      <c r="X82" s="69"/>
      <c r="Y82" s="31"/>
      <c r="Z82" s="31"/>
      <c r="AA82" s="31"/>
    </row>
    <row r="83" spans="6:27" x14ac:dyDescent="0.3">
      <c r="F83" s="34"/>
      <c r="L83" s="31"/>
      <c r="M83" s="34"/>
      <c r="N83" s="30"/>
      <c r="O83" s="30"/>
      <c r="P83" s="30"/>
      <c r="Q83" s="31"/>
      <c r="R83" s="30"/>
      <c r="S83" s="31"/>
      <c r="T83" s="104"/>
      <c r="U83" s="104"/>
      <c r="V83" s="104"/>
      <c r="W83" s="104"/>
      <c r="X83" s="69"/>
      <c r="Y83" s="31"/>
      <c r="Z83" s="31"/>
      <c r="AA83" s="31"/>
    </row>
    <row r="84" spans="6:27" x14ac:dyDescent="0.3">
      <c r="F84" s="34"/>
      <c r="L84" s="31"/>
      <c r="M84" s="34"/>
      <c r="N84" s="30"/>
      <c r="O84" s="30"/>
      <c r="P84" s="30"/>
      <c r="Q84" s="31"/>
      <c r="R84" s="30"/>
      <c r="S84" s="31"/>
      <c r="T84" s="104"/>
      <c r="U84" s="104"/>
      <c r="V84" s="104"/>
      <c r="W84" s="104"/>
      <c r="X84" s="69"/>
      <c r="Y84" s="31"/>
      <c r="Z84" s="31"/>
      <c r="AA84" s="31"/>
    </row>
    <row r="85" spans="6:27" x14ac:dyDescent="0.3">
      <c r="F85" s="34"/>
      <c r="L85" s="31"/>
      <c r="M85" s="34"/>
      <c r="N85" s="30"/>
      <c r="O85" s="30"/>
      <c r="P85" s="30"/>
      <c r="Q85" s="31"/>
      <c r="R85" s="30"/>
      <c r="S85" s="31"/>
      <c r="T85" s="104"/>
      <c r="U85" s="104"/>
      <c r="V85" s="104"/>
      <c r="W85" s="104"/>
      <c r="X85" s="69"/>
      <c r="Y85" s="31"/>
      <c r="Z85" s="31"/>
      <c r="AA85" s="31"/>
    </row>
    <row r="86" spans="6:27" x14ac:dyDescent="0.3">
      <c r="F86" s="34"/>
      <c r="L86" s="31"/>
      <c r="M86" s="34"/>
      <c r="N86" s="30"/>
      <c r="O86" s="30"/>
      <c r="P86" s="30"/>
      <c r="Q86" s="31"/>
      <c r="R86" s="30"/>
      <c r="S86" s="31"/>
      <c r="T86" s="104"/>
      <c r="U86" s="104"/>
      <c r="V86" s="104"/>
      <c r="W86" s="104"/>
      <c r="X86" s="69"/>
      <c r="Y86" s="31"/>
      <c r="Z86" s="31"/>
      <c r="AA86" s="31"/>
    </row>
    <row r="87" spans="6:27" x14ac:dyDescent="0.3">
      <c r="F87" s="34"/>
      <c r="L87" s="31"/>
      <c r="M87" s="34"/>
      <c r="N87" s="30"/>
      <c r="O87" s="30"/>
      <c r="P87" s="30"/>
      <c r="Q87" s="31"/>
      <c r="R87" s="30"/>
      <c r="S87" s="31"/>
      <c r="T87" s="104"/>
      <c r="U87" s="104"/>
      <c r="V87" s="104"/>
      <c r="W87" s="104"/>
      <c r="X87" s="69"/>
      <c r="Y87" s="31"/>
      <c r="Z87" s="31"/>
      <c r="AA87" s="31"/>
    </row>
    <row r="88" spans="6:27" x14ac:dyDescent="0.3">
      <c r="F88" s="34"/>
      <c r="L88" s="31"/>
      <c r="M88" s="34"/>
      <c r="N88" s="30"/>
      <c r="O88" s="30"/>
      <c r="P88" s="30"/>
      <c r="Q88" s="31"/>
      <c r="R88" s="30"/>
      <c r="S88" s="31"/>
      <c r="T88" s="104"/>
      <c r="U88" s="104"/>
      <c r="V88" s="104"/>
      <c r="W88" s="104"/>
      <c r="X88" s="69"/>
      <c r="Y88" s="31"/>
      <c r="Z88" s="31"/>
      <c r="AA88" s="31"/>
    </row>
    <row r="89" spans="6:27" x14ac:dyDescent="0.3">
      <c r="F89" s="34"/>
      <c r="L89" s="31"/>
      <c r="M89" s="34"/>
      <c r="N89" s="30"/>
      <c r="O89" s="30"/>
      <c r="P89" s="30"/>
      <c r="Q89" s="31"/>
      <c r="R89" s="30"/>
      <c r="S89" s="31"/>
      <c r="T89" s="104"/>
      <c r="U89" s="104"/>
      <c r="V89" s="104"/>
      <c r="W89" s="104"/>
      <c r="X89" s="69"/>
      <c r="Y89" s="31"/>
      <c r="Z89" s="31"/>
      <c r="AA89" s="31"/>
    </row>
    <row r="90" spans="6:27" x14ac:dyDescent="0.3">
      <c r="F90" s="34"/>
      <c r="L90" s="31"/>
      <c r="M90" s="34"/>
      <c r="N90" s="30"/>
      <c r="O90" s="30"/>
      <c r="P90" s="30"/>
      <c r="Q90" s="31"/>
      <c r="R90" s="30"/>
      <c r="S90" s="31"/>
      <c r="T90" s="104"/>
      <c r="U90" s="104"/>
      <c r="V90" s="104"/>
      <c r="W90" s="104"/>
      <c r="X90" s="69"/>
      <c r="Y90" s="31"/>
      <c r="Z90" s="31"/>
      <c r="AA90" s="31"/>
    </row>
    <row r="91" spans="6:27" x14ac:dyDescent="0.3">
      <c r="F91" s="34"/>
      <c r="L91" s="31"/>
      <c r="M91" s="34"/>
      <c r="N91" s="30"/>
      <c r="O91" s="30"/>
      <c r="P91" s="30"/>
      <c r="Q91" s="31"/>
      <c r="R91" s="30"/>
      <c r="S91" s="31"/>
      <c r="T91" s="104"/>
      <c r="U91" s="104"/>
      <c r="V91" s="104"/>
      <c r="W91" s="104"/>
      <c r="X91" s="69"/>
      <c r="Y91" s="31"/>
      <c r="Z91" s="31"/>
      <c r="AA91" s="31"/>
    </row>
    <row r="92" spans="6:27" x14ac:dyDescent="0.3">
      <c r="F92" s="34"/>
      <c r="L92" s="31"/>
      <c r="M92" s="34"/>
      <c r="N92" s="30"/>
      <c r="O92" s="30"/>
      <c r="P92" s="30"/>
      <c r="Q92" s="31"/>
      <c r="R92" s="30"/>
      <c r="S92" s="31"/>
      <c r="T92" s="104"/>
      <c r="U92" s="104"/>
      <c r="V92" s="104"/>
      <c r="W92" s="104"/>
      <c r="X92" s="69"/>
      <c r="Y92" s="31"/>
      <c r="Z92" s="31"/>
      <c r="AA92" s="31"/>
    </row>
    <row r="93" spans="6:27" x14ac:dyDescent="0.3">
      <c r="F93" s="34"/>
      <c r="L93" s="31"/>
      <c r="M93" s="34"/>
      <c r="N93" s="30"/>
      <c r="O93" s="30"/>
      <c r="P93" s="30"/>
      <c r="Q93" s="31"/>
      <c r="R93" s="30"/>
      <c r="S93" s="31"/>
      <c r="T93" s="104"/>
      <c r="U93" s="104"/>
      <c r="V93" s="104"/>
      <c r="W93" s="104"/>
      <c r="X93" s="69"/>
      <c r="Y93" s="31"/>
      <c r="Z93" s="31"/>
      <c r="AA93" s="31"/>
    </row>
    <row r="94" spans="6:27" x14ac:dyDescent="0.3">
      <c r="F94" s="34"/>
      <c r="L94" s="31"/>
      <c r="M94" s="34"/>
      <c r="N94" s="30"/>
      <c r="O94" s="30"/>
      <c r="P94" s="30"/>
      <c r="Q94" s="31"/>
      <c r="R94" s="30"/>
      <c r="S94" s="31"/>
      <c r="T94" s="104"/>
      <c r="U94" s="104"/>
      <c r="V94" s="104"/>
      <c r="W94" s="104"/>
      <c r="X94" s="69"/>
      <c r="Y94" s="31"/>
      <c r="Z94" s="31"/>
      <c r="AA94" s="31"/>
    </row>
    <row r="95" spans="6:27" x14ac:dyDescent="0.3">
      <c r="F95" s="34"/>
      <c r="L95" s="31"/>
      <c r="M95" s="34"/>
      <c r="N95" s="30"/>
      <c r="O95" s="30"/>
      <c r="P95" s="30"/>
      <c r="Q95" s="31"/>
      <c r="R95" s="30"/>
      <c r="S95" s="31"/>
      <c r="T95" s="104"/>
      <c r="U95" s="104"/>
      <c r="V95" s="104"/>
      <c r="W95" s="104"/>
      <c r="X95" s="69"/>
      <c r="Y95" s="31"/>
      <c r="Z95" s="31"/>
      <c r="AA95" s="31"/>
    </row>
    <row r="96" spans="6:27" x14ac:dyDescent="0.3">
      <c r="F96" s="34"/>
      <c r="L96" s="31"/>
      <c r="M96" s="34"/>
      <c r="N96" s="30"/>
      <c r="O96" s="30"/>
      <c r="P96" s="30"/>
      <c r="Q96" s="31"/>
      <c r="R96" s="30"/>
      <c r="S96" s="31"/>
      <c r="T96" s="104"/>
      <c r="U96" s="104"/>
      <c r="V96" s="104"/>
      <c r="W96" s="104"/>
      <c r="X96" s="69"/>
      <c r="Y96" s="31"/>
      <c r="Z96" s="31"/>
      <c r="AA96" s="31"/>
    </row>
    <row r="97" spans="6:27" x14ac:dyDescent="0.3">
      <c r="F97" s="34"/>
      <c r="L97" s="31"/>
      <c r="M97" s="34"/>
      <c r="N97" s="30"/>
      <c r="O97" s="30"/>
      <c r="P97" s="30"/>
      <c r="Q97" s="31"/>
      <c r="R97" s="30"/>
      <c r="S97" s="31"/>
      <c r="T97" s="104"/>
      <c r="U97" s="104"/>
      <c r="V97" s="104"/>
      <c r="W97" s="104"/>
      <c r="X97" s="69"/>
      <c r="Y97" s="31"/>
      <c r="Z97" s="31"/>
      <c r="AA97" s="31"/>
    </row>
    <row r="98" spans="6:27" x14ac:dyDescent="0.3">
      <c r="F98" s="34"/>
      <c r="L98" s="31"/>
      <c r="M98" s="34"/>
      <c r="N98" s="30"/>
      <c r="O98" s="30"/>
      <c r="P98" s="30"/>
      <c r="Q98" s="31"/>
      <c r="R98" s="30"/>
      <c r="S98" s="31"/>
      <c r="T98" s="104"/>
      <c r="U98" s="104"/>
      <c r="V98" s="104"/>
      <c r="W98" s="104"/>
      <c r="X98" s="69"/>
      <c r="Y98" s="31"/>
      <c r="Z98" s="31"/>
      <c r="AA98" s="31"/>
    </row>
    <row r="99" spans="6:27" x14ac:dyDescent="0.3">
      <c r="F99" s="34"/>
      <c r="L99" s="31"/>
      <c r="M99" s="34"/>
      <c r="N99" s="30"/>
      <c r="O99" s="30"/>
      <c r="P99" s="30"/>
      <c r="Q99" s="31"/>
      <c r="R99" s="30"/>
      <c r="S99" s="31"/>
      <c r="T99" s="104"/>
      <c r="U99" s="104"/>
      <c r="V99" s="104"/>
      <c r="W99" s="104"/>
      <c r="X99" s="69"/>
      <c r="Y99" s="31"/>
      <c r="Z99" s="31"/>
      <c r="AA99" s="31"/>
    </row>
    <row r="100" spans="6:27" x14ac:dyDescent="0.3">
      <c r="F100" s="34"/>
      <c r="L100" s="31"/>
      <c r="M100" s="34"/>
      <c r="N100" s="30"/>
      <c r="O100" s="30"/>
      <c r="P100" s="30"/>
      <c r="Q100" s="31"/>
      <c r="R100" s="30"/>
      <c r="S100" s="31"/>
      <c r="T100" s="104"/>
      <c r="U100" s="104"/>
      <c r="V100" s="104"/>
      <c r="W100" s="104"/>
      <c r="X100" s="69"/>
      <c r="Y100" s="31"/>
      <c r="Z100" s="31"/>
      <c r="AA100" s="31"/>
    </row>
    <row r="101" spans="6:27" x14ac:dyDescent="0.3">
      <c r="F101" s="34"/>
      <c r="L101" s="31"/>
      <c r="M101" s="34"/>
      <c r="N101" s="30"/>
      <c r="O101" s="30"/>
      <c r="P101" s="30"/>
      <c r="Q101" s="31"/>
      <c r="R101" s="30"/>
      <c r="S101" s="31"/>
      <c r="T101" s="104"/>
      <c r="U101" s="104"/>
      <c r="V101" s="104"/>
      <c r="W101" s="104"/>
      <c r="X101" s="69"/>
      <c r="Y101" s="31"/>
      <c r="Z101" s="31"/>
      <c r="AA101" s="31"/>
    </row>
    <row r="102" spans="6:27" x14ac:dyDescent="0.3">
      <c r="F102" s="34"/>
      <c r="L102" s="31"/>
      <c r="M102" s="34"/>
      <c r="N102" s="30"/>
      <c r="O102" s="30"/>
      <c r="P102" s="30"/>
      <c r="Q102" s="31"/>
      <c r="R102" s="30"/>
      <c r="S102" s="31"/>
      <c r="T102" s="104"/>
      <c r="U102" s="104"/>
      <c r="V102" s="104"/>
      <c r="W102" s="104"/>
      <c r="X102" s="69"/>
      <c r="Y102" s="31"/>
      <c r="Z102" s="31"/>
      <c r="AA102" s="31"/>
    </row>
    <row r="103" spans="6:27" x14ac:dyDescent="0.3">
      <c r="F103" s="34"/>
      <c r="L103" s="31"/>
      <c r="M103" s="34"/>
      <c r="N103" s="30"/>
      <c r="O103" s="30"/>
      <c r="P103" s="30"/>
      <c r="Q103" s="31"/>
      <c r="R103" s="30"/>
      <c r="S103" s="31"/>
      <c r="T103" s="104"/>
      <c r="U103" s="104"/>
      <c r="V103" s="104"/>
      <c r="W103" s="104"/>
      <c r="X103" s="69"/>
      <c r="Y103" s="31"/>
      <c r="Z103" s="31"/>
      <c r="AA103" s="31"/>
    </row>
    <row r="104" spans="6:27" x14ac:dyDescent="0.3">
      <c r="T104" s="104"/>
      <c r="U104" s="104"/>
      <c r="V104" s="104"/>
      <c r="W104" s="104"/>
    </row>
  </sheetData>
  <sortState ref="A7:BB63">
    <sortCondition descending="1" ref="C7:C63"/>
  </sortState>
  <mergeCells count="5">
    <mergeCell ref="D4:F4"/>
    <mergeCell ref="G4:G5"/>
    <mergeCell ref="H4:H5"/>
    <mergeCell ref="I4:I5"/>
    <mergeCell ref="J4:J5"/>
  </mergeCells>
  <conditionalFormatting sqref="R6:R20 R56:R70 R49:R54 R26 R23:R24 R28:R47">
    <cfRule type="colorScale" priority="169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:Q11 Q13:Q14 Q16:Q18 Q20:Q25 Q27 Q30:Q31 Q36:Q38 Q40:Q44 Q46:Q58 Q60 Q62 Q66:Q67 Q70">
    <cfRule type="colorScale" priority="169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6:P7 O6:O15 N6:N26 P67 P55:P58 P52:P53 P46:P48 P43:P44 P40:P41 P17 P13 P11 P9 O17:O20 O23:P25 O27:O29 O31 O33 O36:P38 O40:O58 O60:P60 O62 O66:O67 O70:P70 N57:N70 N41:N54 N28:N39">
    <cfRule type="colorScale" priority="169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B6:B70">
    <cfRule type="colorScale" priority="1722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C6:C70">
    <cfRule type="colorScale" priority="1724">
      <colorScale>
        <cfvo type="min"/>
        <cfvo type="percentile" val="50"/>
        <cfvo type="max"/>
        <color rgb="FFF97B7E"/>
        <color rgb="FFFFEB84"/>
        <color rgb="FF7AC88E"/>
      </colorScale>
    </cfRule>
  </conditionalFormatting>
  <conditionalFormatting sqref="M6:M70">
    <cfRule type="colorScale" priority="21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R27 R55 R21:R22 R25 R48">
    <cfRule type="colorScale" priority="1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Q63:Q65 Q68:Q69 Q32:Q35 Q61 Q59 Q45 Q39 Q28:Q29 Q12 Q26 Q19 Q15">
    <cfRule type="colorScale" priority="1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P14:P16 P8 P10 P12 P18:P22 P26:P35 P61:P66 P39 P42 P45 P49:P51 P54 P59 P68:P69">
    <cfRule type="colorScale" priority="1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O63:O65 N55:N56 N27 N40 O68:O69 O16 O61 O59 O39 O34:O35 O32 O30 O26 O21:O22">
    <cfRule type="colorScale" priority="14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">
    <cfRule type="colorScale" priority="9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7:T70">
    <cfRule type="colorScale" priority="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6:W6">
    <cfRule type="colorScale" priority="7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U7:W70">
    <cfRule type="colorScale" priority="6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G6:K70">
    <cfRule type="colorScale" priority="5">
      <colorScale>
        <cfvo type="min"/>
        <cfvo type="percentile" val="50"/>
        <cfvo type="max"/>
        <color rgb="FF7AC88E"/>
        <color rgb="FFFFEB84"/>
        <color rgb="FFF97B7E"/>
      </colorScale>
    </cfRule>
  </conditionalFormatting>
  <conditionalFormatting sqref="T6:W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R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W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/>
  </sheetPr>
  <dimension ref="A1:C78"/>
  <sheetViews>
    <sheetView topLeftCell="A40" zoomScale="85" zoomScaleNormal="85" workbookViewId="0">
      <selection activeCell="B69" sqref="B69"/>
    </sheetView>
  </sheetViews>
  <sheetFormatPr defaultRowHeight="15" x14ac:dyDescent="0.25"/>
  <cols>
    <col min="1" max="1" width="41.28515625" style="22" customWidth="1"/>
    <col min="2" max="2" width="13.28515625" customWidth="1"/>
  </cols>
  <sheetData>
    <row r="1" spans="1:3" ht="21" x14ac:dyDescent="0.35">
      <c r="A1" s="102" t="s">
        <v>124</v>
      </c>
      <c r="B1" s="165"/>
      <c r="C1" s="165"/>
    </row>
    <row r="2" spans="1:3" ht="21" x14ac:dyDescent="0.35">
      <c r="A2" s="102"/>
      <c r="B2" s="165"/>
      <c r="C2" s="165"/>
    </row>
    <row r="3" spans="1:3" s="1" customFormat="1" ht="18.75" x14ac:dyDescent="0.3">
      <c r="A3" s="344"/>
      <c r="B3" s="31"/>
      <c r="C3" s="31"/>
    </row>
    <row r="4" spans="1:3" s="1" customFormat="1" ht="18.75" x14ac:dyDescent="0.3">
      <c r="A4" s="32"/>
      <c r="B4" s="186" t="s">
        <v>71</v>
      </c>
      <c r="C4" s="31"/>
    </row>
    <row r="5" spans="1:3" s="1" customFormat="1" ht="18.75" x14ac:dyDescent="0.3">
      <c r="A5" s="32"/>
      <c r="B5" s="186" t="s">
        <v>54</v>
      </c>
      <c r="C5" s="31"/>
    </row>
    <row r="6" spans="1:3" s="1" customFormat="1" ht="19.5" thickBot="1" x14ac:dyDescent="0.35">
      <c r="A6" s="94" t="s">
        <v>4</v>
      </c>
      <c r="B6" s="187" t="s">
        <v>2</v>
      </c>
      <c r="C6" s="31"/>
    </row>
    <row r="7" spans="1:3" s="1" customFormat="1" ht="18.75" x14ac:dyDescent="0.3">
      <c r="A7" s="151" t="s">
        <v>10</v>
      </c>
      <c r="B7" s="458">
        <v>0</v>
      </c>
      <c r="C7" s="31"/>
    </row>
    <row r="8" spans="1:3" s="1" customFormat="1" ht="18.75" x14ac:dyDescent="0.3">
      <c r="A8" s="184" t="s">
        <v>156</v>
      </c>
      <c r="B8" s="458">
        <v>0</v>
      </c>
      <c r="C8" s="31"/>
    </row>
    <row r="9" spans="1:3" s="1" customFormat="1" ht="18.75" x14ac:dyDescent="0.3">
      <c r="A9" s="184" t="s">
        <v>102</v>
      </c>
      <c r="B9" s="458">
        <v>0</v>
      </c>
      <c r="C9" s="31"/>
    </row>
    <row r="10" spans="1:3" s="1" customFormat="1" ht="18.75" x14ac:dyDescent="0.3">
      <c r="A10" s="184" t="s">
        <v>103</v>
      </c>
      <c r="B10" s="458">
        <v>0</v>
      </c>
      <c r="C10" s="31"/>
    </row>
    <row r="11" spans="1:3" s="1" customFormat="1" ht="18.75" x14ac:dyDescent="0.3">
      <c r="A11" s="87" t="s">
        <v>5</v>
      </c>
      <c r="B11" s="458">
        <v>0</v>
      </c>
      <c r="C11" s="31"/>
    </row>
    <row r="12" spans="1:3" s="1" customFormat="1" ht="18.75" x14ac:dyDescent="0.3">
      <c r="A12" s="184" t="s">
        <v>157</v>
      </c>
      <c r="B12" s="458">
        <v>0</v>
      </c>
      <c r="C12" s="31"/>
    </row>
    <row r="13" spans="1:3" s="1" customFormat="1" ht="18.75" x14ac:dyDescent="0.3">
      <c r="A13" s="184" t="s">
        <v>247</v>
      </c>
      <c r="B13" s="458">
        <v>0</v>
      </c>
      <c r="C13" s="31"/>
    </row>
    <row r="14" spans="1:3" s="1" customFormat="1" ht="18.75" x14ac:dyDescent="0.3">
      <c r="A14" s="87" t="s">
        <v>94</v>
      </c>
      <c r="B14" s="458">
        <v>0</v>
      </c>
      <c r="C14" s="31"/>
    </row>
    <row r="15" spans="1:3" s="1" customFormat="1" ht="18.75" x14ac:dyDescent="0.3">
      <c r="A15" s="184" t="s">
        <v>104</v>
      </c>
      <c r="B15" s="458">
        <v>0</v>
      </c>
      <c r="C15" s="31"/>
    </row>
    <row r="16" spans="1:3" s="1" customFormat="1" ht="18.75" x14ac:dyDescent="0.3">
      <c r="A16" s="184" t="s">
        <v>9</v>
      </c>
      <c r="B16" s="458">
        <v>0</v>
      </c>
      <c r="C16" s="31"/>
    </row>
    <row r="17" spans="1:3" s="1" customFormat="1" ht="18.75" x14ac:dyDescent="0.3">
      <c r="A17" s="87" t="s">
        <v>90</v>
      </c>
      <c r="B17" s="458">
        <v>0</v>
      </c>
      <c r="C17" s="31"/>
    </row>
    <row r="18" spans="1:3" s="1" customFormat="1" ht="18.75" x14ac:dyDescent="0.3">
      <c r="A18" s="87" t="s">
        <v>14</v>
      </c>
      <c r="B18" s="458">
        <v>0</v>
      </c>
      <c r="C18" s="31"/>
    </row>
    <row r="19" spans="1:3" s="1" customFormat="1" ht="18.75" x14ac:dyDescent="0.3">
      <c r="A19" s="87" t="s">
        <v>96</v>
      </c>
      <c r="B19" s="458">
        <v>0</v>
      </c>
      <c r="C19" s="31"/>
    </row>
    <row r="20" spans="1:3" s="1" customFormat="1" ht="18.75" x14ac:dyDescent="0.3">
      <c r="A20" s="184" t="s">
        <v>99</v>
      </c>
      <c r="B20" s="458">
        <v>0</v>
      </c>
      <c r="C20" s="31"/>
    </row>
    <row r="21" spans="1:3" s="1" customFormat="1" ht="18.75" x14ac:dyDescent="0.3">
      <c r="A21" s="184" t="s">
        <v>105</v>
      </c>
      <c r="B21" s="458">
        <v>0</v>
      </c>
      <c r="C21" s="31"/>
    </row>
    <row r="22" spans="1:3" s="1" customFormat="1" ht="18.75" x14ac:dyDescent="0.3">
      <c r="A22" s="87" t="s">
        <v>92</v>
      </c>
      <c r="B22" s="458">
        <v>0</v>
      </c>
      <c r="C22" s="31"/>
    </row>
    <row r="23" spans="1:3" s="1" customFormat="1" ht="18.75" x14ac:dyDescent="0.3">
      <c r="A23" s="87" t="s">
        <v>22</v>
      </c>
      <c r="B23" s="458">
        <v>0</v>
      </c>
      <c r="C23" s="31"/>
    </row>
    <row r="24" spans="1:3" s="1" customFormat="1" ht="18.75" x14ac:dyDescent="0.3">
      <c r="A24" s="87" t="s">
        <v>13</v>
      </c>
      <c r="B24" s="458">
        <v>0</v>
      </c>
      <c r="C24" s="31"/>
    </row>
    <row r="25" spans="1:3" s="1" customFormat="1" ht="18.75" x14ac:dyDescent="0.3">
      <c r="A25" s="87" t="s">
        <v>6</v>
      </c>
      <c r="B25" s="458">
        <v>0</v>
      </c>
      <c r="C25" s="31"/>
    </row>
    <row r="26" spans="1:3" s="1" customFormat="1" ht="18.75" x14ac:dyDescent="0.3">
      <c r="A26" s="87" t="s">
        <v>16</v>
      </c>
      <c r="B26" s="458">
        <v>0</v>
      </c>
      <c r="C26" s="31"/>
    </row>
    <row r="27" spans="1:3" s="1" customFormat="1" ht="18.75" x14ac:dyDescent="0.3">
      <c r="A27" s="184" t="s">
        <v>106</v>
      </c>
      <c r="B27" s="458">
        <v>0</v>
      </c>
      <c r="C27" s="31"/>
    </row>
    <row r="28" spans="1:3" s="1" customFormat="1" ht="18.75" x14ac:dyDescent="0.3">
      <c r="A28" s="184" t="s">
        <v>23</v>
      </c>
      <c r="B28" s="458">
        <v>0</v>
      </c>
      <c r="C28" s="31"/>
    </row>
    <row r="29" spans="1:3" s="1" customFormat="1" ht="18.75" x14ac:dyDescent="0.3">
      <c r="A29" s="184" t="s">
        <v>330</v>
      </c>
      <c r="B29" s="458">
        <v>0</v>
      </c>
      <c r="C29" s="31"/>
    </row>
    <row r="30" spans="1:3" s="1" customFormat="1" ht="18.75" x14ac:dyDescent="0.3">
      <c r="A30" s="184" t="s">
        <v>107</v>
      </c>
      <c r="B30" s="458">
        <v>0</v>
      </c>
      <c r="C30" s="31"/>
    </row>
    <row r="31" spans="1:3" s="1" customFormat="1" ht="18.75" x14ac:dyDescent="0.3">
      <c r="A31" s="184" t="s">
        <v>100</v>
      </c>
      <c r="B31" s="458">
        <v>0</v>
      </c>
      <c r="C31" s="31"/>
    </row>
    <row r="32" spans="1:3" s="1" customFormat="1" ht="18.75" x14ac:dyDescent="0.3">
      <c r="A32" s="184" t="s">
        <v>101</v>
      </c>
      <c r="B32" s="458">
        <v>0</v>
      </c>
      <c r="C32" s="31"/>
    </row>
    <row r="33" spans="1:3" s="1" customFormat="1" ht="18.75" x14ac:dyDescent="0.3">
      <c r="A33" s="184" t="s">
        <v>108</v>
      </c>
      <c r="B33" s="458">
        <v>0</v>
      </c>
      <c r="C33" s="31"/>
    </row>
    <row r="34" spans="1:3" s="1" customFormat="1" ht="18.75" x14ac:dyDescent="0.3">
      <c r="A34" s="184" t="s">
        <v>258</v>
      </c>
      <c r="B34" s="458">
        <v>0</v>
      </c>
      <c r="C34" s="31"/>
    </row>
    <row r="35" spans="1:3" s="1" customFormat="1" ht="18.75" x14ac:dyDescent="0.3">
      <c r="A35" s="184" t="s">
        <v>245</v>
      </c>
      <c r="B35" s="458">
        <v>0</v>
      </c>
      <c r="C35" s="31"/>
    </row>
    <row r="36" spans="1:3" s="1" customFormat="1" ht="18.75" x14ac:dyDescent="0.3">
      <c r="A36" s="184" t="s">
        <v>347</v>
      </c>
      <c r="B36" s="458">
        <v>0</v>
      </c>
      <c r="C36" s="31"/>
    </row>
    <row r="37" spans="1:3" s="1" customFormat="1" ht="18.75" x14ac:dyDescent="0.3">
      <c r="A37" s="87" t="s">
        <v>89</v>
      </c>
      <c r="B37" s="458">
        <v>0</v>
      </c>
      <c r="C37" s="31"/>
    </row>
    <row r="38" spans="1:3" s="1" customFormat="1" ht="18.75" x14ac:dyDescent="0.3">
      <c r="A38" s="88" t="s">
        <v>97</v>
      </c>
      <c r="B38" s="458">
        <v>0</v>
      </c>
      <c r="C38" s="31"/>
    </row>
    <row r="39" spans="1:3" s="1" customFormat="1" ht="18.75" x14ac:dyDescent="0.3">
      <c r="A39" s="87" t="s">
        <v>86</v>
      </c>
      <c r="B39" s="458">
        <v>0</v>
      </c>
      <c r="C39" s="31"/>
    </row>
    <row r="40" spans="1:3" s="1" customFormat="1" ht="18.75" x14ac:dyDescent="0.3">
      <c r="A40" s="184" t="s">
        <v>109</v>
      </c>
      <c r="B40" s="458">
        <v>0</v>
      </c>
      <c r="C40" s="31"/>
    </row>
    <row r="41" spans="1:3" s="1" customFormat="1" ht="18.75" x14ac:dyDescent="0.3">
      <c r="A41" s="87" t="s">
        <v>93</v>
      </c>
      <c r="B41" s="458">
        <v>0</v>
      </c>
      <c r="C41" s="31"/>
    </row>
    <row r="42" spans="1:3" s="1" customFormat="1" ht="18.75" x14ac:dyDescent="0.3">
      <c r="A42" s="87" t="s">
        <v>259</v>
      </c>
      <c r="B42" s="458">
        <v>0</v>
      </c>
      <c r="C42" s="31"/>
    </row>
    <row r="43" spans="1:3" s="1" customFormat="1" ht="18.75" x14ac:dyDescent="0.3">
      <c r="A43" s="184" t="s">
        <v>110</v>
      </c>
      <c r="B43" s="458">
        <v>0</v>
      </c>
      <c r="C43" s="31"/>
    </row>
    <row r="44" spans="1:3" s="1" customFormat="1" ht="18.75" x14ac:dyDescent="0.3">
      <c r="A44" s="184" t="s">
        <v>249</v>
      </c>
      <c r="B44" s="458">
        <v>0</v>
      </c>
      <c r="C44" s="31"/>
    </row>
    <row r="45" spans="1:3" s="1" customFormat="1" ht="18.75" x14ac:dyDescent="0.3">
      <c r="A45" s="87" t="s">
        <v>7</v>
      </c>
      <c r="B45" s="458">
        <v>0</v>
      </c>
      <c r="C45" s="31"/>
    </row>
    <row r="46" spans="1:3" s="1" customFormat="1" ht="18.75" x14ac:dyDescent="0.3">
      <c r="A46" s="184" t="s">
        <v>111</v>
      </c>
      <c r="B46" s="457">
        <v>4</v>
      </c>
      <c r="C46" s="31"/>
    </row>
    <row r="47" spans="1:3" s="1" customFormat="1" ht="18.75" x14ac:dyDescent="0.3">
      <c r="A47" s="184" t="s">
        <v>112</v>
      </c>
      <c r="B47" s="458">
        <v>0</v>
      </c>
      <c r="C47" s="31"/>
    </row>
    <row r="48" spans="1:3" s="1" customFormat="1" ht="18.75" x14ac:dyDescent="0.3">
      <c r="A48" s="184" t="s">
        <v>352</v>
      </c>
      <c r="B48" s="458">
        <v>0</v>
      </c>
      <c r="C48" s="31"/>
    </row>
    <row r="49" spans="1:3" s="1" customFormat="1" ht="18.75" x14ac:dyDescent="0.3">
      <c r="A49" s="184" t="s">
        <v>11</v>
      </c>
      <c r="B49" s="458">
        <v>0</v>
      </c>
      <c r="C49" s="31"/>
    </row>
    <row r="50" spans="1:3" s="1" customFormat="1" ht="18.75" x14ac:dyDescent="0.3">
      <c r="A50" s="184" t="s">
        <v>20</v>
      </c>
      <c r="B50" s="458">
        <v>0</v>
      </c>
      <c r="C50" s="31"/>
    </row>
    <row r="51" spans="1:3" s="1" customFormat="1" ht="18.75" x14ac:dyDescent="0.3">
      <c r="A51" s="184" t="s">
        <v>353</v>
      </c>
      <c r="B51" s="458">
        <v>0</v>
      </c>
      <c r="C51" s="31"/>
    </row>
    <row r="52" spans="1:3" s="1" customFormat="1" ht="18.75" x14ac:dyDescent="0.3">
      <c r="A52" s="184" t="s">
        <v>354</v>
      </c>
      <c r="B52" s="458">
        <v>0</v>
      </c>
      <c r="C52" s="31"/>
    </row>
    <row r="53" spans="1:3" s="1" customFormat="1" ht="18.75" x14ac:dyDescent="0.3">
      <c r="A53" s="184" t="s">
        <v>326</v>
      </c>
      <c r="B53" s="458">
        <v>0</v>
      </c>
      <c r="C53" s="31"/>
    </row>
    <row r="54" spans="1:3" s="1" customFormat="1" ht="18.75" x14ac:dyDescent="0.3">
      <c r="A54" s="88" t="s">
        <v>91</v>
      </c>
      <c r="B54" s="458">
        <v>0</v>
      </c>
      <c r="C54" s="31"/>
    </row>
    <row r="55" spans="1:3" s="1" customFormat="1" ht="18.75" x14ac:dyDescent="0.3">
      <c r="A55" s="184" t="s">
        <v>15</v>
      </c>
      <c r="B55" s="458">
        <v>0</v>
      </c>
      <c r="C55" s="31"/>
    </row>
    <row r="56" spans="1:3" s="1" customFormat="1" ht="18.75" x14ac:dyDescent="0.3">
      <c r="A56" s="184" t="s">
        <v>158</v>
      </c>
      <c r="B56" s="458">
        <v>0</v>
      </c>
      <c r="C56" s="31"/>
    </row>
    <row r="57" spans="1:3" s="1" customFormat="1" ht="18.75" x14ac:dyDescent="0.3">
      <c r="A57" s="184" t="s">
        <v>113</v>
      </c>
      <c r="B57" s="458">
        <v>0</v>
      </c>
      <c r="C57" s="31"/>
    </row>
    <row r="58" spans="1:3" s="1" customFormat="1" ht="18.75" x14ac:dyDescent="0.3">
      <c r="A58" s="87" t="s">
        <v>87</v>
      </c>
      <c r="B58" s="458">
        <v>0</v>
      </c>
      <c r="C58" s="31"/>
    </row>
    <row r="59" spans="1:3" s="1" customFormat="1" ht="18.75" x14ac:dyDescent="0.3">
      <c r="A59" s="87" t="s">
        <v>355</v>
      </c>
      <c r="B59" s="458">
        <v>0</v>
      </c>
      <c r="C59" s="31"/>
    </row>
    <row r="60" spans="1:3" s="1" customFormat="1" ht="18.75" x14ac:dyDescent="0.3">
      <c r="A60" s="184" t="s">
        <v>114</v>
      </c>
      <c r="B60" s="458">
        <v>0</v>
      </c>
      <c r="C60" s="31"/>
    </row>
    <row r="61" spans="1:3" s="1" customFormat="1" ht="18.75" x14ac:dyDescent="0.3">
      <c r="A61" s="184" t="s">
        <v>160</v>
      </c>
      <c r="B61" s="458">
        <v>0</v>
      </c>
      <c r="C61" s="31"/>
    </row>
    <row r="62" spans="1:3" s="1" customFormat="1" ht="18.75" x14ac:dyDescent="0.3">
      <c r="A62" s="184" t="s">
        <v>115</v>
      </c>
      <c r="B62" s="458">
        <v>0</v>
      </c>
      <c r="C62" s="31"/>
    </row>
    <row r="63" spans="1:3" s="1" customFormat="1" ht="18.75" x14ac:dyDescent="0.3">
      <c r="A63" s="87" t="s">
        <v>18</v>
      </c>
      <c r="B63" s="458">
        <v>0</v>
      </c>
      <c r="C63" s="31"/>
    </row>
    <row r="64" spans="1:3" s="1" customFormat="1" ht="18.75" x14ac:dyDescent="0.3">
      <c r="A64" s="184" t="s">
        <v>116</v>
      </c>
      <c r="B64" s="458">
        <v>0</v>
      </c>
      <c r="C64" s="31"/>
    </row>
    <row r="65" spans="1:3" s="1" customFormat="1" ht="18.75" x14ac:dyDescent="0.3">
      <c r="A65" s="184" t="s">
        <v>356</v>
      </c>
      <c r="B65" s="458">
        <v>0</v>
      </c>
      <c r="C65" s="31"/>
    </row>
    <row r="66" spans="1:3" s="1" customFormat="1" ht="18.75" x14ac:dyDescent="0.3">
      <c r="A66" s="184" t="s">
        <v>246</v>
      </c>
      <c r="B66" s="458">
        <v>0</v>
      </c>
      <c r="C66" s="31"/>
    </row>
    <row r="67" spans="1:3" s="1" customFormat="1" ht="18.75" x14ac:dyDescent="0.3">
      <c r="A67" s="184" t="s">
        <v>272</v>
      </c>
      <c r="B67" s="458">
        <v>0</v>
      </c>
      <c r="C67" s="31"/>
    </row>
    <row r="68" spans="1:3" s="1" customFormat="1" ht="18.75" x14ac:dyDescent="0.3">
      <c r="A68" s="87" t="s">
        <v>98</v>
      </c>
      <c r="B68" s="458">
        <v>0</v>
      </c>
      <c r="C68" s="31"/>
    </row>
    <row r="69" spans="1:3" s="1" customFormat="1" ht="18.75" x14ac:dyDescent="0.3">
      <c r="A69" s="87" t="s">
        <v>161</v>
      </c>
      <c r="B69" s="457">
        <v>6</v>
      </c>
      <c r="C69" s="31"/>
    </row>
    <row r="70" spans="1:3" s="1" customFormat="1" ht="18.75" x14ac:dyDescent="0.3">
      <c r="A70" s="1001" t="s">
        <v>359</v>
      </c>
      <c r="B70" s="458">
        <v>0</v>
      </c>
      <c r="C70" s="31"/>
    </row>
    <row r="71" spans="1:3" s="1" customFormat="1" ht="19.5" thickBot="1" x14ac:dyDescent="0.35">
      <c r="A71" s="152" t="s">
        <v>162</v>
      </c>
      <c r="B71" s="458">
        <v>0</v>
      </c>
      <c r="C71" s="31"/>
    </row>
    <row r="72" spans="1:3" s="1" customFormat="1" ht="18.75" x14ac:dyDescent="0.3">
      <c r="A72" s="398"/>
      <c r="B72" s="165"/>
      <c r="C72" s="31"/>
    </row>
    <row r="73" spans="1:3" x14ac:dyDescent="0.25">
      <c r="A73" s="398"/>
      <c r="B73" s="165"/>
      <c r="C73" s="165"/>
    </row>
    <row r="74" spans="1:3" x14ac:dyDescent="0.25">
      <c r="A74" s="398"/>
      <c r="B74" s="165"/>
      <c r="C74" s="165"/>
    </row>
    <row r="75" spans="1:3" x14ac:dyDescent="0.25">
      <c r="A75" s="398"/>
      <c r="B75" s="165"/>
      <c r="C75" s="165"/>
    </row>
    <row r="76" spans="1:3" x14ac:dyDescent="0.25">
      <c r="A76" s="398"/>
      <c r="B76" s="165"/>
      <c r="C76" s="165"/>
    </row>
    <row r="77" spans="1:3" x14ac:dyDescent="0.25">
      <c r="A77" s="398"/>
      <c r="B77" s="165"/>
      <c r="C77" s="165"/>
    </row>
    <row r="78" spans="1:3" x14ac:dyDescent="0.25">
      <c r="C78" s="165"/>
    </row>
  </sheetData>
  <sortState ref="A6:B62">
    <sortCondition descending="1" ref="B6"/>
  </sortState>
  <conditionalFormatting sqref="B7:B71">
    <cfRule type="colorScale" priority="1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/>
  </sheetPr>
  <dimension ref="A1:P98"/>
  <sheetViews>
    <sheetView zoomScale="90" zoomScaleNormal="90" workbookViewId="0">
      <selection activeCell="B10" sqref="B10"/>
    </sheetView>
  </sheetViews>
  <sheetFormatPr defaultColWidth="8.85546875" defaultRowHeight="15.75" x14ac:dyDescent="0.25"/>
  <cols>
    <col min="1" max="1" width="38" style="82" customWidth="1"/>
    <col min="2" max="3" width="13.28515625" style="24" customWidth="1"/>
    <col min="4" max="6" width="13.28515625" style="77" customWidth="1"/>
    <col min="7" max="7" width="13.28515625" style="78" customWidth="1"/>
    <col min="8" max="8" width="13.28515625" style="77" customWidth="1"/>
    <col min="9" max="9" width="4.85546875" style="24" customWidth="1"/>
    <col min="10" max="10" width="7.28515625" style="78" customWidth="1"/>
    <col min="11" max="11" width="120.42578125" style="78" customWidth="1"/>
    <col min="12" max="12" width="5" style="78" customWidth="1"/>
    <col min="13" max="16384" width="8.85546875" style="78"/>
  </cols>
  <sheetData>
    <row r="1" spans="1:16" ht="21" x14ac:dyDescent="0.35">
      <c r="A1" s="459" t="s">
        <v>125</v>
      </c>
      <c r="B1" s="402"/>
      <c r="C1" s="402"/>
      <c r="D1" s="460"/>
      <c r="E1" s="460"/>
      <c r="F1" s="460"/>
      <c r="G1" s="461"/>
      <c r="H1" s="460"/>
      <c r="I1" s="402"/>
      <c r="J1" s="461"/>
      <c r="K1" s="462"/>
      <c r="L1" s="461"/>
      <c r="M1" s="461"/>
      <c r="N1" s="461"/>
      <c r="O1" s="461"/>
      <c r="P1" s="461"/>
    </row>
    <row r="2" spans="1:16" ht="18.75" x14ac:dyDescent="0.3">
      <c r="A2" s="463" t="s">
        <v>283</v>
      </c>
      <c r="B2" s="402"/>
      <c r="C2" s="465"/>
      <c r="D2" s="464"/>
      <c r="E2" s="464"/>
      <c r="F2" s="464"/>
      <c r="G2" s="31"/>
      <c r="H2" s="464"/>
      <c r="I2" s="402"/>
      <c r="J2" s="461"/>
      <c r="K2" s="461"/>
      <c r="L2" s="461"/>
      <c r="M2" s="461"/>
      <c r="N2" s="461"/>
      <c r="O2" s="461"/>
      <c r="P2" s="461"/>
    </row>
    <row r="3" spans="1:16" ht="18.75" x14ac:dyDescent="0.3">
      <c r="A3" s="466" t="s">
        <v>370</v>
      </c>
      <c r="B3" s="402"/>
      <c r="C3" s="465"/>
      <c r="D3" s="464"/>
      <c r="E3" s="464"/>
      <c r="F3" s="464"/>
      <c r="G3" s="31"/>
      <c r="H3" s="464"/>
      <c r="I3" s="402"/>
      <c r="J3" s="461"/>
      <c r="K3" s="461"/>
      <c r="L3" s="461"/>
      <c r="M3" s="461"/>
      <c r="N3" s="461"/>
      <c r="O3" s="461"/>
      <c r="P3" s="461"/>
    </row>
    <row r="4" spans="1:16" ht="18.75" x14ac:dyDescent="0.3">
      <c r="A4" s="957"/>
      <c r="B4" s="959"/>
      <c r="C4" s="959"/>
      <c r="D4" s="963" t="s">
        <v>328</v>
      </c>
      <c r="E4" s="964"/>
      <c r="F4" s="964"/>
      <c r="G4" s="506"/>
      <c r="H4" s="964"/>
      <c r="I4" s="402"/>
      <c r="J4" s="461"/>
      <c r="K4" s="461"/>
      <c r="L4" s="461"/>
      <c r="M4" s="461"/>
      <c r="N4" s="461"/>
      <c r="O4" s="461"/>
      <c r="P4" s="461"/>
    </row>
    <row r="5" spans="1:16" ht="18.75" x14ac:dyDescent="0.3">
      <c r="A5" s="957"/>
      <c r="B5" s="960" t="s">
        <v>55</v>
      </c>
      <c r="C5" s="960" t="s">
        <v>72</v>
      </c>
      <c r="D5" s="963" t="s">
        <v>327</v>
      </c>
      <c r="E5" s="963" t="s">
        <v>329</v>
      </c>
      <c r="F5" s="963" t="s">
        <v>372</v>
      </c>
      <c r="G5" s="190"/>
      <c r="H5" s="963" t="s">
        <v>72</v>
      </c>
      <c r="I5" s="402"/>
      <c r="J5" s="461"/>
      <c r="K5" s="461"/>
      <c r="L5" s="461"/>
      <c r="M5" s="461"/>
      <c r="N5" s="461"/>
      <c r="O5" s="461"/>
      <c r="P5" s="461"/>
    </row>
    <row r="6" spans="1:16" ht="19.5" thickBot="1" x14ac:dyDescent="0.35">
      <c r="A6" s="958" t="s">
        <v>4</v>
      </c>
      <c r="B6" s="961" t="s">
        <v>3</v>
      </c>
      <c r="C6" s="962" t="s">
        <v>2</v>
      </c>
      <c r="D6" s="689" t="s">
        <v>284</v>
      </c>
      <c r="E6" s="689" t="s">
        <v>285</v>
      </c>
      <c r="F6" s="689" t="s">
        <v>373</v>
      </c>
      <c r="G6" s="37" t="s">
        <v>73</v>
      </c>
      <c r="H6" s="689" t="s">
        <v>374</v>
      </c>
      <c r="I6" s="402"/>
      <c r="L6" s="461"/>
      <c r="M6" s="461"/>
      <c r="N6" s="461"/>
      <c r="O6" s="461"/>
      <c r="P6" s="461"/>
    </row>
    <row r="7" spans="1:16" ht="18.75" x14ac:dyDescent="0.3">
      <c r="A7" s="151" t="s">
        <v>10</v>
      </c>
      <c r="B7" s="212">
        <v>59</v>
      </c>
      <c r="C7" s="669">
        <v>1</v>
      </c>
      <c r="D7" s="535">
        <v>0.87</v>
      </c>
      <c r="E7" s="684">
        <v>0.25</v>
      </c>
      <c r="F7" s="1082">
        <v>0.125</v>
      </c>
      <c r="G7" s="1062">
        <v>1.21</v>
      </c>
      <c r="H7" s="1088">
        <v>0</v>
      </c>
      <c r="I7" s="948"/>
      <c r="J7" s="949"/>
      <c r="K7" s="949"/>
      <c r="L7" s="949"/>
      <c r="M7" s="949"/>
      <c r="N7" s="949"/>
      <c r="O7" s="949"/>
      <c r="P7" s="949"/>
    </row>
    <row r="8" spans="1:16" ht="19.5" thickBot="1" x14ac:dyDescent="0.35">
      <c r="A8" s="184" t="s">
        <v>156</v>
      </c>
      <c r="B8" s="212">
        <v>49</v>
      </c>
      <c r="C8" s="670">
        <v>2</v>
      </c>
      <c r="D8" s="302">
        <v>0.64</v>
      </c>
      <c r="E8" s="685">
        <v>0.4</v>
      </c>
      <c r="F8" s="1083">
        <v>0.25</v>
      </c>
      <c r="G8" s="1063">
        <v>2.1</v>
      </c>
      <c r="H8" s="1089">
        <v>0</v>
      </c>
      <c r="I8" s="948"/>
      <c r="J8" s="949"/>
      <c r="K8" s="949"/>
      <c r="L8" s="949"/>
      <c r="M8" s="949"/>
      <c r="N8" s="949"/>
      <c r="O8" s="949"/>
      <c r="P8" s="949"/>
    </row>
    <row r="9" spans="1:16" ht="18.75" x14ac:dyDescent="0.3">
      <c r="A9" s="184" t="s">
        <v>102</v>
      </c>
      <c r="B9" s="212">
        <v>2</v>
      </c>
      <c r="C9" s="670">
        <v>6</v>
      </c>
      <c r="D9" s="302"/>
      <c r="E9" s="686">
        <v>0.4</v>
      </c>
      <c r="F9" s="1084">
        <v>0.25</v>
      </c>
      <c r="G9" s="1064">
        <v>2.02</v>
      </c>
      <c r="H9" s="1090">
        <v>0</v>
      </c>
      <c r="I9" s="948"/>
      <c r="J9" s="949"/>
      <c r="K9" s="949"/>
      <c r="L9" s="949"/>
      <c r="M9" s="949"/>
      <c r="N9" s="949"/>
      <c r="O9" s="949"/>
      <c r="P9" s="949"/>
    </row>
    <row r="10" spans="1:16" ht="20.45" customHeight="1" x14ac:dyDescent="0.3">
      <c r="A10" s="184" t="s">
        <v>103</v>
      </c>
      <c r="B10" s="212">
        <v>49</v>
      </c>
      <c r="C10" s="670">
        <v>2</v>
      </c>
      <c r="D10" s="302">
        <v>0.79</v>
      </c>
      <c r="E10" s="685">
        <v>0.4</v>
      </c>
      <c r="F10" s="1083">
        <v>0.25</v>
      </c>
      <c r="G10" s="1065">
        <v>1.99</v>
      </c>
      <c r="H10" s="1089">
        <v>0</v>
      </c>
      <c r="I10" s="948"/>
      <c r="J10" s="949"/>
      <c r="K10" s="949"/>
      <c r="L10" s="949"/>
      <c r="M10" s="949"/>
      <c r="N10" s="949"/>
      <c r="O10" s="949"/>
      <c r="P10" s="949"/>
    </row>
    <row r="11" spans="1:16" ht="20.45" customHeight="1" x14ac:dyDescent="0.3">
      <c r="A11" s="87" t="s">
        <v>5</v>
      </c>
      <c r="B11" s="212">
        <v>14</v>
      </c>
      <c r="C11" s="670">
        <v>4</v>
      </c>
      <c r="D11" s="303">
        <v>0.43</v>
      </c>
      <c r="E11" s="685">
        <v>0.4</v>
      </c>
      <c r="F11" s="1083">
        <v>0.25</v>
      </c>
      <c r="G11" s="1065">
        <v>1.94</v>
      </c>
      <c r="H11" s="1089">
        <v>0</v>
      </c>
      <c r="I11" s="948"/>
      <c r="J11" s="61"/>
      <c r="K11" s="61"/>
      <c r="L11" s="949"/>
      <c r="M11" s="949"/>
      <c r="N11" s="949"/>
      <c r="O11" s="949"/>
      <c r="P11" s="949"/>
    </row>
    <row r="12" spans="1:16" ht="20.45" customHeight="1" x14ac:dyDescent="0.3">
      <c r="A12" s="184" t="s">
        <v>157</v>
      </c>
      <c r="B12" s="212">
        <v>14</v>
      </c>
      <c r="C12" s="670">
        <v>4</v>
      </c>
      <c r="D12" s="302">
        <v>0.39</v>
      </c>
      <c r="E12" s="685">
        <v>0.4</v>
      </c>
      <c r="F12" s="1083">
        <v>0.25</v>
      </c>
      <c r="G12" s="1063">
        <v>2.08</v>
      </c>
      <c r="H12" s="1089">
        <v>0</v>
      </c>
      <c r="I12" s="948"/>
      <c r="J12" s="912"/>
      <c r="K12" s="61"/>
      <c r="L12" s="949"/>
      <c r="M12" s="949"/>
      <c r="N12" s="949"/>
      <c r="O12" s="949"/>
      <c r="P12" s="949"/>
    </row>
    <row r="13" spans="1:16" ht="20.45" customHeight="1" x14ac:dyDescent="0.3">
      <c r="A13" s="184" t="s">
        <v>247</v>
      </c>
      <c r="B13" s="212">
        <v>14</v>
      </c>
      <c r="C13" s="670">
        <v>4</v>
      </c>
      <c r="D13" s="302">
        <v>0.42</v>
      </c>
      <c r="E13" s="685">
        <v>0.4</v>
      </c>
      <c r="F13" s="1083">
        <v>0.25</v>
      </c>
      <c r="G13" s="1063">
        <v>2.0099999999999998</v>
      </c>
      <c r="H13" s="1089">
        <v>0</v>
      </c>
      <c r="I13" s="948"/>
      <c r="J13" s="950"/>
      <c r="K13" s="951"/>
      <c r="L13" s="949"/>
      <c r="M13" s="949"/>
      <c r="N13" s="949"/>
      <c r="O13" s="949"/>
      <c r="P13" s="949"/>
    </row>
    <row r="14" spans="1:16" ht="18.75" x14ac:dyDescent="0.3">
      <c r="A14" s="87" t="s">
        <v>94</v>
      </c>
      <c r="B14" s="212">
        <v>28</v>
      </c>
      <c r="C14" s="670">
        <v>3</v>
      </c>
      <c r="D14" s="302">
        <v>0.49</v>
      </c>
      <c r="E14" s="685">
        <v>0.4</v>
      </c>
      <c r="F14" s="1083">
        <v>0.25</v>
      </c>
      <c r="G14" s="1065">
        <v>1.93</v>
      </c>
      <c r="H14" s="1089">
        <v>0</v>
      </c>
      <c r="I14" s="948"/>
      <c r="J14" s="950"/>
      <c r="K14" s="951"/>
      <c r="L14" s="949"/>
      <c r="M14" s="949"/>
      <c r="N14" s="949"/>
      <c r="O14" s="949"/>
      <c r="P14" s="949"/>
    </row>
    <row r="15" spans="1:16" ht="18.75" x14ac:dyDescent="0.3">
      <c r="A15" s="184" t="s">
        <v>104</v>
      </c>
      <c r="B15" s="212">
        <v>14</v>
      </c>
      <c r="C15" s="670">
        <v>4</v>
      </c>
      <c r="D15" s="302">
        <v>0.43</v>
      </c>
      <c r="E15" s="685">
        <v>0.4</v>
      </c>
      <c r="F15" s="1083">
        <v>0.25</v>
      </c>
      <c r="G15" s="1065">
        <v>1.99</v>
      </c>
      <c r="H15" s="1089">
        <v>0</v>
      </c>
      <c r="I15" s="948"/>
      <c r="J15" s="950"/>
      <c r="K15" s="951"/>
      <c r="L15" s="949"/>
      <c r="M15" s="949"/>
      <c r="N15" s="949"/>
      <c r="O15" s="949"/>
      <c r="P15" s="949"/>
    </row>
    <row r="16" spans="1:16" ht="18.75" x14ac:dyDescent="0.3">
      <c r="A16" s="184" t="s">
        <v>9</v>
      </c>
      <c r="B16" s="212">
        <v>28</v>
      </c>
      <c r="C16" s="670">
        <v>3</v>
      </c>
      <c r="D16" s="303">
        <v>0.6</v>
      </c>
      <c r="E16" s="685">
        <v>0.4</v>
      </c>
      <c r="F16" s="1083">
        <v>0.25</v>
      </c>
      <c r="G16" s="1066">
        <v>1.48</v>
      </c>
      <c r="H16" s="1089">
        <v>0</v>
      </c>
      <c r="I16" s="948"/>
      <c r="J16" s="950"/>
      <c r="K16" s="951"/>
      <c r="L16" s="949"/>
      <c r="M16" s="949"/>
      <c r="N16" s="949"/>
      <c r="O16" s="949"/>
      <c r="P16" s="949"/>
    </row>
    <row r="17" spans="1:16" ht="18.75" x14ac:dyDescent="0.3">
      <c r="A17" s="87" t="s">
        <v>90</v>
      </c>
      <c r="B17" s="212">
        <v>28</v>
      </c>
      <c r="C17" s="672">
        <v>3</v>
      </c>
      <c r="D17" s="668">
        <v>0.54</v>
      </c>
      <c r="E17" s="685">
        <v>0.4</v>
      </c>
      <c r="F17" s="1083">
        <v>0.25</v>
      </c>
      <c r="G17" s="1067">
        <v>1.41</v>
      </c>
      <c r="H17" s="1089">
        <v>0</v>
      </c>
      <c r="I17" s="948"/>
      <c r="J17" s="61"/>
      <c r="K17" s="61"/>
      <c r="L17" s="949"/>
      <c r="M17" s="949"/>
      <c r="N17" s="949"/>
      <c r="O17" s="949"/>
      <c r="P17" s="949"/>
    </row>
    <row r="18" spans="1:16" ht="18.75" x14ac:dyDescent="0.3">
      <c r="A18" s="87" t="s">
        <v>14</v>
      </c>
      <c r="B18" s="212">
        <v>28</v>
      </c>
      <c r="C18" s="670">
        <v>3</v>
      </c>
      <c r="D18" s="302">
        <v>0.56999999999999995</v>
      </c>
      <c r="E18" s="685">
        <v>0.4</v>
      </c>
      <c r="F18" s="1083">
        <v>0.25</v>
      </c>
      <c r="G18" s="1063">
        <v>2.0099999999999998</v>
      </c>
      <c r="H18" s="1089">
        <v>0</v>
      </c>
      <c r="I18" s="948"/>
      <c r="J18" s="61"/>
      <c r="K18" s="61"/>
      <c r="L18" s="949"/>
      <c r="M18" s="949"/>
      <c r="N18" s="949"/>
      <c r="O18" s="949"/>
      <c r="P18" s="949"/>
    </row>
    <row r="19" spans="1:16" ht="18.75" x14ac:dyDescent="0.3">
      <c r="A19" s="87" t="s">
        <v>96</v>
      </c>
      <c r="B19" s="212">
        <v>49</v>
      </c>
      <c r="C19" s="672">
        <v>2</v>
      </c>
      <c r="D19" s="668">
        <v>0.69</v>
      </c>
      <c r="E19" s="685">
        <v>0.4</v>
      </c>
      <c r="F19" s="1083">
        <v>0.25</v>
      </c>
      <c r="G19" s="1067">
        <v>1.35</v>
      </c>
      <c r="H19" s="1089">
        <v>0</v>
      </c>
      <c r="I19" s="948"/>
      <c r="J19" s="949"/>
      <c r="K19" s="949"/>
      <c r="L19" s="949"/>
      <c r="M19" s="949"/>
      <c r="N19" s="949"/>
      <c r="O19" s="949"/>
      <c r="P19" s="949"/>
    </row>
    <row r="20" spans="1:16" ht="18" customHeight="1" x14ac:dyDescent="0.3">
      <c r="A20" s="184" t="s">
        <v>99</v>
      </c>
      <c r="B20" s="212">
        <v>28</v>
      </c>
      <c r="C20" s="670">
        <v>3</v>
      </c>
      <c r="D20" s="303">
        <v>0.46</v>
      </c>
      <c r="E20" s="685">
        <v>0.4</v>
      </c>
      <c r="F20" s="1083">
        <v>0.25</v>
      </c>
      <c r="G20" s="1063">
        <v>2.23</v>
      </c>
      <c r="H20" s="1089">
        <v>0</v>
      </c>
      <c r="I20" s="948"/>
      <c r="J20" s="61"/>
      <c r="K20" s="61"/>
      <c r="L20" s="949"/>
      <c r="M20" s="949"/>
      <c r="N20" s="949"/>
      <c r="O20" s="949"/>
      <c r="P20" s="949"/>
    </row>
    <row r="21" spans="1:16" ht="20.45" customHeight="1" x14ac:dyDescent="0.3">
      <c r="A21" s="184" t="s">
        <v>105</v>
      </c>
      <c r="B21" s="212">
        <v>10</v>
      </c>
      <c r="C21" s="670">
        <v>5</v>
      </c>
      <c r="D21" s="302">
        <v>0.34160293309992001</v>
      </c>
      <c r="E21" s="687">
        <v>0.4</v>
      </c>
      <c r="F21" s="1085">
        <v>0.25</v>
      </c>
      <c r="G21" s="1063">
        <v>2.27</v>
      </c>
      <c r="H21" s="1091">
        <v>0</v>
      </c>
      <c r="I21" s="948"/>
      <c r="J21" s="61"/>
      <c r="K21" s="61"/>
      <c r="L21" s="949"/>
      <c r="M21" s="949"/>
      <c r="N21" s="949"/>
      <c r="O21" s="949"/>
      <c r="P21" s="949"/>
    </row>
    <row r="22" spans="1:16" ht="18.75" x14ac:dyDescent="0.3">
      <c r="A22" s="87" t="s">
        <v>92</v>
      </c>
      <c r="B22" s="212">
        <v>28</v>
      </c>
      <c r="C22" s="670">
        <v>3</v>
      </c>
      <c r="D22" s="304">
        <v>0.56999999999999995</v>
      </c>
      <c r="E22" s="685">
        <v>0.4</v>
      </c>
      <c r="F22" s="1083">
        <v>0.25</v>
      </c>
      <c r="G22" s="1063">
        <v>2.13</v>
      </c>
      <c r="H22" s="1089">
        <v>0</v>
      </c>
      <c r="I22" s="948"/>
      <c r="J22" s="61"/>
      <c r="K22" s="955"/>
      <c r="L22" s="949"/>
      <c r="M22" s="949"/>
      <c r="N22" s="949"/>
      <c r="O22" s="949"/>
      <c r="P22" s="949"/>
    </row>
    <row r="23" spans="1:16" ht="18.75" x14ac:dyDescent="0.3">
      <c r="A23" s="87" t="s">
        <v>22</v>
      </c>
      <c r="B23" s="212">
        <v>28</v>
      </c>
      <c r="C23" s="670">
        <v>3</v>
      </c>
      <c r="D23" s="304"/>
      <c r="E23" s="685">
        <v>0.25</v>
      </c>
      <c r="F23" s="1083">
        <v>0.125</v>
      </c>
      <c r="G23" s="1063">
        <v>1.23</v>
      </c>
      <c r="H23" s="1089">
        <v>0</v>
      </c>
      <c r="I23" s="948"/>
      <c r="J23" s="61"/>
      <c r="K23" s="955"/>
      <c r="L23" s="949"/>
      <c r="M23" s="949"/>
      <c r="N23" s="949"/>
      <c r="O23" s="949"/>
      <c r="P23" s="949"/>
    </row>
    <row r="24" spans="1:16" ht="18.75" x14ac:dyDescent="0.3">
      <c r="A24" s="87" t="s">
        <v>13</v>
      </c>
      <c r="B24" s="212">
        <v>14</v>
      </c>
      <c r="C24" s="670">
        <v>4</v>
      </c>
      <c r="D24" s="302">
        <v>0.4</v>
      </c>
      <c r="E24" s="685">
        <v>0.4</v>
      </c>
      <c r="F24" s="1083">
        <v>0.25</v>
      </c>
      <c r="G24" s="1065">
        <v>1.92</v>
      </c>
      <c r="H24" s="1089">
        <v>0</v>
      </c>
      <c r="I24" s="948"/>
      <c r="J24" s="952"/>
      <c r="K24" s="953"/>
      <c r="L24" s="949"/>
      <c r="M24" s="949"/>
      <c r="N24" s="949"/>
      <c r="O24" s="949"/>
      <c r="P24" s="949"/>
    </row>
    <row r="25" spans="1:16" ht="18.75" x14ac:dyDescent="0.3">
      <c r="A25" s="87" t="s">
        <v>6</v>
      </c>
      <c r="B25" s="212">
        <v>59</v>
      </c>
      <c r="C25" s="670">
        <v>1</v>
      </c>
      <c r="D25" s="302">
        <v>0.78914884211242198</v>
      </c>
      <c r="E25" s="685">
        <v>0.25</v>
      </c>
      <c r="F25" s="1083">
        <v>0.125</v>
      </c>
      <c r="G25" s="1068">
        <v>1.54</v>
      </c>
      <c r="H25" s="1089">
        <v>0</v>
      </c>
      <c r="I25" s="948"/>
      <c r="J25" s="949"/>
      <c r="K25" s="949"/>
      <c r="L25" s="949"/>
      <c r="M25" s="949"/>
      <c r="N25" s="949"/>
      <c r="O25" s="949"/>
      <c r="P25" s="949"/>
    </row>
    <row r="26" spans="1:16" ht="18.75" x14ac:dyDescent="0.3">
      <c r="A26" s="87" t="s">
        <v>16</v>
      </c>
      <c r="B26" s="212">
        <v>59</v>
      </c>
      <c r="C26" s="670">
        <v>1</v>
      </c>
      <c r="D26" s="302">
        <v>0.88</v>
      </c>
      <c r="E26" s="685">
        <v>0.25</v>
      </c>
      <c r="F26" s="1083">
        <v>0.125</v>
      </c>
      <c r="G26" s="1066">
        <v>1.19</v>
      </c>
      <c r="H26" s="1089">
        <v>0</v>
      </c>
      <c r="I26" s="948"/>
      <c r="J26" s="949"/>
      <c r="K26" s="949"/>
      <c r="L26" s="949"/>
      <c r="M26" s="949"/>
      <c r="N26" s="949"/>
      <c r="O26" s="949"/>
      <c r="P26" s="949"/>
    </row>
    <row r="27" spans="1:16" ht="18.75" x14ac:dyDescent="0.3">
      <c r="A27" s="184" t="s">
        <v>106</v>
      </c>
      <c r="B27" s="212">
        <v>14</v>
      </c>
      <c r="C27" s="672">
        <v>4</v>
      </c>
      <c r="D27" s="668"/>
      <c r="E27" s="685">
        <v>0.4</v>
      </c>
      <c r="F27" s="1083">
        <v>0.25</v>
      </c>
      <c r="G27" s="1069">
        <v>1.97</v>
      </c>
      <c r="H27" s="1089">
        <v>0</v>
      </c>
      <c r="I27" s="948"/>
      <c r="J27" s="952"/>
      <c r="K27" s="951"/>
      <c r="L27" s="949"/>
      <c r="M27" s="949"/>
      <c r="N27" s="949"/>
      <c r="O27" s="949"/>
      <c r="P27" s="949"/>
    </row>
    <row r="28" spans="1:16" ht="18.75" x14ac:dyDescent="0.3">
      <c r="A28" s="184" t="s">
        <v>23</v>
      </c>
      <c r="B28" s="212">
        <v>28</v>
      </c>
      <c r="C28" s="670">
        <v>3</v>
      </c>
      <c r="D28" s="302" t="s">
        <v>172</v>
      </c>
      <c r="E28" s="685">
        <v>0.25</v>
      </c>
      <c r="F28" s="1083">
        <v>0.125</v>
      </c>
      <c r="G28" s="1066">
        <v>1.03</v>
      </c>
      <c r="H28" s="1089">
        <v>0</v>
      </c>
      <c r="I28" s="948"/>
      <c r="J28" s="61"/>
      <c r="K28" s="61"/>
      <c r="L28" s="949"/>
      <c r="M28" s="949"/>
      <c r="N28" s="949"/>
      <c r="O28" s="949"/>
      <c r="P28" s="949"/>
    </row>
    <row r="29" spans="1:16" ht="18.75" x14ac:dyDescent="0.3">
      <c r="A29" s="184" t="s">
        <v>330</v>
      </c>
      <c r="B29" s="212">
        <v>14</v>
      </c>
      <c r="C29" s="670">
        <v>4</v>
      </c>
      <c r="D29" s="302">
        <v>0.44</v>
      </c>
      <c r="E29" s="685">
        <v>0.4</v>
      </c>
      <c r="F29" s="1083">
        <v>0.25</v>
      </c>
      <c r="G29" s="1066">
        <v>1.73</v>
      </c>
      <c r="H29" s="1089">
        <v>0</v>
      </c>
      <c r="I29" s="948"/>
      <c r="J29" s="952"/>
      <c r="K29" s="954"/>
      <c r="L29" s="949"/>
      <c r="M29" s="949"/>
      <c r="N29" s="949"/>
      <c r="O29" s="949"/>
      <c r="P29" s="949"/>
    </row>
    <row r="30" spans="1:16" ht="18.75" x14ac:dyDescent="0.3">
      <c r="A30" s="184" t="s">
        <v>107</v>
      </c>
      <c r="B30" s="212">
        <v>14</v>
      </c>
      <c r="C30" s="670">
        <v>4</v>
      </c>
      <c r="D30" s="302"/>
      <c r="E30" s="685">
        <v>0.4</v>
      </c>
      <c r="F30" s="1083">
        <v>0.25</v>
      </c>
      <c r="G30" s="1065">
        <v>1.89</v>
      </c>
      <c r="H30" s="1089">
        <v>0</v>
      </c>
      <c r="I30" s="948"/>
      <c r="J30" s="952"/>
      <c r="K30" s="951"/>
      <c r="L30" s="949"/>
      <c r="M30" s="949"/>
      <c r="N30" s="949"/>
      <c r="O30" s="949"/>
      <c r="P30" s="949"/>
    </row>
    <row r="31" spans="1:16" ht="18" customHeight="1" x14ac:dyDescent="0.3">
      <c r="A31" s="184" t="s">
        <v>100</v>
      </c>
      <c r="B31" s="212">
        <v>10</v>
      </c>
      <c r="C31" s="671">
        <v>5</v>
      </c>
      <c r="D31" s="302">
        <v>0.35</v>
      </c>
      <c r="E31" s="685">
        <v>0.4</v>
      </c>
      <c r="F31" s="1083">
        <v>0.25</v>
      </c>
      <c r="G31" s="1070">
        <v>1.98</v>
      </c>
      <c r="H31" s="1089">
        <v>0</v>
      </c>
      <c r="I31" s="948"/>
      <c r="J31" s="61"/>
      <c r="K31" s="61"/>
      <c r="L31" s="949"/>
      <c r="M31" s="949"/>
      <c r="N31" s="949"/>
      <c r="O31" s="949"/>
      <c r="P31" s="949"/>
    </row>
    <row r="32" spans="1:16" ht="20.45" customHeight="1" x14ac:dyDescent="0.3">
      <c r="A32" s="184" t="s">
        <v>101</v>
      </c>
      <c r="B32" s="212">
        <v>59</v>
      </c>
      <c r="C32" s="670">
        <v>1</v>
      </c>
      <c r="D32" s="302">
        <v>0.81</v>
      </c>
      <c r="E32" s="685">
        <v>0.4</v>
      </c>
      <c r="F32" s="1083">
        <v>0.25</v>
      </c>
      <c r="G32" s="1065">
        <v>1.88</v>
      </c>
      <c r="H32" s="1089">
        <v>0</v>
      </c>
      <c r="I32" s="948"/>
      <c r="J32" s="949"/>
      <c r="K32" s="949"/>
      <c r="L32" s="949"/>
      <c r="M32" s="949"/>
      <c r="N32" s="949"/>
      <c r="O32" s="949"/>
      <c r="P32" s="949"/>
    </row>
    <row r="33" spans="1:16" ht="20.45" customHeight="1" x14ac:dyDescent="0.3">
      <c r="A33" s="184" t="s">
        <v>108</v>
      </c>
      <c r="B33" s="212">
        <v>14</v>
      </c>
      <c r="C33" s="670">
        <v>4</v>
      </c>
      <c r="D33" s="302"/>
      <c r="E33" s="685">
        <v>0.4</v>
      </c>
      <c r="F33" s="1083">
        <v>0.25</v>
      </c>
      <c r="G33" s="1065">
        <v>1.97</v>
      </c>
      <c r="H33" s="1089">
        <v>0</v>
      </c>
      <c r="I33" s="948"/>
      <c r="J33" s="950"/>
      <c r="K33" s="951"/>
      <c r="L33" s="949"/>
      <c r="M33" s="949"/>
      <c r="N33" s="949"/>
      <c r="O33" s="949"/>
      <c r="P33" s="949"/>
    </row>
    <row r="34" spans="1:16" ht="18.75" x14ac:dyDescent="0.3">
      <c r="A34" s="184" t="s">
        <v>258</v>
      </c>
      <c r="B34" s="212">
        <v>59</v>
      </c>
      <c r="C34" s="670">
        <v>1</v>
      </c>
      <c r="D34" s="302">
        <v>0.81</v>
      </c>
      <c r="E34" s="685">
        <v>0.4</v>
      </c>
      <c r="F34" s="1083">
        <v>0.25</v>
      </c>
      <c r="G34" s="1066">
        <v>1.56</v>
      </c>
      <c r="H34" s="1089">
        <v>0</v>
      </c>
      <c r="I34" s="956"/>
      <c r="J34" s="948"/>
      <c r="K34" s="949"/>
      <c r="L34" s="949"/>
      <c r="M34" s="949"/>
      <c r="N34" s="949"/>
      <c r="O34" s="949"/>
      <c r="P34" s="949"/>
    </row>
    <row r="35" spans="1:16" ht="18.75" x14ac:dyDescent="0.3">
      <c r="A35" s="184" t="s">
        <v>245</v>
      </c>
      <c r="B35" s="212">
        <v>28</v>
      </c>
      <c r="C35" s="672">
        <v>3</v>
      </c>
      <c r="D35" s="668"/>
      <c r="E35" s="685">
        <v>0.4</v>
      </c>
      <c r="F35" s="1083">
        <v>0.25</v>
      </c>
      <c r="G35" s="1067">
        <v>1.59</v>
      </c>
      <c r="H35" s="1089">
        <v>0</v>
      </c>
      <c r="I35" s="948"/>
      <c r="J35" s="61"/>
      <c r="K35" s="955"/>
      <c r="L35" s="949"/>
      <c r="M35" s="949"/>
      <c r="N35" s="949"/>
      <c r="O35" s="949"/>
      <c r="P35" s="949"/>
    </row>
    <row r="36" spans="1:16" ht="18.75" x14ac:dyDescent="0.3">
      <c r="A36" s="184" t="s">
        <v>347</v>
      </c>
      <c r="B36" s="212">
        <v>2</v>
      </c>
      <c r="C36" s="672">
        <v>6</v>
      </c>
      <c r="D36" s="668"/>
      <c r="E36" s="685">
        <v>0.4</v>
      </c>
      <c r="F36" s="1083">
        <v>0.25</v>
      </c>
      <c r="G36" s="1067">
        <v>2</v>
      </c>
      <c r="H36" s="1089">
        <v>0</v>
      </c>
      <c r="I36" s="948"/>
      <c r="J36" s="61"/>
      <c r="K36" s="955"/>
      <c r="L36" s="949"/>
      <c r="M36" s="949"/>
      <c r="N36" s="949"/>
      <c r="O36" s="949"/>
      <c r="P36" s="949"/>
    </row>
    <row r="37" spans="1:16" ht="18.75" x14ac:dyDescent="0.3">
      <c r="A37" s="87" t="s">
        <v>89</v>
      </c>
      <c r="B37" s="212">
        <v>28</v>
      </c>
      <c r="C37" s="670">
        <v>3</v>
      </c>
      <c r="D37" s="302">
        <v>0.49136535224317401</v>
      </c>
      <c r="E37" s="685">
        <v>0.4</v>
      </c>
      <c r="F37" s="1083">
        <v>0.25</v>
      </c>
      <c r="G37" s="1066">
        <v>1.55</v>
      </c>
      <c r="H37" s="1089">
        <v>0</v>
      </c>
      <c r="I37" s="948"/>
      <c r="J37" s="949"/>
      <c r="K37" s="949"/>
      <c r="L37" s="949"/>
      <c r="M37" s="949"/>
      <c r="N37" s="949"/>
      <c r="O37" s="949"/>
      <c r="P37" s="949"/>
    </row>
    <row r="38" spans="1:16" ht="18.75" x14ac:dyDescent="0.3">
      <c r="A38" s="88" t="s">
        <v>97</v>
      </c>
      <c r="B38" s="212">
        <v>28</v>
      </c>
      <c r="C38" s="670">
        <v>3</v>
      </c>
      <c r="D38" s="302">
        <v>0.56999999999999995</v>
      </c>
      <c r="E38" s="685">
        <v>0.4</v>
      </c>
      <c r="F38" s="1083">
        <v>0.25</v>
      </c>
      <c r="G38" s="1066">
        <v>1.68</v>
      </c>
      <c r="H38" s="1089">
        <v>0</v>
      </c>
      <c r="I38" s="948"/>
      <c r="J38" s="949"/>
      <c r="K38" s="949"/>
      <c r="L38" s="949"/>
      <c r="M38" s="949"/>
      <c r="N38" s="949"/>
      <c r="O38" s="949"/>
      <c r="P38" s="949"/>
    </row>
    <row r="39" spans="1:16" ht="18.75" x14ac:dyDescent="0.3">
      <c r="A39" s="87" t="s">
        <v>86</v>
      </c>
      <c r="B39" s="212">
        <v>49</v>
      </c>
      <c r="C39" s="670">
        <v>2</v>
      </c>
      <c r="D39" s="302">
        <v>0.75</v>
      </c>
      <c r="E39" s="685">
        <v>0.4</v>
      </c>
      <c r="F39" s="1083">
        <v>0.25</v>
      </c>
      <c r="G39" s="1066">
        <v>1.53</v>
      </c>
      <c r="H39" s="1089">
        <v>0</v>
      </c>
      <c r="I39" s="948"/>
      <c r="J39" s="949"/>
      <c r="K39" s="949"/>
      <c r="L39" s="949"/>
      <c r="M39" s="949"/>
      <c r="N39" s="949"/>
      <c r="O39" s="949"/>
      <c r="P39" s="949"/>
    </row>
    <row r="40" spans="1:16" ht="18.75" x14ac:dyDescent="0.3">
      <c r="A40" s="184" t="s">
        <v>109</v>
      </c>
      <c r="B40" s="212">
        <v>14</v>
      </c>
      <c r="C40" s="670">
        <v>4</v>
      </c>
      <c r="D40" s="302"/>
      <c r="E40" s="685">
        <v>0.4</v>
      </c>
      <c r="F40" s="1083">
        <v>0.25</v>
      </c>
      <c r="G40" s="1065">
        <v>1.87</v>
      </c>
      <c r="H40" s="1089">
        <v>0</v>
      </c>
      <c r="I40" s="948"/>
      <c r="J40" s="950"/>
      <c r="K40" s="953"/>
      <c r="L40" s="949"/>
      <c r="M40" s="949"/>
      <c r="N40" s="949"/>
      <c r="O40" s="949"/>
      <c r="P40" s="949"/>
    </row>
    <row r="41" spans="1:16" ht="18.75" x14ac:dyDescent="0.3">
      <c r="A41" s="87" t="s">
        <v>93</v>
      </c>
      <c r="B41" s="212">
        <v>28</v>
      </c>
      <c r="C41" s="670">
        <v>3</v>
      </c>
      <c r="D41" s="302"/>
      <c r="E41" s="685">
        <v>0.4</v>
      </c>
      <c r="F41" s="1083">
        <v>0.25</v>
      </c>
      <c r="G41" s="1066">
        <v>1.34</v>
      </c>
      <c r="H41" s="1089">
        <v>0</v>
      </c>
      <c r="I41" s="948"/>
      <c r="J41" s="949"/>
      <c r="K41" s="949"/>
      <c r="L41" s="949"/>
      <c r="M41" s="949"/>
      <c r="N41" s="949"/>
      <c r="O41" s="949"/>
      <c r="P41" s="949"/>
    </row>
    <row r="42" spans="1:16" ht="18.75" x14ac:dyDescent="0.3">
      <c r="A42" s="87" t="s">
        <v>259</v>
      </c>
      <c r="B42" s="212">
        <v>49</v>
      </c>
      <c r="C42" s="672">
        <v>2</v>
      </c>
      <c r="D42" s="947">
        <v>0.77</v>
      </c>
      <c r="E42" s="685">
        <v>0.4</v>
      </c>
      <c r="F42" s="1083">
        <v>0.25</v>
      </c>
      <c r="G42" s="1071">
        <v>1.69</v>
      </c>
      <c r="H42" s="1089">
        <v>0</v>
      </c>
      <c r="I42" s="948"/>
      <c r="J42" s="949"/>
      <c r="K42" s="949"/>
      <c r="L42" s="949"/>
      <c r="M42" s="949"/>
      <c r="N42" s="949"/>
      <c r="O42" s="949"/>
      <c r="P42" s="949"/>
    </row>
    <row r="43" spans="1:16" ht="18.75" x14ac:dyDescent="0.3">
      <c r="A43" s="184" t="s">
        <v>110</v>
      </c>
      <c r="B43" s="212">
        <v>28</v>
      </c>
      <c r="C43" s="670">
        <v>3</v>
      </c>
      <c r="D43" s="302"/>
      <c r="E43" s="685">
        <v>0.25</v>
      </c>
      <c r="F43" s="1083">
        <v>0.125</v>
      </c>
      <c r="G43" s="1066">
        <v>1.25</v>
      </c>
      <c r="H43" s="1089">
        <v>0</v>
      </c>
      <c r="I43" s="948"/>
      <c r="J43" s="949"/>
      <c r="K43" s="949"/>
      <c r="L43" s="949"/>
      <c r="M43" s="949"/>
      <c r="N43" s="949"/>
      <c r="O43" s="949"/>
      <c r="P43" s="949"/>
    </row>
    <row r="44" spans="1:16" ht="18.75" x14ac:dyDescent="0.3">
      <c r="A44" s="184" t="s">
        <v>249</v>
      </c>
      <c r="B44" s="212">
        <v>10</v>
      </c>
      <c r="C44" s="670">
        <v>5</v>
      </c>
      <c r="D44" s="302">
        <v>0.34383328873892799</v>
      </c>
      <c r="E44" s="685">
        <v>0.4</v>
      </c>
      <c r="F44" s="1083">
        <v>0.25</v>
      </c>
      <c r="G44" s="1063">
        <v>2.13</v>
      </c>
      <c r="H44" s="1089">
        <v>0</v>
      </c>
      <c r="I44" s="948"/>
      <c r="J44" s="949"/>
      <c r="K44" s="949"/>
      <c r="L44" s="949"/>
      <c r="M44" s="949"/>
      <c r="N44" s="949"/>
      <c r="O44" s="949"/>
      <c r="P44" s="949"/>
    </row>
    <row r="45" spans="1:16" ht="18.75" x14ac:dyDescent="0.3">
      <c r="A45" s="87" t="s">
        <v>7</v>
      </c>
      <c r="B45" s="212">
        <v>49</v>
      </c>
      <c r="C45" s="670">
        <v>2</v>
      </c>
      <c r="D45" s="302">
        <v>0.39</v>
      </c>
      <c r="E45" s="685">
        <v>0.25</v>
      </c>
      <c r="F45" s="1083">
        <v>0.125</v>
      </c>
      <c r="G45" s="1072">
        <v>1.94</v>
      </c>
      <c r="H45" s="1089">
        <v>0</v>
      </c>
      <c r="I45" s="948"/>
      <c r="J45" s="949"/>
      <c r="K45" s="949"/>
      <c r="L45" s="949"/>
      <c r="M45" s="949"/>
      <c r="N45" s="949"/>
      <c r="O45" s="949"/>
      <c r="P45" s="949"/>
    </row>
    <row r="46" spans="1:16" ht="18.75" x14ac:dyDescent="0.3">
      <c r="A46" s="184" t="s">
        <v>111</v>
      </c>
      <c r="B46" s="212">
        <v>1</v>
      </c>
      <c r="C46" s="670">
        <v>7</v>
      </c>
      <c r="D46" s="302">
        <v>0.25651947487157201</v>
      </c>
      <c r="E46" s="685">
        <v>0.4</v>
      </c>
      <c r="F46" s="1083">
        <v>0.25</v>
      </c>
      <c r="G46" s="1063">
        <v>2.2200000000000002</v>
      </c>
      <c r="H46" s="1089">
        <v>-1</v>
      </c>
      <c r="I46" s="948"/>
      <c r="J46" s="911"/>
      <c r="K46" s="61"/>
      <c r="L46" s="949"/>
      <c r="M46" s="949"/>
      <c r="N46" s="949"/>
      <c r="O46" s="949"/>
      <c r="P46" s="949"/>
    </row>
    <row r="47" spans="1:16" ht="18.75" x14ac:dyDescent="0.3">
      <c r="A47" s="184" t="s">
        <v>112</v>
      </c>
      <c r="B47" s="212">
        <v>2</v>
      </c>
      <c r="C47" s="670">
        <v>6</v>
      </c>
      <c r="D47" s="302"/>
      <c r="E47" s="685">
        <v>0.4</v>
      </c>
      <c r="F47" s="1083">
        <v>0.25</v>
      </c>
      <c r="G47" s="1063">
        <v>2.02</v>
      </c>
      <c r="H47" s="1089">
        <v>0</v>
      </c>
      <c r="I47" s="948"/>
      <c r="J47" s="912"/>
      <c r="K47" s="61"/>
      <c r="L47" s="949"/>
      <c r="M47" s="949"/>
      <c r="N47" s="949"/>
      <c r="O47" s="949"/>
      <c r="P47" s="949"/>
    </row>
    <row r="48" spans="1:16" ht="18.75" x14ac:dyDescent="0.3">
      <c r="A48" s="184" t="s">
        <v>352</v>
      </c>
      <c r="B48" s="212">
        <v>2</v>
      </c>
      <c r="C48" s="670">
        <v>6</v>
      </c>
      <c r="D48" s="302"/>
      <c r="E48" s="685">
        <v>0.4</v>
      </c>
      <c r="F48" s="1083">
        <v>0.25</v>
      </c>
      <c r="G48" s="1063">
        <v>2.16</v>
      </c>
      <c r="H48" s="1089">
        <v>0</v>
      </c>
      <c r="I48" s="948"/>
      <c r="J48" s="912"/>
      <c r="K48" s="61"/>
      <c r="L48" s="949"/>
      <c r="M48" s="949"/>
      <c r="N48" s="949"/>
      <c r="O48" s="949"/>
      <c r="P48" s="949"/>
    </row>
    <row r="49" spans="1:16" ht="18.75" x14ac:dyDescent="0.3">
      <c r="A49" s="184" t="s">
        <v>11</v>
      </c>
      <c r="B49" s="212">
        <v>59</v>
      </c>
      <c r="C49" s="670">
        <v>1</v>
      </c>
      <c r="D49" s="302">
        <v>0.8</v>
      </c>
      <c r="E49" s="685">
        <v>0.25</v>
      </c>
      <c r="F49" s="1083">
        <v>0.125</v>
      </c>
      <c r="G49" s="1066">
        <v>1.28</v>
      </c>
      <c r="H49" s="1089">
        <v>0</v>
      </c>
      <c r="I49" s="948"/>
      <c r="J49" s="949"/>
      <c r="K49" s="949"/>
      <c r="L49" s="949"/>
      <c r="M49" s="949"/>
      <c r="N49" s="949"/>
      <c r="O49" s="949"/>
      <c r="P49" s="949"/>
    </row>
    <row r="50" spans="1:16" ht="18.75" x14ac:dyDescent="0.3">
      <c r="A50" s="184" t="s">
        <v>20</v>
      </c>
      <c r="B50" s="212">
        <v>28</v>
      </c>
      <c r="C50" s="670">
        <v>3</v>
      </c>
      <c r="D50" s="302"/>
      <c r="E50" s="685">
        <v>0.25</v>
      </c>
      <c r="F50" s="1083">
        <v>0.125</v>
      </c>
      <c r="G50" s="1066">
        <v>1.42</v>
      </c>
      <c r="H50" s="1089">
        <v>0</v>
      </c>
      <c r="I50" s="948"/>
      <c r="J50" s="949"/>
      <c r="K50" s="949"/>
      <c r="L50" s="949"/>
      <c r="M50" s="949"/>
      <c r="N50" s="949"/>
      <c r="O50" s="949"/>
      <c r="P50" s="949"/>
    </row>
    <row r="51" spans="1:16" ht="18.75" x14ac:dyDescent="0.3">
      <c r="A51" s="184" t="s">
        <v>353</v>
      </c>
      <c r="B51" s="212">
        <v>2</v>
      </c>
      <c r="C51" s="670">
        <v>6</v>
      </c>
      <c r="D51" s="302"/>
      <c r="E51" s="685">
        <v>0.4</v>
      </c>
      <c r="F51" s="1083">
        <v>0.25</v>
      </c>
      <c r="G51" s="1066">
        <v>2.09</v>
      </c>
      <c r="H51" s="1089">
        <v>0</v>
      </c>
      <c r="I51" s="948"/>
      <c r="J51" s="949"/>
      <c r="K51" s="949"/>
      <c r="L51" s="949"/>
      <c r="M51" s="949"/>
      <c r="N51" s="949"/>
      <c r="O51" s="949"/>
      <c r="P51" s="949"/>
    </row>
    <row r="52" spans="1:16" ht="18.75" x14ac:dyDescent="0.3">
      <c r="A52" s="184" t="s">
        <v>369</v>
      </c>
      <c r="B52" s="212">
        <v>14</v>
      </c>
      <c r="C52" s="670">
        <v>4</v>
      </c>
      <c r="D52" s="302"/>
      <c r="E52" s="685">
        <v>0.4</v>
      </c>
      <c r="F52" s="1083">
        <v>0.25</v>
      </c>
      <c r="G52" s="1066">
        <v>1.89</v>
      </c>
      <c r="H52" s="1089">
        <v>0</v>
      </c>
      <c r="I52" s="948"/>
      <c r="J52" s="949"/>
      <c r="K52" s="949"/>
      <c r="L52" s="949"/>
      <c r="M52" s="949"/>
      <c r="N52" s="949"/>
      <c r="O52" s="949"/>
      <c r="P52" s="949"/>
    </row>
    <row r="53" spans="1:16" ht="18.75" x14ac:dyDescent="0.3">
      <c r="A53" s="184" t="s">
        <v>326</v>
      </c>
      <c r="B53" s="212">
        <v>28</v>
      </c>
      <c r="C53" s="670">
        <v>3</v>
      </c>
      <c r="D53" s="302">
        <v>0.47</v>
      </c>
      <c r="E53" s="685">
        <v>0.4</v>
      </c>
      <c r="F53" s="1083">
        <v>0.25</v>
      </c>
      <c r="G53" s="1063">
        <v>2.27</v>
      </c>
      <c r="H53" s="1089">
        <v>0</v>
      </c>
      <c r="I53" s="948"/>
      <c r="J53" s="949"/>
      <c r="K53" s="949"/>
      <c r="L53" s="949"/>
      <c r="M53" s="949"/>
      <c r="N53" s="949"/>
      <c r="O53" s="949"/>
      <c r="P53" s="949"/>
    </row>
    <row r="54" spans="1:16" ht="18.75" x14ac:dyDescent="0.3">
      <c r="A54" s="88" t="s">
        <v>91</v>
      </c>
      <c r="B54" s="212">
        <v>28</v>
      </c>
      <c r="C54" s="670">
        <v>3</v>
      </c>
      <c r="D54" s="302">
        <v>0.57913782383419699</v>
      </c>
      <c r="E54" s="685">
        <v>0.4</v>
      </c>
      <c r="F54" s="1083">
        <v>0.25</v>
      </c>
      <c r="G54" s="1066">
        <v>1.64</v>
      </c>
      <c r="H54" s="1089">
        <v>0</v>
      </c>
      <c r="I54" s="948"/>
      <c r="J54" s="950"/>
      <c r="K54" s="951"/>
      <c r="L54" s="949"/>
      <c r="M54" s="949"/>
      <c r="N54" s="949"/>
      <c r="O54" s="949"/>
      <c r="P54" s="949"/>
    </row>
    <row r="55" spans="1:16" ht="18.75" x14ac:dyDescent="0.3">
      <c r="A55" s="184" t="s">
        <v>15</v>
      </c>
      <c r="B55" s="212">
        <v>28</v>
      </c>
      <c r="C55" s="670">
        <v>3</v>
      </c>
      <c r="D55" s="302"/>
      <c r="E55" s="685">
        <v>0.25</v>
      </c>
      <c r="F55" s="1083">
        <v>0.125</v>
      </c>
      <c r="G55" s="1066">
        <v>1.23</v>
      </c>
      <c r="H55" s="1089">
        <v>0</v>
      </c>
      <c r="I55" s="948"/>
      <c r="J55" s="949"/>
      <c r="K55" s="949"/>
      <c r="L55" s="949"/>
      <c r="M55" s="949"/>
      <c r="N55" s="949"/>
      <c r="O55" s="949"/>
      <c r="P55" s="949"/>
    </row>
    <row r="56" spans="1:16" ht="18.75" x14ac:dyDescent="0.3">
      <c r="A56" s="184" t="s">
        <v>158</v>
      </c>
      <c r="B56" s="212">
        <v>49</v>
      </c>
      <c r="C56" s="672">
        <v>2</v>
      </c>
      <c r="D56" s="668">
        <v>0.68</v>
      </c>
      <c r="E56" s="685">
        <v>0.4</v>
      </c>
      <c r="F56" s="1083">
        <v>0.25</v>
      </c>
      <c r="G56" s="1063">
        <v>2.0499999999999998</v>
      </c>
      <c r="H56" s="1089">
        <v>0</v>
      </c>
      <c r="I56" s="948"/>
      <c r="J56" s="949"/>
      <c r="K56" s="949"/>
      <c r="L56" s="949"/>
      <c r="M56" s="949"/>
      <c r="N56" s="949"/>
      <c r="O56" s="949"/>
      <c r="P56" s="949"/>
    </row>
    <row r="57" spans="1:16" ht="18" customHeight="1" x14ac:dyDescent="0.3">
      <c r="A57" s="184" t="s">
        <v>113</v>
      </c>
      <c r="B57" s="212">
        <v>2</v>
      </c>
      <c r="C57" s="670">
        <v>6</v>
      </c>
      <c r="D57" s="302"/>
      <c r="E57" s="685">
        <v>0.4</v>
      </c>
      <c r="F57" s="1083">
        <v>0.25</v>
      </c>
      <c r="G57" s="1073">
        <v>2.25</v>
      </c>
      <c r="H57" s="1089">
        <v>0</v>
      </c>
      <c r="I57" s="948"/>
      <c r="J57" s="61"/>
      <c r="K57" s="61"/>
      <c r="L57" s="949"/>
      <c r="M57" s="949"/>
      <c r="N57" s="949"/>
      <c r="O57" s="949"/>
      <c r="P57" s="949"/>
    </row>
    <row r="58" spans="1:16" ht="18.75" x14ac:dyDescent="0.3">
      <c r="A58" s="87" t="s">
        <v>87</v>
      </c>
      <c r="B58" s="212">
        <v>49</v>
      </c>
      <c r="C58" s="670">
        <v>2</v>
      </c>
      <c r="D58" s="302">
        <v>0.74</v>
      </c>
      <c r="E58" s="685">
        <v>0.4</v>
      </c>
      <c r="F58" s="1083">
        <v>0.25</v>
      </c>
      <c r="G58" s="1063">
        <v>1.8</v>
      </c>
      <c r="H58" s="1089">
        <v>0</v>
      </c>
      <c r="I58" s="948"/>
      <c r="J58" s="949"/>
      <c r="K58" s="949"/>
      <c r="L58" s="949"/>
      <c r="M58" s="949"/>
      <c r="N58" s="949"/>
      <c r="O58" s="949"/>
      <c r="P58" s="949"/>
    </row>
    <row r="59" spans="1:16" ht="18.75" x14ac:dyDescent="0.3">
      <c r="A59" s="87" t="s">
        <v>355</v>
      </c>
      <c r="B59" s="212">
        <v>2</v>
      </c>
      <c r="C59" s="670">
        <v>6</v>
      </c>
      <c r="D59" s="302"/>
      <c r="E59" s="685">
        <v>0.4</v>
      </c>
      <c r="F59" s="1083">
        <v>0.25</v>
      </c>
      <c r="G59" s="1063">
        <v>2.2000000000000002</v>
      </c>
      <c r="H59" s="1089">
        <v>0</v>
      </c>
      <c r="I59" s="948"/>
      <c r="J59" s="949"/>
      <c r="K59" s="949"/>
      <c r="L59" s="949"/>
      <c r="M59" s="949"/>
      <c r="N59" s="949"/>
      <c r="O59" s="949"/>
      <c r="P59" s="949"/>
    </row>
    <row r="60" spans="1:16" ht="18" customHeight="1" x14ac:dyDescent="0.3">
      <c r="A60" s="184" t="s">
        <v>114</v>
      </c>
      <c r="B60" s="212">
        <v>2</v>
      </c>
      <c r="C60" s="670">
        <v>6</v>
      </c>
      <c r="D60" s="81"/>
      <c r="E60" s="685">
        <v>0.4</v>
      </c>
      <c r="F60" s="1083">
        <v>0.25</v>
      </c>
      <c r="G60" s="1063">
        <v>2.1</v>
      </c>
      <c r="H60" s="1089">
        <v>0</v>
      </c>
      <c r="I60" s="948"/>
      <c r="J60" s="61"/>
      <c r="K60" s="61"/>
      <c r="L60" s="949"/>
      <c r="M60" s="949"/>
      <c r="N60" s="949"/>
      <c r="O60" s="949"/>
      <c r="P60" s="949"/>
    </row>
    <row r="61" spans="1:16" ht="18.75" x14ac:dyDescent="0.3">
      <c r="A61" s="184" t="s">
        <v>160</v>
      </c>
      <c r="B61" s="212">
        <v>49</v>
      </c>
      <c r="C61" s="672">
        <v>2</v>
      </c>
      <c r="D61" s="946">
        <v>0.66</v>
      </c>
      <c r="E61" s="685">
        <v>0.4</v>
      </c>
      <c r="F61" s="1083">
        <v>0.25</v>
      </c>
      <c r="G61" s="1069">
        <v>1.82</v>
      </c>
      <c r="H61" s="1089">
        <v>0</v>
      </c>
      <c r="I61" s="948"/>
      <c r="J61" s="949"/>
      <c r="K61" s="949"/>
      <c r="L61" s="949"/>
      <c r="M61" s="949"/>
      <c r="N61" s="949"/>
      <c r="O61" s="949"/>
      <c r="P61" s="949"/>
    </row>
    <row r="62" spans="1:16" ht="18.75" x14ac:dyDescent="0.3">
      <c r="A62" s="184" t="s">
        <v>115</v>
      </c>
      <c r="B62" s="212">
        <v>14</v>
      </c>
      <c r="C62" s="670">
        <v>4</v>
      </c>
      <c r="D62" s="302">
        <v>0.37463492155779698</v>
      </c>
      <c r="E62" s="685">
        <v>0.4</v>
      </c>
      <c r="F62" s="1083">
        <v>0.25</v>
      </c>
      <c r="G62" s="1065">
        <v>1.86</v>
      </c>
      <c r="H62" s="1089">
        <v>0</v>
      </c>
      <c r="I62" s="948"/>
      <c r="J62" s="950"/>
      <c r="K62" s="951"/>
      <c r="L62" s="949"/>
      <c r="M62" s="949"/>
      <c r="N62" s="949"/>
      <c r="O62" s="949"/>
      <c r="P62" s="949"/>
    </row>
    <row r="63" spans="1:16" ht="18.75" x14ac:dyDescent="0.3">
      <c r="A63" s="87" t="s">
        <v>18</v>
      </c>
      <c r="B63" s="212">
        <v>28</v>
      </c>
      <c r="C63" s="670">
        <v>3</v>
      </c>
      <c r="D63" s="302"/>
      <c r="E63" s="685">
        <v>0.4</v>
      </c>
      <c r="F63" s="1083">
        <v>0.25</v>
      </c>
      <c r="G63" s="1066">
        <v>1.02</v>
      </c>
      <c r="H63" s="1089">
        <v>0</v>
      </c>
      <c r="I63" s="948"/>
      <c r="J63" s="949"/>
      <c r="K63" s="949"/>
      <c r="L63" s="949"/>
      <c r="M63" s="949"/>
      <c r="N63" s="949"/>
      <c r="O63" s="949"/>
      <c r="P63" s="949"/>
    </row>
    <row r="64" spans="1:16" ht="18.75" x14ac:dyDescent="0.3">
      <c r="A64" s="184" t="s">
        <v>116</v>
      </c>
      <c r="B64" s="212">
        <v>28</v>
      </c>
      <c r="C64" s="670">
        <v>3</v>
      </c>
      <c r="D64" s="302">
        <v>0.5</v>
      </c>
      <c r="E64" s="685">
        <v>0.4</v>
      </c>
      <c r="F64" s="1083">
        <v>0.25</v>
      </c>
      <c r="G64" s="1063">
        <v>2.09</v>
      </c>
      <c r="H64" s="1089">
        <v>0</v>
      </c>
      <c r="I64" s="948"/>
      <c r="J64" s="949"/>
      <c r="K64" s="949"/>
      <c r="L64" s="949"/>
      <c r="M64" s="949"/>
      <c r="N64" s="949"/>
      <c r="O64" s="949"/>
      <c r="P64" s="949"/>
    </row>
    <row r="65" spans="1:16" ht="18.75" x14ac:dyDescent="0.3">
      <c r="A65" s="184" t="s">
        <v>356</v>
      </c>
      <c r="B65" s="212">
        <v>14</v>
      </c>
      <c r="C65" s="670">
        <v>4</v>
      </c>
      <c r="D65" s="302"/>
      <c r="E65" s="685">
        <v>0.4</v>
      </c>
      <c r="F65" s="1083">
        <v>0.25</v>
      </c>
      <c r="G65" s="1063">
        <v>1.8</v>
      </c>
      <c r="H65" s="1089">
        <v>0</v>
      </c>
      <c r="I65" s="948"/>
      <c r="J65" s="949"/>
      <c r="K65" s="949"/>
      <c r="L65" s="949"/>
      <c r="M65" s="949"/>
      <c r="N65" s="949"/>
      <c r="O65" s="949"/>
      <c r="P65" s="949"/>
    </row>
    <row r="66" spans="1:16" ht="18.75" x14ac:dyDescent="0.3">
      <c r="A66" s="184" t="s">
        <v>246</v>
      </c>
      <c r="B66" s="212">
        <v>28</v>
      </c>
      <c r="C66" s="670">
        <v>3</v>
      </c>
      <c r="D66" s="302"/>
      <c r="E66" s="685">
        <v>0.4</v>
      </c>
      <c r="F66" s="1083">
        <v>0.25</v>
      </c>
      <c r="G66" s="1066">
        <v>1.73</v>
      </c>
      <c r="H66" s="1089">
        <v>0</v>
      </c>
      <c r="I66" s="948"/>
      <c r="J66" s="949"/>
      <c r="K66" s="949"/>
      <c r="L66" s="949"/>
      <c r="M66" s="949"/>
      <c r="N66" s="949"/>
      <c r="O66" s="949"/>
      <c r="P66" s="949"/>
    </row>
    <row r="67" spans="1:16" ht="18" customHeight="1" x14ac:dyDescent="0.3">
      <c r="A67" s="184" t="s">
        <v>272</v>
      </c>
      <c r="B67" s="212">
        <v>28</v>
      </c>
      <c r="C67" s="672">
        <v>3</v>
      </c>
      <c r="D67" s="668">
        <v>0.45638672070112202</v>
      </c>
      <c r="E67" s="685">
        <v>0.4</v>
      </c>
      <c r="F67" s="1083">
        <v>0.25</v>
      </c>
      <c r="G67" s="1073">
        <v>2.0499999999999998</v>
      </c>
      <c r="H67" s="1089">
        <v>0</v>
      </c>
      <c r="I67" s="948"/>
      <c r="J67" s="61"/>
      <c r="K67" s="61"/>
      <c r="L67" s="949"/>
      <c r="M67" s="949"/>
      <c r="N67" s="949"/>
      <c r="O67" s="949"/>
      <c r="P67" s="949"/>
    </row>
    <row r="68" spans="1:16" ht="18.75" x14ac:dyDescent="0.3">
      <c r="A68" s="87" t="s">
        <v>98</v>
      </c>
      <c r="B68" s="212">
        <v>59</v>
      </c>
      <c r="C68" s="670">
        <v>1</v>
      </c>
      <c r="D68" s="302">
        <v>0.92</v>
      </c>
      <c r="E68" s="685">
        <v>0.4</v>
      </c>
      <c r="F68" s="1083">
        <v>0.25</v>
      </c>
      <c r="G68" s="1063">
        <v>2.0499999999999998</v>
      </c>
      <c r="H68" s="1089">
        <v>0</v>
      </c>
      <c r="I68" s="948"/>
      <c r="J68" s="949"/>
      <c r="K68" s="949"/>
      <c r="L68" s="949"/>
      <c r="M68" s="949"/>
      <c r="N68" s="949"/>
      <c r="O68" s="949"/>
      <c r="P68" s="949"/>
    </row>
    <row r="69" spans="1:16" ht="18.75" x14ac:dyDescent="0.3">
      <c r="A69" s="87" t="s">
        <v>161</v>
      </c>
      <c r="B69" s="212">
        <v>10</v>
      </c>
      <c r="C69" s="672">
        <v>5</v>
      </c>
      <c r="D69" s="668">
        <v>0.28000000000000003</v>
      </c>
      <c r="E69" s="685">
        <v>0.4</v>
      </c>
      <c r="F69" s="1083">
        <v>0.25</v>
      </c>
      <c r="G69" s="1063">
        <v>2</v>
      </c>
      <c r="H69" s="1089">
        <v>1</v>
      </c>
      <c r="I69" s="948"/>
      <c r="J69" s="61"/>
      <c r="K69" s="61"/>
      <c r="L69" s="949"/>
      <c r="M69" s="949"/>
      <c r="N69" s="949"/>
      <c r="O69" s="949"/>
      <c r="P69" s="949"/>
    </row>
    <row r="70" spans="1:16" ht="18.75" x14ac:dyDescent="0.3">
      <c r="A70" s="1001" t="s">
        <v>359</v>
      </c>
      <c r="B70" s="1011">
        <v>14</v>
      </c>
      <c r="C70" s="672">
        <v>4</v>
      </c>
      <c r="D70" s="668"/>
      <c r="E70" s="1018">
        <v>0.4</v>
      </c>
      <c r="F70" s="1086">
        <v>0.25</v>
      </c>
      <c r="G70" s="1073">
        <v>1.96</v>
      </c>
      <c r="H70" s="1092">
        <v>0</v>
      </c>
      <c r="I70" s="948"/>
      <c r="J70" s="61"/>
      <c r="K70" s="61"/>
      <c r="L70" s="949"/>
      <c r="M70" s="949"/>
      <c r="N70" s="949"/>
      <c r="O70" s="949"/>
      <c r="P70" s="949"/>
    </row>
    <row r="71" spans="1:16" ht="19.5" thickBot="1" x14ac:dyDescent="0.35">
      <c r="A71" s="152" t="s">
        <v>162</v>
      </c>
      <c r="B71" s="247">
        <v>49</v>
      </c>
      <c r="C71" s="673">
        <v>2</v>
      </c>
      <c r="D71" s="93">
        <v>0.75</v>
      </c>
      <c r="E71" s="688">
        <v>0.4</v>
      </c>
      <c r="F71" s="1087">
        <v>0.25</v>
      </c>
      <c r="G71" s="1074">
        <v>1.88</v>
      </c>
      <c r="H71" s="1093">
        <v>0</v>
      </c>
      <c r="I71" s="948"/>
      <c r="J71" s="949"/>
      <c r="K71" s="949"/>
      <c r="L71" s="949"/>
      <c r="M71" s="949"/>
      <c r="N71" s="949"/>
      <c r="O71" s="949"/>
      <c r="P71" s="949"/>
    </row>
    <row r="72" spans="1:16" ht="18.75" x14ac:dyDescent="0.3">
      <c r="A72" s="467"/>
      <c r="B72" s="402"/>
      <c r="C72" s="402"/>
      <c r="D72" s="460"/>
      <c r="E72" s="460"/>
      <c r="F72" s="460"/>
      <c r="G72" s="461"/>
      <c r="H72" s="460"/>
      <c r="I72" s="455"/>
      <c r="J72" s="461"/>
      <c r="K72" s="461"/>
      <c r="L72" s="461"/>
      <c r="M72" s="461"/>
      <c r="N72" s="461"/>
      <c r="O72" s="461"/>
      <c r="P72" s="461"/>
    </row>
    <row r="73" spans="1:16" x14ac:dyDescent="0.25">
      <c r="A73" s="467"/>
      <c r="B73" s="402"/>
      <c r="C73" s="402"/>
      <c r="D73" s="460"/>
      <c r="E73" s="460"/>
      <c r="F73" s="460"/>
      <c r="G73" s="461"/>
      <c r="H73" s="460"/>
      <c r="I73" s="402"/>
      <c r="J73" s="461"/>
      <c r="K73" s="461"/>
      <c r="L73" s="461"/>
      <c r="M73" s="461"/>
      <c r="N73" s="461"/>
      <c r="O73" s="461"/>
      <c r="P73" s="461"/>
    </row>
    <row r="74" spans="1:16" x14ac:dyDescent="0.25">
      <c r="A74" s="467"/>
      <c r="B74" s="402"/>
      <c r="C74" s="402"/>
      <c r="D74" s="460"/>
      <c r="E74" s="460"/>
      <c r="F74" s="460"/>
      <c r="G74" s="461"/>
      <c r="H74" s="460"/>
      <c r="I74" s="402"/>
      <c r="J74" s="461"/>
      <c r="K74" s="461"/>
      <c r="L74" s="461"/>
      <c r="M74" s="461"/>
      <c r="N74" s="461"/>
      <c r="O74" s="461"/>
      <c r="P74" s="461"/>
    </row>
    <row r="75" spans="1:16" x14ac:dyDescent="0.25">
      <c r="A75" s="467"/>
      <c r="B75" s="402"/>
      <c r="C75" s="402"/>
      <c r="D75" s="460"/>
      <c r="E75" s="460"/>
      <c r="F75" s="460"/>
      <c r="G75" s="461"/>
      <c r="H75" s="460"/>
      <c r="I75" s="402"/>
      <c r="J75" s="461"/>
      <c r="K75" s="461"/>
      <c r="L75" s="461"/>
      <c r="M75" s="461"/>
      <c r="N75" s="461"/>
      <c r="O75" s="461"/>
      <c r="P75" s="461"/>
    </row>
    <row r="76" spans="1:16" x14ac:dyDescent="0.25">
      <c r="A76" s="467"/>
      <c r="B76" s="402"/>
      <c r="C76" s="402"/>
      <c r="D76" s="536"/>
      <c r="E76" s="536"/>
      <c r="F76" s="536"/>
      <c r="G76" s="461"/>
      <c r="H76" s="536"/>
      <c r="I76" s="402"/>
      <c r="J76" s="461"/>
      <c r="K76" s="461"/>
      <c r="L76" s="461"/>
      <c r="M76" s="461"/>
      <c r="N76" s="461"/>
      <c r="O76" s="461"/>
      <c r="P76" s="461"/>
    </row>
    <row r="77" spans="1:16" x14ac:dyDescent="0.25">
      <c r="A77" s="467"/>
      <c r="B77" s="402"/>
      <c r="C77" s="402"/>
      <c r="D77" s="460"/>
      <c r="E77" s="460"/>
      <c r="F77" s="460"/>
      <c r="G77" s="461"/>
      <c r="H77" s="460"/>
      <c r="I77" s="402"/>
      <c r="J77" s="461"/>
      <c r="K77" s="461"/>
      <c r="L77" s="461"/>
      <c r="M77" s="461"/>
      <c r="N77" s="461"/>
      <c r="O77" s="461"/>
      <c r="P77" s="461"/>
    </row>
    <row r="78" spans="1:16" x14ac:dyDescent="0.25">
      <c r="A78" s="467"/>
      <c r="B78" s="402"/>
      <c r="C78" s="402"/>
      <c r="D78" s="460"/>
      <c r="E78" s="460"/>
      <c r="F78" s="460"/>
      <c r="G78" s="461"/>
      <c r="H78" s="460"/>
      <c r="I78" s="402"/>
      <c r="J78" s="461"/>
      <c r="K78" s="461"/>
      <c r="L78" s="461"/>
      <c r="M78" s="461"/>
      <c r="N78" s="461"/>
      <c r="O78" s="461"/>
      <c r="P78" s="461"/>
    </row>
    <row r="79" spans="1:16" x14ac:dyDescent="0.25">
      <c r="A79" s="467"/>
      <c r="B79" s="402"/>
      <c r="C79" s="402"/>
      <c r="D79" s="460"/>
      <c r="E79" s="460"/>
      <c r="F79" s="460"/>
      <c r="G79" s="461"/>
      <c r="H79" s="460"/>
      <c r="I79" s="402"/>
      <c r="J79" s="461"/>
      <c r="K79" s="461"/>
      <c r="L79" s="461"/>
      <c r="M79" s="461"/>
      <c r="N79" s="461"/>
      <c r="O79" s="461"/>
      <c r="P79" s="461"/>
    </row>
    <row r="80" spans="1:16" x14ac:dyDescent="0.25">
      <c r="A80" s="467"/>
      <c r="B80" s="402"/>
      <c r="C80" s="402"/>
      <c r="D80" s="460"/>
      <c r="E80" s="460"/>
      <c r="F80" s="460"/>
      <c r="G80" s="461"/>
      <c r="H80" s="460"/>
      <c r="I80" s="402"/>
      <c r="J80" s="461"/>
      <c r="K80" s="461"/>
      <c r="L80" s="461"/>
      <c r="M80" s="461"/>
      <c r="N80" s="461"/>
      <c r="O80" s="461"/>
      <c r="P80" s="461"/>
    </row>
    <row r="81" spans="1:16" x14ac:dyDescent="0.25">
      <c r="A81" s="467"/>
      <c r="B81" s="402"/>
      <c r="C81" s="402"/>
      <c r="D81" s="460"/>
      <c r="E81" s="460"/>
      <c r="F81" s="460"/>
      <c r="G81" s="461"/>
      <c r="H81" s="460"/>
      <c r="I81" s="402"/>
      <c r="J81" s="461"/>
      <c r="K81" s="461"/>
      <c r="L81" s="461"/>
      <c r="M81" s="461"/>
      <c r="N81" s="461"/>
      <c r="O81" s="461"/>
      <c r="P81" s="461"/>
    </row>
    <row r="82" spans="1:16" x14ac:dyDescent="0.25">
      <c r="A82" s="467"/>
      <c r="B82" s="402"/>
      <c r="C82" s="402"/>
      <c r="D82" s="460"/>
      <c r="E82" s="460"/>
      <c r="F82" s="460"/>
      <c r="G82" s="461"/>
      <c r="H82" s="460"/>
      <c r="I82" s="402"/>
      <c r="J82" s="461"/>
      <c r="K82" s="461"/>
      <c r="L82" s="461"/>
      <c r="M82" s="461"/>
      <c r="N82" s="461"/>
      <c r="O82" s="461"/>
      <c r="P82" s="461"/>
    </row>
    <row r="83" spans="1:16" x14ac:dyDescent="0.25">
      <c r="A83" s="467"/>
      <c r="B83" s="402"/>
      <c r="C83" s="402"/>
      <c r="D83" s="460"/>
      <c r="E83" s="460"/>
      <c r="F83" s="460"/>
      <c r="G83" s="461"/>
      <c r="H83" s="460"/>
      <c r="I83" s="402"/>
      <c r="J83" s="461"/>
      <c r="K83" s="461"/>
      <c r="L83" s="461"/>
      <c r="M83" s="461"/>
      <c r="N83" s="461"/>
      <c r="O83" s="461"/>
      <c r="P83" s="461"/>
    </row>
    <row r="84" spans="1:16" x14ac:dyDescent="0.25">
      <c r="A84" s="467"/>
      <c r="B84" s="402"/>
      <c r="C84" s="402"/>
      <c r="D84" s="460"/>
      <c r="E84" s="460"/>
      <c r="F84" s="460"/>
      <c r="G84" s="461"/>
      <c r="H84" s="460"/>
      <c r="I84" s="402"/>
      <c r="J84" s="461"/>
      <c r="K84" s="461"/>
      <c r="L84" s="461"/>
      <c r="M84" s="461"/>
      <c r="N84" s="461"/>
      <c r="O84" s="461"/>
      <c r="P84" s="461"/>
    </row>
    <row r="85" spans="1:16" x14ac:dyDescent="0.25">
      <c r="A85" s="467"/>
      <c r="B85" s="402"/>
      <c r="C85" s="402"/>
      <c r="D85" s="460"/>
      <c r="E85" s="460"/>
      <c r="F85" s="460"/>
      <c r="G85" s="461"/>
      <c r="H85" s="460"/>
      <c r="I85" s="402"/>
      <c r="J85" s="461"/>
      <c r="K85" s="461"/>
      <c r="L85" s="461"/>
      <c r="M85" s="461"/>
      <c r="N85" s="461"/>
      <c r="O85" s="461"/>
      <c r="P85" s="461"/>
    </row>
    <row r="86" spans="1:16" x14ac:dyDescent="0.25">
      <c r="A86" s="467"/>
      <c r="B86" s="402"/>
      <c r="C86" s="402"/>
      <c r="D86" s="460"/>
      <c r="E86" s="460"/>
      <c r="F86" s="460"/>
      <c r="G86" s="461"/>
      <c r="H86" s="460"/>
      <c r="I86" s="402"/>
      <c r="J86" s="461"/>
      <c r="K86" s="461"/>
      <c r="L86" s="461"/>
      <c r="M86" s="461"/>
      <c r="N86" s="461"/>
      <c r="O86" s="461"/>
      <c r="P86" s="461"/>
    </row>
    <row r="87" spans="1:16" x14ac:dyDescent="0.25">
      <c r="A87" s="467"/>
      <c r="B87" s="402"/>
      <c r="C87" s="402"/>
      <c r="D87" s="460"/>
      <c r="E87" s="460"/>
      <c r="F87" s="460"/>
      <c r="G87" s="461"/>
      <c r="H87" s="460"/>
      <c r="I87" s="402"/>
      <c r="J87" s="461"/>
      <c r="K87" s="461"/>
      <c r="L87" s="461"/>
      <c r="M87" s="461"/>
      <c r="N87" s="461"/>
      <c r="O87" s="461"/>
      <c r="P87" s="461"/>
    </row>
    <row r="88" spans="1:16" x14ac:dyDescent="0.25">
      <c r="A88" s="467"/>
      <c r="B88" s="402"/>
      <c r="C88" s="402"/>
      <c r="D88" s="460"/>
      <c r="E88" s="460"/>
      <c r="F88" s="460"/>
      <c r="G88" s="461"/>
      <c r="H88" s="460"/>
      <c r="I88" s="402"/>
      <c r="J88" s="461"/>
      <c r="K88" s="461"/>
      <c r="L88" s="461"/>
      <c r="M88" s="461"/>
      <c r="N88" s="461"/>
      <c r="O88" s="461"/>
      <c r="P88" s="461"/>
    </row>
    <row r="89" spans="1:16" x14ac:dyDescent="0.25">
      <c r="A89" s="467"/>
      <c r="B89" s="402"/>
      <c r="C89" s="402"/>
      <c r="D89" s="460"/>
      <c r="E89" s="460"/>
      <c r="F89" s="460"/>
      <c r="G89" s="461"/>
      <c r="H89" s="460"/>
      <c r="I89" s="402"/>
      <c r="J89" s="461"/>
      <c r="K89" s="461"/>
      <c r="L89" s="461"/>
      <c r="M89" s="461"/>
      <c r="N89" s="461"/>
      <c r="O89" s="461"/>
      <c r="P89" s="461"/>
    </row>
    <row r="90" spans="1:16" x14ac:dyDescent="0.25">
      <c r="A90" s="467"/>
      <c r="B90" s="402"/>
      <c r="C90" s="402"/>
      <c r="D90" s="460"/>
      <c r="E90" s="460"/>
      <c r="F90" s="460"/>
      <c r="G90" s="461"/>
      <c r="H90" s="460"/>
      <c r="I90" s="402"/>
      <c r="J90" s="461"/>
      <c r="K90" s="461"/>
      <c r="L90" s="461"/>
      <c r="M90" s="461"/>
      <c r="N90" s="461"/>
      <c r="O90" s="461"/>
      <c r="P90" s="461"/>
    </row>
    <row r="91" spans="1:16" x14ac:dyDescent="0.25">
      <c r="A91" s="467"/>
      <c r="B91" s="402"/>
      <c r="C91" s="402"/>
      <c r="D91" s="460"/>
      <c r="E91" s="460"/>
      <c r="F91" s="460"/>
      <c r="G91" s="461"/>
      <c r="H91" s="460"/>
      <c r="I91" s="402"/>
      <c r="J91" s="461"/>
      <c r="K91" s="461"/>
      <c r="L91" s="461"/>
      <c r="M91" s="461"/>
      <c r="N91" s="461"/>
      <c r="O91" s="461"/>
      <c r="P91" s="461"/>
    </row>
    <row r="92" spans="1:16" x14ac:dyDescent="0.25">
      <c r="A92" s="467"/>
      <c r="B92" s="402"/>
      <c r="C92" s="402"/>
      <c r="D92" s="460"/>
      <c r="E92" s="460"/>
      <c r="F92" s="460"/>
      <c r="G92" s="461"/>
      <c r="H92" s="460"/>
      <c r="I92" s="402"/>
      <c r="J92" s="461"/>
      <c r="K92" s="461"/>
      <c r="L92" s="461"/>
      <c r="M92" s="461"/>
      <c r="N92" s="461"/>
      <c r="O92" s="461"/>
      <c r="P92" s="461"/>
    </row>
    <row r="93" spans="1:16" x14ac:dyDescent="0.25">
      <c r="A93" s="467"/>
      <c r="B93" s="402"/>
      <c r="C93" s="402"/>
      <c r="D93" s="460"/>
      <c r="E93" s="460"/>
      <c r="F93" s="460"/>
      <c r="G93" s="461"/>
      <c r="H93" s="460"/>
      <c r="I93" s="402"/>
      <c r="J93" s="461"/>
      <c r="K93" s="461"/>
      <c r="L93" s="461"/>
      <c r="M93" s="461"/>
      <c r="N93" s="461"/>
      <c r="O93" s="461"/>
      <c r="P93" s="461"/>
    </row>
    <row r="94" spans="1:16" x14ac:dyDescent="0.25">
      <c r="A94" s="467"/>
      <c r="B94" s="402"/>
      <c r="C94" s="402"/>
      <c r="D94" s="460"/>
      <c r="E94" s="460"/>
      <c r="F94" s="460"/>
      <c r="G94" s="461"/>
      <c r="H94" s="460"/>
      <c r="I94" s="402"/>
      <c r="J94" s="461"/>
      <c r="K94" s="461"/>
      <c r="L94" s="461"/>
      <c r="M94" s="461"/>
      <c r="N94" s="461"/>
      <c r="O94" s="461"/>
      <c r="P94" s="461"/>
    </row>
    <row r="95" spans="1:16" x14ac:dyDescent="0.25">
      <c r="A95" s="467"/>
      <c r="B95" s="402"/>
      <c r="C95" s="402"/>
      <c r="D95" s="460"/>
      <c r="E95" s="460"/>
      <c r="F95" s="460"/>
      <c r="G95" s="461"/>
      <c r="H95" s="460"/>
      <c r="I95" s="402"/>
      <c r="J95" s="461"/>
      <c r="K95" s="461"/>
      <c r="L95" s="461"/>
      <c r="M95" s="461"/>
      <c r="N95" s="461"/>
      <c r="O95" s="461"/>
      <c r="P95" s="461"/>
    </row>
    <row r="96" spans="1:16" x14ac:dyDescent="0.25">
      <c r="A96" s="467"/>
      <c r="B96" s="402"/>
      <c r="C96" s="402"/>
      <c r="D96" s="460"/>
      <c r="E96" s="460"/>
      <c r="F96" s="460"/>
      <c r="G96" s="461"/>
      <c r="H96" s="460"/>
      <c r="I96" s="402"/>
      <c r="J96" s="461"/>
      <c r="K96" s="461"/>
      <c r="L96" s="461"/>
      <c r="M96" s="461"/>
      <c r="N96" s="461"/>
      <c r="O96" s="461"/>
      <c r="P96" s="461"/>
    </row>
    <row r="97" spans="1:16" x14ac:dyDescent="0.25">
      <c r="A97" s="467"/>
      <c r="B97" s="402"/>
      <c r="C97" s="402"/>
      <c r="D97" s="460"/>
      <c r="E97" s="460"/>
      <c r="F97" s="460"/>
      <c r="G97" s="461"/>
      <c r="H97" s="460"/>
      <c r="I97" s="402"/>
      <c r="J97" s="461"/>
      <c r="K97" s="461"/>
      <c r="L97" s="461"/>
      <c r="M97" s="461"/>
      <c r="N97" s="461"/>
      <c r="O97" s="461"/>
      <c r="P97" s="461"/>
    </row>
    <row r="98" spans="1:16" x14ac:dyDescent="0.25">
      <c r="A98" s="467"/>
      <c r="B98" s="402"/>
      <c r="C98" s="402"/>
      <c r="D98" s="460"/>
      <c r="E98" s="460"/>
      <c r="F98" s="460"/>
      <c r="G98" s="461"/>
      <c r="H98" s="460"/>
      <c r="I98" s="402"/>
      <c r="J98" s="461"/>
      <c r="K98" s="461"/>
      <c r="L98" s="461"/>
    </row>
  </sheetData>
  <conditionalFormatting sqref="I7:I68 I71:I72 J69:J70">
    <cfRule type="colorScale" priority="3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B7:B71">
    <cfRule type="colorScale" priority="2">
      <colorScale>
        <cfvo type="min"/>
        <cfvo type="percentile" val="50"/>
        <cfvo type="max"/>
        <color rgb="FF6AC281"/>
        <color rgb="FFFFEB84"/>
        <color rgb="FFF97B7E"/>
      </colorScale>
    </cfRule>
  </conditionalFormatting>
  <conditionalFormatting sqref="G7:G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96"/>
  <sheetViews>
    <sheetView showGridLines="0" zoomScale="85" zoomScaleNormal="85" workbookViewId="0">
      <pane ySplit="4" topLeftCell="A44" activePane="bottomLeft" state="frozen"/>
      <selection activeCell="A22" sqref="A22"/>
      <selection pane="bottomLeft" activeCell="G45" sqref="G45"/>
    </sheetView>
  </sheetViews>
  <sheetFormatPr defaultColWidth="8.85546875" defaultRowHeight="18.75" x14ac:dyDescent="0.3"/>
  <cols>
    <col min="1" max="1" width="38" style="76" customWidth="1"/>
    <col min="2" max="3" width="10.5703125" style="85" customWidth="1"/>
    <col min="4" max="5" width="16.7109375" style="80" customWidth="1"/>
    <col min="6" max="6" width="16.7109375" style="83" customWidth="1"/>
    <col min="7" max="9" width="16.7109375" style="84" customWidth="1"/>
    <col min="10" max="16384" width="8.85546875" style="85"/>
  </cols>
  <sheetData>
    <row r="1" spans="1:9" ht="21" x14ac:dyDescent="0.35">
      <c r="A1" s="459" t="s">
        <v>207</v>
      </c>
      <c r="B1" s="471"/>
      <c r="C1" s="471"/>
      <c r="D1" s="463"/>
      <c r="E1" s="463"/>
      <c r="F1" s="469"/>
      <c r="G1" s="470"/>
      <c r="H1" s="470"/>
      <c r="I1" s="470"/>
    </row>
    <row r="2" spans="1:9" x14ac:dyDescent="0.3">
      <c r="A2" s="463" t="s">
        <v>371</v>
      </c>
      <c r="B2" s="471"/>
      <c r="C2" s="471"/>
      <c r="D2" s="463"/>
      <c r="E2" s="463"/>
      <c r="F2" s="469"/>
      <c r="G2" s="470"/>
      <c r="H2" s="470"/>
      <c r="I2" s="470"/>
    </row>
    <row r="3" spans="1:9" ht="21" x14ac:dyDescent="0.35">
      <c r="A3" s="556"/>
      <c r="B3" s="984"/>
      <c r="C3" s="989" t="s">
        <v>319</v>
      </c>
      <c r="D3" s="990"/>
      <c r="E3" s="990"/>
      <c r="F3" s="991"/>
      <c r="G3" s="990"/>
      <c r="H3" s="986" t="s">
        <v>271</v>
      </c>
      <c r="I3" s="986"/>
    </row>
    <row r="4" spans="1:9" ht="57" thickBot="1" x14ac:dyDescent="0.35">
      <c r="A4" s="94" t="s">
        <v>4</v>
      </c>
      <c r="B4" s="985" t="s">
        <v>3</v>
      </c>
      <c r="C4" s="992" t="s">
        <v>165</v>
      </c>
      <c r="D4" s="993" t="s">
        <v>151</v>
      </c>
      <c r="E4" s="994" t="s">
        <v>436</v>
      </c>
      <c r="F4" s="994" t="s">
        <v>256</v>
      </c>
      <c r="G4" s="988" t="s">
        <v>438</v>
      </c>
      <c r="H4" s="987" t="s">
        <v>437</v>
      </c>
      <c r="I4" s="988" t="s">
        <v>257</v>
      </c>
    </row>
    <row r="5" spans="1:9" x14ac:dyDescent="0.3">
      <c r="A5" s="151" t="s">
        <v>10</v>
      </c>
      <c r="B5" s="198">
        <f>RANK(C5,C$5:C$71,0)</f>
        <v>51</v>
      </c>
      <c r="C5" s="538">
        <v>1</v>
      </c>
      <c r="D5" s="913">
        <v>923.29817402799995</v>
      </c>
      <c r="E5" s="690">
        <v>16833.333333333299</v>
      </c>
      <c r="F5" s="914">
        <v>5.4849396476910901E-2</v>
      </c>
      <c r="G5" s="916">
        <v>15910.0351593053</v>
      </c>
      <c r="H5" s="918">
        <v>14022.166666666701</v>
      </c>
      <c r="I5" s="920">
        <v>6.5845614017900206E-2</v>
      </c>
    </row>
    <row r="6" spans="1:9" x14ac:dyDescent="0.3">
      <c r="A6" s="184" t="s">
        <v>156</v>
      </c>
      <c r="B6" s="198">
        <f t="shared" ref="B6:B69" si="0">RANK(C6,C$5:C$71,0)</f>
        <v>21</v>
      </c>
      <c r="C6" s="539">
        <v>3</v>
      </c>
      <c r="D6" s="313">
        <v>38.2176660426667</v>
      </c>
      <c r="E6" s="312">
        <v>92.065399999999997</v>
      </c>
      <c r="F6" s="308">
        <v>0.41511432137009902</v>
      </c>
      <c r="G6" s="546">
        <v>53.847733957333297</v>
      </c>
      <c r="H6" s="547">
        <v>87.646259999999998</v>
      </c>
      <c r="I6" s="548">
        <v>0.43604445920073098</v>
      </c>
    </row>
    <row r="7" spans="1:9" x14ac:dyDescent="0.3">
      <c r="A7" s="184" t="s">
        <v>102</v>
      </c>
      <c r="B7" s="198">
        <f t="shared" si="0"/>
        <v>51</v>
      </c>
      <c r="C7" s="539">
        <v>1</v>
      </c>
      <c r="D7" s="313">
        <v>32.598339951</v>
      </c>
      <c r="E7" s="312">
        <v>520.43501399333297</v>
      </c>
      <c r="F7" s="308">
        <v>6.2636715583124794E-2</v>
      </c>
      <c r="G7" s="546">
        <v>487.83667404233302</v>
      </c>
      <c r="H7" s="547">
        <v>434.04280167666701</v>
      </c>
      <c r="I7" s="548">
        <v>7.5103975518256899E-2</v>
      </c>
    </row>
    <row r="8" spans="1:9" x14ac:dyDescent="0.3">
      <c r="A8" s="184" t="s">
        <v>103</v>
      </c>
      <c r="B8" s="198">
        <f t="shared" si="0"/>
        <v>21</v>
      </c>
      <c r="C8" s="539">
        <v>3</v>
      </c>
      <c r="D8" s="313">
        <v>178.72212854200001</v>
      </c>
      <c r="E8" s="312">
        <v>541</v>
      </c>
      <c r="F8" s="308">
        <v>0.33035513593715299</v>
      </c>
      <c r="G8" s="546">
        <v>362.27787145799999</v>
      </c>
      <c r="H8" s="547">
        <v>493.93299999999999</v>
      </c>
      <c r="I8" s="548">
        <v>0.36183476006260001</v>
      </c>
    </row>
    <row r="9" spans="1:9" x14ac:dyDescent="0.3">
      <c r="A9" s="87" t="s">
        <v>5</v>
      </c>
      <c r="B9" s="198">
        <f t="shared" si="0"/>
        <v>21</v>
      </c>
      <c r="C9" s="539">
        <v>3</v>
      </c>
      <c r="D9" s="313">
        <v>781.09810975966695</v>
      </c>
      <c r="E9" s="309">
        <v>1671.0333333333299</v>
      </c>
      <c r="F9" s="305">
        <v>0.4674341882825</v>
      </c>
      <c r="G9" s="540">
        <v>889.93522357366703</v>
      </c>
      <c r="H9" s="541">
        <v>1553.2267999999999</v>
      </c>
      <c r="I9" s="542">
        <v>0.50288735023093001</v>
      </c>
    </row>
    <row r="10" spans="1:9" x14ac:dyDescent="0.3">
      <c r="A10" s="184" t="s">
        <v>157</v>
      </c>
      <c r="B10" s="198">
        <f t="shared" si="0"/>
        <v>21</v>
      </c>
      <c r="C10" s="539">
        <v>3</v>
      </c>
      <c r="D10" s="313">
        <v>44.780663763333301</v>
      </c>
      <c r="E10" s="312">
        <v>169.36666666666699</v>
      </c>
      <c r="F10" s="308">
        <v>0.26440069137965</v>
      </c>
      <c r="G10" s="546">
        <v>124.586002903333</v>
      </c>
      <c r="H10" s="547">
        <v>154.26046666666701</v>
      </c>
      <c r="I10" s="548">
        <v>0.29029254695629497</v>
      </c>
    </row>
    <row r="11" spans="1:9" x14ac:dyDescent="0.3">
      <c r="A11" s="184" t="s">
        <v>247</v>
      </c>
      <c r="B11" s="198">
        <f t="shared" si="0"/>
        <v>6</v>
      </c>
      <c r="C11" s="539">
        <v>8</v>
      </c>
      <c r="D11" s="313">
        <v>407.47760702333301</v>
      </c>
      <c r="E11" s="312">
        <v>431.64333333333298</v>
      </c>
      <c r="F11" s="308">
        <v>0.94401459620983397</v>
      </c>
      <c r="G11" s="546">
        <v>24.16572631</v>
      </c>
      <c r="H11" s="547">
        <v>378.74819333333301</v>
      </c>
      <c r="I11" s="548">
        <v>1.07585359929286</v>
      </c>
    </row>
    <row r="12" spans="1:9" x14ac:dyDescent="0.3">
      <c r="A12" s="87" t="s">
        <v>94</v>
      </c>
      <c r="B12" s="198">
        <f t="shared" si="0"/>
        <v>37</v>
      </c>
      <c r="C12" s="539">
        <v>2</v>
      </c>
      <c r="D12" s="313">
        <v>485.522911298667</v>
      </c>
      <c r="E12" s="309">
        <v>2387.5721283333301</v>
      </c>
      <c r="F12" s="305">
        <v>0.203354238197441</v>
      </c>
      <c r="G12" s="540">
        <v>1902.0492170346699</v>
      </c>
      <c r="H12" s="541">
        <v>2247.8698491</v>
      </c>
      <c r="I12" s="542">
        <v>0.21599244791377001</v>
      </c>
    </row>
    <row r="13" spans="1:9" x14ac:dyDescent="0.3">
      <c r="A13" s="184" t="s">
        <v>104</v>
      </c>
      <c r="B13" s="198">
        <f t="shared" si="0"/>
        <v>12</v>
      </c>
      <c r="C13" s="539">
        <v>5</v>
      </c>
      <c r="D13" s="313">
        <v>95.011801165333296</v>
      </c>
      <c r="E13" s="310">
        <v>179.996933333333</v>
      </c>
      <c r="F13" s="306">
        <v>0.52785233284715205</v>
      </c>
      <c r="G13" s="543">
        <v>84.985132168000007</v>
      </c>
      <c r="H13" s="544">
        <v>164.33143346666699</v>
      </c>
      <c r="I13" s="545">
        <v>0.57817180292902204</v>
      </c>
    </row>
    <row r="14" spans="1:9" x14ac:dyDescent="0.3">
      <c r="A14" s="184" t="s">
        <v>9</v>
      </c>
      <c r="B14" s="198">
        <f t="shared" si="0"/>
        <v>21</v>
      </c>
      <c r="C14" s="539">
        <v>3</v>
      </c>
      <c r="D14" s="313">
        <v>93.139825275333294</v>
      </c>
      <c r="E14" s="309">
        <v>365.23666666666702</v>
      </c>
      <c r="F14" s="693">
        <v>0.25501225308338898</v>
      </c>
      <c r="G14" s="540">
        <v>272.09684139133299</v>
      </c>
      <c r="H14" s="541">
        <v>346.41216666666702</v>
      </c>
      <c r="I14" s="542">
        <v>0.26886995965403399</v>
      </c>
    </row>
    <row r="15" spans="1:9" x14ac:dyDescent="0.3">
      <c r="A15" s="87" t="s">
        <v>90</v>
      </c>
      <c r="B15" s="198">
        <f t="shared" si="0"/>
        <v>21</v>
      </c>
      <c r="C15" s="539">
        <v>3</v>
      </c>
      <c r="D15" s="313">
        <v>100.06323631766701</v>
      </c>
      <c r="E15" s="309">
        <v>315.33333333333297</v>
      </c>
      <c r="F15" s="305">
        <v>0.31732527373467201</v>
      </c>
      <c r="G15" s="540">
        <v>215.27009701566701</v>
      </c>
      <c r="H15" s="541">
        <v>291.46199999999999</v>
      </c>
      <c r="I15" s="542">
        <v>0.34331486203232903</v>
      </c>
    </row>
    <row r="16" spans="1:9" x14ac:dyDescent="0.3">
      <c r="A16" s="87" t="s">
        <v>14</v>
      </c>
      <c r="B16" s="198">
        <f t="shared" si="0"/>
        <v>21</v>
      </c>
      <c r="C16" s="539">
        <v>3</v>
      </c>
      <c r="D16" s="313">
        <v>556.72940134999999</v>
      </c>
      <c r="E16" s="309">
        <v>1514.6666666666699</v>
      </c>
      <c r="F16" s="305">
        <v>0.367559023778609</v>
      </c>
      <c r="G16" s="540">
        <v>957.93726531666698</v>
      </c>
      <c r="H16" s="541">
        <v>1448.0213333333299</v>
      </c>
      <c r="I16" s="542">
        <v>0.38447596629561598</v>
      </c>
    </row>
    <row r="17" spans="1:9" x14ac:dyDescent="0.3">
      <c r="A17" s="87" t="s">
        <v>96</v>
      </c>
      <c r="B17" s="198">
        <f t="shared" si="0"/>
        <v>37</v>
      </c>
      <c r="C17" s="539">
        <v>2</v>
      </c>
      <c r="D17" s="313">
        <v>606.91935543233296</v>
      </c>
      <c r="E17" s="309">
        <v>2794.32</v>
      </c>
      <c r="F17" s="305">
        <v>0.21719751332429099</v>
      </c>
      <c r="G17" s="540">
        <v>2187.40064456767</v>
      </c>
      <c r="H17" s="541">
        <v>2671.3699200000001</v>
      </c>
      <c r="I17" s="542">
        <v>0.227194051594447</v>
      </c>
    </row>
    <row r="18" spans="1:9" x14ac:dyDescent="0.3">
      <c r="A18" s="184" t="s">
        <v>99</v>
      </c>
      <c r="B18" s="198">
        <f t="shared" si="0"/>
        <v>12</v>
      </c>
      <c r="C18" s="539">
        <v>5</v>
      </c>
      <c r="D18" s="313">
        <v>24.815723733999999</v>
      </c>
      <c r="E18" s="312">
        <v>42.926666666666698</v>
      </c>
      <c r="F18" s="1224">
        <v>0.57809575401459901</v>
      </c>
      <c r="G18" s="546">
        <v>18.110942932666699</v>
      </c>
      <c r="H18" s="547">
        <v>39.197213333333302</v>
      </c>
      <c r="I18" s="548">
        <v>0.63309918291810596</v>
      </c>
    </row>
    <row r="19" spans="1:9" x14ac:dyDescent="0.3">
      <c r="A19" s="184" t="s">
        <v>105</v>
      </c>
      <c r="B19" s="198">
        <f t="shared" si="0"/>
        <v>12</v>
      </c>
      <c r="C19" s="539">
        <v>5</v>
      </c>
      <c r="D19" s="313">
        <v>169.836589057</v>
      </c>
      <c r="E19" s="312">
        <v>333.932633333333</v>
      </c>
      <c r="F19" s="308">
        <v>0.50859536356684298</v>
      </c>
      <c r="G19" s="546">
        <v>164.096044276333</v>
      </c>
      <c r="H19" s="547">
        <v>304.8922609</v>
      </c>
      <c r="I19" s="548">
        <v>0.55703804535958301</v>
      </c>
    </row>
    <row r="20" spans="1:9" x14ac:dyDescent="0.3">
      <c r="A20" s="87" t="s">
        <v>92</v>
      </c>
      <c r="B20" s="198">
        <f t="shared" si="0"/>
        <v>51</v>
      </c>
      <c r="C20" s="539">
        <v>1</v>
      </c>
      <c r="D20" s="313">
        <v>4.9997945579999996</v>
      </c>
      <c r="E20" s="309">
        <v>74.1666666666667</v>
      </c>
      <c r="F20" s="305">
        <v>6.7412960332584301E-2</v>
      </c>
      <c r="G20" s="540">
        <v>69.166872108666695</v>
      </c>
      <c r="H20" s="541">
        <v>66.6661</v>
      </c>
      <c r="I20" s="542">
        <v>7.4997555849224698E-2</v>
      </c>
    </row>
    <row r="21" spans="1:9" x14ac:dyDescent="0.3">
      <c r="A21" s="87" t="s">
        <v>22</v>
      </c>
      <c r="B21" s="198">
        <f t="shared" si="0"/>
        <v>21</v>
      </c>
      <c r="C21" s="539">
        <v>3</v>
      </c>
      <c r="D21" s="313">
        <v>2.5625972940000001</v>
      </c>
      <c r="E21" s="309">
        <v>8.2422038433333302</v>
      </c>
      <c r="F21" s="305">
        <v>0.31091166182121799</v>
      </c>
      <c r="G21" s="540">
        <v>5.6796065493333296</v>
      </c>
      <c r="H21" s="541">
        <v>5.72008946733333</v>
      </c>
      <c r="I21" s="542">
        <v>0.44799951270598998</v>
      </c>
    </row>
    <row r="22" spans="1:9" x14ac:dyDescent="0.3">
      <c r="A22" s="87" t="s">
        <v>13</v>
      </c>
      <c r="B22" s="198">
        <f t="shared" si="0"/>
        <v>21</v>
      </c>
      <c r="C22" s="539">
        <v>3</v>
      </c>
      <c r="D22" s="313">
        <v>367.37862562200002</v>
      </c>
      <c r="E22" s="309">
        <v>778.66666666666697</v>
      </c>
      <c r="F22" s="305">
        <v>0.471804741809075</v>
      </c>
      <c r="G22" s="540">
        <v>411.28804104466701</v>
      </c>
      <c r="H22" s="541">
        <v>744.24933333333297</v>
      </c>
      <c r="I22" s="542">
        <v>0.49362304965271497</v>
      </c>
    </row>
    <row r="23" spans="1:9" x14ac:dyDescent="0.3">
      <c r="A23" s="87" t="s">
        <v>6</v>
      </c>
      <c r="B23" s="198">
        <f t="shared" si="0"/>
        <v>51</v>
      </c>
      <c r="C23" s="539">
        <v>1</v>
      </c>
      <c r="D23" s="313">
        <v>5714.55349029233</v>
      </c>
      <c r="E23" s="309">
        <v>91144.2</v>
      </c>
      <c r="F23" s="305">
        <v>6.2697938983416704E-2</v>
      </c>
      <c r="G23" s="540">
        <v>85429.646509707702</v>
      </c>
      <c r="H23" s="541">
        <v>87133.855200000005</v>
      </c>
      <c r="I23" s="542">
        <v>6.5583618183490303E-2</v>
      </c>
    </row>
    <row r="24" spans="1:9" x14ac:dyDescent="0.3">
      <c r="A24" s="87" t="s">
        <v>16</v>
      </c>
      <c r="B24" s="198">
        <f t="shared" si="0"/>
        <v>51</v>
      </c>
      <c r="C24" s="539">
        <v>1</v>
      </c>
      <c r="D24" s="313">
        <v>241.77977643633301</v>
      </c>
      <c r="E24" s="309">
        <v>10136</v>
      </c>
      <c r="F24" s="305">
        <v>2.3853569103821401E-2</v>
      </c>
      <c r="G24" s="540">
        <v>9894.2202235636705</v>
      </c>
      <c r="H24" s="541">
        <v>9254.1679999999997</v>
      </c>
      <c r="I24" s="542">
        <v>2.6126581712838302E-2</v>
      </c>
    </row>
    <row r="25" spans="1:9" x14ac:dyDescent="0.3">
      <c r="A25" s="184" t="s">
        <v>106</v>
      </c>
      <c r="B25" s="198">
        <f t="shared" si="0"/>
        <v>21</v>
      </c>
      <c r="C25" s="539">
        <v>3</v>
      </c>
      <c r="D25" s="313">
        <v>8.4146731986666694</v>
      </c>
      <c r="E25" s="312">
        <v>23.4975103316667</v>
      </c>
      <c r="F25" s="308">
        <v>0.35810913921916798</v>
      </c>
      <c r="G25" s="546">
        <v>15.082837133</v>
      </c>
      <c r="H25" s="547">
        <v>19.596923617333299</v>
      </c>
      <c r="I25" s="548">
        <v>0.42938745708147502</v>
      </c>
    </row>
    <row r="26" spans="1:9" x14ac:dyDescent="0.3">
      <c r="A26" s="184" t="s">
        <v>23</v>
      </c>
      <c r="B26" s="198">
        <f t="shared" si="0"/>
        <v>12</v>
      </c>
      <c r="C26" s="539">
        <v>5</v>
      </c>
      <c r="D26" s="313">
        <v>20.9389613333333</v>
      </c>
      <c r="E26" s="312">
        <v>35</v>
      </c>
      <c r="F26" s="308">
        <v>0.59825603809523797</v>
      </c>
      <c r="G26" s="546">
        <v>14.0610386666667</v>
      </c>
      <c r="H26" s="547">
        <v>24.29</v>
      </c>
      <c r="I26" s="548">
        <v>0.8620404007136</v>
      </c>
    </row>
    <row r="27" spans="1:9" x14ac:dyDescent="0.3">
      <c r="A27" s="184" t="s">
        <v>330</v>
      </c>
      <c r="B27" s="198">
        <f t="shared" si="0"/>
        <v>12</v>
      </c>
      <c r="C27" s="539">
        <v>5</v>
      </c>
      <c r="D27" s="313">
        <v>88.821788517666704</v>
      </c>
      <c r="E27" s="312">
        <v>168.478191616667</v>
      </c>
      <c r="F27" s="308">
        <v>0.52720050984260403</v>
      </c>
      <c r="G27" s="546">
        <v>79.656403099000002</v>
      </c>
      <c r="H27" s="547">
        <v>140.51081180666699</v>
      </c>
      <c r="I27" s="548">
        <v>0.63213490389536298</v>
      </c>
    </row>
    <row r="28" spans="1:9" x14ac:dyDescent="0.3">
      <c r="A28" s="184" t="s">
        <v>107</v>
      </c>
      <c r="B28" s="198">
        <f t="shared" si="0"/>
        <v>37</v>
      </c>
      <c r="C28" s="539">
        <v>2</v>
      </c>
      <c r="D28" s="314">
        <v>11.4293510263333</v>
      </c>
      <c r="E28" s="1225">
        <v>60.283484667666698</v>
      </c>
      <c r="F28" s="1226">
        <v>0.18959340338969399</v>
      </c>
      <c r="G28" s="1227">
        <v>48.854133641333298</v>
      </c>
      <c r="H28" s="1228">
        <v>50.276426213000001</v>
      </c>
      <c r="I28" s="1229">
        <v>0.22733021989096799</v>
      </c>
    </row>
    <row r="29" spans="1:9" x14ac:dyDescent="0.3">
      <c r="A29" s="184" t="s">
        <v>100</v>
      </c>
      <c r="B29" s="198">
        <f t="shared" si="0"/>
        <v>37</v>
      </c>
      <c r="C29" s="539">
        <v>2</v>
      </c>
      <c r="D29" s="314">
        <v>17.939762000999998</v>
      </c>
      <c r="E29" s="1225">
        <v>93.719700000000003</v>
      </c>
      <c r="F29" s="1226">
        <v>0.19141932807083301</v>
      </c>
      <c r="G29" s="1227">
        <v>75.779937998999998</v>
      </c>
      <c r="H29" s="1228">
        <v>84.515012100000007</v>
      </c>
      <c r="I29" s="1229">
        <v>0.21226716479402799</v>
      </c>
    </row>
    <row r="30" spans="1:9" x14ac:dyDescent="0.3">
      <c r="A30" s="184" t="s">
        <v>101</v>
      </c>
      <c r="B30" s="198">
        <f t="shared" si="0"/>
        <v>51</v>
      </c>
      <c r="C30" s="539">
        <v>1</v>
      </c>
      <c r="D30" s="314">
        <v>44.969601271666697</v>
      </c>
      <c r="E30" s="1225">
        <v>1551.3333333333301</v>
      </c>
      <c r="F30" s="1226">
        <v>2.89877103169317E-2</v>
      </c>
      <c r="G30" s="1227">
        <v>1506.3637320616699</v>
      </c>
      <c r="H30" s="1228">
        <v>1416.36733333333</v>
      </c>
      <c r="I30" s="1229">
        <v>3.1749956535522102E-2</v>
      </c>
    </row>
    <row r="31" spans="1:9" x14ac:dyDescent="0.3">
      <c r="A31" s="184" t="s">
        <v>108</v>
      </c>
      <c r="B31" s="198">
        <f t="shared" si="0"/>
        <v>21</v>
      </c>
      <c r="C31" s="539">
        <v>3</v>
      </c>
      <c r="D31" s="313">
        <v>3.26121701033333</v>
      </c>
      <c r="E31" s="312">
        <v>9.8778593333333298</v>
      </c>
      <c r="F31" s="1224">
        <v>0.330154226769376</v>
      </c>
      <c r="G31" s="546">
        <v>6.6166423229999998</v>
      </c>
      <c r="H31" s="547">
        <v>8.2381346840000003</v>
      </c>
      <c r="I31" s="548">
        <v>0.39586837742131398</v>
      </c>
    </row>
    <row r="32" spans="1:9" x14ac:dyDescent="0.3">
      <c r="A32" s="184" t="s">
        <v>258</v>
      </c>
      <c r="B32" s="198">
        <f t="shared" si="0"/>
        <v>51</v>
      </c>
      <c r="C32" s="539">
        <v>1</v>
      </c>
      <c r="D32" s="313">
        <v>37.959476385333303</v>
      </c>
      <c r="E32" s="312">
        <v>466.20666666666699</v>
      </c>
      <c r="F32" s="308">
        <v>8.1421993934020706E-2</v>
      </c>
      <c r="G32" s="546">
        <v>428.24719028133302</v>
      </c>
      <c r="H32" s="547">
        <v>426.37430000000001</v>
      </c>
      <c r="I32" s="548">
        <v>8.9028528185993702E-2</v>
      </c>
    </row>
    <row r="33" spans="1:9" x14ac:dyDescent="0.3">
      <c r="A33" s="184" t="s">
        <v>245</v>
      </c>
      <c r="B33" s="198">
        <f t="shared" si="0"/>
        <v>37</v>
      </c>
      <c r="C33" s="539">
        <v>2</v>
      </c>
      <c r="D33" s="313">
        <v>4.4101751496666699</v>
      </c>
      <c r="E33" s="312">
        <v>27.668519000666699</v>
      </c>
      <c r="F33" s="308">
        <v>0.15939324940234101</v>
      </c>
      <c r="G33" s="546">
        <v>23.258343850999999</v>
      </c>
      <c r="H33" s="547">
        <v>23.075544847333301</v>
      </c>
      <c r="I33" s="548">
        <v>0.191119004073107</v>
      </c>
    </row>
    <row r="34" spans="1:9" x14ac:dyDescent="0.3">
      <c r="A34" s="184" t="s">
        <v>347</v>
      </c>
      <c r="B34" s="198">
        <f t="shared" si="0"/>
        <v>37</v>
      </c>
      <c r="C34" s="539">
        <v>2</v>
      </c>
      <c r="D34" s="313">
        <v>19.867618009000001</v>
      </c>
      <c r="E34" s="312">
        <v>167.1</v>
      </c>
      <c r="F34" s="308">
        <v>0.11889657695392</v>
      </c>
      <c r="G34" s="546">
        <v>147.23238199100001</v>
      </c>
      <c r="H34" s="547">
        <v>139.3614</v>
      </c>
      <c r="I34" s="548">
        <v>0.14256184287040699</v>
      </c>
    </row>
    <row r="35" spans="1:9" x14ac:dyDescent="0.3">
      <c r="A35" s="87" t="s">
        <v>89</v>
      </c>
      <c r="B35" s="198">
        <f t="shared" si="0"/>
        <v>37</v>
      </c>
      <c r="C35" s="539">
        <v>2</v>
      </c>
      <c r="D35" s="313">
        <v>1328.3575658316699</v>
      </c>
      <c r="E35" s="309">
        <v>5560.2533333333304</v>
      </c>
      <c r="F35" s="305">
        <v>0.23890234602589999</v>
      </c>
      <c r="G35" s="540">
        <v>4231.89576750167</v>
      </c>
      <c r="H35" s="541">
        <v>5241.18918653333</v>
      </c>
      <c r="I35" s="542">
        <v>0.25344583424783401</v>
      </c>
    </row>
    <row r="36" spans="1:9" x14ac:dyDescent="0.3">
      <c r="A36" s="88" t="s">
        <v>97</v>
      </c>
      <c r="B36" s="198">
        <f t="shared" si="0"/>
        <v>21</v>
      </c>
      <c r="C36" s="539">
        <v>3</v>
      </c>
      <c r="D36" s="313">
        <v>681.278912848</v>
      </c>
      <c r="E36" s="309">
        <v>2499.6666666666702</v>
      </c>
      <c r="F36" s="305">
        <v>0.27254790485984798</v>
      </c>
      <c r="G36" s="540">
        <v>1818.38775381867</v>
      </c>
      <c r="H36" s="541">
        <v>2389.6813333333298</v>
      </c>
      <c r="I36" s="542">
        <v>0.28509195069021798</v>
      </c>
    </row>
    <row r="37" spans="1:9" x14ac:dyDescent="0.3">
      <c r="A37" s="87" t="s">
        <v>86</v>
      </c>
      <c r="B37" s="198">
        <f t="shared" si="0"/>
        <v>51</v>
      </c>
      <c r="C37" s="539">
        <v>1</v>
      </c>
      <c r="D37" s="313">
        <v>277.57070821333298</v>
      </c>
      <c r="E37" s="309">
        <v>4117.3333333333303</v>
      </c>
      <c r="F37" s="305">
        <v>6.7415165531088103E-2</v>
      </c>
      <c r="G37" s="540">
        <v>3839.7626251199999</v>
      </c>
      <c r="H37" s="541">
        <v>3429.7386666666698</v>
      </c>
      <c r="I37" s="542">
        <v>8.0930570865652002E-2</v>
      </c>
    </row>
    <row r="38" spans="1:9" x14ac:dyDescent="0.3">
      <c r="A38" s="184" t="s">
        <v>109</v>
      </c>
      <c r="B38" s="198">
        <f t="shared" si="0"/>
        <v>37</v>
      </c>
      <c r="C38" s="539">
        <v>2</v>
      </c>
      <c r="D38" s="313">
        <v>50.136247276666701</v>
      </c>
      <c r="E38" s="312">
        <v>224.957734319</v>
      </c>
      <c r="F38" s="308">
        <v>0.22286963117067701</v>
      </c>
      <c r="G38" s="546">
        <v>174.82148704233299</v>
      </c>
      <c r="H38" s="547">
        <v>187.614750431</v>
      </c>
      <c r="I38" s="548">
        <v>0.26722977357319</v>
      </c>
    </row>
    <row r="39" spans="1:9" x14ac:dyDescent="0.3">
      <c r="A39" s="87" t="s">
        <v>93</v>
      </c>
      <c r="B39" s="198">
        <f t="shared" si="0"/>
        <v>51</v>
      </c>
      <c r="C39" s="539">
        <v>1</v>
      </c>
      <c r="D39" s="313">
        <v>54.165091263333302</v>
      </c>
      <c r="E39" s="309">
        <v>3200</v>
      </c>
      <c r="F39" s="305">
        <v>1.6926591019791701E-2</v>
      </c>
      <c r="G39" s="540">
        <v>3145.8349087366701</v>
      </c>
      <c r="H39" s="541">
        <v>2220.8000000000002</v>
      </c>
      <c r="I39" s="542">
        <v>2.4389900604887101E-2</v>
      </c>
    </row>
    <row r="40" spans="1:9" x14ac:dyDescent="0.3">
      <c r="A40" s="87" t="s">
        <v>259</v>
      </c>
      <c r="B40" s="198">
        <f t="shared" si="0"/>
        <v>37</v>
      </c>
      <c r="C40" s="539">
        <v>2</v>
      </c>
      <c r="D40" s="313">
        <v>434.868640088333</v>
      </c>
      <c r="E40" s="309">
        <v>3456.4833333333299</v>
      </c>
      <c r="F40" s="305">
        <v>0.12581245102343899</v>
      </c>
      <c r="G40" s="540">
        <v>3021.6146932450001</v>
      </c>
      <c r="H40" s="541">
        <v>3169.8732833333302</v>
      </c>
      <c r="I40" s="542">
        <v>0.13718802021986201</v>
      </c>
    </row>
    <row r="41" spans="1:9" x14ac:dyDescent="0.3">
      <c r="A41" s="184" t="s">
        <v>110</v>
      </c>
      <c r="B41" s="198">
        <f t="shared" si="0"/>
        <v>51</v>
      </c>
      <c r="C41" s="539">
        <v>1</v>
      </c>
      <c r="D41" s="313">
        <v>142.17948308366701</v>
      </c>
      <c r="E41" s="312">
        <v>4801</v>
      </c>
      <c r="F41" s="308">
        <v>2.9614555943275701E-2</v>
      </c>
      <c r="G41" s="546">
        <v>4658.8205169163302</v>
      </c>
      <c r="H41" s="547">
        <v>3331.8939999999998</v>
      </c>
      <c r="I41" s="548">
        <v>4.2672270811636499E-2</v>
      </c>
    </row>
    <row r="42" spans="1:9" x14ac:dyDescent="0.3">
      <c r="A42" s="184" t="s">
        <v>249</v>
      </c>
      <c r="B42" s="198">
        <f t="shared" si="0"/>
        <v>12</v>
      </c>
      <c r="C42" s="539">
        <v>5</v>
      </c>
      <c r="D42" s="313">
        <v>1360.50982856467</v>
      </c>
      <c r="E42" s="309">
        <v>2486</v>
      </c>
      <c r="F42" s="305">
        <v>0.54726863578627005</v>
      </c>
      <c r="G42" s="540">
        <v>1125.49017143533</v>
      </c>
      <c r="H42" s="541">
        <v>2070.8380000000002</v>
      </c>
      <c r="I42" s="542">
        <v>0.65698515700632598</v>
      </c>
    </row>
    <row r="43" spans="1:9" x14ac:dyDescent="0.3">
      <c r="A43" s="87" t="s">
        <v>7</v>
      </c>
      <c r="B43" s="198">
        <f t="shared" si="0"/>
        <v>7</v>
      </c>
      <c r="C43" s="539">
        <v>7</v>
      </c>
      <c r="D43" s="313">
        <v>2567.2361505303302</v>
      </c>
      <c r="E43" s="309">
        <v>3056.6666666666702</v>
      </c>
      <c r="F43" s="305">
        <v>0.83988096527709899</v>
      </c>
      <c r="G43" s="540">
        <v>489.43051613633298</v>
      </c>
      <c r="H43" s="541">
        <v>2922.17333333333</v>
      </c>
      <c r="I43" s="542">
        <v>0.87853657455763501</v>
      </c>
    </row>
    <row r="44" spans="1:9" x14ac:dyDescent="0.3">
      <c r="A44" s="184" t="s">
        <v>111</v>
      </c>
      <c r="B44" s="198">
        <f t="shared" si="0"/>
        <v>1</v>
      </c>
      <c r="C44" s="539">
        <v>10</v>
      </c>
      <c r="D44" s="313">
        <v>27.006160184999999</v>
      </c>
      <c r="E44" s="312">
        <v>12.758006</v>
      </c>
      <c r="F44" s="1230">
        <v>2.1168010255677898</v>
      </c>
      <c r="G44" s="1231">
        <v>-14.248154185000001</v>
      </c>
      <c r="H44" s="547">
        <v>10.640177004</v>
      </c>
      <c r="I44" s="1232">
        <v>2.5381307261004702</v>
      </c>
    </row>
    <row r="45" spans="1:9" x14ac:dyDescent="0.3">
      <c r="A45" s="184" t="s">
        <v>112</v>
      </c>
      <c r="B45" s="198">
        <f t="shared" si="0"/>
        <v>7</v>
      </c>
      <c r="C45" s="539">
        <v>7</v>
      </c>
      <c r="D45" s="313">
        <v>46.491946964</v>
      </c>
      <c r="E45" s="312">
        <v>55.678323333333303</v>
      </c>
      <c r="F45" s="308">
        <v>0.83500982394285495</v>
      </c>
      <c r="G45" s="546">
        <v>9.1863763693333294</v>
      </c>
      <c r="H45" s="547">
        <v>46.435721661000002</v>
      </c>
      <c r="I45" s="548">
        <v>1.0012108200537999</v>
      </c>
    </row>
    <row r="46" spans="1:9" x14ac:dyDescent="0.3">
      <c r="A46" s="184" t="s">
        <v>360</v>
      </c>
      <c r="B46" s="198">
        <f t="shared" si="0"/>
        <v>37</v>
      </c>
      <c r="C46" s="539">
        <v>2</v>
      </c>
      <c r="D46" s="313">
        <v>42.221759280999997</v>
      </c>
      <c r="E46" s="312">
        <v>270.40213598933298</v>
      </c>
      <c r="F46" s="308">
        <v>0.15614432602953099</v>
      </c>
      <c r="G46" s="546">
        <v>228.180376708333</v>
      </c>
      <c r="H46" s="547">
        <v>225.515381417333</v>
      </c>
      <c r="I46" s="548">
        <v>0.18722341250358199</v>
      </c>
    </row>
    <row r="47" spans="1:9" x14ac:dyDescent="0.3">
      <c r="A47" s="184" t="s">
        <v>11</v>
      </c>
      <c r="B47" s="198">
        <f t="shared" si="0"/>
        <v>37</v>
      </c>
      <c r="C47" s="539">
        <v>2</v>
      </c>
      <c r="D47" s="313">
        <v>474.61816429599997</v>
      </c>
      <c r="E47" s="312">
        <v>3191.5916666666699</v>
      </c>
      <c r="F47" s="308">
        <v>0.14870892453222101</v>
      </c>
      <c r="G47" s="546">
        <v>2716.9735023706698</v>
      </c>
      <c r="H47" s="547">
        <v>2658.5958583333299</v>
      </c>
      <c r="I47" s="548">
        <v>0.17852211828598</v>
      </c>
    </row>
    <row r="48" spans="1:9" x14ac:dyDescent="0.3">
      <c r="A48" s="184" t="s">
        <v>20</v>
      </c>
      <c r="B48" s="198">
        <f t="shared" si="0"/>
        <v>51</v>
      </c>
      <c r="C48" s="539">
        <v>1</v>
      </c>
      <c r="D48" s="313">
        <v>3.4892383436666701</v>
      </c>
      <c r="E48" s="312">
        <v>66.7</v>
      </c>
      <c r="F48" s="308">
        <v>5.2312418945527198E-2</v>
      </c>
      <c r="G48" s="546">
        <v>63.210761656333297</v>
      </c>
      <c r="H48" s="547">
        <v>46.2898</v>
      </c>
      <c r="I48" s="548">
        <v>7.5378125281739594E-2</v>
      </c>
    </row>
    <row r="49" spans="1:9" x14ac:dyDescent="0.3">
      <c r="A49" s="184" t="s">
        <v>361</v>
      </c>
      <c r="B49" s="198">
        <f t="shared" si="0"/>
        <v>1</v>
      </c>
      <c r="C49" s="539">
        <v>10</v>
      </c>
      <c r="D49" s="313">
        <v>21.406091520333302</v>
      </c>
      <c r="E49" s="312">
        <v>15.0183973326667</v>
      </c>
      <c r="F49" s="308">
        <v>1.42532462327207</v>
      </c>
      <c r="G49" s="546">
        <v>-6.3876941876666704</v>
      </c>
      <c r="H49" s="547">
        <v>12.5253433753333</v>
      </c>
      <c r="I49" s="548">
        <v>1.70902233007753</v>
      </c>
    </row>
    <row r="50" spans="1:9" x14ac:dyDescent="0.3">
      <c r="A50" s="184" t="s">
        <v>354</v>
      </c>
      <c r="B50" s="198">
        <f t="shared" si="0"/>
        <v>21</v>
      </c>
      <c r="C50" s="539">
        <v>3</v>
      </c>
      <c r="D50" s="313">
        <v>12.543001237666701</v>
      </c>
      <c r="E50" s="312">
        <v>47.528138331999997</v>
      </c>
      <c r="F50" s="308">
        <v>0.263906849244748</v>
      </c>
      <c r="G50" s="546">
        <v>34.985137094333297</v>
      </c>
      <c r="H50" s="547">
        <v>39.638467368000001</v>
      </c>
      <c r="I50" s="548">
        <v>0.31643507104395702</v>
      </c>
    </row>
    <row r="51" spans="1:9" x14ac:dyDescent="0.3">
      <c r="A51" s="184" t="s">
        <v>326</v>
      </c>
      <c r="B51" s="198">
        <f t="shared" si="0"/>
        <v>7</v>
      </c>
      <c r="C51" s="539">
        <v>7</v>
      </c>
      <c r="D51" s="313">
        <v>384.44428578066697</v>
      </c>
      <c r="E51" s="312">
        <v>443.32</v>
      </c>
      <c r="F51" s="308">
        <v>0.86719364292309498</v>
      </c>
      <c r="G51" s="546">
        <v>58.875714219333403</v>
      </c>
      <c r="H51" s="547">
        <v>404.75116000000003</v>
      </c>
      <c r="I51" s="548">
        <v>0.94982874361784797</v>
      </c>
    </row>
    <row r="52" spans="1:9" x14ac:dyDescent="0.3">
      <c r="A52" s="88" t="s">
        <v>91</v>
      </c>
      <c r="B52" s="198">
        <f t="shared" si="0"/>
        <v>12</v>
      </c>
      <c r="C52" s="539">
        <v>5</v>
      </c>
      <c r="D52" s="313">
        <v>5065.0483590169997</v>
      </c>
      <c r="E52" s="309">
        <v>8488.6666666666697</v>
      </c>
      <c r="F52" s="305">
        <v>0.59668362039782497</v>
      </c>
      <c r="G52" s="540">
        <v>3423.61830764967</v>
      </c>
      <c r="H52" s="541">
        <v>7750.3333333333303</v>
      </c>
      <c r="I52" s="542">
        <v>0.65352651830248198</v>
      </c>
    </row>
    <row r="53" spans="1:9" x14ac:dyDescent="0.3">
      <c r="A53" s="184" t="s">
        <v>15</v>
      </c>
      <c r="B53" s="198">
        <f t="shared" si="0"/>
        <v>51</v>
      </c>
      <c r="C53" s="539">
        <v>1</v>
      </c>
      <c r="D53" s="313">
        <v>31.064340464333299</v>
      </c>
      <c r="E53" s="312">
        <v>773.2</v>
      </c>
      <c r="F53" s="308">
        <v>4.01763327267632E-2</v>
      </c>
      <c r="G53" s="546">
        <v>742.13565953566695</v>
      </c>
      <c r="H53" s="547">
        <v>536.60080000000005</v>
      </c>
      <c r="I53" s="548">
        <v>5.7890969346921103E-2</v>
      </c>
    </row>
    <row r="54" spans="1:9" x14ac:dyDescent="0.3">
      <c r="A54" s="184" t="s">
        <v>158</v>
      </c>
      <c r="B54" s="198">
        <f t="shared" si="0"/>
        <v>51</v>
      </c>
      <c r="C54" s="539">
        <v>1</v>
      </c>
      <c r="D54" s="313">
        <v>25.352288555333299</v>
      </c>
      <c r="E54" s="312">
        <v>441.33333333333297</v>
      </c>
      <c r="F54" s="308">
        <v>5.7444762587613302E-2</v>
      </c>
      <c r="G54" s="546">
        <v>415.98104477800001</v>
      </c>
      <c r="H54" s="547">
        <v>402.93733333333302</v>
      </c>
      <c r="I54" s="548">
        <v>6.2918688485885305E-2</v>
      </c>
    </row>
    <row r="55" spans="1:9" x14ac:dyDescent="0.3">
      <c r="A55" s="184" t="s">
        <v>113</v>
      </c>
      <c r="B55" s="198">
        <f t="shared" si="0"/>
        <v>12</v>
      </c>
      <c r="C55" s="539">
        <v>5</v>
      </c>
      <c r="D55" s="313">
        <v>10.733480725</v>
      </c>
      <c r="E55" s="312">
        <v>18.805823665666701</v>
      </c>
      <c r="F55" s="308">
        <v>0.57075302394735605</v>
      </c>
      <c r="G55" s="546">
        <v>8.0723429406666707</v>
      </c>
      <c r="H55" s="547">
        <v>15.6840569366667</v>
      </c>
      <c r="I55" s="548">
        <v>0.68435614384355803</v>
      </c>
    </row>
    <row r="56" spans="1:9" x14ac:dyDescent="0.3">
      <c r="A56" s="87" t="s">
        <v>87</v>
      </c>
      <c r="B56" s="198">
        <f t="shared" si="0"/>
        <v>37</v>
      </c>
      <c r="C56" s="539">
        <v>2</v>
      </c>
      <c r="D56" s="313">
        <v>709.73127219100002</v>
      </c>
      <c r="E56" s="309">
        <v>3089.3333333333298</v>
      </c>
      <c r="F56" s="305">
        <v>0.229736061347971</v>
      </c>
      <c r="G56" s="540">
        <v>2379.6020611423301</v>
      </c>
      <c r="H56" s="541">
        <v>2573.4146666666702</v>
      </c>
      <c r="I56" s="542">
        <v>0.27579359105398699</v>
      </c>
    </row>
    <row r="57" spans="1:9" x14ac:dyDescent="0.3">
      <c r="A57" s="87" t="s">
        <v>362</v>
      </c>
      <c r="B57" s="198">
        <f t="shared" si="0"/>
        <v>21</v>
      </c>
      <c r="C57" s="539">
        <v>3</v>
      </c>
      <c r="D57" s="313">
        <v>71.233649432333294</v>
      </c>
      <c r="E57" s="309">
        <v>159.938656662667</v>
      </c>
      <c r="F57" s="305">
        <v>0.44538106620824802</v>
      </c>
      <c r="G57" s="540">
        <v>88.705007230333294</v>
      </c>
      <c r="H57" s="541">
        <v>133.38883965333301</v>
      </c>
      <c r="I57" s="542">
        <v>0.53403005541890702</v>
      </c>
    </row>
    <row r="58" spans="1:9" x14ac:dyDescent="0.3">
      <c r="A58" s="184" t="s">
        <v>114</v>
      </c>
      <c r="B58" s="198">
        <f t="shared" si="0"/>
        <v>37</v>
      </c>
      <c r="C58" s="539">
        <v>2</v>
      </c>
      <c r="D58" s="313">
        <v>8.0016167046666702</v>
      </c>
      <c r="E58" s="312">
        <v>39.568280666</v>
      </c>
      <c r="F58" s="308">
        <v>0.202223007165996</v>
      </c>
      <c r="G58" s="546">
        <v>31.566663961333301</v>
      </c>
      <c r="H58" s="547">
        <v>32.999946074333302</v>
      </c>
      <c r="I58" s="548">
        <v>0.24247362970360001</v>
      </c>
    </row>
    <row r="59" spans="1:9" x14ac:dyDescent="0.3">
      <c r="A59" s="184" t="s">
        <v>160</v>
      </c>
      <c r="B59" s="198">
        <f t="shared" si="0"/>
        <v>51</v>
      </c>
      <c r="C59" s="539">
        <v>1</v>
      </c>
      <c r="D59" s="313">
        <v>202.79070928233301</v>
      </c>
      <c r="E59" s="309">
        <v>2846.9946666666701</v>
      </c>
      <c r="F59" s="305">
        <v>7.1229746812194003E-2</v>
      </c>
      <c r="G59" s="540">
        <v>2644.2039573843299</v>
      </c>
      <c r="H59" s="541">
        <v>2721.7269013333298</v>
      </c>
      <c r="I59" s="542">
        <v>7.4508103360035605E-2</v>
      </c>
    </row>
    <row r="60" spans="1:9" x14ac:dyDescent="0.3">
      <c r="A60" s="184" t="s">
        <v>115</v>
      </c>
      <c r="B60" s="198">
        <f t="shared" si="0"/>
        <v>1</v>
      </c>
      <c r="C60" s="539">
        <v>10</v>
      </c>
      <c r="D60" s="313">
        <v>16.401270479666699</v>
      </c>
      <c r="E60" s="312">
        <v>11.2751963333333</v>
      </c>
      <c r="F60" s="1230">
        <v>1.4546328059209801</v>
      </c>
      <c r="G60" s="1231">
        <v>-5.1260741463333304</v>
      </c>
      <c r="H60" s="547">
        <v>9.4035137419999995</v>
      </c>
      <c r="I60" s="1232">
        <v>1.7441640358764801</v>
      </c>
    </row>
    <row r="61" spans="1:9" x14ac:dyDescent="0.3">
      <c r="A61" s="87" t="s">
        <v>18</v>
      </c>
      <c r="B61" s="198">
        <f t="shared" si="0"/>
        <v>51</v>
      </c>
      <c r="C61" s="539">
        <v>1</v>
      </c>
      <c r="D61" s="313">
        <v>10.187006399333301</v>
      </c>
      <c r="E61" s="312">
        <v>1050.06666666667</v>
      </c>
      <c r="F61" s="308">
        <v>9.7012949012761102E-3</v>
      </c>
      <c r="G61" s="546">
        <v>1039.8796602673301</v>
      </c>
      <c r="H61" s="547">
        <v>728.746266666667</v>
      </c>
      <c r="I61" s="548">
        <v>1.3978811096939599E-2</v>
      </c>
    </row>
    <row r="62" spans="1:9" x14ac:dyDescent="0.3">
      <c r="A62" s="184" t="s">
        <v>116</v>
      </c>
      <c r="B62" s="198">
        <f t="shared" si="0"/>
        <v>12</v>
      </c>
      <c r="C62" s="539">
        <v>5</v>
      </c>
      <c r="D62" s="313">
        <v>36.346446176999997</v>
      </c>
      <c r="E62" s="312">
        <v>62.584782666000002</v>
      </c>
      <c r="F62" s="308">
        <v>0.58075533106781396</v>
      </c>
      <c r="G62" s="546">
        <v>26.238336489000002</v>
      </c>
      <c r="H62" s="547">
        <v>52.195708744000001</v>
      </c>
      <c r="I62" s="548">
        <v>0.696349317819697</v>
      </c>
    </row>
    <row r="63" spans="1:9" x14ac:dyDescent="0.3">
      <c r="A63" s="184" t="s">
        <v>363</v>
      </c>
      <c r="B63" s="198">
        <f t="shared" si="0"/>
        <v>1</v>
      </c>
      <c r="C63" s="539">
        <v>10</v>
      </c>
      <c r="D63" s="313">
        <v>79.099454166666703</v>
      </c>
      <c r="E63" s="312">
        <v>64.012442666666701</v>
      </c>
      <c r="F63" s="308">
        <v>1.23568873286968</v>
      </c>
      <c r="G63" s="546">
        <v>-15.087011499999999</v>
      </c>
      <c r="H63" s="547">
        <v>53.386377183333302</v>
      </c>
      <c r="I63" s="548">
        <v>1.48164116652892</v>
      </c>
    </row>
    <row r="64" spans="1:9" x14ac:dyDescent="0.3">
      <c r="A64" s="184" t="s">
        <v>246</v>
      </c>
      <c r="B64" s="198">
        <f t="shared" si="0"/>
        <v>7</v>
      </c>
      <c r="C64" s="539">
        <v>7</v>
      </c>
      <c r="D64" s="313">
        <v>11.0624866293333</v>
      </c>
      <c r="E64" s="312">
        <v>13.445981668</v>
      </c>
      <c r="F64" s="1230">
        <v>0.82273551329174199</v>
      </c>
      <c r="G64" s="1231">
        <v>2.3834950386666698</v>
      </c>
      <c r="H64" s="547">
        <v>11.214108945</v>
      </c>
      <c r="I64" s="1232">
        <v>0.986479325605779</v>
      </c>
    </row>
    <row r="65" spans="1:9" x14ac:dyDescent="0.3">
      <c r="A65" s="184" t="s">
        <v>272</v>
      </c>
      <c r="B65" s="198">
        <f t="shared" si="0"/>
        <v>1</v>
      </c>
      <c r="C65" s="539">
        <v>10</v>
      </c>
      <c r="D65" s="313">
        <v>386.09212047266698</v>
      </c>
      <c r="E65" s="312">
        <v>278.99544801433302</v>
      </c>
      <c r="F65" s="1230">
        <v>1.38386530397023</v>
      </c>
      <c r="G65" s="1231">
        <v>-107.096672458333</v>
      </c>
      <c r="H65" s="547">
        <v>232.682203644</v>
      </c>
      <c r="I65" s="1232">
        <v>1.6593109160311299</v>
      </c>
    </row>
    <row r="66" spans="1:9" x14ac:dyDescent="0.3">
      <c r="A66" s="87" t="s">
        <v>98</v>
      </c>
      <c r="B66" s="198">
        <f t="shared" si="0"/>
        <v>7</v>
      </c>
      <c r="C66" s="539">
        <v>7</v>
      </c>
      <c r="D66" s="313">
        <v>9523.2874112376703</v>
      </c>
      <c r="E66" s="309">
        <v>12442</v>
      </c>
      <c r="F66" s="305">
        <v>0.76541451625443402</v>
      </c>
      <c r="G66" s="540">
        <v>2918.7125887623301</v>
      </c>
      <c r="H66" s="541">
        <v>11894.552</v>
      </c>
      <c r="I66" s="542">
        <v>0.80064279942932404</v>
      </c>
    </row>
    <row r="67" spans="1:9" x14ac:dyDescent="0.3">
      <c r="A67" s="87" t="s">
        <v>161</v>
      </c>
      <c r="B67" s="198">
        <f t="shared" si="0"/>
        <v>21</v>
      </c>
      <c r="C67" s="539">
        <v>3</v>
      </c>
      <c r="D67" s="315">
        <v>22.146472718999998</v>
      </c>
      <c r="E67" s="311">
        <v>74.400000000000006</v>
      </c>
      <c r="F67" s="307">
        <v>0.29766764407258101</v>
      </c>
      <c r="G67" s="549">
        <v>52.253527280999997</v>
      </c>
      <c r="H67" s="550">
        <v>66.393866666666696</v>
      </c>
      <c r="I67" s="551">
        <v>0.33356202659783801</v>
      </c>
    </row>
    <row r="68" spans="1:9" x14ac:dyDescent="0.3">
      <c r="A68" s="1001" t="s">
        <v>359</v>
      </c>
      <c r="B68" s="198">
        <f t="shared" si="0"/>
        <v>37</v>
      </c>
      <c r="C68" s="1002">
        <v>2</v>
      </c>
      <c r="D68" s="1003">
        <v>24.128705737000001</v>
      </c>
      <c r="E68" s="1004">
        <v>193.26331865133301</v>
      </c>
      <c r="F68" s="1005">
        <v>0.12484886374393001</v>
      </c>
      <c r="G68" s="1006">
        <v>169.13461291433299</v>
      </c>
      <c r="H68" s="1007">
        <v>161.181607742333</v>
      </c>
      <c r="I68" s="1008">
        <v>0.149698877402764</v>
      </c>
    </row>
    <row r="69" spans="1:9" ht="19.5" thickBot="1" x14ac:dyDescent="0.35">
      <c r="A69" s="152" t="s">
        <v>162</v>
      </c>
      <c r="B69" s="198">
        <f t="shared" si="0"/>
        <v>21</v>
      </c>
      <c r="C69" s="552">
        <v>3</v>
      </c>
      <c r="D69" s="316">
        <v>3714.0424060649998</v>
      </c>
      <c r="E69" s="691">
        <v>7532.0927879999999</v>
      </c>
      <c r="F69" s="915">
        <v>0.49309567879755101</v>
      </c>
      <c r="G69" s="917">
        <v>3818.0503819350001</v>
      </c>
      <c r="H69" s="919">
        <v>6976.5933851999998</v>
      </c>
      <c r="I69" s="921">
        <v>0.53235758499899</v>
      </c>
    </row>
    <row r="71" spans="1:9" x14ac:dyDescent="0.3">
      <c r="A71" s="463"/>
      <c r="B71" s="474"/>
      <c r="C71" s="478"/>
      <c r="D71" s="477"/>
      <c r="E71" s="477"/>
      <c r="F71" s="469"/>
      <c r="G71" s="469"/>
      <c r="H71" s="469"/>
      <c r="I71" s="469"/>
    </row>
    <row r="72" spans="1:9" x14ac:dyDescent="0.3">
      <c r="A72" s="463"/>
      <c r="B72" s="474"/>
      <c r="C72" s="478"/>
      <c r="D72" s="477"/>
      <c r="E72" s="477"/>
      <c r="F72" s="469"/>
      <c r="G72" s="469"/>
      <c r="H72" s="469"/>
      <c r="I72" s="469"/>
    </row>
    <row r="73" spans="1:9" ht="19.5" x14ac:dyDescent="0.3">
      <c r="A73" s="553" t="s">
        <v>336</v>
      </c>
      <c r="B73" s="475"/>
      <c r="C73" s="481"/>
      <c r="D73" s="479"/>
      <c r="E73" s="479"/>
      <c r="F73" s="480"/>
      <c r="G73" s="480"/>
      <c r="H73" s="996"/>
      <c r="I73" s="996"/>
    </row>
    <row r="74" spans="1:9" x14ac:dyDescent="0.3">
      <c r="A74" s="296" t="s">
        <v>337</v>
      </c>
      <c r="B74" s="474"/>
      <c r="C74" s="555"/>
      <c r="D74" s="559">
        <v>6.4350705666666702E-2</v>
      </c>
      <c r="E74" s="694">
        <v>3.6309909999999999</v>
      </c>
      <c r="F74" s="695">
        <v>1.7722628799318602E-2</v>
      </c>
      <c r="G74" s="560">
        <v>3.5666402943333302</v>
      </c>
      <c r="H74" s="557"/>
      <c r="I74" s="558"/>
    </row>
    <row r="75" spans="1:9" x14ac:dyDescent="0.3">
      <c r="A75" s="295" t="s">
        <v>338</v>
      </c>
      <c r="B75" s="474"/>
      <c r="C75" s="555"/>
      <c r="D75" s="559">
        <v>3.9419247999999997E-2</v>
      </c>
      <c r="E75" s="694">
        <v>4.6308573406666698</v>
      </c>
      <c r="F75" s="695">
        <v>8.5123002286926694E-3</v>
      </c>
      <c r="G75" s="560">
        <v>4.59143809266667</v>
      </c>
      <c r="H75" s="557"/>
      <c r="I75" s="995"/>
    </row>
    <row r="76" spans="1:9" x14ac:dyDescent="0.3">
      <c r="A76" s="295" t="s">
        <v>339</v>
      </c>
      <c r="B76" s="474"/>
      <c r="C76" s="555"/>
      <c r="D76" s="559">
        <v>0.91137101466666703</v>
      </c>
      <c r="E76" s="696" t="s">
        <v>74</v>
      </c>
      <c r="F76" s="695"/>
      <c r="G76" s="561"/>
      <c r="H76" s="562"/>
      <c r="I76" s="563"/>
    </row>
    <row r="77" spans="1:9" x14ac:dyDescent="0.3">
      <c r="A77" s="295" t="s">
        <v>340</v>
      </c>
      <c r="B77" s="474"/>
      <c r="C77" s="555"/>
      <c r="D77" s="559">
        <v>0</v>
      </c>
      <c r="E77" s="696" t="s">
        <v>74</v>
      </c>
      <c r="F77" s="695"/>
      <c r="G77" s="561"/>
      <c r="H77" s="562"/>
      <c r="I77" s="563"/>
    </row>
    <row r="78" spans="1:9" x14ac:dyDescent="0.3">
      <c r="A78" s="297" t="s">
        <v>341</v>
      </c>
      <c r="B78" s="474"/>
      <c r="C78" s="554"/>
      <c r="D78" s="564">
        <v>0</v>
      </c>
      <c r="E78" s="697" t="s">
        <v>172</v>
      </c>
      <c r="F78" s="698"/>
      <c r="G78" s="565"/>
      <c r="H78" s="557"/>
      <c r="I78" s="558"/>
    </row>
    <row r="79" spans="1:9" x14ac:dyDescent="0.3">
      <c r="A79" s="297" t="s">
        <v>345</v>
      </c>
      <c r="B79" s="474"/>
      <c r="C79" s="554"/>
      <c r="D79" s="564">
        <v>0</v>
      </c>
      <c r="E79" s="697" t="s">
        <v>172</v>
      </c>
      <c r="F79" s="698"/>
      <c r="G79" s="565"/>
      <c r="H79" s="557"/>
      <c r="I79" s="558"/>
    </row>
    <row r="80" spans="1:9" x14ac:dyDescent="0.3">
      <c r="A80" s="295" t="s">
        <v>342</v>
      </c>
      <c r="B80" s="474"/>
      <c r="C80" s="555"/>
      <c r="D80" s="559">
        <v>4.97775336666667E-2</v>
      </c>
      <c r="E80" s="696" t="s">
        <v>172</v>
      </c>
      <c r="F80" s="695"/>
      <c r="G80" s="566"/>
      <c r="H80" s="567"/>
      <c r="I80" s="568"/>
    </row>
    <row r="81" spans="1:9" x14ac:dyDescent="0.3">
      <c r="A81" s="295" t="s">
        <v>343</v>
      </c>
      <c r="B81" s="472"/>
      <c r="C81" s="555"/>
      <c r="D81" s="559">
        <v>1.82695093566667</v>
      </c>
      <c r="E81" s="694">
        <v>24.405247667333299</v>
      </c>
      <c r="F81" s="695">
        <v>7.4858938559843394E-2</v>
      </c>
      <c r="G81" s="560">
        <v>22.5782967316667</v>
      </c>
      <c r="H81" s="557"/>
      <c r="I81" s="558"/>
    </row>
    <row r="82" spans="1:9" x14ac:dyDescent="0.3">
      <c r="A82" s="295" t="s">
        <v>344</v>
      </c>
      <c r="B82" s="476"/>
      <c r="C82" s="554"/>
      <c r="D82" s="564">
        <v>20.669537929000001</v>
      </c>
      <c r="E82" s="696" t="s">
        <v>74</v>
      </c>
      <c r="F82" s="699"/>
      <c r="G82" s="569"/>
      <c r="H82" s="570"/>
      <c r="I82" s="571"/>
    </row>
    <row r="83" spans="1:9" x14ac:dyDescent="0.3">
      <c r="A83" s="295" t="s">
        <v>346</v>
      </c>
      <c r="B83" s="474"/>
      <c r="C83" s="555"/>
      <c r="D83" s="559">
        <v>7.8118206666666704E-3</v>
      </c>
      <c r="E83" s="696" t="s">
        <v>74</v>
      </c>
      <c r="F83" s="695"/>
      <c r="G83" s="561"/>
      <c r="H83" s="562"/>
      <c r="I83" s="563"/>
    </row>
    <row r="84" spans="1:9" x14ac:dyDescent="0.3">
      <c r="A84" s="295" t="s">
        <v>348</v>
      </c>
      <c r="B84" s="472"/>
      <c r="C84" s="555"/>
      <c r="D84" s="559">
        <v>0.79641335166666705</v>
      </c>
      <c r="E84" s="694">
        <v>5.068797</v>
      </c>
      <c r="F84" s="695">
        <v>0.157120782636722</v>
      </c>
      <c r="G84" s="560">
        <v>4.2723836483333297</v>
      </c>
      <c r="H84" s="557"/>
      <c r="I84" s="558"/>
    </row>
    <row r="85" spans="1:9" x14ac:dyDescent="0.3">
      <c r="A85" s="295" t="s">
        <v>349</v>
      </c>
      <c r="B85" s="472"/>
      <c r="C85" s="555"/>
      <c r="D85" s="559">
        <v>0.35158077700000001</v>
      </c>
      <c r="E85" s="694">
        <v>2.51496866666667</v>
      </c>
      <c r="F85" s="695">
        <v>0.139795291154058</v>
      </c>
      <c r="G85" s="560">
        <v>2.1633878896666698</v>
      </c>
      <c r="H85" s="557"/>
      <c r="I85" s="558"/>
    </row>
    <row r="86" spans="1:9" x14ac:dyDescent="0.3">
      <c r="A86" s="295" t="s">
        <v>350</v>
      </c>
      <c r="B86" s="472"/>
      <c r="C86" s="555"/>
      <c r="D86" s="559">
        <v>7.5331106666666698E-3</v>
      </c>
      <c r="E86" s="696" t="s">
        <v>74</v>
      </c>
      <c r="F86" s="695"/>
      <c r="G86" s="566"/>
      <c r="H86" s="567"/>
      <c r="I86" s="568"/>
    </row>
    <row r="87" spans="1:9" x14ac:dyDescent="0.3">
      <c r="A87" s="295" t="s">
        <v>351</v>
      </c>
      <c r="B87" s="474"/>
      <c r="C87" s="555"/>
      <c r="D87" s="559">
        <v>3.1929557333333303E-2</v>
      </c>
      <c r="E87" s="696" t="s">
        <v>74</v>
      </c>
      <c r="F87" s="695"/>
      <c r="G87" s="561"/>
      <c r="H87" s="562"/>
      <c r="I87" s="563"/>
    </row>
    <row r="88" spans="1:9" x14ac:dyDescent="0.3">
      <c r="A88" s="295" t="s">
        <v>357</v>
      </c>
      <c r="B88" s="471"/>
      <c r="C88" s="555"/>
      <c r="D88" s="559">
        <v>0.291759408</v>
      </c>
      <c r="E88" s="694">
        <v>14.2106926666667</v>
      </c>
      <c r="F88" s="695">
        <v>2.0530977260831602E-2</v>
      </c>
      <c r="G88" s="560">
        <v>13.9189332586667</v>
      </c>
      <c r="H88" s="557"/>
      <c r="I88" s="558"/>
    </row>
    <row r="89" spans="1:9" x14ac:dyDescent="0.3">
      <c r="A89" s="297" t="s">
        <v>358</v>
      </c>
      <c r="B89" s="471"/>
      <c r="C89" s="554"/>
      <c r="D89" s="997">
        <v>2.6979341880000001</v>
      </c>
      <c r="E89" s="998">
        <v>1.0192093333333301</v>
      </c>
      <c r="F89" s="999">
        <v>2.6470854413944398</v>
      </c>
      <c r="G89" s="1000">
        <v>-1.67872485466667</v>
      </c>
      <c r="H89" s="570"/>
      <c r="I89" s="571"/>
    </row>
    <row r="90" spans="1:9" x14ac:dyDescent="0.3">
      <c r="A90" s="473"/>
      <c r="B90" s="471"/>
      <c r="C90" s="471"/>
      <c r="D90" s="463"/>
      <c r="E90" s="463"/>
      <c r="F90" s="469"/>
      <c r="G90" s="470"/>
      <c r="H90" s="470"/>
      <c r="I90" s="470"/>
    </row>
    <row r="91" spans="1:9" x14ac:dyDescent="0.3">
      <c r="A91" s="471"/>
      <c r="B91" s="472"/>
      <c r="C91" s="471"/>
      <c r="D91" s="471"/>
      <c r="E91" s="471"/>
      <c r="F91" s="471"/>
      <c r="G91" s="471"/>
      <c r="H91" s="463"/>
      <c r="I91" s="471"/>
    </row>
    <row r="92" spans="1:9" x14ac:dyDescent="0.3">
      <c r="A92" s="473"/>
      <c r="B92" s="472"/>
      <c r="C92" s="471"/>
      <c r="D92" s="463"/>
      <c r="E92" s="463"/>
      <c r="F92" s="469"/>
      <c r="G92" s="470"/>
      <c r="H92" s="470"/>
      <c r="I92" s="470"/>
    </row>
    <row r="93" spans="1:9" x14ac:dyDescent="0.3">
      <c r="A93" s="473"/>
      <c r="B93" s="472"/>
      <c r="C93" s="471"/>
      <c r="D93" s="463"/>
      <c r="E93" s="463"/>
      <c r="F93" s="469"/>
      <c r="G93" s="470"/>
      <c r="H93" s="470"/>
      <c r="I93" s="470"/>
    </row>
    <row r="94" spans="1:9" x14ac:dyDescent="0.3">
      <c r="A94" s="473"/>
      <c r="B94" s="472"/>
      <c r="C94" s="471"/>
      <c r="D94" s="463"/>
      <c r="E94" s="463"/>
      <c r="F94" s="469"/>
      <c r="G94" s="470"/>
      <c r="H94" s="470"/>
      <c r="I94" s="470"/>
    </row>
    <row r="95" spans="1:9" x14ac:dyDescent="0.3">
      <c r="A95" s="473"/>
      <c r="B95" s="472"/>
      <c r="C95" s="471"/>
      <c r="D95" s="463"/>
      <c r="E95" s="463"/>
      <c r="F95" s="469"/>
      <c r="G95" s="470"/>
      <c r="H95" s="470"/>
      <c r="I95" s="470"/>
    </row>
    <row r="96" spans="1:9" x14ac:dyDescent="0.3">
      <c r="A96" s="473"/>
      <c r="B96" s="474"/>
      <c r="C96" s="471"/>
      <c r="D96" s="463"/>
      <c r="E96" s="463"/>
      <c r="F96" s="469"/>
      <c r="G96" s="470"/>
      <c r="H96" s="470"/>
      <c r="I96" s="470"/>
    </row>
  </sheetData>
  <sortState ref="A7:M63">
    <sortCondition descending="1" ref="F7:F63"/>
  </sortState>
  <conditionalFormatting sqref="G5:G69">
    <cfRule type="cellIs" dxfId="10" priority="2" operator="lessThan">
      <formula>0</formula>
    </cfRule>
  </conditionalFormatting>
  <conditionalFormatting sqref="F5:F69 I5:I69">
    <cfRule type="cellIs" dxfId="9" priority="1" operator="greaterThan">
      <formula>1</formula>
    </cfRule>
  </conditionalFormatting>
  <conditionalFormatting sqref="B5:B69">
    <cfRule type="colorScale" priority="1868">
      <colorScale>
        <cfvo type="min"/>
        <cfvo type="percentile" val="50"/>
        <cfvo type="max"/>
        <color rgb="FF7AC88E"/>
        <color rgb="FFFFEB84"/>
        <color rgb="FFF97B7E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Factor Summary</vt:lpstr>
      <vt:lpstr>Commercial</vt:lpstr>
      <vt:lpstr>Recreational</vt:lpstr>
      <vt:lpstr>Tribal</vt:lpstr>
      <vt:lpstr>Const Demand</vt:lpstr>
      <vt:lpstr>Rebuilding</vt:lpstr>
      <vt:lpstr>Stock Status</vt:lpstr>
      <vt:lpstr>Fishing mortality</vt:lpstr>
      <vt:lpstr>Ecosystem</vt:lpstr>
      <vt:lpstr>New Information</vt:lpstr>
      <vt:lpstr>Assess Freq</vt:lpstr>
      <vt:lpstr>2024 SPEX Limiting</vt:lpstr>
      <vt:lpstr>2025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Chantel.Wetzel</cp:lastModifiedBy>
  <cp:lastPrinted>2020-02-13T00:26:16Z</cp:lastPrinted>
  <dcterms:created xsi:type="dcterms:W3CDTF">2016-02-28T22:16:21Z</dcterms:created>
  <dcterms:modified xsi:type="dcterms:W3CDTF">2022-01-21T18:59:18Z</dcterms:modified>
</cp:coreProperties>
</file>